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Owls Landing\8.0 FINANCING\8.9 CDLAC\8.9.2 APPLICATION\2025 R3\2025_R3 CO_In Progress\"/>
    </mc:Choice>
  </mc:AlternateContent>
  <xr:revisionPtr revIDLastSave="0" documentId="13_ncr:1_{BC9A94BE-1CDD-4358-963D-83C87C0B56C8}" xr6:coauthVersionLast="47" xr6:coauthVersionMax="47" xr10:uidLastSave="{00000000-0000-0000-0000-000000000000}"/>
  <bookViews>
    <workbookView xWindow="28680" yWindow="-120" windowWidth="29040" windowHeight="1572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3" i="3" l="1"/>
  <c r="W556" i="3" l="1"/>
  <c r="AD199" i="20"/>
  <c r="S45" i="4"/>
  <c r="T13" i="4"/>
  <c r="C49" i="4"/>
  <c r="C45" i="4"/>
  <c r="C13" i="4"/>
  <c r="C69" i="4"/>
  <c r="E69" i="4" s="1"/>
  <c r="AA656" i="3" l="1"/>
  <c r="Z655" i="3"/>
  <c r="Z654" i="3"/>
  <c r="Z653" i="3"/>
  <c r="Z652" i="3"/>
  <c r="H656" i="3"/>
  <c r="G655" i="3"/>
  <c r="G653" i="3"/>
  <c r="G654" i="3"/>
  <c r="G652" i="3"/>
  <c r="E13" i="4"/>
  <c r="F40" i="4"/>
  <c r="E40" i="4" s="1"/>
  <c r="E5" i="4"/>
  <c r="E4" i="4"/>
  <c r="E6" i="4"/>
  <c r="E99" i="4"/>
  <c r="E84" i="4"/>
  <c r="E85" i="4"/>
  <c r="E86" i="4"/>
  <c r="E88" i="4"/>
  <c r="E89" i="4"/>
  <c r="E90" i="4"/>
  <c r="E92" i="4"/>
  <c r="E93" i="4"/>
  <c r="E94" i="4"/>
  <c r="E83" i="4"/>
  <c r="E80" i="4"/>
  <c r="E79" i="4"/>
  <c r="E73" i="4"/>
  <c r="E74" i="4"/>
  <c r="E75" i="4"/>
  <c r="E72" i="4"/>
  <c r="E66" i="4"/>
  <c r="E67" i="4"/>
  <c r="E68" i="4"/>
  <c r="E57" i="4"/>
  <c r="E58" i="4"/>
  <c r="E59" i="4"/>
  <c r="E60" i="4"/>
  <c r="E61" i="4"/>
  <c r="E56" i="4"/>
  <c r="E46" i="4"/>
  <c r="E47" i="4"/>
  <c r="E48" i="4"/>
  <c r="E50" i="4"/>
  <c r="E51" i="4"/>
  <c r="E52" i="4"/>
  <c r="E53" i="4"/>
  <c r="E43" i="4"/>
  <c r="E27" i="4"/>
  <c r="E19" i="4"/>
  <c r="E20" i="4"/>
  <c r="E21" i="4"/>
  <c r="E22" i="4"/>
  <c r="E23" i="4"/>
  <c r="E24" i="4"/>
  <c r="E25" i="4"/>
  <c r="E17" i="4"/>
  <c r="E49" i="4"/>
  <c r="C65" i="4"/>
  <c r="E65" i="4" s="1"/>
  <c r="C76" i="4"/>
  <c r="E76" i="4" s="1"/>
  <c r="AA918" i="3"/>
  <c r="AO634" i="3" l="1"/>
  <c r="M9" i="4" s="1"/>
  <c r="AO632" i="3"/>
  <c r="AO631" i="3"/>
  <c r="AO630" i="3"/>
  <c r="I9" i="4" s="1"/>
  <c r="AO629" i="3"/>
  <c r="H9" i="4" s="1"/>
  <c r="AO628" i="3"/>
  <c r="G9" i="4" s="1"/>
  <c r="Q627" i="3"/>
  <c r="T630" i="3"/>
  <c r="C634" i="3"/>
  <c r="C633" i="3"/>
  <c r="C632" i="3"/>
  <c r="C631" i="3"/>
  <c r="C630" i="3"/>
  <c r="C629" i="3"/>
  <c r="C628" i="3"/>
  <c r="AO633" i="3"/>
  <c r="L45" i="4" s="1"/>
  <c r="E45" i="4" s="1"/>
  <c r="E9" i="4" l="1"/>
  <c r="AA672" i="3"/>
  <c r="Z671" i="3"/>
  <c r="Z670" i="3"/>
  <c r="Z669" i="3"/>
  <c r="Z668" i="3"/>
  <c r="G671" i="3"/>
  <c r="G670" i="3"/>
  <c r="G669" i="3"/>
  <c r="G668" i="3"/>
  <c r="AA664" i="3"/>
  <c r="Z663" i="3"/>
  <c r="Z662" i="3"/>
  <c r="Z661" i="3"/>
  <c r="Z660" i="3"/>
  <c r="G647" i="3"/>
  <c r="G646" i="3"/>
  <c r="G645" i="3"/>
  <c r="G644" i="3"/>
  <c r="AD67" i="15" l="1"/>
  <c r="Y67" i="15"/>
  <c r="BE103" i="3" l="1"/>
  <c r="AC216" i="23"/>
  <c r="Y216" i="23"/>
  <c r="U216" i="23"/>
  <c r="BQ102" i="23"/>
  <c r="BQ101" i="23"/>
  <c r="N11" i="23"/>
  <c r="W879" i="3"/>
  <c r="E21" i="7" s="1"/>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21" i="7"/>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1" i="13"/>
  <c r="E90" i="13"/>
  <c r="E89" i="13"/>
  <c r="E87" i="13"/>
  <c r="E85" i="13"/>
  <c r="E65" i="13"/>
  <c r="E53" i="13"/>
  <c r="E49" i="13"/>
  <c r="E47" i="13"/>
  <c r="E46" i="13"/>
  <c r="E45" i="13"/>
  <c r="E41"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S93" i="4" s="1"/>
  <c r="E93" i="13" s="1"/>
  <c r="R92" i="4"/>
  <c r="S92" i="4" s="1"/>
  <c r="E92" i="13" s="1"/>
  <c r="R90" i="4"/>
  <c r="R89" i="4"/>
  <c r="R88" i="4"/>
  <c r="R86" i="4"/>
  <c r="S86" i="4" s="1"/>
  <c r="R85" i="4"/>
  <c r="R83" i="4"/>
  <c r="R76" i="4"/>
  <c r="R75" i="4"/>
  <c r="R72" i="4"/>
  <c r="R73" i="4"/>
  <c r="R74" i="4"/>
  <c r="R69" i="4"/>
  <c r="R65" i="4"/>
  <c r="R61" i="4"/>
  <c r="R60" i="4"/>
  <c r="R59" i="4"/>
  <c r="R58" i="4"/>
  <c r="R57" i="4"/>
  <c r="R56" i="4"/>
  <c r="R53" i="4"/>
  <c r="R52" i="4"/>
  <c r="S52" i="4" s="1"/>
  <c r="E52" i="13" s="1"/>
  <c r="R51" i="4"/>
  <c r="S51" i="4" s="1"/>
  <c r="E51" i="13" s="1"/>
  <c r="R50" i="4"/>
  <c r="S50" i="4" s="1"/>
  <c r="R49" i="4"/>
  <c r="R48" i="4"/>
  <c r="S48" i="4" s="1"/>
  <c r="E48" i="13" s="1"/>
  <c r="R47" i="4"/>
  <c r="R46" i="4"/>
  <c r="R45" i="4"/>
  <c r="R43" i="4"/>
  <c r="S43" i="4" s="1"/>
  <c r="E43" i="13" s="1"/>
  <c r="R41" i="4"/>
  <c r="R40" i="4"/>
  <c r="S40" i="4" s="1"/>
  <c r="S42" i="4" s="1"/>
  <c r="E42" i="13" s="1"/>
  <c r="R37" i="4"/>
  <c r="R35" i="4"/>
  <c r="R34" i="4"/>
  <c r="R33" i="4"/>
  <c r="R32" i="4"/>
  <c r="R31" i="4"/>
  <c r="R30" i="4"/>
  <c r="R29" i="4"/>
  <c r="R25" i="4"/>
  <c r="S25" i="4" s="1"/>
  <c r="E25" i="13" s="1"/>
  <c r="R15" i="4"/>
  <c r="R1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54" i="4" l="1"/>
  <c r="E54" i="13" s="1"/>
  <c r="E40" i="13"/>
  <c r="E50" i="13"/>
  <c r="S96" i="4"/>
  <c r="E96" i="13" s="1"/>
  <c r="E86" i="13"/>
  <c r="E91" i="4"/>
  <c r="R91" i="4" s="1"/>
  <c r="B26" i="4"/>
  <c r="S81" i="4"/>
  <c r="E81" i="13" s="1"/>
  <c r="E87"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87" i="4" l="1"/>
  <c r="R96" i="4" s="1"/>
  <c r="E96" i="4"/>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T805" i="20"/>
  <c r="AF805" i="20" s="1"/>
  <c r="BE72" i="3" s="1"/>
  <c r="N185" i="23"/>
  <c r="BE22"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BE44" i="3"/>
  <c r="F457" i="3"/>
  <c r="N196" i="23"/>
  <c r="N186" i="23"/>
  <c r="S58" i="7"/>
  <c r="U53" i="7"/>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H3" i="21" l="1"/>
  <c r="E104" i="20" l="1"/>
  <c r="E105" i="20"/>
  <c r="E106" i="20" l="1"/>
  <c r="AP106" i="20" s="1"/>
  <c r="AK109" i="20" s="1"/>
  <c r="T806" i="20" s="1"/>
  <c r="AF806" i="20" s="1"/>
  <c r="BE73" i="3" s="1"/>
  <c r="R17" i="4" l="1"/>
  <c r="S17" i="4" s="1"/>
  <c r="R18" i="4"/>
  <c r="S18" i="4" s="1"/>
  <c r="E18" i="13" s="1"/>
  <c r="R19" i="4"/>
  <c r="S19" i="4" s="1"/>
  <c r="E19" i="13" s="1"/>
  <c r="R20" i="4"/>
  <c r="S20" i="4" s="1"/>
  <c r="E20" i="13" s="1"/>
  <c r="R21" i="4"/>
  <c r="S21" i="4" s="1"/>
  <c r="E21" i="13" s="1"/>
  <c r="R22" i="4"/>
  <c r="S22" i="4" s="1"/>
  <c r="E22" i="13" s="1"/>
  <c r="R23" i="4"/>
  <c r="S23" i="4" s="1"/>
  <c r="E23" i="13" s="1"/>
  <c r="R24" i="4"/>
  <c r="S24" i="4" s="1"/>
  <c r="E24" i="13" s="1"/>
  <c r="E26" i="4"/>
  <c r="R27" i="4"/>
  <c r="S27" i="4" s="1"/>
  <c r="E27" i="13" s="1"/>
  <c r="E17" i="13" l="1"/>
  <c r="S26" i="4"/>
  <c r="R26" i="4"/>
  <c r="R4" i="4"/>
  <c r="R5" i="4"/>
  <c r="R6" i="4"/>
  <c r="R9" i="4"/>
  <c r="R11" i="4" s="1"/>
  <c r="E11" i="4"/>
  <c r="R13" i="4"/>
  <c r="E26" i="13" l="1"/>
  <c r="S63" i="4"/>
  <c r="E63" i="13" l="1"/>
  <c r="S97" i="4"/>
  <c r="AZ1046" i="3" l="1"/>
  <c r="S105" i="4"/>
  <c r="E97" i="13"/>
  <c r="S107" i="4" l="1"/>
  <c r="E105" i="13"/>
  <c r="BA1056" i="3"/>
  <c r="AZ1051" i="3"/>
  <c r="BA1055" i="3" l="1"/>
  <c r="BA1059" i="3" s="1"/>
  <c r="AC456" i="3"/>
  <c r="AA1056" i="3"/>
  <c r="E107" i="13"/>
  <c r="T11" i="15" s="1"/>
  <c r="T23" i="15" s="1"/>
  <c r="AF551" i="20"/>
  <c r="AF553" i="20" s="1"/>
  <c r="AK559" i="20" s="1"/>
  <c r="T818" i="20" s="1"/>
  <c r="AF818" i="20" s="1"/>
  <c r="AA1057" i="3" l="1"/>
  <c r="G1058" i="3" s="1"/>
  <c r="BE81" i="3"/>
  <c r="AF821" i="20"/>
  <c r="BE70" i="3" s="1"/>
  <c r="T26" i="15"/>
  <c r="T28" i="15" s="1"/>
  <c r="T29" i="15" s="1"/>
  <c r="AD38" i="15"/>
  <c r="AD40" i="15" s="1"/>
  <c r="Y38" i="15" l="1"/>
  <c r="Y40" i="15" s="1"/>
  <c r="Y41" i="15" s="1"/>
  <c r="AB50" i="15" l="1"/>
  <c r="BE62" i="3" l="1"/>
  <c r="AB54" i="15"/>
  <c r="AB55" i="15" s="1"/>
  <c r="AB56" i="15" s="1"/>
  <c r="AB57" i="15" l="1"/>
  <c r="AB59" i="15" s="1"/>
  <c r="AB77" i="15" s="1"/>
  <c r="AB78" i="15" s="1"/>
  <c r="M26" i="3"/>
  <c r="BE19" i="3" l="1"/>
  <c r="P204" i="3"/>
  <c r="I10" i="21"/>
  <c r="I11" i="21" s="1"/>
  <c r="I18" i="21" s="1"/>
  <c r="H4" i="21" s="1"/>
  <c r="H5" i="21" s="1"/>
  <c r="BE83" i="3" s="1"/>
  <c r="AB79" i="15"/>
  <c r="AB81" i="15" s="1"/>
  <c r="J82" i="15" s="1"/>
  <c r="M27" i="3"/>
  <c r="BE20" i="3" l="1"/>
  <c r="P205" i="3"/>
  <c r="E7" i="4"/>
  <c r="R7" i="4"/>
  <c r="E8" i="4"/>
  <c r="R8" i="4"/>
  <c r="E12" i="4"/>
  <c r="R12" i="4"/>
  <c r="E63" i="4"/>
  <c r="R63" i="4"/>
  <c r="E97" i="4"/>
  <c r="R97" i="4"/>
  <c r="E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<sst xmlns="http://schemas.openxmlformats.org/spreadsheetml/2006/main" count="5036" uniqueCount="2767">
  <si>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</si>
  <si>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</si>
  <si>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</si>
  <si>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</si>
  <si>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</si>
  <si>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</si>
  <si>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</si>
  <si>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</si>
  <si>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</si>
  <si>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</si>
  <si>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</si>
  <si>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</si>
  <si>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</si>
  <si>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</si>
  <si>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</si>
  <si>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</si>
  <si>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</si>
  <si>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</si>
  <si>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</si>
  <si>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</si>
  <si>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</si>
  <si>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</si>
  <si>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</si>
  <si>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</si>
  <si>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</si>
  <si>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</si>
  <si>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</si>
  <si>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</si>
  <si>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</si>
  <si>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</si>
  <si>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</si>
  <si>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</si>
  <si>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</si>
  <si>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</si>
  <si>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</si>
  <si>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</si>
  <si>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</si>
  <si>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</si>
  <si>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</si>
  <si>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</si>
  <si>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</si>
  <si>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</si>
  <si>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</si>
  <si>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</si>
  <si>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</si>
  <si>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</si>
  <si>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</si>
  <si>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</si>
  <si>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</si>
  <si>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</si>
  <si>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</si>
  <si>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</si>
  <si>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</si>
  <si>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</si>
  <si>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</si>
  <si>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</si>
  <si>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</si>
  <si>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</si>
  <si>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</si>
  <si>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</si>
  <si>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</si>
  <si>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</si>
  <si>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</si>
  <si>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</si>
  <si>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</si>
  <si>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</si>
  <si>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</si>
  <si>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</si>
  <si>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</si>
  <si>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</si>
  <si>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</si>
  <si>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</si>
  <si>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</si>
  <si>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</si>
  <si>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</si>
  <si>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</si>
  <si>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</si>
  <si>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</si>
  <si>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</si>
  <si>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</si>
  <si>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</si>
  <si>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</si>
  <si>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</si>
  <si>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</si>
  <si>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</si>
  <si>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</si>
  <si>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</si>
  <si>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</si>
  <si>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</si>
  <si>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</si>
  <si>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</si>
  <si>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</si>
  <si>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</si>
  <si>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</si>
  <si>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</si>
  <si>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</si>
  <si>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</si>
  <si>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</si>
  <si>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</si>
  <si>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</si>
  <si>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</si>
  <si>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</si>
  <si>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</si>
  <si>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</si>
  <si>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</si>
  <si>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</si>
  <si>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</si>
  <si>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</si>
  <si>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</si>
  <si>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</si>
  <si>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</si>
  <si>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</si>
  <si>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</si>
  <si>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</si>
  <si>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</si>
  <si>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</si>
  <si>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</si>
  <si>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</si>
  <si>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</si>
  <si>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</si>
  <si>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</si>
  <si>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</si>
  <si>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</si>
  <si>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</si>
  <si>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</si>
  <si>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</si>
  <si>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</si>
  <si>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</si>
  <si>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</si>
  <si>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</si>
  <si>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</si>
  <si>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</si>
  <si>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</si>
  <si>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</si>
  <si>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</si>
  <si>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</si>
  <si>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</si>
  <si>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</si>
  <si>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</si>
  <si>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</si>
  <si>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</si>
  <si>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</si>
  <si>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</si>
  <si>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</si>
  <si>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</si>
  <si>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</si>
  <si>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</si>
  <si>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</si>
  <si>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</si>
  <si>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</si>
  <si>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</si>
  <si>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</si>
  <si>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</si>
  <si>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</si>
  <si>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</si>
  <si>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</si>
  <si>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</si>
  <si>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</si>
  <si>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</si>
  <si>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</si>
  <si>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</si>
  <si>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</si>
  <si>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</si>
  <si>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</si>
  <si>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</si>
  <si>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</si>
  <si>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</si>
  <si>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</si>
  <si>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</si>
  <si>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</si>
  <si>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</si>
  <si>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</si>
  <si>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</si>
  <si>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</si>
  <si>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</si>
  <si>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</si>
  <si>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</si>
  <si>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</si>
  <si>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</si>
  <si>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</si>
  <si>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</si>
  <si>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</si>
  <si>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</si>
  <si>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</si>
  <si>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</si>
  <si>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</si>
  <si>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</si>
  <si>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</si>
  <si>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</si>
  <si>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</si>
  <si>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</si>
  <si>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</si>
  <si>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</si>
  <si>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</si>
  <si>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</si>
  <si>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</si>
  <si>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</si>
  <si>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</si>
  <si>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</si>
  <si>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</si>
  <si>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</si>
  <si>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</si>
  <si>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</si>
  <si>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</si>
  <si>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</si>
  <si>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</si>
  <si>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</si>
  <si>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</si>
  <si>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</si>
  <si>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</si>
  <si>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</si>
  <si>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</si>
  <si>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</si>
  <si>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</si>
  <si>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</si>
  <si>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</si>
  <si>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</si>
  <si>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</si>
  <si>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</si>
  <si>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</si>
  <si>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</si>
  <si>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</si>
  <si>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</si>
  <si>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</si>
  <si>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</si>
  <si>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</si>
  <si>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</si>
  <si>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</si>
  <si>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</si>
  <si>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</si>
  <si>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</si>
  <si>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</si>
  <si>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</si>
  <si>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</si>
  <si>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</si>
  <si>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</si>
  <si>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</si>
  <si>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</si>
  <si>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</si>
  <si>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</si>
  <si>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</si>
  <si>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</si>
  <si>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</si>
  <si>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</si>
  <si>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</si>
  <si>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</si>
  <si>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</si>
  <si>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</si>
  <si>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</si>
  <si>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</si>
  <si>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</si>
  <si>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</si>
  <si>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</si>
  <si>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</si>
  <si>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</si>
  <si>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</si>
  <si>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</si>
  <si>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</si>
  <si>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</si>
  <si>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</si>
  <si>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</si>
  <si>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</si>
  <si>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</si>
  <si>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</si>
  <si>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</si>
  <si>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</si>
  <si>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</si>
  <si>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</si>
  <si>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</si>
  <si>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</si>
  <si>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</si>
  <si>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</si>
  <si>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</si>
  <si>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</si>
  <si>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</si>
  <si>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</si>
  <si>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</si>
  <si>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</si>
  <si>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</si>
  <si>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</si>
  <si>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</si>
  <si>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</si>
  <si>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</si>
  <si>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</si>
  <si>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</si>
  <si>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</si>
  <si>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</si>
  <si>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</si>
  <si>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</si>
  <si>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</si>
  <si>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</si>
  <si>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</si>
  <si>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</si>
  <si>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</si>
  <si>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</si>
  <si>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</si>
  <si>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</si>
  <si>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</si>
  <si>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</si>
  <si>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</si>
  <si>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</si>
  <si>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</si>
  <si>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</si>
  <si>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</si>
  <si>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</si>
  <si>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</si>
  <si>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</si>
  <si>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</si>
  <si>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</si>
  <si>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</si>
  <si>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</si>
  <si>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</si>
  <si>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</si>
  <si>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</si>
  <si>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</si>
  <si>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</si>
  <si>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</si>
  <si>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</si>
  <si>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</si>
  <si>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</si>
  <si>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</si>
  <si>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</si>
  <si>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</si>
  <si>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</si>
  <si>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</si>
  <si>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</si>
  <si>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</si>
  <si>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</si>
  <si>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</si>
  <si>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</si>
  <si>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</si>
  <si>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</si>
  <si>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</si>
  <si>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</si>
  <si>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</si>
  <si>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</si>
  <si>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</si>
  <si>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</si>
  <si>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</si>
  <si>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</si>
  <si>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</si>
  <si>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</si>
  <si>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</si>
  <si>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</si>
  <si>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</si>
  <si>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</si>
  <si>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</si>
  <si>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</si>
  <si>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</si>
  <si>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</si>
  <si>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</si>
  <si>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</si>
  <si>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</si>
  <si>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</si>
  <si>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</si>
  <si>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</si>
  <si>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</si>
  <si>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</si>
  <si>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</si>
  <si>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</si>
  <si>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</si>
  <si>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</si>
  <si>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</si>
  <si>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</si>
  <si>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</si>
  <si>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</si>
  <si>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</si>
  <si>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</si>
  <si>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</si>
  <si>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</si>
  <si>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</si>
  <si>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</si>
  <si>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</si>
  <si>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</si>
  <si>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</si>
  <si>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</si>
  <si>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</si>
  <si>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</si>
  <si>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</si>
  <si>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</si>
  <si>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</si>
  <si>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</si>
  <si>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</si>
  <si>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</si>
  <si>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</si>
  <si>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</si>
  <si>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</si>
  <si>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</si>
  <si>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</si>
  <si>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</si>
  <si>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</si>
  <si>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</si>
  <si>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</si>
  <si>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</si>
  <si>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</si>
  <si>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</si>
  <si>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</si>
  <si>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</si>
  <si>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</si>
  <si>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</si>
  <si>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</si>
  <si>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</si>
  <si>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</si>
  <si>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</si>
  <si>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</si>
  <si>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</si>
  <si>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</si>
  <si>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</si>
  <si>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</si>
  <si>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</si>
  <si>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</si>
  <si>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</si>
  <si>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</si>
  <si>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</si>
  <si>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</si>
  <si>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</si>
  <si>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</si>
  <si>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</si>
  <si>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</si>
  <si>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</si>
  <si>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</si>
  <si>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</si>
  <si>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</si>
  <si>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</si>
  <si>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</si>
  <si>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</si>
  <si>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</si>
  <si>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</si>
  <si>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</si>
  <si>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</si>
  <si>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</si>
  <si>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</si>
  <si>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</si>
  <si>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</si>
  <si>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</si>
  <si>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</si>
  <si>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</si>
  <si>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</si>
  <si>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</si>
  <si>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</si>
  <si>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</si>
  <si>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</si>
  <si>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</si>
  <si>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</si>
  <si>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</si>
  <si>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</si>
  <si>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</si>
  <si>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</si>
  <si>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</si>
  <si>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</si>
  <si>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</si>
  <si>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</si>
  <si>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</si>
  <si>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</si>
  <si>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</si>
  <si>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</si>
  <si>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</si>
  <si>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</si>
  <si>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</si>
  <si>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</si>
  <si>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</si>
  <si>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</si>
  <si>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</si>
  <si>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</si>
  <si>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</si>
  <si>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</si>
  <si>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</si>
  <si>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</si>
  <si>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</si>
  <si>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</si>
  <si>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</si>
  <si>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</si>
  <si>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</si>
  <si>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</si>
  <si>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</si>
  <si>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</si>
  <si>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</si>
  <si>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</si>
  <si>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</si>
  <si>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</si>
  <si>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</si>
  <si>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</si>
  <si>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</si>
  <si>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</si>
  <si>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</si>
  <si>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</si>
  <si>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</si>
  <si>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</si>
  <si>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</si>
  <si>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</si>
  <si>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</si>
  <si>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</si>
  <si>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</si>
  <si>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</si>
  <si>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</si>
  <si>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</si>
  <si>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</si>
  <si>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</si>
  <si>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</si>
  <si>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</si>
  <si>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</si>
  <si>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</si>
  <si>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</si>
  <si>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</si>
  <si>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</si>
  <si>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</si>
  <si>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</si>
  <si>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</si>
  <si>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</si>
  <si>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</si>
  <si>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</si>
  <si>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</si>
  <si>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</si>
  <si>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</si>
  <si>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</si>
  <si>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</si>
  <si>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</si>
  <si>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</si>
  <si>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</si>
  <si>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</si>
  <si>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</si>
  <si>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</si>
  <si>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</si>
  <si>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</si>
  <si>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</si>
  <si>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</si>
  <si>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</si>
  <si>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</si>
  <si>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</si>
  <si>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</si>
  <si>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</si>
  <si>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</si>
  <si>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</si>
  <si>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</si>
  <si>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</si>
  <si>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</si>
  <si>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</si>
  <si>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</si>
  <si>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</si>
  <si>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</si>
  <si>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</si>
  <si>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</si>
  <si>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</si>
  <si>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</si>
  <si>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</si>
  <si>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</si>
  <si>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</si>
  <si>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</si>
  <si>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</si>
  <si>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</si>
  <si>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</si>
  <si>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</si>
  <si>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</si>
  <si>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</si>
  <si>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</si>
  <si>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</si>
  <si>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</si>
  <si>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</si>
  <si>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</si>
  <si>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</si>
  <si>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</si>
  <si>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</si>
  <si>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</si>
  <si>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</si>
  <si>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</si>
  <si>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</si>
  <si>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</si>
  <si>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</si>
  <si>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</si>
  <si>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</si>
  <si>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</si>
  <si>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</si>
  <si>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</si>
  <si>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</si>
  <si>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</si>
  <si>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</si>
  <si>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</si>
  <si>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</si>
  <si>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</si>
  <si>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</si>
  <si>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</si>
  <si>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</si>
  <si>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</si>
  <si>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</si>
  <si>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</si>
  <si>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</si>
  <si>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</si>
  <si>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</si>
  <si>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</si>
  <si>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</si>
  <si>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</si>
  <si>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</si>
  <si>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</si>
  <si>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</si>
  <si>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</si>
  <si>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</si>
  <si>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</si>
  <si>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</si>
  <si>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</si>
  <si>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</si>
  <si>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</si>
  <si>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</si>
  <si>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</si>
  <si>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</si>
  <si>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</si>
  <si>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</si>
  <si>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</si>
  <si>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</si>
  <si>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</si>
  <si>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</si>
  <si>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</si>
  <si>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</si>
  <si>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</si>
  <si>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</si>
  <si>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</si>
  <si>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</si>
  <si>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</si>
  <si>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</si>
  <si>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</si>
  <si>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</si>
  <si>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</si>
  <si>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</si>
  <si>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</si>
  <si>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</si>
  <si>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</si>
  <si>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</si>
  <si>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</si>
  <si>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</si>
  <si>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</si>
  <si>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</si>
  <si>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</si>
  <si>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</si>
  <si>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</si>
  <si>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</si>
  <si>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</si>
  <si>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</si>
  <si>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</si>
  <si>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</si>
  <si>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</si>
  <si>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</si>
  <si>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</si>
  <si>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</si>
  <si>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</si>
  <si>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</si>
  <si>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</si>
  <si>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</si>
  <si>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</si>
  <si>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</si>
  <si>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</si>
  <si>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</si>
  <si>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</si>
  <si>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</si>
  <si>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</si>
  <si>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</si>
  <si>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</si>
  <si>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</si>
  <si>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</si>
  <si>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</si>
  <si>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</si>
  <si>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</si>
  <si>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</si>
  <si>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</si>
  <si>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</si>
  <si>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</si>
  <si>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</si>
  <si>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</si>
  <si>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</si>
  <si>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</si>
  <si>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</si>
  <si>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</si>
  <si>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</si>
  <si>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</si>
  <si>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</si>
  <si>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</si>
  <si>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</si>
  <si>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</si>
  <si>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</si>
  <si>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</si>
  <si>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</si>
  <si>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</si>
  <si>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</si>
  <si>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</si>
  <si>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</si>
  <si>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</si>
  <si>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</si>
  <si>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</si>
  <si>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</si>
  <si>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</si>
  <si>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</si>
  <si>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</si>
  <si>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</si>
  <si>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</si>
  <si>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</si>
  <si>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</si>
  <si>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</si>
  <si>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</si>
  <si>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</si>
  <si>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</si>
  <si>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</si>
  <si>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</si>
  <si>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</si>
  <si>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</si>
  <si>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</si>
  <si>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</si>
  <si>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</si>
  <si>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</si>
  <si>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</si>
  <si>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</si>
  <si>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</si>
  <si>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</si>
  <si>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</si>
  <si>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</si>
  <si>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</si>
  <si>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</si>
  <si>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</si>
  <si>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</si>
  <si>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</si>
  <si>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</si>
  <si>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</si>
  <si>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</si>
  <si>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</si>
  <si>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</si>
  <si>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</si>
  <si>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</si>
  <si>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</si>
  <si>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</si>
  <si>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</si>
  <si>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</si>
  <si>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</si>
  <si>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</si>
  <si>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</si>
  <si>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</si>
  <si>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</si>
  <si>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</si>
  <si>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</si>
  <si>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</si>
  <si>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</si>
  <si>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</si>
  <si>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</si>
  <si>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</si>
  <si>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</si>
  <si>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</si>
  <si>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</si>
  <si>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</si>
  <si>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</si>
  <si>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</si>
  <si>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</si>
  <si>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</si>
  <si>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</si>
  <si>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</si>
  <si>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</si>
  <si>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</si>
  <si>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</si>
  <si>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</si>
  <si>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</si>
  <si>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</si>
  <si>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</si>
  <si>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</si>
  <si>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</si>
  <si>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</si>
  <si>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</si>
  <si>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</si>
  <si>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</si>
  <si>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</si>
  <si>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</si>
  <si>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</si>
  <si>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</si>
  <si>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</si>
  <si>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</si>
  <si>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</si>
  <si>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</si>
  <si>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</si>
  <si>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</si>
  <si>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</si>
  <si>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</si>
  <si>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</si>
  <si>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</si>
  <si>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</si>
  <si>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</si>
  <si>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</si>
  <si>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</si>
  <si>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</si>
  <si>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</si>
  <si>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</si>
  <si>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</si>
  <si>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</si>
  <si>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</si>
  <si>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</si>
  <si>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</si>
  <si>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</si>
  <si>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</si>
  <si>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</si>
  <si>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</si>
  <si>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</si>
  <si>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</si>
  <si>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</si>
  <si>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</si>
  <si>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</si>
  <si>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</si>
  <si>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</si>
  <si>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</si>
  <si>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</si>
  <si>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</si>
  <si>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</si>
  <si>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</si>
  <si>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</si>
  <si>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</si>
  <si>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</si>
  <si>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</si>
  <si>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</si>
  <si>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</si>
  <si>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</si>
  <si>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</si>
  <si>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</si>
  <si>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</si>
  <si>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</si>
  <si>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</si>
  <si>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</si>
  <si>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</si>
  <si>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</si>
  <si>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</si>
  <si>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</si>
  <si>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</si>
  <si>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</si>
  <si>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</si>
  <si>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</si>
  <si>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</si>
  <si>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</si>
  <si>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</si>
  <si>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</si>
  <si>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</si>
  <si>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</si>
  <si>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</si>
  <si>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</si>
  <si>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</si>
  <si>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</si>
  <si>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</si>
  <si>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</si>
  <si>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</si>
  <si>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</si>
  <si>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</si>
  <si>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</si>
  <si>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</si>
  <si>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</si>
  <si>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</si>
  <si>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</si>
  <si>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</si>
  <si>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</si>
  <si>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</si>
  <si>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</si>
  <si>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</si>
  <si>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</si>
  <si>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</si>
  <si>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</si>
  <si>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</si>
  <si>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</si>
  <si>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</si>
  <si>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</si>
  <si>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</si>
  <si>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</si>
  <si>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</si>
  <si>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</si>
  <si>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</si>
  <si>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</si>
  <si>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</si>
  <si>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</si>
  <si>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</si>
  <si>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</si>
  <si>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</si>
  <si>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</si>
  <si>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</si>
  <si>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</si>
  <si>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</si>
  <si>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</si>
  <si>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</si>
  <si>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</si>
  <si>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</si>
  <si>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</si>
  <si>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</si>
  <si>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</si>
  <si>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</si>
  <si>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</si>
  <si>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</si>
  <si>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</si>
  <si>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</si>
  <si>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</si>
  <si>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</si>
  <si>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</si>
  <si>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</si>
  <si>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</si>
  <si>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</si>
  <si>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</si>
  <si>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</si>
  <si>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</si>
  <si>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</si>
  <si>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</si>
  <si>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</si>
  <si>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</si>
  <si>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</si>
  <si>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</si>
  <si>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</si>
  <si>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</si>
  <si>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</si>
  <si>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</si>
  <si>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</si>
  <si>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</si>
  <si>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</si>
  <si>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</si>
  <si>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</si>
  <si>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</si>
  <si>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</si>
  <si>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</si>
  <si>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</si>
  <si>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</si>
  <si>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</si>
  <si>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</si>
  <si>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</si>
  <si>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</si>
  <si>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</si>
  <si>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</si>
  <si>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</si>
  <si>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</si>
  <si>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</si>
  <si>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</si>
  <si>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</si>
  <si>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</si>
  <si>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</si>
  <si>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</si>
  <si>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</si>
  <si>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</si>
  <si>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</si>
  <si>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</si>
  <si>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</si>
  <si>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</si>
  <si>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</si>
  <si>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</si>
  <si>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</si>
  <si>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</si>
  <si>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</si>
  <si>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</si>
  <si>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</si>
  <si>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</si>
  <si>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</si>
  <si>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</si>
  <si>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</si>
  <si>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</si>
  <si>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</si>
  <si>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</si>
  <si>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</si>
  <si>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</si>
  <si>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</si>
  <si>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</si>
  <si>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</si>
  <si>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</si>
  <si>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</si>
  <si>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</si>
  <si>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</si>
  <si>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</si>
  <si>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</si>
  <si>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</si>
  <si>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</si>
  <si>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</si>
  <si>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</si>
  <si>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</si>
  <si>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</si>
  <si>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</si>
  <si>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</si>
  <si>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</si>
  <si>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</si>
  <si>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</si>
  <si>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</si>
  <si>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</si>
  <si>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</si>
  <si>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</si>
  <si>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</si>
  <si>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</si>
  <si>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</si>
  <si>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</si>
  <si>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</si>
  <si>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</si>
  <si>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</si>
  <si>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</si>
  <si>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</si>
  <si>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</si>
  <si>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</si>
  <si>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</si>
  <si>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</si>
  <si>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</si>
  <si>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</si>
  <si>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</si>
  <si>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</si>
  <si>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</si>
  <si>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</si>
  <si>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</si>
  <si>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</si>
  <si>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</si>
  <si>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</si>
  <si>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</si>
  <si>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</si>
  <si>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</si>
  <si>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</si>
  <si>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</si>
  <si>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</si>
  <si>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</si>
  <si>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</si>
  <si>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</si>
  <si>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</si>
  <si>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</si>
  <si>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</si>
  <si>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</si>
  <si>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</si>
  <si>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</si>
  <si>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</si>
  <si>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</si>
  <si>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</si>
  <si>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</si>
  <si>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</si>
  <si>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</si>
  <si>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</si>
  <si>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</si>
  <si>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</si>
  <si>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</si>
  <si>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</si>
  <si>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</si>
  <si>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</si>
  <si>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</si>
  <si>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</si>
  <si>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</si>
  <si>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</si>
  <si>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</si>
  <si>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</si>
  <si>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</si>
  <si>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</si>
  <si>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</si>
  <si>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</si>
  <si>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</si>
  <si>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</si>
  <si>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</si>
  <si>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</si>
  <si>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</si>
  <si>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</si>
  <si>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</si>
  <si>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</si>
  <si>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</si>
  <si>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</si>
  <si>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</si>
  <si>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</si>
  <si>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</si>
  <si>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</si>
  <si>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</si>
  <si>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</si>
  <si>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</si>
  <si>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</si>
  <si>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</si>
  <si>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</si>
  <si>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</si>
  <si>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</si>
  <si>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</si>
  <si>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</si>
  <si>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</si>
  <si>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</si>
  <si>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</si>
  <si>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</si>
  <si>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</si>
  <si>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</si>
  <si>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</si>
  <si>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</si>
  <si>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</si>
  <si>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</si>
  <si>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</si>
  <si>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</si>
  <si>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</si>
  <si>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</si>
  <si>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</si>
  <si>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</si>
  <si>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</si>
  <si>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</si>
  <si>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</si>
  <si>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</si>
  <si>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</si>
  <si>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</si>
  <si>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</si>
  <si>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</si>
  <si>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</si>
  <si>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</si>
  <si>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</si>
  <si>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</si>
  <si>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</si>
  <si>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</si>
  <si>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</si>
  <si>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</si>
  <si>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</si>
  <si>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</si>
  <si>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</si>
  <si>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</si>
  <si>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</si>
  <si>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</si>
  <si>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</si>
  <si>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</si>
  <si>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</si>
  <si>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</si>
  <si>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</si>
  <si>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</si>
  <si>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</si>
  <si>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</si>
  <si>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</si>
  <si>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</si>
  <si>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</si>
  <si>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</si>
  <si>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</si>
  <si>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</si>
  <si>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</si>
  <si>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</si>
  <si>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</si>
  <si>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</si>
  <si>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</si>
  <si>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</si>
  <si>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</si>
  <si>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</si>
  <si>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</si>
  <si>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</si>
  <si>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</si>
  <si>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</si>
  <si>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</si>
  <si>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</si>
  <si>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</si>
  <si>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</si>
  <si>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</si>
  <si>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</si>
  <si>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</si>
  <si>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</si>
  <si>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</si>
  <si>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</si>
  <si>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</si>
  <si>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</si>
  <si>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</si>
  <si>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</si>
  <si>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</si>
  <si>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</si>
  <si>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</si>
  <si>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</si>
  <si>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</si>
  <si>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</si>
  <si>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</si>
  <si>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</si>
  <si>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</si>
  <si>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</si>
  <si>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</si>
  <si>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</si>
  <si>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</si>
  <si>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</si>
  <si>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</si>
  <si>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</si>
  <si>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</si>
  <si>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</si>
  <si>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</si>
  <si>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</si>
  <si>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</si>
  <si>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</si>
  <si>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</si>
  <si>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</si>
  <si>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</si>
  <si>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</si>
  <si>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</si>
  <si>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</si>
  <si>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</si>
  <si>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</si>
  <si>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</si>
  <si>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</si>
  <si>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</si>
  <si>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</si>
  <si>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</si>
  <si>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</si>
  <si>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</si>
  <si>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</si>
  <si>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</si>
  <si>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</si>
  <si>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</si>
  <si>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</si>
  <si>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</si>
  <si>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</si>
  <si>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</si>
  <si>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</si>
  <si>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</si>
  <si>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</si>
  <si>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</si>
  <si>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</si>
  <si>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</si>
  <si>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</si>
  <si>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</si>
  <si>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</si>
  <si>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</si>
  <si>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</si>
  <si>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</si>
  <si>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</si>
  <si>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</si>
  <si>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</si>
  <si>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</si>
  <si>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</si>
  <si>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</si>
  <si>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</si>
  <si>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</si>
  <si>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</si>
  <si>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</si>
  <si>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</si>
  <si>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</si>
  <si>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</si>
  <si>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</si>
  <si>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</si>
  <si>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</si>
  <si>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</si>
  <si>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</si>
  <si>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</si>
  <si>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</si>
  <si>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</si>
  <si>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</si>
  <si>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</si>
  <si>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</si>
  <si>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</si>
  <si>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</si>
  <si>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</si>
  <si>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</si>
  <si>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</si>
  <si>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</si>
  <si>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</si>
  <si>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</si>
  <si>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</si>
  <si>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</si>
  <si>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</si>
  <si>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</si>
  <si>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</si>
  <si>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</si>
  <si>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</si>
  <si>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</si>
  <si>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</si>
  <si>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</si>
  <si>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</si>
  <si>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</si>
  <si>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</si>
  <si>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</si>
  <si>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</si>
  <si>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</si>
  <si>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</si>
  <si>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</si>
  <si>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</si>
  <si>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</si>
  <si>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</si>
  <si>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</si>
  <si>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</si>
  <si>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</si>
  <si>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</si>
  <si>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</si>
  <si>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</si>
  <si>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</si>
  <si>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</si>
  <si>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</si>
  <si>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</si>
  <si>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</si>
  <si>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</si>
  <si>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</si>
  <si>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</si>
  <si>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</si>
  <si>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</si>
  <si>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</si>
  <si>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</si>
  <si>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</si>
  <si>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</si>
  <si>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</si>
  <si>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</si>
  <si>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</si>
  <si>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</si>
  <si>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</si>
  <si>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</si>
  <si>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</si>
  <si>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</si>
  <si>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</si>
  <si>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</si>
  <si>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</si>
  <si>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</si>
  <si>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</si>
  <si>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</si>
  <si>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</si>
  <si>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</si>
  <si>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</si>
  <si>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</si>
  <si>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</si>
  <si>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</si>
  <si>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</si>
  <si>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</si>
  <si>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</si>
  <si>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</si>
  <si>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</si>
  <si>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</si>
  <si>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</si>
  <si>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</si>
  <si>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</si>
  <si>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</si>
  <si>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</si>
  <si>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</si>
  <si>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</si>
  <si>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</si>
  <si>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</si>
  <si>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</si>
  <si>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</si>
  <si>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</si>
  <si>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</si>
  <si>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</si>
  <si>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</si>
  <si>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</si>
  <si>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</si>
  <si>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</si>
  <si>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</si>
  <si>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</si>
  <si>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</si>
  <si>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</si>
  <si>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</si>
  <si>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</si>
  <si>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</si>
  <si>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</si>
  <si>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</si>
  <si>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</si>
  <si>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</si>
  <si>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</si>
  <si>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</si>
  <si>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</si>
  <si>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</si>
  <si>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</si>
  <si>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</si>
  <si>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</si>
  <si>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</si>
  <si>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</si>
  <si>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</si>
  <si>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</si>
  <si>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</si>
  <si>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</si>
  <si>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</si>
  <si>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</si>
  <si>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</si>
  <si>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</si>
  <si>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</si>
  <si>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</si>
  <si>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</si>
  <si>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</si>
  <si>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</si>
  <si>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</si>
  <si>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</si>
  <si>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</si>
  <si>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</si>
  <si>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</si>
  <si>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</si>
  <si>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</si>
  <si>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</si>
  <si>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</si>
  <si>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</si>
  <si>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</si>
  <si>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</si>
  <si>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</si>
  <si>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</si>
  <si>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</si>
  <si>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</si>
  <si>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</si>
  <si>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</si>
  <si>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</si>
  <si>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</si>
  <si>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</si>
  <si>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</si>
  <si>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</si>
  <si>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</si>
  <si>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</si>
  <si>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</si>
  <si>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</si>
  <si>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</si>
  <si>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</si>
  <si>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</si>
  <si>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</si>
  <si>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</si>
  <si>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</si>
  <si>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</si>
  <si>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</si>
  <si>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</si>
  <si>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</si>
  <si>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</si>
  <si>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</si>
  <si>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</si>
  <si>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</si>
  <si>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</si>
  <si>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</si>
  <si>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</si>
  <si>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</si>
  <si>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</si>
  <si>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</si>
  <si>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</si>
  <si>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</si>
  <si>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</si>
  <si>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</si>
  <si>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</si>
  <si>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</si>
  <si>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</si>
  <si>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</si>
  <si>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</si>
  <si>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</si>
  <si>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</si>
  <si>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</si>
  <si>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</si>
  <si>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</si>
  <si>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</si>
  <si>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</si>
  <si>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</si>
  <si>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</si>
  <si>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</si>
  <si>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</si>
  <si>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</si>
  <si>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</si>
  <si>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</si>
  <si>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</si>
  <si>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</si>
  <si>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</si>
  <si>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</si>
  <si>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</si>
  <si>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</si>
  <si>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</si>
  <si>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</si>
  <si>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</si>
  <si>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</si>
  <si>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</si>
  <si>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</si>
  <si>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</si>
  <si>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</si>
  <si>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</si>
  <si>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</si>
  <si>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</si>
  <si>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</si>
  <si>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</si>
  <si>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</si>
  <si>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</si>
  <si>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</si>
  <si>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</si>
  <si>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</si>
  <si>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</si>
  <si>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</si>
  <si>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</si>
  <si>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</si>
  <si>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</si>
  <si>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</si>
  <si>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</si>
  <si>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</si>
  <si>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</si>
  <si>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</si>
  <si>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</si>
  <si>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</si>
  <si>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</si>
  <si>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</si>
  <si>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</si>
  <si>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</si>
  <si>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</si>
  <si>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</si>
  <si>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</si>
  <si>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</si>
  <si>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</si>
  <si>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</si>
  <si>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</si>
  <si>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</si>
  <si>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</si>
  <si>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</si>
  <si>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</si>
  <si>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</si>
  <si>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</si>
  <si>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</si>
  <si>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</si>
  <si>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</si>
  <si>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</si>
  <si>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</si>
  <si>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</si>
  <si>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</si>
  <si>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</si>
  <si>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</si>
  <si>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</si>
  <si>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</si>
  <si>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</si>
  <si>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</si>
  <si>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</si>
  <si>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</si>
  <si>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</si>
  <si>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</si>
  <si>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</si>
  <si>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</si>
  <si>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</si>
  <si>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</si>
  <si>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</si>
  <si>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</si>
  <si>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</si>
  <si>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</si>
  <si>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</si>
  <si>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</si>
  <si>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</si>
  <si>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</si>
  <si>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</si>
  <si>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</si>
  <si>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</si>
  <si>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</si>
  <si>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</si>
  <si>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</si>
  <si>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</si>
  <si>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</si>
  <si>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</si>
  <si>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</si>
  <si>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</si>
  <si>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</si>
  <si>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</si>
  <si>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</si>
  <si>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</si>
  <si>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</si>
  <si>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</si>
  <si>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</si>
  <si>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</si>
  <si>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</si>
  <si>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</si>
  <si>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</si>
  <si>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</si>
  <si>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</si>
  <si>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</si>
  <si>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</si>
  <si>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</si>
  <si>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</si>
  <si>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</si>
  <si>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</si>
  <si>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</si>
  <si>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</si>
  <si>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</si>
  <si>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</si>
  <si>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</si>
  <si>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</si>
  <si>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</si>
  <si>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</si>
  <si>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</si>
  <si>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</si>
  <si>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</si>
  <si>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</si>
  <si>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</si>
  <si>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</si>
  <si>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</si>
  <si>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</si>
  <si>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</si>
  <si>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</si>
  <si>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</si>
  <si>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</si>
  <si>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</si>
  <si>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</si>
  <si>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</si>
  <si>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</si>
  <si>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</si>
  <si>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</si>
  <si>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</si>
  <si>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</si>
  <si>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</si>
  <si>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</si>
  <si>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</si>
  <si>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</si>
  <si>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</si>
  <si>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</si>
  <si>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</si>
  <si>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</si>
  <si>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</si>
  <si>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</si>
  <si>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</si>
  <si>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</si>
  <si>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</si>
  <si>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</si>
  <si>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</si>
  <si>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</si>
  <si>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</si>
  <si>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</si>
  <si>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</si>
  <si>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</si>
  <si>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</si>
  <si>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</si>
  <si>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</si>
  <si>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</si>
  <si>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</si>
  <si>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</si>
  <si>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</si>
  <si>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</si>
  <si>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</si>
  <si>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</si>
  <si>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</si>
  <si>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</si>
  <si>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</si>
  <si>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</si>
  <si>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</si>
  <si>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</si>
  <si>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</si>
  <si>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</si>
  <si>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</si>
  <si>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</si>
  <si>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</si>
  <si>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</si>
  <si>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</si>
  <si>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</si>
  <si>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</si>
  <si>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</si>
  <si>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</si>
  <si>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</si>
  <si>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</si>
  <si>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</si>
  <si>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</si>
  <si>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</si>
  <si>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</si>
  <si>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</si>
  <si>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</si>
  <si>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</si>
  <si>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</si>
  <si>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</si>
  <si>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</si>
  <si>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</si>
  <si>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</si>
  <si>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</si>
  <si>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</si>
  <si>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</si>
  <si>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</si>
  <si>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</si>
  <si>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</si>
  <si>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</si>
  <si>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</si>
  <si>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</si>
  <si>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</si>
  <si>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</si>
  <si>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</si>
  <si>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</si>
  <si>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</si>
  <si>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</si>
  <si>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</si>
  <si>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</si>
  <si>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</si>
  <si>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</si>
  <si>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</si>
  <si>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</si>
  <si>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</si>
  <si>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</si>
  <si>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</si>
  <si>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</si>
  <si>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</si>
  <si>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</si>
  <si>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</si>
  <si>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</si>
  <si>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</si>
  <si>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</si>
  <si>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</si>
  <si>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</si>
  <si>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</si>
  <si>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</si>
  <si>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</si>
  <si>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</si>
  <si>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</si>
  <si>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</si>
  <si>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</si>
  <si>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</si>
  <si>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</si>
  <si>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</si>
  <si>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</si>
  <si>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</si>
  <si>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</si>
  <si>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</si>
  <si>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</si>
  <si>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</si>
  <si>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</si>
  <si>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</si>
  <si>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</si>
  <si>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</si>
  <si>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</si>
  <si>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</si>
  <si>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</si>
  <si>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</si>
  <si>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</si>
  <si>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</si>
  <si>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</si>
  <si>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</si>
  <si>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</si>
  <si>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</si>
  <si>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</si>
  <si>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</si>
  <si>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</si>
  <si>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</si>
  <si>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</si>
  <si>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</si>
  <si>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</si>
  <si>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</si>
  <si>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</si>
  <si>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</si>
  <si>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</si>
  <si>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</si>
  <si>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</si>
  <si>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</si>
  <si>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</si>
  <si>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</si>
  <si>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</si>
  <si>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</si>
  <si>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</si>
  <si>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</si>
  <si>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</si>
  <si>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</si>
  <si>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</si>
  <si>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</si>
  <si>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</si>
  <si>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</si>
  <si>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</si>
  <si>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</si>
  <si>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</si>
  <si>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</si>
  <si>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</si>
  <si>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</si>
  <si>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</si>
  <si>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</si>
  <si>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</si>
  <si>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</si>
  <si>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</si>
  <si>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</si>
  <si>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</si>
  <si>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</si>
  <si>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</si>
  <si>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</si>
  <si>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</si>
  <si>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</si>
  <si>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</si>
  <si>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</si>
  <si>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</si>
  <si>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</si>
  <si>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</si>
  <si>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</si>
  <si>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</si>
  <si>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</si>
  <si>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</si>
  <si>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</si>
  <si>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</si>
  <si>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</si>
  <si>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</si>
  <si>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</si>
  <si>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</si>
  <si>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</si>
  <si>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</si>
  <si>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</si>
  <si>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</si>
  <si>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</si>
  <si>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</si>
  <si>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</si>
  <si>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</si>
  <si>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</si>
  <si>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</si>
  <si>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</si>
  <si>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</si>
  <si>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</si>
  <si>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</si>
  <si>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</si>
  <si>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</si>
  <si>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</si>
  <si>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</si>
  <si>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</si>
  <si>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</si>
  <si>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</si>
  <si>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</si>
  <si>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</si>
  <si>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</si>
  <si>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</si>
  <si>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</si>
  <si>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</si>
  <si>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</si>
  <si>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</si>
  <si>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</si>
  <si>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</si>
  <si>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</si>
  <si>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</si>
  <si>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</si>
  <si>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</si>
  <si>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</si>
  <si>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</si>
  <si>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</si>
  <si>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</si>
  <si>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</si>
  <si>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</si>
  <si>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</si>
  <si>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</si>
  <si>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</si>
  <si>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</si>
  <si>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</si>
  <si>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</si>
  <si>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</si>
  <si>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</si>
  <si>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</si>
  <si>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</si>
  <si>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</si>
  <si>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</si>
  <si>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</si>
  <si>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</si>
  <si>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</si>
  <si>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</si>
  <si>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</si>
  <si>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</si>
  <si>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</si>
  <si>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</si>
  <si>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</si>
  <si>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</si>
  <si>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</si>
  <si>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</si>
  <si>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</si>
  <si>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</si>
  <si>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</si>
  <si>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</si>
  <si>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</si>
  <si>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</si>
  <si>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</si>
  <si>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</si>
  <si>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</si>
  <si>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</si>
  <si>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</si>
  <si>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</si>
  <si>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</si>
  <si>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</si>
  <si>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</si>
  <si>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</si>
  <si>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</si>
  <si>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</si>
  <si>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</si>
  <si>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</si>
  <si>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</si>
  <si>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</si>
  <si>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</si>
  <si>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</si>
  <si>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</si>
  <si>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</si>
  <si>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</si>
  <si>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</si>
  <si>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</si>
  <si>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</si>
  <si>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</si>
  <si>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</si>
  <si>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</si>
  <si>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</si>
  <si>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</si>
  <si>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</si>
  <si>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</si>
  <si>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</si>
  <si>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</si>
  <si>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</si>
  <si>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</si>
  <si>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</si>
  <si>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</si>
  <si>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</si>
  <si>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</si>
  <si>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</si>
  <si>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</si>
  <si>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</si>
  <si>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</si>
  <si>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</si>
  <si>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</si>
  <si>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</si>
  <si>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</si>
  <si>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</si>
  <si>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</si>
  <si>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</si>
  <si>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</si>
  <si>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</si>
  <si>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</si>
  <si>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</si>
  <si>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</si>
  <si>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</si>
  <si>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</si>
  <si>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</si>
  <si>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</si>
  <si>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</si>
  <si>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</si>
  <si>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</si>
  <si>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</si>
  <si>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</si>
  <si>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</si>
  <si>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</si>
  <si>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</si>
  <si>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</si>
  <si>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</si>
  <si>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</si>
  <si>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</si>
  <si>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</si>
  <si>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</si>
  <si>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</si>
  <si>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</si>
  <si>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</si>
  <si>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</si>
  <si>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</si>
  <si>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</si>
  <si>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</si>
  <si>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</si>
  <si>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</si>
  <si>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</si>
  <si>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</si>
  <si>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</si>
  <si>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</si>
  <si>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</si>
  <si>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</si>
  <si>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</si>
  <si>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</si>
  <si>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</si>
  <si>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</si>
  <si>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</si>
  <si>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</si>
  <si>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</si>
  <si>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</si>
  <si>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</si>
  <si>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</si>
  <si>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</si>
  <si>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</si>
  <si>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</si>
  <si>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</si>
  <si>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</si>
  <si>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</si>
  <si>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</si>
  <si>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</si>
  <si>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</si>
  <si>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</si>
  <si>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</si>
  <si>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</si>
  <si>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</si>
  <si>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</si>
  <si>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</si>
  <si>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</si>
  <si>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</si>
  <si>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</si>
  <si>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</si>
  <si>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</si>
  <si>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</si>
  <si>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</si>
  <si>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</si>
  <si>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</si>
  <si>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</si>
  <si>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</si>
  <si>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</si>
  <si>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</si>
  <si>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</si>
  <si>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</si>
  <si>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</si>
  <si>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</si>
  <si>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</si>
  <si>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</si>
  <si>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</si>
  <si>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</si>
  <si>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</si>
  <si>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</si>
  <si>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</si>
  <si>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</si>
  <si>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</si>
  <si>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</si>
  <si>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</si>
  <si>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</si>
  <si>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</si>
  <si>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</si>
  <si>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</si>
  <si>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</si>
  <si>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</si>
  <si>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</si>
  <si>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</si>
  <si>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</si>
  <si>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</si>
  <si>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</si>
  <si>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</si>
  <si>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</si>
  <si>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</si>
  <si>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</si>
  <si>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</si>
  <si>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</si>
  <si>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</si>
  <si>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</si>
  <si>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</si>
  <si>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</si>
  <si>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</si>
  <si>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</si>
  <si>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</si>
  <si>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</si>
  <si>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</si>
  <si>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</si>
  <si>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</si>
  <si>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</si>
  <si>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</si>
  <si>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</si>
  <si>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</si>
  <si>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</si>
  <si>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</si>
  <si>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</si>
  <si>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</si>
  <si>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</si>
  <si>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</si>
  <si>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</si>
  <si>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</si>
  <si>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</si>
  <si>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</si>
  <si>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</si>
  <si>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</si>
  <si>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</si>
  <si>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</si>
  <si>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</si>
  <si>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</si>
  <si>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</si>
  <si>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</si>
  <si>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</si>
  <si>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</si>
  <si>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</si>
  <si>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</si>
  <si>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</si>
  <si>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</si>
  <si>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</si>
  <si>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</si>
  <si>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</si>
  <si>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</si>
  <si>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</si>
  <si>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</si>
  <si>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</si>
  <si>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</si>
  <si>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</si>
  <si>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</si>
  <si>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</si>
  <si>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</si>
  <si>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</si>
  <si>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</si>
  <si>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</si>
  <si>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</si>
  <si>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</si>
  <si>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</si>
  <si>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</si>
  <si>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</si>
  <si>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</si>
  <si>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</si>
  <si>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</si>
  <si>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</si>
  <si>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</si>
  <si>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</si>
  <si>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</si>
  <si>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</si>
  <si>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</si>
  <si>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</si>
  <si>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</si>
  <si>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</si>
  <si>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</si>
  <si>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</si>
  <si>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</si>
  <si>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</si>
  <si>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</si>
  <si>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</si>
  <si>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</si>
  <si>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</si>
  <si>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</si>
  <si>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</si>
  <si>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</si>
  <si>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</si>
  <si>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</si>
  <si>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</si>
  <si>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</si>
  <si>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</si>
  <si>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</si>
  <si>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</si>
  <si>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</si>
  <si>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</si>
  <si>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</si>
  <si>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</si>
  <si>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</si>
  <si>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</si>
  <si>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</si>
  <si>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</si>
  <si>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</si>
  <si>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</si>
  <si>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</si>
  <si>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</si>
  <si>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</si>
  <si>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</si>
  <si>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</si>
  <si>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</si>
  <si>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</si>
  <si>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</si>
  <si>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</si>
  <si>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</si>
  <si>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</si>
  <si>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</si>
  <si>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</si>
  <si>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</si>
  <si>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</si>
  <si>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</si>
  <si>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</si>
  <si>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</si>
  <si>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</si>
  <si>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</si>
  <si>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</si>
  <si>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</si>
  <si>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</si>
  <si>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</si>
  <si>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</si>
  <si>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</si>
  <si>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</si>
  <si>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</si>
  <si>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</si>
  <si>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</si>
  <si>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</si>
  <si>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</si>
  <si>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</si>
  <si>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</si>
  <si>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</si>
  <si>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</si>
  <si>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</si>
  <si>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</si>
  <si>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</si>
  <si>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</si>
  <si>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</si>
  <si>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</si>
  <si>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</si>
  <si>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</si>
  <si>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</si>
  <si>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</si>
  <si>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</si>
  <si>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</si>
  <si>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</si>
  <si>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</si>
  <si>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</si>
  <si>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</si>
  <si>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</si>
  <si>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</si>
  <si>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</si>
  <si>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</si>
  <si>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</si>
  <si>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</si>
  <si>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</si>
  <si>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</si>
  <si>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</si>
  <si>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</si>
  <si>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</si>
  <si>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</si>
  <si>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</si>
  <si>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</si>
  <si>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</si>
  <si>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</si>
  <si>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</si>
  <si>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</si>
  <si>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</si>
  <si>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</si>
  <si>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</si>
  <si>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</si>
  <si>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</si>
  <si>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</si>
  <si>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</si>
  <si>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</si>
  <si>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</si>
  <si>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</si>
  <si>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</si>
  <si>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</si>
  <si>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</si>
  <si>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</si>
  <si>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</si>
  <si>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</si>
  <si>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</si>
  <si>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</si>
  <si>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</si>
  <si>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</si>
  <si>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</si>
  <si>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</si>
  <si>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</si>
  <si>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</si>
  <si>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</si>
  <si>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</si>
  <si>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</si>
  <si>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</si>
  <si>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</si>
  <si>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</si>
  <si>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</si>
  <si>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</si>
  <si>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</si>
  <si>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</si>
  <si>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</si>
  <si>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</si>
  <si>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</si>
  <si>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</si>
  <si>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</si>
  <si>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</si>
  <si>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</si>
  <si>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</si>
  <si>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</si>
  <si>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</si>
  <si>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</si>
  <si>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</si>
  <si>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</si>
  <si>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</si>
  <si>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</si>
  <si>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</si>
  <si>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</si>
  <si>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</si>
  <si>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</si>
  <si>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</si>
  <si>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</si>
  <si>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</si>
  <si>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</si>
  <si>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</si>
  <si>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</si>
  <si>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</si>
  <si>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</si>
  <si>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</si>
  <si>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</si>
  <si>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</si>
  <si>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</si>
  <si>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</si>
  <si>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</si>
  <si>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</si>
  <si>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</si>
  <si>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</si>
  <si>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</si>
  <si>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</si>
  <si>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</si>
  <si>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</si>
  <si>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</si>
  <si>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</si>
  <si>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</si>
  <si>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</si>
  <si>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</si>
  <si>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</si>
  <si>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</si>
  <si>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</si>
  <si>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</si>
  <si>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</si>
  <si>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</si>
  <si>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</si>
  <si>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</si>
  <si>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</si>
  <si>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</si>
  <si>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</si>
  <si>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</si>
  <si>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</si>
  <si>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</si>
  <si>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</si>
  <si>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</si>
  <si>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</si>
  <si>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</si>
  <si>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</si>
  <si>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</si>
  <si>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</si>
  <si>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</si>
  <si>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</si>
  <si>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</si>
  <si>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</si>
  <si>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</si>
  <si>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</si>
  <si>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</si>
  <si>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</si>
  <si>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</si>
  <si>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</si>
  <si>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</si>
  <si>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</si>
  <si>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</si>
  <si>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</si>
  <si>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</si>
  <si>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</si>
  <si>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</si>
  <si>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</si>
  <si>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</si>
  <si>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</si>
  <si>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</si>
  <si>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</si>
  <si>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</si>
  <si>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</si>
  <si>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</si>
  <si>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</si>
  <si>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</si>
  <si>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</si>
  <si>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</si>
  <si>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</si>
  <si>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</si>
  <si>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</si>
  <si>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</si>
  <si>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</si>
  <si>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</si>
  <si>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</si>
  <si>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</si>
  <si>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</si>
  <si>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</si>
  <si>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</si>
  <si>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</si>
  <si>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</si>
  <si>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</si>
  <si>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</si>
  <si>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</si>
  <si>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</si>
  <si>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</si>
  <si>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</si>
  <si>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</si>
  <si>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</si>
  <si>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</si>
  <si>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</si>
  <si>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</si>
  <si>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</si>
  <si>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</si>
  <si>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</si>
  <si>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</si>
  <si>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</si>
  <si>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</si>
  <si>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</si>
  <si>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</si>
  <si>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</si>
  <si>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</si>
  <si>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</si>
  <si>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</si>
  <si>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</si>
  <si>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</si>
  <si>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</si>
  <si>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</si>
  <si>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</si>
  <si>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</si>
  <si>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</si>
  <si>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</si>
  <si>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</si>
  <si>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</si>
  <si>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</si>
  <si>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</si>
  <si>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</si>
  <si>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</si>
  <si>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</si>
  <si>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</si>
  <si>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</si>
  <si>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</si>
  <si>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</si>
  <si>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</si>
  <si>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</si>
  <si>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</si>
  <si>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</si>
  <si>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</si>
  <si>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</si>
  <si>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</si>
  <si>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</si>
  <si>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</si>
  <si>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</si>
  <si>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</si>
  <si>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</si>
  <si>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</si>
  <si>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</si>
  <si>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</si>
  <si>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</si>
  <si>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</si>
  <si>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</si>
  <si>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</si>
  <si>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</si>
  <si>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</si>
  <si>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</si>
  <si>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</si>
  <si>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</si>
  <si>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</si>
  <si>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</si>
  <si>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</si>
  <si>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</si>
  <si>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</si>
  <si>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</si>
  <si>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</si>
  <si>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</si>
  <si>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</si>
  <si>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</si>
  <si>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</si>
  <si>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</si>
  <si>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</si>
  <si>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</si>
  <si>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</si>
  <si>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</si>
  <si>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</si>
  <si>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</si>
  <si>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</si>
  <si>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</si>
  <si>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</si>
  <si>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</si>
  <si>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</si>
  <si>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</si>
  <si>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</si>
  <si>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</si>
  <si>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</si>
  <si>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</si>
  <si>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</si>
  <si>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</si>
  <si>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</si>
  <si>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</si>
  <si>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</si>
  <si>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</si>
  <si>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</si>
  <si>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</si>
  <si>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</si>
  <si>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</si>
  <si>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</si>
  <si>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</si>
  <si>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</si>
  <si>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</si>
  <si>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</si>
  <si>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</si>
  <si>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</si>
  <si>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</si>
  <si>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</si>
  <si>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</si>
  <si>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</si>
  <si>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</si>
  <si>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</si>
  <si>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</si>
  <si>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</si>
  <si>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</si>
  <si>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</si>
  <si>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</si>
  <si>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</si>
  <si>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</si>
  <si>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</si>
  <si>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</si>
  <si>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</si>
  <si>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</si>
  <si>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</si>
  <si>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</si>
  <si>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</si>
  <si>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</si>
  <si>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</si>
  <si>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</si>
  <si>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</si>
  <si>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2nd</t>
  </si>
  <si>
    <t>1st</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</si>
  <si>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</si>
  <si>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</si>
  <si>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</si>
  <si>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</si>
  <si>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</si>
  <si>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</si>
  <si>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</si>
  <si>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</si>
  <si>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</si>
  <si>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</si>
  <si>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</si>
  <si>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</si>
  <si>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</si>
  <si>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</si>
  <si>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</si>
  <si>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</si>
  <si>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</si>
  <si>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</si>
  <si>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</si>
  <si>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</si>
  <si>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</si>
  <si>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</si>
  <si>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</si>
  <si>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</si>
  <si>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</si>
  <si>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</si>
  <si>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</si>
  <si>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</si>
  <si>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</si>
  <si>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</si>
  <si>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</si>
  <si>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</si>
  <si>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</si>
  <si>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</si>
  <si>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</si>
  <si>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</si>
  <si>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</si>
  <si>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</si>
  <si>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</si>
  <si>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</si>
  <si>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</si>
  <si>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</si>
  <si>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</si>
  <si>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</si>
  <si>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</si>
  <si>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</si>
  <si>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</si>
  <si>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</si>
  <si>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</si>
  <si>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</si>
  <si>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</si>
  <si>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</si>
  <si>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</si>
  <si>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</si>
  <si>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</si>
  <si>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</si>
  <si>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</si>
  <si>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</si>
  <si>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</si>
  <si>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</si>
  <si>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</si>
  <si>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</si>
  <si>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</si>
  <si>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</si>
  <si>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</si>
  <si>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</si>
  <si>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</si>
  <si>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</si>
  <si>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</si>
  <si>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</si>
  <si>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</si>
  <si>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</si>
  <si>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</si>
  <si>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</si>
  <si>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</si>
  <si>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</si>
  <si>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</si>
  <si>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</si>
  <si>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</si>
  <si>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</si>
  <si>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</si>
  <si>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</si>
  <si>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</si>
  <si>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</si>
  <si>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</si>
  <si>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</si>
  <si>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</si>
  <si>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</si>
  <si>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</si>
  <si>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</si>
  <si>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</si>
  <si>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</si>
  <si>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</si>
  <si>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</si>
  <si>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</si>
  <si>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</si>
  <si>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</si>
  <si>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</si>
  <si>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</si>
  <si>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</si>
  <si>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</si>
  <si>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</si>
  <si>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</si>
  <si>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</si>
  <si>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</si>
  <si>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</si>
  <si>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</si>
  <si>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</si>
  <si>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</si>
  <si>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</si>
  <si>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</si>
  <si>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</si>
  <si>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</si>
  <si>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</si>
  <si>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</si>
  <si>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</si>
  <si>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</si>
  <si>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</si>
  <si>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</si>
  <si>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</si>
  <si>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</si>
  <si>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</si>
  <si>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</si>
  <si>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</si>
  <si>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</si>
  <si>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</si>
  <si>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</si>
  <si>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</si>
  <si>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</si>
  <si>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</si>
  <si>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</si>
  <si>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</si>
  <si>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</si>
  <si>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</si>
  <si>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</si>
  <si>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</si>
  <si>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</si>
  <si>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</si>
  <si>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</si>
  <si>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</si>
  <si>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</si>
  <si>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</si>
  <si>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</si>
  <si>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</si>
  <si>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</si>
  <si>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</si>
  <si>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</si>
  <si>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</si>
  <si>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</si>
  <si>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</si>
  <si>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</si>
  <si>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</si>
  <si>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</si>
  <si>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</si>
  <si>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</si>
  <si>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</si>
  <si>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</si>
  <si>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</si>
  <si>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</si>
  <si>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</si>
  <si>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</si>
  <si>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</si>
  <si>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</si>
  <si>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</si>
  <si>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</si>
  <si>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</si>
  <si>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</si>
  <si>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</si>
  <si>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</si>
  <si>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</si>
  <si>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</si>
  <si>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</si>
  <si>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</si>
  <si>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</si>
  <si>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</si>
  <si>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</si>
  <si>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</si>
  <si>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</si>
  <si>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</si>
  <si>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</si>
  <si>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</si>
  <si>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</si>
  <si>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</si>
  <si>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</si>
  <si>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</si>
  <si>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</si>
  <si>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</si>
  <si>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</si>
  <si>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</si>
  <si>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</si>
  <si>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Eden Housing, Inc.</t>
  </si>
  <si>
    <t>Owls Landing Apartments</t>
  </si>
  <si>
    <t>842-898 Herman Avenue</t>
  </si>
  <si>
    <t>Livermore</t>
  </si>
  <si>
    <t>99B-5353-85</t>
  </si>
  <si>
    <t>40%/60%</t>
  </si>
  <si>
    <t>22645 Grand Street</t>
  </si>
  <si>
    <t>Hayward</t>
  </si>
  <si>
    <t>CA</t>
  </si>
  <si>
    <t>Andrea Osgood</t>
  </si>
  <si>
    <t>510-247-8103</t>
  </si>
  <si>
    <t>aosgood@edenhousing.org</t>
  </si>
  <si>
    <t>Owls Landing LLC</t>
  </si>
  <si>
    <t>Managing GP</t>
  </si>
  <si>
    <t>Chief of Real Estate Development and Executive Vice President</t>
  </si>
  <si>
    <t>Hayward, CA, 94541</t>
  </si>
  <si>
    <t>Gubb &amp; Barshay LLP</t>
  </si>
  <si>
    <t>235 Montgomery St. #1110</t>
  </si>
  <si>
    <t>San Francisco, CA, 94104</t>
  </si>
  <si>
    <t>Evan Gross</t>
  </si>
  <si>
    <t>415-781-6600</t>
  </si>
  <si>
    <t>egross@gubbandbarshay.com</t>
  </si>
  <si>
    <t>621 Capital Mall Suite 2150</t>
  </si>
  <si>
    <t>Brian Brewer, CPA</t>
  </si>
  <si>
    <t>916-930-5758</t>
  </si>
  <si>
    <t>916-442-9103</t>
  </si>
  <si>
    <t>brian.brewer@cohnreznick.com</t>
  </si>
  <si>
    <t>Cohn Reznick</t>
  </si>
  <si>
    <t>California Housing Partnership Corporation</t>
  </si>
  <si>
    <t>49 Stevenson Street, Suite 500</t>
  </si>
  <si>
    <t>San Francisco, CA, 94105</t>
  </si>
  <si>
    <t>Sacramento, CA, 95814</t>
  </si>
  <si>
    <t>Thai-An Ngo</t>
  </si>
  <si>
    <t>415-715-7867</t>
  </si>
  <si>
    <t>tngo@chpc.net</t>
  </si>
  <si>
    <t>James G. Palmer Appraisals, INC.</t>
  </si>
  <si>
    <t>3160 Crow Canyon Place, Suite 245</t>
  </si>
  <si>
    <t>San Ramon, CA 94583</t>
  </si>
  <si>
    <t>Gregg J. Palmer</t>
  </si>
  <si>
    <t>925-327-1660</t>
  </si>
  <si>
    <t>408-279-3428</t>
  </si>
  <si>
    <t>gregg@jgpinc.com</t>
  </si>
  <si>
    <t>California Housing Financing Agency</t>
  </si>
  <si>
    <t>500 Capitol Mall Suite 1400</t>
  </si>
  <si>
    <t>Ashley Caroll</t>
  </si>
  <si>
    <t>916-326-8810</t>
  </si>
  <si>
    <t>acaroll@CalHFA.ca.gov</t>
  </si>
  <si>
    <t>Gelfand Partners Architects</t>
  </si>
  <si>
    <t>165 10th St. Suite 100</t>
  </si>
  <si>
    <t>San Francisco CA, 94103</t>
  </si>
  <si>
    <t>Austen Diliberto</t>
  </si>
  <si>
    <t>510-866-6655</t>
  </si>
  <si>
    <t>austen@gelfand-partners.com</t>
  </si>
  <si>
    <t>TBD</t>
  </si>
  <si>
    <t>Laurin Associates</t>
  </si>
  <si>
    <t>1501 Sports Drive, Suite A</t>
  </si>
  <si>
    <t>Sacramento, CA 95834</t>
  </si>
  <si>
    <t>Stefanie Williams</t>
  </si>
  <si>
    <t>916-372-6100</t>
  </si>
  <si>
    <t>swilliams@laurinassociates.com</t>
  </si>
  <si>
    <t>Bureau Veritas</t>
  </si>
  <si>
    <t>10461 Mill Run Circle, Suite 1100</t>
  </si>
  <si>
    <t>Owings Mills, Maryland 21117</t>
  </si>
  <si>
    <t>Mark Surdam</t>
  </si>
  <si>
    <t>800-733-0660</t>
  </si>
  <si>
    <t>mark.surdam@bureauveritas.com</t>
  </si>
  <si>
    <t>Eden Housing Management, Inc.</t>
  </si>
  <si>
    <t>Darnell Williams</t>
  </si>
  <si>
    <t>510-247-8120</t>
  </si>
  <si>
    <t>darnell.williams@edenhousing.org</t>
  </si>
  <si>
    <t>Appraisal</t>
  </si>
  <si>
    <t>25 yrs</t>
  </si>
  <si>
    <t>2 &amp; 3</t>
  </si>
  <si>
    <t>One-bedroom flats, two-bedroom flats, three-bedroom flats and townhouses</t>
  </si>
  <si>
    <t>Livermore Housing Associates, A California Limited Partnership</t>
  </si>
  <si>
    <t>22645 Grand Street, Hayward, CA 94541</t>
  </si>
  <si>
    <t>Secured by Fee Interest</t>
  </si>
  <si>
    <t>Other (Specify below)</t>
  </si>
  <si>
    <t>Six buildings in total: five residential buildings (two to three stories each) and one single-story community building.</t>
  </si>
  <si>
    <t>Urban High Residential (UH-2)</t>
  </si>
  <si>
    <t>PUD 107</t>
  </si>
  <si>
    <t>City Manager</t>
  </si>
  <si>
    <t>(925)-960-4040</t>
  </si>
  <si>
    <t>Marianna A. Burch</t>
  </si>
  <si>
    <t>925-960-4104</t>
  </si>
  <si>
    <t>City of Livermore</t>
  </si>
  <si>
    <t>citymanager@livermoreca.gov</t>
  </si>
  <si>
    <t>Livermore, CA</t>
  </si>
  <si>
    <t>1052 S. Livermore Avenue</t>
  </si>
  <si>
    <t>CalHFA</t>
  </si>
  <si>
    <t>Air Conditioning</t>
  </si>
  <si>
    <t>Office, telephone/answer, supplies</t>
  </si>
  <si>
    <t>Misc. Taxes Licenses &amp; Permits</t>
  </si>
  <si>
    <t>4th</t>
  </si>
  <si>
    <t>Eden Housing Resident Services, Inc.</t>
  </si>
  <si>
    <t>Livermore Housing Associates</t>
  </si>
  <si>
    <t>Owls Landing, L.P.</t>
  </si>
  <si>
    <t>Owls Landing LLC (Eden Housing, Inc.)</t>
  </si>
  <si>
    <t>Costs Deferred Until Conversion</t>
  </si>
  <si>
    <t>Accrued/Deferred Interest</t>
  </si>
  <si>
    <t>LP Equity</t>
  </si>
  <si>
    <t>Construction Loan</t>
  </si>
  <si>
    <t xml:space="preserve">510-247-8103 </t>
  </si>
  <si>
    <t>Seller Financing</t>
  </si>
  <si>
    <t>Developer Financing</t>
  </si>
  <si>
    <t>Recontributed Reserves</t>
  </si>
  <si>
    <t>1052 S Livermore Ave</t>
  </si>
  <si>
    <t>Frances Reisner</t>
  </si>
  <si>
    <t>925-960-4580</t>
  </si>
  <si>
    <t>Deferred Payment Loan</t>
  </si>
  <si>
    <t>500 Capitol Mall, Ste. 1400</t>
  </si>
  <si>
    <t>Kate Ferguson</t>
  </si>
  <si>
    <t>916-326-8800</t>
  </si>
  <si>
    <t>Income from Operations</t>
  </si>
  <si>
    <t>Permanent Loan</t>
  </si>
  <si>
    <t>GP Financing</t>
  </si>
  <si>
    <t>Housing Authority of the City of Livermore</t>
  </si>
  <si>
    <t>Provided</t>
  </si>
  <si>
    <t>Not Applicable</t>
  </si>
  <si>
    <t>n/a</t>
  </si>
  <si>
    <t>Seller Carryback Loan</t>
  </si>
  <si>
    <t>Assumed City of Livermore Loan</t>
  </si>
  <si>
    <t>Assumed City of Livermore</t>
  </si>
  <si>
    <t>Assumed CalHFA School Facility Fees Loan</t>
  </si>
  <si>
    <t>CDLAC Tax-Exempt Perm Loan</t>
  </si>
  <si>
    <t>Please refer to tab 24-A2 Services MOU_OLA - signed.pdf pages 1 and 2 for a full list of services</t>
  </si>
  <si>
    <t>GMP</t>
  </si>
  <si>
    <t>The Applicant intends to select a contractor that is experienced with occupied rehabilitation projects and enter into a GMP contract at a later date.</t>
  </si>
  <si>
    <t>Office Salaries, Payroll Taxes, Benefits, Workmen's Comp</t>
  </si>
  <si>
    <t>HVAC, Plumbing, Janitor &amp; Cleaning, Supplies</t>
  </si>
  <si>
    <t>Assumed CalHFA Loan</t>
  </si>
  <si>
    <t>Eden Housing, Inc., the developer/sponsor, an affiliate of Baywood Apartments, Inc., is the current general partner of Livermore Housing Associates, the Limited Partnership that currently owns Owl Landing, which will be the seller of the property and is affiliated with Eden Housing, Inc. Owls Landing, L.P. (the Buyer) is controlled by Owls Landing LLC, whose manager is Eden Investments, Inc., an affiliate of Eden Housing, Inc. The last arms-length transaction took place more than 10 years before the application date.</t>
  </si>
  <si>
    <t>Recycled Bonds - Construction Only</t>
  </si>
  <si>
    <t>GP Capital: Acq Reserves</t>
  </si>
  <si>
    <t>Variable</t>
  </si>
  <si>
    <t>Fixed</t>
  </si>
  <si>
    <t>City of Livermore (assumed)</t>
  </si>
  <si>
    <t>CHFA School Facility Fees Loan (assumed)</t>
  </si>
  <si>
    <t>Other: Special Inspections</t>
  </si>
  <si>
    <t>Other: Owner Legal</t>
  </si>
  <si>
    <t>Other: Owner Replacement Reserves</t>
  </si>
  <si>
    <t>Other: Lender Expenses</t>
  </si>
  <si>
    <t>Construction Closing</t>
  </si>
  <si>
    <t>Cash</t>
  </si>
  <si>
    <t>Conversion</t>
  </si>
  <si>
    <t>Form 8609</t>
  </si>
  <si>
    <t>There is no Co-Sponsor/Developer.</t>
  </si>
  <si>
    <t>Peralta Energy LLC</t>
  </si>
  <si>
    <t>4180 Emerald St</t>
  </si>
  <si>
    <t>Oakland, CA 94609</t>
  </si>
  <si>
    <t>Ben Thompson</t>
  </si>
  <si>
    <t>510-459-0827</t>
  </si>
  <si>
    <t>info@PeraltaEnergy.com</t>
  </si>
  <si>
    <t>25% CDs</t>
  </si>
  <si>
    <t>560 Mission Street, 3rd Floor</t>
  </si>
  <si>
    <t>James Vossoughi</t>
  </si>
  <si>
    <t>415-315-6708</t>
  </si>
  <si>
    <t>JP Morgan TE Perm Loan</t>
  </si>
  <si>
    <t>Trustee/Issuer Fee</t>
  </si>
  <si>
    <t>Chase TE Construction Loan</t>
  </si>
  <si>
    <t>Chase Taxable Construction Loan</t>
  </si>
  <si>
    <t>Chase Recycled Bond Loan</t>
  </si>
  <si>
    <t>Owls Landing LLC (controlled by Eden Investments, Inc., whose parent company is Eden Housing,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</si>
</sst>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0" fontId="103" fillId="45" borderId="93" xfId="8733" applyFont="1" applyFill="1" applyBorder="1"/>
    <xf numFmtId="0" fontId="103" fillId="45" borderId="6" xfId="8733" applyFont="1" applyFill="1" applyBorder="1"/>
    <xf numFmtId="0" fontId="103" fillId="45" borderId="10" xfId="8733" applyFont="1" applyFill="1" applyBorder="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0" fontId="170" fillId="0" borderId="0" xfId="8733" applyFont="1"/>
    <xf numFmtId="0" fontId="167" fillId="0" borderId="0" xfId="8733" applyFont="1"/>
    <xf numFmtId="185" fontId="170" fillId="0" borderId="0" xfId="698" applyNumberFormat="1" applyFont="1"/>
    <xf numFmtId="10" fontId="170" fillId="0" borderId="0" xfId="1022" applyNumberFormat="1" applyFont="1"/>
    <xf numFmtId="168" fontId="54" fillId="55" borderId="11" xfId="0" applyNumberFormat="1" applyFont="1" applyFill="1" applyBorder="1" applyAlignment="1" applyProtection="1">
      <alignment vertical="top" wrapText="1"/>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horizontal="left"/>
    </xf>
    <xf numFmtId="49"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8" fillId="0" borderId="0" xfId="569" applyAlignment="1">
      <alignment horizontal="left"/>
    </xf>
    <xf numFmtId="0" fontId="25" fillId="0" borderId="4" xfId="569" applyFont="1" applyBorder="1" applyAlignment="1">
      <alignment horizontal="left" vertical="top"/>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4" fontId="18" fillId="0" borderId="0" xfId="569" applyNumberFormat="1" applyAlignment="1">
      <alignment horizontal="left" vertical="top" wrapText="1"/>
    </xf>
    <xf numFmtId="0" fontId="25" fillId="0" borderId="4" xfId="569" applyFont="1" applyBorder="1" applyAlignment="1">
      <alignment horizontal="left"/>
    </xf>
    <xf numFmtId="0" fontId="36" fillId="0" borderId="0" xfId="569" applyFont="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0" xfId="1192"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27" xfId="569" applyBorder="1"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0" fillId="0" borderId="6" xfId="0" applyBorder="1" applyAlignment="1">
      <alignment horizontal="left"/>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5"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5" fillId="0" borderId="11" xfId="0" applyFont="1" applyBorder="1" applyAlignment="1">
      <alignment horizontal="center" vertical="center" wrapText="1"/>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0" borderId="3" xfId="0" applyFont="1" applyBorder="1" applyAlignment="1">
      <alignment horizontal="center"/>
    </xf>
    <xf numFmtId="0" fontId="27" fillId="0" borderId="5"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9" xfId="0" applyBorder="1" applyAlignment="1">
      <alignment horizontal="lef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 fontId="27" fillId="5" borderId="11" xfId="0" applyNumberFormat="1" applyFont="1" applyFill="1" applyBorder="1" applyAlignment="1" applyProtection="1">
      <alignment horizontal="center"/>
      <protection locked="0"/>
    </xf>
    <xf numFmtId="0" fontId="25"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5" borderId="11" xfId="0" applyFont="1" applyFill="1" applyBorder="1" applyAlignment="1" applyProtection="1">
      <alignment horizontal="left" wrapText="1"/>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8" fillId="43" borderId="11" xfId="0" applyFont="1" applyFill="1" applyBorder="1" applyAlignment="1" applyProtection="1">
      <alignment horizontal="center"/>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Protection="1">
      <protection locked="0"/>
    </xf>
    <xf numFmtId="0" fontId="27" fillId="0" borderId="3" xfId="0" applyFont="1" applyBorder="1" applyAlignment="1">
      <alignment horizontal="left"/>
    </xf>
    <xf numFmtId="0" fontId="25" fillId="0" borderId="7" xfId="0" applyFont="1" applyBorder="1" applyAlignment="1">
      <alignment horizont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4" fontId="18"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8" fillId="0" borderId="0" xfId="543" applyNumberFormat="1" applyAlignment="1">
      <alignment horizontal="right"/>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9" fontId="18" fillId="0" borderId="0" xfId="543" applyNumberFormat="1" applyAlignment="1">
      <alignment horizontal="center" vertic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7" fillId="0" borderId="0" xfId="0" applyNumberFormat="1" applyFont="1" applyAlignment="1">
      <alignment horizontal="center" vertical="center" wrapText="1"/>
    </xf>
    <xf numFmtId="0" fontId="0" fillId="0" borderId="12" xfId="0"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3" fontId="0" fillId="0" borderId="6" xfId="0" applyNumberFormat="1" applyBorder="1" applyAlignment="1">
      <alignment horizontal="right"/>
    </xf>
    <xf numFmtId="0" fontId="27" fillId="5" borderId="11" xfId="0" applyFont="1" applyFill="1" applyBorder="1" applyAlignment="1" applyProtection="1">
      <alignment horizontal="center"/>
      <protection locked="0"/>
    </xf>
    <xf numFmtId="10" fontId="27" fillId="0" borderId="11" xfId="0" applyNumberFormat="1"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18"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 fontId="18" fillId="5" borderId="4" xfId="0" applyNumberFormat="1" applyFon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0" borderId="5" xfId="0" applyBorder="1" applyAlignment="1">
      <alignment horizontal="left"/>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5" fillId="0" borderId="10" xfId="0" applyFont="1" applyBorder="1" applyAlignment="1">
      <alignment horizontal="center"/>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8" fillId="5" borderId="11" xfId="0" applyFont="1" applyFill="1" applyBorder="1" applyAlignment="1" applyProtection="1">
      <alignment horizontal="center"/>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0" xfId="8733" applyFont="1" applyFill="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4494"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0" fontId="175" fillId="48" borderId="11"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3" applyFont="1" applyFill="1" applyBorder="1" applyAlignment="1">
      <alignment horizontal="right"/>
    </xf>
    <xf numFmtId="0" fontId="173" fillId="45" borderId="11" xfId="8733"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3" fillId="45" borderId="71" xfId="8733" applyFont="1" applyFill="1" applyBorder="1" applyAlignment="1">
      <alignment horizontal="center"/>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03" fillId="45" borderId="76"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14" fontId="173" fillId="48" borderId="11" xfId="8733" applyNumberFormat="1" applyFont="1" applyFill="1" applyBorder="1" applyAlignment="1" applyProtection="1">
      <alignment horizontal="center"/>
      <protection locked="0"/>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6" fillId="48" borderId="11" xfId="8733" applyFont="1" applyFill="1" applyBorder="1" applyAlignment="1" applyProtection="1">
      <alignment horizontal="left"/>
      <protection locked="0"/>
    </xf>
    <xf numFmtId="14" fontId="175" fillId="48" borderId="11" xfId="8733" applyNumberFormat="1" applyFont="1" applyFill="1" applyBorder="1" applyAlignment="1" applyProtection="1">
      <alignment horizontal="center"/>
      <protection locked="0"/>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7" fillId="45" borderId="67" xfId="8733" applyFont="1" applyFill="1" applyBorder="1" applyAlignment="1">
      <alignment horizontal="center"/>
    </xf>
    <xf numFmtId="0" fontId="166" fillId="45" borderId="11" xfId="8733" applyFont="1" applyFill="1" applyBorder="1" applyAlignment="1">
      <alignment horizontal="center"/>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1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3" fontId="3" fillId="48" borderId="11" xfId="8733" applyNumberFormat="1" applyFill="1" applyBorder="1" applyAlignment="1" applyProtection="1">
      <alignment horizontal="center"/>
      <protection locked="0"/>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1"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0" fontId="174" fillId="45" borderId="72" xfId="8733" applyFont="1" applyFill="1" applyBorder="1" applyAlignment="1">
      <alignment horizontal="center"/>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74" fillId="45" borderId="11" xfId="8733" applyFont="1" applyFill="1" applyBorder="1" applyAlignment="1">
      <alignment horizontal="center" wrapText="1"/>
    </xf>
    <xf numFmtId="0" fontId="166" fillId="45" borderId="76" xfId="8733" applyFont="1" applyFill="1" applyBorder="1" applyAlignment="1">
      <alignment horizontal="center"/>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0" fontId="174" fillId="45" borderId="7"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0" fontId="174" fillId="45" borderId="96" xfId="8733" applyFont="1" applyFill="1" applyBorder="1" applyAlignment="1">
      <alignment horizontal="left"/>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10" fontId="2" fillId="48" borderId="94" xfId="8733" applyNumberFormat="1" applyFont="1" applyFill="1" applyBorder="1" applyAlignment="1" applyProtection="1">
      <alignment horizontal="center"/>
      <protection locked="0"/>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0" fontId="170" fillId="48" borderId="74"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1" fontId="178" fillId="48" borderId="70" xfId="8733" applyNumberFormat="1" applyFont="1" applyFill="1" applyBorder="1" applyAlignment="1" applyProtection="1">
      <alignment horizontal="center"/>
      <protection locked="0"/>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74" fillId="45" borderId="11" xfId="8733" applyFont="1" applyFill="1" applyBorder="1" applyAlignment="1">
      <alignment horizontal="right"/>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168" fontId="175" fillId="44" borderId="11" xfId="8734" applyNumberFormat="1" applyFont="1" applyFill="1" applyBorder="1" applyAlignment="1" applyProtection="1">
      <alignment horizontal="left"/>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6" xfId="4496" applyFont="1" applyFill="1" applyBorder="1" applyAlignment="1" applyProtection="1">
      <alignment horizontal="center"/>
      <protection locked="0"/>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25" fillId="0" borderId="0" xfId="4495" applyFont="1" applyAlignment="1">
      <alignment horizontal="right"/>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0" fontId="25" fillId="0" borderId="0" xfId="4495" applyFont="1" applyAlignment="1">
      <alignment horizontal="center" vertical="top"/>
    </xf>
    <xf numFmtId="0" fontId="18" fillId="5" borderId="6" xfId="4495" applyFont="1" applyFill="1" applyBorder="1" applyAlignment="1" applyProtection="1">
      <alignment horizontal="left"/>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2" xfId="1192" applyNumberFormat="1" applyFill="1" applyBorder="1" applyAlignment="1" applyProtection="1">
      <alignment horizontal="center"/>
      <protection locked="0"/>
    </xf>
    <xf numFmtId="9" fontId="18" fillId="5" borderId="4" xfId="1192" applyNumberFormat="1" applyFill="1" applyBorder="1" applyAlignment="1" applyProtection="1">
      <alignment horizontal="left"/>
      <protection locked="0"/>
    </xf>
    <xf numFmtId="168" fontId="18" fillId="0" borderId="0" xfId="1192" applyNumberFormat="1" applyAlignment="1">
      <alignment horizontal="right"/>
    </xf>
    <xf numFmtId="1" fontId="18"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1"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8" fillId="0" borderId="6" xfId="1192" applyBorder="1" applyAlignment="1">
      <alignment horizontal="right"/>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168" fontId="18" fillId="0" borderId="6" xfId="1192" applyNumberFormat="1" applyBorder="1" applyAlignment="1">
      <alignment horizontal="right"/>
    </xf>
    <xf numFmtId="0" fontId="119" fillId="0" borderId="4" xfId="1192" applyFont="1" applyBorder="1" applyAlignment="1">
      <alignment horizontal="left"/>
    </xf>
    <xf numFmtId="168" fontId="18" fillId="43" borderId="6" xfId="543" applyNumberFormat="1" applyFill="1" applyBorder="1" applyAlignment="1" applyProtection="1">
      <alignment horizontal="center"/>
      <protection locked="0"/>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10" fontId="26" fillId="0" borderId="2" xfId="4495" applyNumberFormat="1" applyFont="1" applyBorder="1" applyAlignment="1">
      <alignment horizontal="center"/>
    </xf>
    <xf numFmtId="4" fontId="26" fillId="0" borderId="0" xfId="4495" applyNumberFormat="1" applyFont="1" applyAlignment="1">
      <alignment horizontal="center"/>
    </xf>
    <xf numFmtId="0" fontId="34" fillId="42" borderId="2" xfId="4495" applyFont="1" applyFill="1" applyBorder="1" applyAlignment="1">
      <alignment horizontal="center"/>
    </xf>
    <xf numFmtId="0" fontId="34" fillId="42" borderId="6" xfId="4495" applyFont="1" applyFill="1" applyBorder="1" applyAlignment="1">
      <alignment horizontal="center"/>
    </xf>
    <xf numFmtId="4" fontId="26" fillId="0" borderId="6" xfId="4495" applyNumberFormat="1" applyFont="1" applyBorder="1" applyAlignment="1">
      <alignment horizontal="center"/>
    </xf>
    <xf numFmtId="168" fontId="18" fillId="0" borderId="4" xfId="1192" applyNumberFormat="1" applyBorder="1" applyAlignment="1">
      <alignment horizontal="right"/>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3" fillId="0" borderId="0" xfId="1192" applyFont="1" applyAlignment="1">
      <alignment horizontal="center"/>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99" fillId="0" borderId="11" xfId="4499" applyNumberFormat="1" applyFont="1" applyFill="1" applyBorder="1" applyAlignment="1" applyProtection="1">
      <alignment horizontal="left" vertical="center" inden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334F1123-D6B7-4EF4-8390-B69ED141011D}"/>
    <cellStyle name="20% - Accent1 11" xfId="8736" xr:uid="{3E5BDC52-785A-4122-B71C-0406D46FEB51}"/>
    <cellStyle name="20% - Accent1 2" xfId="2" xr:uid="{00000000-0005-0000-0000-000002000000}"/>
    <cellStyle name="20% - Accent1 2 10" xfId="8737" xr:uid="{69629A2A-3D06-42AD-A310-44F63DCBB78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38EF9258-5EF4-4BC5-B4E7-832BC6B3954E}"/>
    <cellStyle name="20% - Accent1 2 2 2 2 2 3" xfId="11298" xr:uid="{E29A113E-BD8F-4BC5-BC00-3F9D1BB655F5}"/>
    <cellStyle name="20% - Accent1 2 2 2 2 3" xfId="4921" xr:uid="{00000000-0005-0000-0000-000008000000}"/>
    <cellStyle name="20% - Accent1 2 2 2 2 3 2" xfId="13371" xr:uid="{1010D26F-53DF-414C-BC0F-C3ABBB510D18}"/>
    <cellStyle name="20% - Accent1 2 2 2 2 4" xfId="9153" xr:uid="{ACAF8EB4-1545-4A3C-BD3E-9F9CD03484C5}"/>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1C66C777-104B-4385-B51F-B19C86F64654}"/>
    <cellStyle name="20% - Accent1 2 2 2 3 2 3" xfId="11711" xr:uid="{734307E6-4997-4564-9E02-CFA2DEEDAC8B}"/>
    <cellStyle name="20% - Accent1 2 2 2 3 3" xfId="5334" xr:uid="{00000000-0005-0000-0000-00000C000000}"/>
    <cellStyle name="20% - Accent1 2 2 2 3 3 2" xfId="13784" xr:uid="{675FE27F-5464-4D76-8D00-F2D1CA475E31}"/>
    <cellStyle name="20% - Accent1 2 2 2 3 4" xfId="9566" xr:uid="{E4B67D76-18C5-4D5C-B45C-8D4FC7B87B99}"/>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B592B6C2-268E-421B-A8D2-3D7E8439BC1A}"/>
    <cellStyle name="20% - Accent1 2 2 2 4 2 3" xfId="12124" xr:uid="{3B41F60E-C26B-469B-8FF6-357A11C724F9}"/>
    <cellStyle name="20% - Accent1 2 2 2 4 3" xfId="5747" xr:uid="{00000000-0005-0000-0000-000010000000}"/>
    <cellStyle name="20% - Accent1 2 2 2 4 3 2" xfId="14197" xr:uid="{9621A09D-A965-45CD-A20F-3FA90C984ECD}"/>
    <cellStyle name="20% - Accent1 2 2 2 4 4" xfId="9979" xr:uid="{E363852C-0A39-494A-8E1C-09D0A00A6CE6}"/>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B53FEF8F-8F47-4B2C-8509-2935753B4B50}"/>
    <cellStyle name="20% - Accent1 2 2 2 5 2 3" xfId="12537" xr:uid="{3000B35C-8169-4F84-9F6C-0B23DAEA79E6}"/>
    <cellStyle name="20% - Accent1 2 2 2 5 3" xfId="6160" xr:uid="{00000000-0005-0000-0000-000014000000}"/>
    <cellStyle name="20% - Accent1 2 2 2 5 3 2" xfId="14610" xr:uid="{74A51693-DE1D-42E6-BC78-549726F76D89}"/>
    <cellStyle name="20% - Accent1 2 2 2 5 4" xfId="10392" xr:uid="{00126A51-7F16-427D-A32F-7FFE97EDCF41}"/>
    <cellStyle name="20% - Accent1 2 2 2 6" xfId="2267" xr:uid="{00000000-0005-0000-0000-000015000000}"/>
    <cellStyle name="20% - Accent1 2 2 2 6 2" xfId="6573" xr:uid="{00000000-0005-0000-0000-000016000000}"/>
    <cellStyle name="20% - Accent1 2 2 2 6 2 2" xfId="15023" xr:uid="{968DC094-C8EB-4E64-86A9-02379548DB3C}"/>
    <cellStyle name="20% - Accent1 2 2 2 6 3" xfId="10805" xr:uid="{D9CA2860-AECD-43D9-823D-F5DCC6D08656}"/>
    <cellStyle name="20% - Accent1 2 2 2 7" xfId="4507" xr:uid="{00000000-0005-0000-0000-000017000000}"/>
    <cellStyle name="20% - Accent1 2 2 2 7 2" xfId="12957" xr:uid="{B42B60AF-8827-40BF-BE8D-A1FA3FAF2680}"/>
    <cellStyle name="20% - Accent1 2 2 2 8" xfId="8739" xr:uid="{5FC47FEB-2800-4A5F-A37C-7C0890D5B33A}"/>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C865063D-2DD8-4195-B7BA-F1606B1F6FFF}"/>
    <cellStyle name="20% - Accent1 2 2 3 2 3" xfId="11297" xr:uid="{594565F0-92C7-4A68-840C-D4429F28A9A0}"/>
    <cellStyle name="20% - Accent1 2 2 3 3" xfId="4920" xr:uid="{00000000-0005-0000-0000-00001B000000}"/>
    <cellStyle name="20% - Accent1 2 2 3 3 2" xfId="13370" xr:uid="{A392262B-9C0C-4EB7-AF67-622C6D018FDC}"/>
    <cellStyle name="20% - Accent1 2 2 3 4" xfId="9152" xr:uid="{70C89854-56A1-4851-A299-D3593B2AD4CF}"/>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AD6C0876-D742-43D3-98D7-0E37E74DF315}"/>
    <cellStyle name="20% - Accent1 2 2 4 2 3" xfId="11710" xr:uid="{CB32AA1F-B6DC-4DDF-BB18-BB5E9C1585FA}"/>
    <cellStyle name="20% - Accent1 2 2 4 3" xfId="5333" xr:uid="{00000000-0005-0000-0000-00001F000000}"/>
    <cellStyle name="20% - Accent1 2 2 4 3 2" xfId="13783" xr:uid="{E85DDF8F-9661-4314-B435-4BDE17A3CAE7}"/>
    <cellStyle name="20% - Accent1 2 2 4 4" xfId="9565" xr:uid="{C8C1DACE-E0C9-43A4-9B43-D952795CCC1A}"/>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60971508-8077-4D5B-B8BE-8B31AAA1173A}"/>
    <cellStyle name="20% - Accent1 2 2 5 2 3" xfId="12123" xr:uid="{FF54F85D-9325-4B13-8FF7-036573D1E3D1}"/>
    <cellStyle name="20% - Accent1 2 2 5 3" xfId="5746" xr:uid="{00000000-0005-0000-0000-000023000000}"/>
    <cellStyle name="20% - Accent1 2 2 5 3 2" xfId="14196" xr:uid="{F8B259FE-3892-4477-A18C-30AAAAF6AF22}"/>
    <cellStyle name="20% - Accent1 2 2 5 4" xfId="9978" xr:uid="{D24487EC-24B1-480A-8966-5B4D8F5CC78C}"/>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EACA7066-CD40-471E-A1E4-76C60B646BAB}"/>
    <cellStyle name="20% - Accent1 2 2 6 2 3" xfId="12536" xr:uid="{3BDF11E3-FC7F-44DB-B489-258865161C61}"/>
    <cellStyle name="20% - Accent1 2 2 6 3" xfId="6159" xr:uid="{00000000-0005-0000-0000-000027000000}"/>
    <cellStyle name="20% - Accent1 2 2 6 3 2" xfId="14609" xr:uid="{FE4DAD8D-3FC3-47AD-9FB2-68E58D5BD37A}"/>
    <cellStyle name="20% - Accent1 2 2 6 4" xfId="10391" xr:uid="{BEC23ADC-FBF3-4CA6-84C7-DC7C862F0576}"/>
    <cellStyle name="20% - Accent1 2 2 7" xfId="2266" xr:uid="{00000000-0005-0000-0000-000028000000}"/>
    <cellStyle name="20% - Accent1 2 2 7 2" xfId="6572" xr:uid="{00000000-0005-0000-0000-000029000000}"/>
    <cellStyle name="20% - Accent1 2 2 7 2 2" xfId="15022" xr:uid="{06B36FB8-D0AC-4CE4-A8CE-5D5C76853FAE}"/>
    <cellStyle name="20% - Accent1 2 2 7 3" xfId="10804" xr:uid="{B39DA1DD-070E-4B7E-843D-B2DB7A82B417}"/>
    <cellStyle name="20% - Accent1 2 2 8" xfId="4506" xr:uid="{00000000-0005-0000-0000-00002A000000}"/>
    <cellStyle name="20% - Accent1 2 2 8 2" xfId="12956" xr:uid="{AE430513-99C8-4A69-B180-1475FE34A323}"/>
    <cellStyle name="20% - Accent1 2 2 9" xfId="8738" xr:uid="{97069CDE-70F7-4CD9-9FE4-B1500AC9B4A4}"/>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B5D8A302-5ECE-4305-AF2A-4D3DABB7DFBC}"/>
    <cellStyle name="20% - Accent1 2 3 2 2 3" xfId="11299" xr:uid="{3FA1EF54-18A3-4299-A5FF-91F5747733D6}"/>
    <cellStyle name="20% - Accent1 2 3 2 3" xfId="4922" xr:uid="{00000000-0005-0000-0000-00002F000000}"/>
    <cellStyle name="20% - Accent1 2 3 2 3 2" xfId="13372" xr:uid="{0392FD8D-EFD9-4E82-9FC8-49E1A1748035}"/>
    <cellStyle name="20% - Accent1 2 3 2 4" xfId="9154" xr:uid="{3910A66E-1711-4542-9DF0-602C5AA59764}"/>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83E07172-618F-4769-9CFD-FFA4C8F5F07E}"/>
    <cellStyle name="20% - Accent1 2 3 3 2 3" xfId="11712" xr:uid="{F4ABB16D-0744-4010-B6C6-E568EFAC0E99}"/>
    <cellStyle name="20% - Accent1 2 3 3 3" xfId="5335" xr:uid="{00000000-0005-0000-0000-000033000000}"/>
    <cellStyle name="20% - Accent1 2 3 3 3 2" xfId="13785" xr:uid="{E9F70940-CCA1-4F25-8515-4EDAC766978E}"/>
    <cellStyle name="20% - Accent1 2 3 3 4" xfId="9567" xr:uid="{1CF537DA-455B-480A-842D-149876B847DF}"/>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13AEB751-CFA6-459E-AB97-D9A9C354743D}"/>
    <cellStyle name="20% - Accent1 2 3 4 2 3" xfId="12125" xr:uid="{3AB28654-B5BA-41B6-B09E-30C35DFA1379}"/>
    <cellStyle name="20% - Accent1 2 3 4 3" xfId="5748" xr:uid="{00000000-0005-0000-0000-000037000000}"/>
    <cellStyle name="20% - Accent1 2 3 4 3 2" xfId="14198" xr:uid="{9F542D78-8437-4141-B408-15BE6F2F4C68}"/>
    <cellStyle name="20% - Accent1 2 3 4 4" xfId="9980" xr:uid="{6E526915-A369-4F2B-87D0-36178C55C827}"/>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61F113B4-5E34-4396-A801-D3DA350281A9}"/>
    <cellStyle name="20% - Accent1 2 3 5 2 3" xfId="12538" xr:uid="{E399969A-3CC2-4DC6-A775-B8024ED6062D}"/>
    <cellStyle name="20% - Accent1 2 3 5 3" xfId="6161" xr:uid="{00000000-0005-0000-0000-00003B000000}"/>
    <cellStyle name="20% - Accent1 2 3 5 3 2" xfId="14611" xr:uid="{94FB9CFB-E46E-4FE2-8D5A-A4DC0EC87450}"/>
    <cellStyle name="20% - Accent1 2 3 5 4" xfId="10393" xr:uid="{BA55326C-6ADF-47ED-A803-F9C772258BA1}"/>
    <cellStyle name="20% - Accent1 2 3 6" xfId="2268" xr:uid="{00000000-0005-0000-0000-00003C000000}"/>
    <cellStyle name="20% - Accent1 2 3 6 2" xfId="6574" xr:uid="{00000000-0005-0000-0000-00003D000000}"/>
    <cellStyle name="20% - Accent1 2 3 6 2 2" xfId="15024" xr:uid="{C269006D-6163-4367-A5F4-F91D8C579C67}"/>
    <cellStyle name="20% - Accent1 2 3 6 3" xfId="10806" xr:uid="{2551A0FF-28C7-4B57-AC7F-5B5D84D9FE7A}"/>
    <cellStyle name="20% - Accent1 2 3 7" xfId="4508" xr:uid="{00000000-0005-0000-0000-00003E000000}"/>
    <cellStyle name="20% - Accent1 2 3 7 2" xfId="12958" xr:uid="{B29F1362-6D15-4DC8-83ED-AAC3036510F0}"/>
    <cellStyle name="20% - Accent1 2 3 8" xfId="8740" xr:uid="{738472B4-048F-49D4-8174-BF6342F76844}"/>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63CA69AF-1C21-429B-8507-2F78662D0717}"/>
    <cellStyle name="20% - Accent1 2 4 2 3" xfId="11296" xr:uid="{70128C4A-304A-4B49-915A-4E4D09582453}"/>
    <cellStyle name="20% - Accent1 2 4 3" xfId="4919" xr:uid="{00000000-0005-0000-0000-000042000000}"/>
    <cellStyle name="20% - Accent1 2 4 3 2" xfId="13369" xr:uid="{835875DD-3836-4B51-81B7-DDAE132506BE}"/>
    <cellStyle name="20% - Accent1 2 4 4" xfId="9151" xr:uid="{419785F8-3F8E-439D-8DAA-17319E4E0801}"/>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B1A0E2AD-E513-465F-AA4E-EE60C1EEDD66}"/>
    <cellStyle name="20% - Accent1 2 5 2 3" xfId="11709" xr:uid="{327C6302-5FCF-4B6B-A201-035C0E506CCB}"/>
    <cellStyle name="20% - Accent1 2 5 3" xfId="5332" xr:uid="{00000000-0005-0000-0000-000046000000}"/>
    <cellStyle name="20% - Accent1 2 5 3 2" xfId="13782" xr:uid="{D9143E6E-1A8E-4EA0-8CA4-BEFA924DCF20}"/>
    <cellStyle name="20% - Accent1 2 5 4" xfId="9564" xr:uid="{A8F1F888-0A53-48E4-9293-FB8FA26900FE}"/>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B1ADDA6A-999E-44C9-83AE-E3A5FB0E1DFB}"/>
    <cellStyle name="20% - Accent1 2 6 2 3" xfId="12122" xr:uid="{BEA9D7B2-CE96-4B8D-8805-37483AEDE01D}"/>
    <cellStyle name="20% - Accent1 2 6 3" xfId="5745" xr:uid="{00000000-0005-0000-0000-00004A000000}"/>
    <cellStyle name="20% - Accent1 2 6 3 2" xfId="14195" xr:uid="{23D9EF40-98B6-4E60-91CE-7D36AD4FDDF1}"/>
    <cellStyle name="20% - Accent1 2 6 4" xfId="9977" xr:uid="{38B9E92C-F9A8-4D66-A438-7BEAC80D3EA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C18DFA2C-F562-46DB-83F8-50049A925F71}"/>
    <cellStyle name="20% - Accent1 2 7 2 3" xfId="12535" xr:uid="{8DB12D8B-96F9-430D-AA9C-88B2ADA81407}"/>
    <cellStyle name="20% - Accent1 2 7 3" xfId="6158" xr:uid="{00000000-0005-0000-0000-00004E000000}"/>
    <cellStyle name="20% - Accent1 2 7 3 2" xfId="14608" xr:uid="{460D250A-4CF8-4BE6-90CF-235C5E6DD49E}"/>
    <cellStyle name="20% - Accent1 2 7 4" xfId="10390" xr:uid="{11D16F50-2D20-4608-85F4-DBB58653DDD2}"/>
    <cellStyle name="20% - Accent1 2 8" xfId="2265" xr:uid="{00000000-0005-0000-0000-00004F000000}"/>
    <cellStyle name="20% - Accent1 2 8 2" xfId="6571" xr:uid="{00000000-0005-0000-0000-000050000000}"/>
    <cellStyle name="20% - Accent1 2 8 2 2" xfId="15021" xr:uid="{01B13D3D-2604-4420-9965-24E0639D8437}"/>
    <cellStyle name="20% - Accent1 2 8 3" xfId="10803" xr:uid="{F21E3389-9216-413B-AF16-5C8F1EB900BB}"/>
    <cellStyle name="20% - Accent1 2 9" xfId="4505" xr:uid="{00000000-0005-0000-0000-000051000000}"/>
    <cellStyle name="20% - Accent1 2 9 2" xfId="12955" xr:uid="{E9198532-655C-45BF-9969-17B3E83B186A}"/>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2C9EFE90-B97F-4B08-89E3-8CBF47230742}"/>
    <cellStyle name="20% - Accent1 3 2 2 2 3" xfId="11301" xr:uid="{AB530482-2F48-4A96-8E6C-869440658245}"/>
    <cellStyle name="20% - Accent1 3 2 2 3" xfId="4924" xr:uid="{00000000-0005-0000-0000-000057000000}"/>
    <cellStyle name="20% - Accent1 3 2 2 3 2" xfId="13374" xr:uid="{0D3BE5D3-5698-48DD-8CF4-3B08B1E3B40E}"/>
    <cellStyle name="20% - Accent1 3 2 2 4" xfId="9156" xr:uid="{857B3C32-53D6-4F91-8FA5-25830D74E42E}"/>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2D4560F7-D3C4-4E16-9823-C2C9B6D67303}"/>
    <cellStyle name="20% - Accent1 3 2 3 2 3" xfId="11714" xr:uid="{3DEEBC8F-FDD9-4035-A6ED-EF21C6993B0B}"/>
    <cellStyle name="20% - Accent1 3 2 3 3" xfId="5337" xr:uid="{00000000-0005-0000-0000-00005B000000}"/>
    <cellStyle name="20% - Accent1 3 2 3 3 2" xfId="13787" xr:uid="{5B780045-6530-4B65-AB92-8CD93BBAE813}"/>
    <cellStyle name="20% - Accent1 3 2 3 4" xfId="9569" xr:uid="{14A79AE8-33F4-4B44-A52A-D2B05F0C20E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6FAA4A8E-8964-4854-9E18-8761C8E62267}"/>
    <cellStyle name="20% - Accent1 3 2 4 2 3" xfId="12127" xr:uid="{E804C641-6818-481A-A5F8-F5E545E0B4FC}"/>
    <cellStyle name="20% - Accent1 3 2 4 3" xfId="5750" xr:uid="{00000000-0005-0000-0000-00005F000000}"/>
    <cellStyle name="20% - Accent1 3 2 4 3 2" xfId="14200" xr:uid="{D7D464DC-819E-4061-AF56-85CE0C8EC81E}"/>
    <cellStyle name="20% - Accent1 3 2 4 4" xfId="9982" xr:uid="{D6C04BFF-E6C8-4227-8BBD-B673D2DD2522}"/>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2232973A-5474-42C3-A06E-D01EF8353C02}"/>
    <cellStyle name="20% - Accent1 3 2 5 2 3" xfId="12540" xr:uid="{9C8E7F57-5046-483B-8648-AF31AB05390B}"/>
    <cellStyle name="20% - Accent1 3 2 5 3" xfId="6163" xr:uid="{00000000-0005-0000-0000-000063000000}"/>
    <cellStyle name="20% - Accent1 3 2 5 3 2" xfId="14613" xr:uid="{32E2413E-C99F-4C47-9133-26005A8330EC}"/>
    <cellStyle name="20% - Accent1 3 2 5 4" xfId="10395" xr:uid="{0F6C8BF2-B6E0-4C5D-8BBB-8A958449335F}"/>
    <cellStyle name="20% - Accent1 3 2 6" xfId="2270" xr:uid="{00000000-0005-0000-0000-000064000000}"/>
    <cellStyle name="20% - Accent1 3 2 6 2" xfId="6576" xr:uid="{00000000-0005-0000-0000-000065000000}"/>
    <cellStyle name="20% - Accent1 3 2 6 2 2" xfId="15026" xr:uid="{D114DDA6-1F8D-4FFF-9E34-5AE2F4FF882F}"/>
    <cellStyle name="20% - Accent1 3 2 6 3" xfId="10808" xr:uid="{CB14D540-40D1-48B5-AE0B-4672ED757A52}"/>
    <cellStyle name="20% - Accent1 3 2 7" xfId="4510" xr:uid="{00000000-0005-0000-0000-000066000000}"/>
    <cellStyle name="20% - Accent1 3 2 7 2" xfId="12960" xr:uid="{DBE28277-035E-4611-8F8D-DBC4F57C6A1C}"/>
    <cellStyle name="20% - Accent1 3 2 8" xfId="8742" xr:uid="{D441748E-2B26-4284-A3FE-6115626ADA2D}"/>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42C6238C-572A-4D95-8FDA-D11541E708E6}"/>
    <cellStyle name="20% - Accent1 3 3 2 3" xfId="11300" xr:uid="{51C1E3E9-9C2E-45C2-B6B7-082A73BE2228}"/>
    <cellStyle name="20% - Accent1 3 3 3" xfId="4923" xr:uid="{00000000-0005-0000-0000-00006A000000}"/>
    <cellStyle name="20% - Accent1 3 3 3 2" xfId="13373" xr:uid="{2472188C-2E9C-4641-BAD8-129F18D489B9}"/>
    <cellStyle name="20% - Accent1 3 3 4" xfId="9155" xr:uid="{3BDBEFD3-7008-4B96-AA37-B3933B5D618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5B007D18-FFF0-41A3-A5D6-47F22F225DF9}"/>
    <cellStyle name="20% - Accent1 3 4 2 3" xfId="11713" xr:uid="{EF84A10A-E9F8-4C44-8A6E-C56173C6654E}"/>
    <cellStyle name="20% - Accent1 3 4 3" xfId="5336" xr:uid="{00000000-0005-0000-0000-00006E000000}"/>
    <cellStyle name="20% - Accent1 3 4 3 2" xfId="13786" xr:uid="{A2058ABA-8505-4D29-AD3F-E75F81663443}"/>
    <cellStyle name="20% - Accent1 3 4 4" xfId="9568" xr:uid="{0EEE772F-13DB-41A0-837F-006321753846}"/>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4EF45832-A664-4D05-9754-4188C5E963FF}"/>
    <cellStyle name="20% - Accent1 3 5 2 3" xfId="12126" xr:uid="{8D59E636-0634-4F1A-94B3-2DC60F9818C8}"/>
    <cellStyle name="20% - Accent1 3 5 3" xfId="5749" xr:uid="{00000000-0005-0000-0000-000072000000}"/>
    <cellStyle name="20% - Accent1 3 5 3 2" xfId="14199" xr:uid="{8F457F14-8C73-4F17-934B-0F72D06AD540}"/>
    <cellStyle name="20% - Accent1 3 5 4" xfId="9981" xr:uid="{09E53923-F8F5-4A3A-BD73-244DEF25951D}"/>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F24C05C6-6205-446C-A3A8-2F63D74B3D0B}"/>
    <cellStyle name="20% - Accent1 3 6 2 3" xfId="12539" xr:uid="{2403F34B-80F7-4ABD-A3A3-3C837FF0B4A6}"/>
    <cellStyle name="20% - Accent1 3 6 3" xfId="6162" xr:uid="{00000000-0005-0000-0000-000076000000}"/>
    <cellStyle name="20% - Accent1 3 6 3 2" xfId="14612" xr:uid="{7F2A0C7D-293F-4B86-8083-779631E9AF59}"/>
    <cellStyle name="20% - Accent1 3 6 4" xfId="10394" xr:uid="{91CB8F5E-3F88-48A5-972B-68C48091F6A0}"/>
    <cellStyle name="20% - Accent1 3 7" xfId="2269" xr:uid="{00000000-0005-0000-0000-000077000000}"/>
    <cellStyle name="20% - Accent1 3 7 2" xfId="6575" xr:uid="{00000000-0005-0000-0000-000078000000}"/>
    <cellStyle name="20% - Accent1 3 7 2 2" xfId="15025" xr:uid="{291F60C8-0D62-4226-BF20-C09CFD63EFFD}"/>
    <cellStyle name="20% - Accent1 3 7 3" xfId="10807" xr:uid="{201E6234-D912-4BBE-AEB3-19D67C334A9D}"/>
    <cellStyle name="20% - Accent1 3 8" xfId="4509" xr:uid="{00000000-0005-0000-0000-000079000000}"/>
    <cellStyle name="20% - Accent1 3 8 2" xfId="12959" xr:uid="{AD406A61-0406-41E7-A6EA-006A40A17CAD}"/>
    <cellStyle name="20% - Accent1 3 9" xfId="8741" xr:uid="{C51A0CBB-C256-4CFC-AD8C-2B1F621B2B6A}"/>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EEE043D6-78C9-4A90-AF65-2B2B9DFD5C6D}"/>
    <cellStyle name="20% - Accent1 4 2 2 3" xfId="11302" xr:uid="{E7DD8598-081A-4A9C-87FC-D7EA9796721C}"/>
    <cellStyle name="20% - Accent1 4 2 3" xfId="4925" xr:uid="{00000000-0005-0000-0000-00007E000000}"/>
    <cellStyle name="20% - Accent1 4 2 3 2" xfId="13375" xr:uid="{1AB4D550-7E25-4CAA-9122-E645E504D582}"/>
    <cellStyle name="20% - Accent1 4 2 4" xfId="9157" xr:uid="{87515183-9013-4E45-8D7A-26E0485553B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A14CC93F-0593-450A-BF95-B32BE00CB88C}"/>
    <cellStyle name="20% - Accent1 4 3 2 3" xfId="11715" xr:uid="{BD99EF5B-5250-4402-B535-3B72600213C8}"/>
    <cellStyle name="20% - Accent1 4 3 3" xfId="5338" xr:uid="{00000000-0005-0000-0000-000082000000}"/>
    <cellStyle name="20% - Accent1 4 3 3 2" xfId="13788" xr:uid="{43B99808-1271-4450-9E98-AEBEC662191B}"/>
    <cellStyle name="20% - Accent1 4 3 4" xfId="9570" xr:uid="{30B2E8E1-2A27-44A3-A35F-4E4F3D2F68F1}"/>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4093CBF9-A4F7-40B4-9028-BF16ED1D0676}"/>
    <cellStyle name="20% - Accent1 4 4 2 3" xfId="12128" xr:uid="{482C3B64-8671-43A5-B23A-416BD8468366}"/>
    <cellStyle name="20% - Accent1 4 4 3" xfId="5751" xr:uid="{00000000-0005-0000-0000-000086000000}"/>
    <cellStyle name="20% - Accent1 4 4 3 2" xfId="14201" xr:uid="{2D4FB206-236C-451A-9FCC-299086B81C1F}"/>
    <cellStyle name="20% - Accent1 4 4 4" xfId="9983" xr:uid="{C5E2716B-FEC2-4478-BC12-69A8B0BA9965}"/>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7166AE06-8D57-4B40-908D-3EE6D4D295F7}"/>
    <cellStyle name="20% - Accent1 4 5 2 3" xfId="12541" xr:uid="{273F8327-7CB7-4130-8EB0-1A791B0672C4}"/>
    <cellStyle name="20% - Accent1 4 5 3" xfId="6164" xr:uid="{00000000-0005-0000-0000-00008A000000}"/>
    <cellStyle name="20% - Accent1 4 5 3 2" xfId="14614" xr:uid="{549A49B0-BABA-482B-A681-670CA6ACC866}"/>
    <cellStyle name="20% - Accent1 4 5 4" xfId="10396" xr:uid="{4952509E-6009-4605-A793-06D9165B142F}"/>
    <cellStyle name="20% - Accent1 4 6" xfId="2271" xr:uid="{00000000-0005-0000-0000-00008B000000}"/>
    <cellStyle name="20% - Accent1 4 6 2" xfId="6577" xr:uid="{00000000-0005-0000-0000-00008C000000}"/>
    <cellStyle name="20% - Accent1 4 6 2 2" xfId="15027" xr:uid="{A91420C5-B871-4139-9252-DAF950624A35}"/>
    <cellStyle name="20% - Accent1 4 6 3" xfId="10809" xr:uid="{8ABF3B0D-5BCE-443C-B402-5DF345A29E59}"/>
    <cellStyle name="20% - Accent1 4 7" xfId="4511" xr:uid="{00000000-0005-0000-0000-00008D000000}"/>
    <cellStyle name="20% - Accent1 4 7 2" xfId="12961" xr:uid="{0E05959B-4D73-4E7C-9A2F-4A149B3F940A}"/>
    <cellStyle name="20% - Accent1 4 8" xfId="8743" xr:uid="{B780C829-FFD4-4E79-85B8-E6FFA12746BD}"/>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20CF03E2-F2B0-412F-9FDA-387FB454A74A}"/>
    <cellStyle name="20% - Accent1 5 2 3" xfId="11295" xr:uid="{4912B1B4-94B6-4A9A-9630-F453413103F7}"/>
    <cellStyle name="20% - Accent1 5 3" xfId="4918" xr:uid="{00000000-0005-0000-0000-000091000000}"/>
    <cellStyle name="20% - Accent1 5 3 2" xfId="13368" xr:uid="{8D8E01D4-4EAA-48DD-98D8-7573674E1535}"/>
    <cellStyle name="20% - Accent1 5 4" xfId="9150" xr:uid="{E9D6C2C2-5AAD-4B60-905D-1AFBE7E7C6C6}"/>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66B8D19C-DA11-4B1B-BF17-028839912100}"/>
    <cellStyle name="20% - Accent1 6 2 3" xfId="11708" xr:uid="{DDD5C453-9CD2-4E90-8AC1-DD5CD2F8A7A2}"/>
    <cellStyle name="20% - Accent1 6 3" xfId="5331" xr:uid="{00000000-0005-0000-0000-000095000000}"/>
    <cellStyle name="20% - Accent1 6 3 2" xfId="13781" xr:uid="{1DC3FE69-516E-485D-9C4C-85156D8EA047}"/>
    <cellStyle name="20% - Accent1 6 4" xfId="9563" xr:uid="{19395CC7-46FF-40E3-847E-614B71A375CD}"/>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738CD899-EE2B-409A-9284-C4EE6005ABB1}"/>
    <cellStyle name="20% - Accent1 7 2 3" xfId="12121" xr:uid="{2E937952-2760-4D1A-91F4-2CC37C309C6B}"/>
    <cellStyle name="20% - Accent1 7 3" xfId="5744" xr:uid="{00000000-0005-0000-0000-000099000000}"/>
    <cellStyle name="20% - Accent1 7 3 2" xfId="14194" xr:uid="{EEA9C544-D98D-40AF-8975-A0AEAF8CF9C6}"/>
    <cellStyle name="20% - Accent1 7 4" xfId="9976" xr:uid="{E82C1502-41A8-431F-99F3-A0BA282C086B}"/>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0D992697-FFB2-4C52-A742-C2A5B20479D5}"/>
    <cellStyle name="20% - Accent1 8 2 3" xfId="12534" xr:uid="{4DF67B54-CF09-48B7-BB61-88338C371107}"/>
    <cellStyle name="20% - Accent1 8 3" xfId="6157" xr:uid="{00000000-0005-0000-0000-00009D000000}"/>
    <cellStyle name="20% - Accent1 8 3 2" xfId="14607" xr:uid="{61750C47-38C9-48A1-820E-CC2F239BCA63}"/>
    <cellStyle name="20% - Accent1 8 4" xfId="10389" xr:uid="{D9604840-F07C-43EB-B956-DAFD4073682E}"/>
    <cellStyle name="20% - Accent1 9" xfId="2264" xr:uid="{00000000-0005-0000-0000-00009E000000}"/>
    <cellStyle name="20% - Accent1 9 2" xfId="6570" xr:uid="{00000000-0005-0000-0000-00009F000000}"/>
    <cellStyle name="20% - Accent1 9 2 2" xfId="15020" xr:uid="{E0AAB764-B3D8-4627-912A-5D877F7039EC}"/>
    <cellStyle name="20% - Accent1 9 3" xfId="10802" xr:uid="{867A9AB5-B5A8-47C1-9E1A-CE193B82225C}"/>
    <cellStyle name="20% - Accent2" xfId="9" builtinId="34" customBuiltin="1"/>
    <cellStyle name="20% - Accent2 10" xfId="4512" xr:uid="{00000000-0005-0000-0000-0000A1000000}"/>
    <cellStyle name="20% - Accent2 10 2" xfId="12962" xr:uid="{CC1558D2-3086-4073-9147-C6FF25AF8EBE}"/>
    <cellStyle name="20% - Accent2 11" xfId="8744" xr:uid="{31BC090C-E624-4CCA-AA95-A2E51EC56083}"/>
    <cellStyle name="20% - Accent2 2" xfId="10" xr:uid="{00000000-0005-0000-0000-0000A2000000}"/>
    <cellStyle name="20% - Accent2 2 10" xfId="8745" xr:uid="{79440B57-8172-4EB6-BE18-388E1C323826}"/>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0BAE96DA-DE25-4CF1-923B-0DF7595A400B}"/>
    <cellStyle name="20% - Accent2 2 2 2 2 2 3" xfId="11306" xr:uid="{295F8CCB-7ACF-4FC5-87A0-C0B9F079BD89}"/>
    <cellStyle name="20% - Accent2 2 2 2 2 3" xfId="4929" xr:uid="{00000000-0005-0000-0000-0000A8000000}"/>
    <cellStyle name="20% - Accent2 2 2 2 2 3 2" xfId="13379" xr:uid="{FD071693-7390-474D-A17C-481D8B548147}"/>
    <cellStyle name="20% - Accent2 2 2 2 2 4" xfId="9161" xr:uid="{FF8719E5-7366-45B4-9D1C-F4D2BBFE4A62}"/>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999AB7D4-B645-449F-8F3D-2154AE61CEEE}"/>
    <cellStyle name="20% - Accent2 2 2 2 3 2 3" xfId="11719" xr:uid="{501944FC-FA12-4AA8-91FC-7474EFBC13B0}"/>
    <cellStyle name="20% - Accent2 2 2 2 3 3" xfId="5342" xr:uid="{00000000-0005-0000-0000-0000AC000000}"/>
    <cellStyle name="20% - Accent2 2 2 2 3 3 2" xfId="13792" xr:uid="{95DF7A76-FF4B-44F3-839E-9E094E1A58A2}"/>
    <cellStyle name="20% - Accent2 2 2 2 3 4" xfId="9574" xr:uid="{98D47963-1D23-4B9B-995C-98AC3F2A790C}"/>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E63CA6E8-5787-415A-A288-C5F7D9A34424}"/>
    <cellStyle name="20% - Accent2 2 2 2 4 2 3" xfId="12132" xr:uid="{9435DF66-79B7-4FD8-9CB1-0A5A9304120D}"/>
    <cellStyle name="20% - Accent2 2 2 2 4 3" xfId="5755" xr:uid="{00000000-0005-0000-0000-0000B0000000}"/>
    <cellStyle name="20% - Accent2 2 2 2 4 3 2" xfId="14205" xr:uid="{630720F5-17EB-44CF-B739-E2A1EACFDC03}"/>
    <cellStyle name="20% - Accent2 2 2 2 4 4" xfId="9987" xr:uid="{E6A45A60-7521-4605-8F42-72E332819334}"/>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FF84123A-B292-4BBC-AC3B-3BE532ECB564}"/>
    <cellStyle name="20% - Accent2 2 2 2 5 2 3" xfId="12545" xr:uid="{7DAFF00D-7146-4509-88E9-9FD9B4840979}"/>
    <cellStyle name="20% - Accent2 2 2 2 5 3" xfId="6168" xr:uid="{00000000-0005-0000-0000-0000B4000000}"/>
    <cellStyle name="20% - Accent2 2 2 2 5 3 2" xfId="14618" xr:uid="{2F87331A-2E66-4558-A94D-4AB4958B3A86}"/>
    <cellStyle name="20% - Accent2 2 2 2 5 4" xfId="10400" xr:uid="{4CFEB8EF-635A-4706-BCB5-DDD4C0929718}"/>
    <cellStyle name="20% - Accent2 2 2 2 6" xfId="2275" xr:uid="{00000000-0005-0000-0000-0000B5000000}"/>
    <cellStyle name="20% - Accent2 2 2 2 6 2" xfId="6581" xr:uid="{00000000-0005-0000-0000-0000B6000000}"/>
    <cellStyle name="20% - Accent2 2 2 2 6 2 2" xfId="15031" xr:uid="{3EC67CC0-8132-47FC-BD7F-6B8CBC00DD45}"/>
    <cellStyle name="20% - Accent2 2 2 2 6 3" xfId="10813" xr:uid="{CC6BFC03-B8EE-441B-8FCB-FC06943ED009}"/>
    <cellStyle name="20% - Accent2 2 2 2 7" xfId="4515" xr:uid="{00000000-0005-0000-0000-0000B7000000}"/>
    <cellStyle name="20% - Accent2 2 2 2 7 2" xfId="12965" xr:uid="{D1FA7D15-07C1-4D1C-B453-F09C2D39F136}"/>
    <cellStyle name="20% - Accent2 2 2 2 8" xfId="8747" xr:uid="{2E3EC6BA-7E64-425B-A00A-3B3CBDA3D95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26A47E7F-8872-45B5-8594-C5C041BF4639}"/>
    <cellStyle name="20% - Accent2 2 2 3 2 3" xfId="11305" xr:uid="{3B27DB10-B0EA-42A7-8E8D-D7B2AC891ACA}"/>
    <cellStyle name="20% - Accent2 2 2 3 3" xfId="4928" xr:uid="{00000000-0005-0000-0000-0000BB000000}"/>
    <cellStyle name="20% - Accent2 2 2 3 3 2" xfId="13378" xr:uid="{2E8A9B61-8306-4E3E-8D26-004DBB70780B}"/>
    <cellStyle name="20% - Accent2 2 2 3 4" xfId="9160" xr:uid="{F0C72918-8961-43BA-83FA-D5CF07ECAF4C}"/>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17BE0B32-2EB4-4060-880B-D8189B409318}"/>
    <cellStyle name="20% - Accent2 2 2 4 2 3" xfId="11718" xr:uid="{DF28D398-83B3-4F23-BD9A-13B8167AAE5C}"/>
    <cellStyle name="20% - Accent2 2 2 4 3" xfId="5341" xr:uid="{00000000-0005-0000-0000-0000BF000000}"/>
    <cellStyle name="20% - Accent2 2 2 4 3 2" xfId="13791" xr:uid="{FC01E657-611F-4806-807B-D375F409FE74}"/>
    <cellStyle name="20% - Accent2 2 2 4 4" xfId="9573" xr:uid="{4EB212B7-5DD2-4F5D-8BCE-0F025904BD41}"/>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FB5E9C1E-C1C7-4614-A545-720BF105E325}"/>
    <cellStyle name="20% - Accent2 2 2 5 2 3" xfId="12131" xr:uid="{DBEFB2C3-2D67-4266-9050-027A4AB165A8}"/>
    <cellStyle name="20% - Accent2 2 2 5 3" xfId="5754" xr:uid="{00000000-0005-0000-0000-0000C3000000}"/>
    <cellStyle name="20% - Accent2 2 2 5 3 2" xfId="14204" xr:uid="{1377D4CC-CD98-413C-8950-A7571370A537}"/>
    <cellStyle name="20% - Accent2 2 2 5 4" xfId="9986" xr:uid="{C44C8821-4F04-44AB-B47F-1AA73F16007F}"/>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DCBC9DA0-0859-438B-ADBC-D0D2566821D2}"/>
    <cellStyle name="20% - Accent2 2 2 6 2 3" xfId="12544" xr:uid="{F7E0C135-7CF1-4745-B723-AA5A200BCC9E}"/>
    <cellStyle name="20% - Accent2 2 2 6 3" xfId="6167" xr:uid="{00000000-0005-0000-0000-0000C7000000}"/>
    <cellStyle name="20% - Accent2 2 2 6 3 2" xfId="14617" xr:uid="{EE157304-3E27-4CAE-98B8-46DB3E159232}"/>
    <cellStyle name="20% - Accent2 2 2 6 4" xfId="10399" xr:uid="{2A4C933E-F3A1-4B07-8700-13C66EA905C3}"/>
    <cellStyle name="20% - Accent2 2 2 7" xfId="2274" xr:uid="{00000000-0005-0000-0000-0000C8000000}"/>
    <cellStyle name="20% - Accent2 2 2 7 2" xfId="6580" xr:uid="{00000000-0005-0000-0000-0000C9000000}"/>
    <cellStyle name="20% - Accent2 2 2 7 2 2" xfId="15030" xr:uid="{F8BDF493-036F-4C70-83CD-A1D8DC44226B}"/>
    <cellStyle name="20% - Accent2 2 2 7 3" xfId="10812" xr:uid="{7CB2EFDB-A068-477E-917F-F744CEE405C3}"/>
    <cellStyle name="20% - Accent2 2 2 8" xfId="4514" xr:uid="{00000000-0005-0000-0000-0000CA000000}"/>
    <cellStyle name="20% - Accent2 2 2 8 2" xfId="12964" xr:uid="{5DEC3879-F578-40B6-8641-4C5362275CF1}"/>
    <cellStyle name="20% - Accent2 2 2 9" xfId="8746" xr:uid="{0788B1C7-9F54-4C58-BDB0-F68894FDE6B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C87C46F3-466F-4D4B-984F-C4C5087ED903}"/>
    <cellStyle name="20% - Accent2 2 3 2 2 3" xfId="11307" xr:uid="{5A350504-7FAB-4CD6-B345-8E071846EA39}"/>
    <cellStyle name="20% - Accent2 2 3 2 3" xfId="4930" xr:uid="{00000000-0005-0000-0000-0000CF000000}"/>
    <cellStyle name="20% - Accent2 2 3 2 3 2" xfId="13380" xr:uid="{45ED7DA9-15C9-4E0E-AA39-BEED614BF261}"/>
    <cellStyle name="20% - Accent2 2 3 2 4" xfId="9162" xr:uid="{CD16BEA6-FA45-42C1-9F52-8E550EC6B0E9}"/>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7EA5DB6B-7C8A-43BE-9AC5-BE9F987E0246}"/>
    <cellStyle name="20% - Accent2 2 3 3 2 3" xfId="11720" xr:uid="{F941FA85-E329-45A4-9855-A58910FCFD99}"/>
    <cellStyle name="20% - Accent2 2 3 3 3" xfId="5343" xr:uid="{00000000-0005-0000-0000-0000D3000000}"/>
    <cellStyle name="20% - Accent2 2 3 3 3 2" xfId="13793" xr:uid="{BA0E65A6-ED39-47AF-9FF6-FEAA63ED7D47}"/>
    <cellStyle name="20% - Accent2 2 3 3 4" xfId="9575" xr:uid="{A3777160-2709-405C-87AB-56A81B3D4478}"/>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2331E94D-B154-4F20-BCFA-E031FA99B223}"/>
    <cellStyle name="20% - Accent2 2 3 4 2 3" xfId="12133" xr:uid="{EEE13995-DC00-47C2-A563-902BF991ECD4}"/>
    <cellStyle name="20% - Accent2 2 3 4 3" xfId="5756" xr:uid="{00000000-0005-0000-0000-0000D7000000}"/>
    <cellStyle name="20% - Accent2 2 3 4 3 2" xfId="14206" xr:uid="{EC8F2F3E-29A8-48F7-B3C8-4B699640D0D7}"/>
    <cellStyle name="20% - Accent2 2 3 4 4" xfId="9988" xr:uid="{3AFDEAF0-DED4-4565-A88B-F7B3C1B0B962}"/>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56E2BBAB-C1F4-4519-A724-DDE8D06C698A}"/>
    <cellStyle name="20% - Accent2 2 3 5 2 3" xfId="12546" xr:uid="{7508C12B-980F-43A8-A6D4-48AF635AFACD}"/>
    <cellStyle name="20% - Accent2 2 3 5 3" xfId="6169" xr:uid="{00000000-0005-0000-0000-0000DB000000}"/>
    <cellStyle name="20% - Accent2 2 3 5 3 2" xfId="14619" xr:uid="{2D2238DC-5AC2-4C0B-A536-43A4806F4421}"/>
    <cellStyle name="20% - Accent2 2 3 5 4" xfId="10401" xr:uid="{54C4AC71-16F0-4BCC-8D75-5F1712158ED5}"/>
    <cellStyle name="20% - Accent2 2 3 6" xfId="2276" xr:uid="{00000000-0005-0000-0000-0000DC000000}"/>
    <cellStyle name="20% - Accent2 2 3 6 2" xfId="6582" xr:uid="{00000000-0005-0000-0000-0000DD000000}"/>
    <cellStyle name="20% - Accent2 2 3 6 2 2" xfId="15032" xr:uid="{954CD9AC-2393-4682-A76D-9A34F42CB478}"/>
    <cellStyle name="20% - Accent2 2 3 6 3" xfId="10814" xr:uid="{033C980E-CED1-452C-AA00-6A0CC7F66FD9}"/>
    <cellStyle name="20% - Accent2 2 3 7" xfId="4516" xr:uid="{00000000-0005-0000-0000-0000DE000000}"/>
    <cellStyle name="20% - Accent2 2 3 7 2" xfId="12966" xr:uid="{35AEF984-ADB0-4E5A-B98D-02A14B2E8BEF}"/>
    <cellStyle name="20% - Accent2 2 3 8" xfId="8748" xr:uid="{E2084BDC-BCCB-43F1-AA4D-7B55471F3F66}"/>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03151B5C-3A86-4B8B-9109-E372482C1EB9}"/>
    <cellStyle name="20% - Accent2 2 4 2 3" xfId="11304" xr:uid="{CF57F336-0F8C-457E-BA2C-C4C95ACCABE9}"/>
    <cellStyle name="20% - Accent2 2 4 3" xfId="4927" xr:uid="{00000000-0005-0000-0000-0000E2000000}"/>
    <cellStyle name="20% - Accent2 2 4 3 2" xfId="13377" xr:uid="{03FAF143-8A86-4AA6-978B-93AF2C5DB6A5}"/>
    <cellStyle name="20% - Accent2 2 4 4" xfId="9159" xr:uid="{AB740993-1339-4FB8-A42D-AFF7B7BDD825}"/>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D626A949-35FF-4D92-B597-6A24033783C6}"/>
    <cellStyle name="20% - Accent2 2 5 2 3" xfId="11717" xr:uid="{9D793881-08E0-44C4-96EF-E888ADF3408A}"/>
    <cellStyle name="20% - Accent2 2 5 3" xfId="5340" xr:uid="{00000000-0005-0000-0000-0000E6000000}"/>
    <cellStyle name="20% - Accent2 2 5 3 2" xfId="13790" xr:uid="{46983E05-BA40-4242-9826-1B28F2A8DA03}"/>
    <cellStyle name="20% - Accent2 2 5 4" xfId="9572" xr:uid="{4A080845-B815-4A34-9A25-75695A701EAF}"/>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27F78974-50BD-4A69-87A9-6B4749A3D612}"/>
    <cellStyle name="20% - Accent2 2 6 2 3" xfId="12130" xr:uid="{95185970-4984-4CE4-9068-EEFC9A6E63CC}"/>
    <cellStyle name="20% - Accent2 2 6 3" xfId="5753" xr:uid="{00000000-0005-0000-0000-0000EA000000}"/>
    <cellStyle name="20% - Accent2 2 6 3 2" xfId="14203" xr:uid="{1E4D590C-E8D9-49F8-B36E-C2AC3B06CF81}"/>
    <cellStyle name="20% - Accent2 2 6 4" xfId="9985" xr:uid="{47A39C42-4D64-4B12-86FD-DCBF7E35703F}"/>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44D7C376-517E-4DB5-8A09-47D9DC80391F}"/>
    <cellStyle name="20% - Accent2 2 7 2 3" xfId="12543" xr:uid="{A95A08CC-8418-4109-949F-CFB11CA51E22}"/>
    <cellStyle name="20% - Accent2 2 7 3" xfId="6166" xr:uid="{00000000-0005-0000-0000-0000EE000000}"/>
    <cellStyle name="20% - Accent2 2 7 3 2" xfId="14616" xr:uid="{ABE58E59-A47D-4063-87C1-505AAABDC085}"/>
    <cellStyle name="20% - Accent2 2 7 4" xfId="10398" xr:uid="{9EF6BA96-4259-46A9-A789-BBC534B6CE47}"/>
    <cellStyle name="20% - Accent2 2 8" xfId="2273" xr:uid="{00000000-0005-0000-0000-0000EF000000}"/>
    <cellStyle name="20% - Accent2 2 8 2" xfId="6579" xr:uid="{00000000-0005-0000-0000-0000F0000000}"/>
    <cellStyle name="20% - Accent2 2 8 2 2" xfId="15029" xr:uid="{8C24AE88-3301-4B8B-9C7C-FC74D8DB7551}"/>
    <cellStyle name="20% - Accent2 2 8 3" xfId="10811" xr:uid="{BD5AB5CD-45DB-48FD-92D8-3522F3CE5584}"/>
    <cellStyle name="20% - Accent2 2 9" xfId="4513" xr:uid="{00000000-0005-0000-0000-0000F1000000}"/>
    <cellStyle name="20% - Accent2 2 9 2" xfId="12963" xr:uid="{7358BE95-92B5-4BBD-9F73-ACC564F01148}"/>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22C4BBF7-C073-46F5-B90F-B09ECFA1854A}"/>
    <cellStyle name="20% - Accent2 3 2 2 2 3" xfId="11309" xr:uid="{A6142F05-A74B-451E-805D-6A6D156D520C}"/>
    <cellStyle name="20% - Accent2 3 2 2 3" xfId="4932" xr:uid="{00000000-0005-0000-0000-0000F7000000}"/>
    <cellStyle name="20% - Accent2 3 2 2 3 2" xfId="13382" xr:uid="{CB734B37-DB53-425C-AFD0-A64D05AF1C4B}"/>
    <cellStyle name="20% - Accent2 3 2 2 4" xfId="9164" xr:uid="{60E67331-BA9B-428E-99F9-177F4A9668B0}"/>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99030F42-4565-4D41-9BF6-C4B290BBCB52}"/>
    <cellStyle name="20% - Accent2 3 2 3 2 3" xfId="11722" xr:uid="{1975EC78-44B3-4736-A951-C4B2270B80C7}"/>
    <cellStyle name="20% - Accent2 3 2 3 3" xfId="5345" xr:uid="{00000000-0005-0000-0000-0000FB000000}"/>
    <cellStyle name="20% - Accent2 3 2 3 3 2" xfId="13795" xr:uid="{1C004E55-293F-497B-8A5D-46CF89F82068}"/>
    <cellStyle name="20% - Accent2 3 2 3 4" xfId="9577" xr:uid="{363B0F74-5EBD-42A8-A586-4171A97ADB46}"/>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55A495E7-F3A8-485A-A92F-2CE4226D8A74}"/>
    <cellStyle name="20% - Accent2 3 2 4 2 3" xfId="12135" xr:uid="{0F372F7C-37F3-4B36-B01A-06EBF773CF60}"/>
    <cellStyle name="20% - Accent2 3 2 4 3" xfId="5758" xr:uid="{00000000-0005-0000-0000-0000FF000000}"/>
    <cellStyle name="20% - Accent2 3 2 4 3 2" xfId="14208" xr:uid="{2C7FC70B-21B9-484E-8E64-A23B38EB65E3}"/>
    <cellStyle name="20% - Accent2 3 2 4 4" xfId="9990" xr:uid="{830933CF-20B2-428B-8B8F-8CA8E4E66689}"/>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45ACDED8-3817-4425-A638-D09155166F0F}"/>
    <cellStyle name="20% - Accent2 3 2 5 2 3" xfId="12548" xr:uid="{C6D888E0-EA60-4705-8F38-1F5E2714FCEE}"/>
    <cellStyle name="20% - Accent2 3 2 5 3" xfId="6171" xr:uid="{00000000-0005-0000-0000-000003010000}"/>
    <cellStyle name="20% - Accent2 3 2 5 3 2" xfId="14621" xr:uid="{21E0B3FA-5B37-45BA-9D74-0C26EC8FE9C1}"/>
    <cellStyle name="20% - Accent2 3 2 5 4" xfId="10403" xr:uid="{0872A906-1E67-4FC7-91D4-5282B6093FB8}"/>
    <cellStyle name="20% - Accent2 3 2 6" xfId="2278" xr:uid="{00000000-0005-0000-0000-000004010000}"/>
    <cellStyle name="20% - Accent2 3 2 6 2" xfId="6584" xr:uid="{00000000-0005-0000-0000-000005010000}"/>
    <cellStyle name="20% - Accent2 3 2 6 2 2" xfId="15034" xr:uid="{C21992F8-3FA3-46EE-9D10-B16E35CF9653}"/>
    <cellStyle name="20% - Accent2 3 2 6 3" xfId="10816" xr:uid="{AAC52046-8191-4F67-BE8F-297DB6B0E61C}"/>
    <cellStyle name="20% - Accent2 3 2 7" xfId="4518" xr:uid="{00000000-0005-0000-0000-000006010000}"/>
    <cellStyle name="20% - Accent2 3 2 7 2" xfId="12968" xr:uid="{B2BB02A0-F05A-4100-A2A0-99E392A6A053}"/>
    <cellStyle name="20% - Accent2 3 2 8" xfId="8750" xr:uid="{FC7F97F2-99CC-47F0-B81B-569BF971A7EA}"/>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4D163FF8-6B05-4386-9DDF-4435C5137C50}"/>
    <cellStyle name="20% - Accent2 3 3 2 3" xfId="11308" xr:uid="{FB691033-E768-4BFC-9C9E-AC3C118C099D}"/>
    <cellStyle name="20% - Accent2 3 3 3" xfId="4931" xr:uid="{00000000-0005-0000-0000-00000A010000}"/>
    <cellStyle name="20% - Accent2 3 3 3 2" xfId="13381" xr:uid="{2F44E42E-3CAF-47A1-81CB-679DA916F397}"/>
    <cellStyle name="20% - Accent2 3 3 4" xfId="9163" xr:uid="{74123D62-356F-497B-9294-569B2131B4E3}"/>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CD4660D2-B6FF-4573-99BB-56A306743348}"/>
    <cellStyle name="20% - Accent2 3 4 2 3" xfId="11721" xr:uid="{F699959D-E1ED-4898-B436-E8B7C6E8D9E3}"/>
    <cellStyle name="20% - Accent2 3 4 3" xfId="5344" xr:uid="{00000000-0005-0000-0000-00000E010000}"/>
    <cellStyle name="20% - Accent2 3 4 3 2" xfId="13794" xr:uid="{2F3A4D03-BA0A-419F-9C2F-ECE784FD199F}"/>
    <cellStyle name="20% - Accent2 3 4 4" xfId="9576" xr:uid="{84A5190E-FAA4-44D5-9B16-D4547DD2DDA1}"/>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2D38231F-5D8E-432F-88C4-650316773E52}"/>
    <cellStyle name="20% - Accent2 3 5 2 3" xfId="12134" xr:uid="{E3F262C2-8B9E-4F0E-86AA-A1ADDBC8811A}"/>
    <cellStyle name="20% - Accent2 3 5 3" xfId="5757" xr:uid="{00000000-0005-0000-0000-000012010000}"/>
    <cellStyle name="20% - Accent2 3 5 3 2" xfId="14207" xr:uid="{5E9DF509-6F4D-4896-940D-9707C52E2F29}"/>
    <cellStyle name="20% - Accent2 3 5 4" xfId="9989" xr:uid="{408CB329-ED42-492D-BAFB-95542808CCBE}"/>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4D4CFC10-AAEC-4F34-9702-47EFF431D756}"/>
    <cellStyle name="20% - Accent2 3 6 2 3" xfId="12547" xr:uid="{7173E08F-ACCE-4597-8C76-68137F6D354E}"/>
    <cellStyle name="20% - Accent2 3 6 3" xfId="6170" xr:uid="{00000000-0005-0000-0000-000016010000}"/>
    <cellStyle name="20% - Accent2 3 6 3 2" xfId="14620" xr:uid="{C2D8E23A-4B87-4A67-B0FA-04792A115CE8}"/>
    <cellStyle name="20% - Accent2 3 6 4" xfId="10402" xr:uid="{953B3CE6-DA07-4170-8C33-51FDEA7B3433}"/>
    <cellStyle name="20% - Accent2 3 7" xfId="2277" xr:uid="{00000000-0005-0000-0000-000017010000}"/>
    <cellStyle name="20% - Accent2 3 7 2" xfId="6583" xr:uid="{00000000-0005-0000-0000-000018010000}"/>
    <cellStyle name="20% - Accent2 3 7 2 2" xfId="15033" xr:uid="{B3C10A2D-445B-482C-A425-CA815F6F86D6}"/>
    <cellStyle name="20% - Accent2 3 7 3" xfId="10815" xr:uid="{A040F24C-F245-4034-81D8-C95147368A72}"/>
    <cellStyle name="20% - Accent2 3 8" xfId="4517" xr:uid="{00000000-0005-0000-0000-000019010000}"/>
    <cellStyle name="20% - Accent2 3 8 2" xfId="12967" xr:uid="{31AF7050-B3FE-4B2B-B1CC-C70CA8230282}"/>
    <cellStyle name="20% - Accent2 3 9" xfId="8749" xr:uid="{E1C44E1E-B59C-43D8-9CD4-1B84335B622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6921E0F0-4BF3-46A2-B07E-49BA4A80B690}"/>
    <cellStyle name="20% - Accent2 4 2 2 3" xfId="11310" xr:uid="{CE00A64E-C014-4365-BCA0-7A8FF130B96A}"/>
    <cellStyle name="20% - Accent2 4 2 3" xfId="4933" xr:uid="{00000000-0005-0000-0000-00001E010000}"/>
    <cellStyle name="20% - Accent2 4 2 3 2" xfId="13383" xr:uid="{EC1AFBF5-E5F1-46C7-A96F-579FA70F27A4}"/>
    <cellStyle name="20% - Accent2 4 2 4" xfId="9165" xr:uid="{C95AF341-F954-44AD-B9CD-6F4994002279}"/>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D1C06BC7-FD93-4D61-B083-F35CEB315F22}"/>
    <cellStyle name="20% - Accent2 4 3 2 3" xfId="11723" xr:uid="{215EDF9A-A431-4D67-9EB3-C20F82CCDEA9}"/>
    <cellStyle name="20% - Accent2 4 3 3" xfId="5346" xr:uid="{00000000-0005-0000-0000-000022010000}"/>
    <cellStyle name="20% - Accent2 4 3 3 2" xfId="13796" xr:uid="{2DAC8E04-C12E-4498-ACB9-01AD570E85C5}"/>
    <cellStyle name="20% - Accent2 4 3 4" xfId="9578" xr:uid="{50765ECD-6665-4BF3-8732-F2C7E179931E}"/>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8625EA99-4AF7-4FD2-9C18-EEA127C765D8}"/>
    <cellStyle name="20% - Accent2 4 4 2 3" xfId="12136" xr:uid="{17AC45AB-3005-4B13-85C9-7D06D568CA50}"/>
    <cellStyle name="20% - Accent2 4 4 3" xfId="5759" xr:uid="{00000000-0005-0000-0000-000026010000}"/>
    <cellStyle name="20% - Accent2 4 4 3 2" xfId="14209" xr:uid="{757E4788-D669-49D0-9410-94D69F5753A2}"/>
    <cellStyle name="20% - Accent2 4 4 4" xfId="9991" xr:uid="{F38D8510-A3AC-4FF0-A1EF-5F11685ADEC0}"/>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7EC2DF31-5941-4F99-A121-355D027E92FF}"/>
    <cellStyle name="20% - Accent2 4 5 2 3" xfId="12549" xr:uid="{05B01720-F74B-49D3-A5E1-E2668D1A316D}"/>
    <cellStyle name="20% - Accent2 4 5 3" xfId="6172" xr:uid="{00000000-0005-0000-0000-00002A010000}"/>
    <cellStyle name="20% - Accent2 4 5 3 2" xfId="14622" xr:uid="{AAD343C7-F4F1-418B-B531-971F8AED4629}"/>
    <cellStyle name="20% - Accent2 4 5 4" xfId="10404" xr:uid="{3A87CDED-565C-4C91-83AA-8C4EB33A17B7}"/>
    <cellStyle name="20% - Accent2 4 6" xfId="2279" xr:uid="{00000000-0005-0000-0000-00002B010000}"/>
    <cellStyle name="20% - Accent2 4 6 2" xfId="6585" xr:uid="{00000000-0005-0000-0000-00002C010000}"/>
    <cellStyle name="20% - Accent2 4 6 2 2" xfId="15035" xr:uid="{0E8BD775-3734-4AE6-97F7-B1C13A0E19EB}"/>
    <cellStyle name="20% - Accent2 4 6 3" xfId="10817" xr:uid="{1115D7E3-5823-4449-AF7D-A929AC76C8E1}"/>
    <cellStyle name="20% - Accent2 4 7" xfId="4519" xr:uid="{00000000-0005-0000-0000-00002D010000}"/>
    <cellStyle name="20% - Accent2 4 7 2" xfId="12969" xr:uid="{E1AA80C8-4F49-4618-8CAF-6C7D65A5EA40}"/>
    <cellStyle name="20% - Accent2 4 8" xfId="8751" xr:uid="{BD9E58CD-5D73-42B6-B4AE-E300C8FA2587}"/>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719DE78F-E6FB-46BC-866B-5E41C6F38343}"/>
    <cellStyle name="20% - Accent2 5 2 3" xfId="11303" xr:uid="{B329A719-9C24-4B99-B6DB-08DC5FCED3D3}"/>
    <cellStyle name="20% - Accent2 5 3" xfId="4926" xr:uid="{00000000-0005-0000-0000-000031010000}"/>
    <cellStyle name="20% - Accent2 5 3 2" xfId="13376" xr:uid="{2120EF77-B8DC-46F7-A1A7-CD1EBDBBD2C8}"/>
    <cellStyle name="20% - Accent2 5 4" xfId="9158" xr:uid="{69DC01CE-FABC-4C80-BAF1-50CC0D29D034}"/>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25385F5A-E4E0-4A75-A8F1-AFFE26A29F8E}"/>
    <cellStyle name="20% - Accent2 6 2 3" xfId="11716" xr:uid="{78EA6A6F-63E4-448E-B8A2-DDDD00C013B6}"/>
    <cellStyle name="20% - Accent2 6 3" xfId="5339" xr:uid="{00000000-0005-0000-0000-000035010000}"/>
    <cellStyle name="20% - Accent2 6 3 2" xfId="13789" xr:uid="{B719AC7A-EBF2-4F4C-A1EA-5B30EDFB9915}"/>
    <cellStyle name="20% - Accent2 6 4" xfId="9571" xr:uid="{3761BBAA-EDAC-46B3-973F-3BE8040BA2B3}"/>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61B1E7DE-FB7F-47CB-81B3-AFAC95C24B9B}"/>
    <cellStyle name="20% - Accent2 7 2 3" xfId="12129" xr:uid="{02A3B39A-4503-4AF8-95B0-B27246723923}"/>
    <cellStyle name="20% - Accent2 7 3" xfId="5752" xr:uid="{00000000-0005-0000-0000-000039010000}"/>
    <cellStyle name="20% - Accent2 7 3 2" xfId="14202" xr:uid="{9CA17009-2155-4FB8-B251-2FA3C296373F}"/>
    <cellStyle name="20% - Accent2 7 4" xfId="9984" xr:uid="{5060AFED-AF4A-4D60-A046-4D439A801E13}"/>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AA80E9D0-899D-4597-9E63-116DFF3452BF}"/>
    <cellStyle name="20% - Accent2 8 2 3" xfId="12542" xr:uid="{D55AA721-BB02-4C55-80A1-E2C0278540AC}"/>
    <cellStyle name="20% - Accent2 8 3" xfId="6165" xr:uid="{00000000-0005-0000-0000-00003D010000}"/>
    <cellStyle name="20% - Accent2 8 3 2" xfId="14615" xr:uid="{DC4904CB-4178-462F-B6F6-02FF5A29736D}"/>
    <cellStyle name="20% - Accent2 8 4" xfId="10397" xr:uid="{665401FA-3890-40C1-8E4D-EF7B2548379F}"/>
    <cellStyle name="20% - Accent2 9" xfId="2272" xr:uid="{00000000-0005-0000-0000-00003E010000}"/>
    <cellStyle name="20% - Accent2 9 2" xfId="6578" xr:uid="{00000000-0005-0000-0000-00003F010000}"/>
    <cellStyle name="20% - Accent2 9 2 2" xfId="15028" xr:uid="{377961BC-4964-4FC4-B198-AF1BDE280E9E}"/>
    <cellStyle name="20% - Accent2 9 3" xfId="10810" xr:uid="{3B17514D-133C-41AC-AC1F-5A2544F57E7A}"/>
    <cellStyle name="20% - Accent3" xfId="17" builtinId="38" customBuiltin="1"/>
    <cellStyle name="20% - Accent3 10" xfId="4520" xr:uid="{00000000-0005-0000-0000-000041010000}"/>
    <cellStyle name="20% - Accent3 10 2" xfId="12970" xr:uid="{AE0ADA7F-4ED7-43AF-A528-495104E317A9}"/>
    <cellStyle name="20% - Accent3 11" xfId="8752" xr:uid="{EB305B64-2E23-4321-A709-9DE97EBD2C32}"/>
    <cellStyle name="20% - Accent3 2" xfId="18" xr:uid="{00000000-0005-0000-0000-000042010000}"/>
    <cellStyle name="20% - Accent3 2 10" xfId="8753" xr:uid="{6D3A6B00-30FD-408E-A8CA-250CF9820E99}"/>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60E81260-F84B-473F-870C-8D215DB18513}"/>
    <cellStyle name="20% - Accent3 2 2 2 2 2 3" xfId="11314" xr:uid="{C4E09B79-1091-4BBD-A33C-49A796F5E113}"/>
    <cellStyle name="20% - Accent3 2 2 2 2 3" xfId="4937" xr:uid="{00000000-0005-0000-0000-000048010000}"/>
    <cellStyle name="20% - Accent3 2 2 2 2 3 2" xfId="13387" xr:uid="{B80D98A7-1A64-4E2D-BB12-D34D3E57AA3D}"/>
    <cellStyle name="20% - Accent3 2 2 2 2 4" xfId="9169" xr:uid="{BF2B004A-4EC9-429F-B1D8-46BB88ED310F}"/>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310AA5F2-8439-47CB-9475-A77AC22D3A9A}"/>
    <cellStyle name="20% - Accent3 2 2 2 3 2 3" xfId="11727" xr:uid="{1C492521-C1DB-4D51-A0A2-54AA73317117}"/>
    <cellStyle name="20% - Accent3 2 2 2 3 3" xfId="5350" xr:uid="{00000000-0005-0000-0000-00004C010000}"/>
    <cellStyle name="20% - Accent3 2 2 2 3 3 2" xfId="13800" xr:uid="{13ABC03E-F99D-4E8C-A7B5-415561CA1878}"/>
    <cellStyle name="20% - Accent3 2 2 2 3 4" xfId="9582" xr:uid="{FBB0BBAA-BBF6-4823-A7C8-646F17368041}"/>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3EC3CE56-A5AD-49FF-806D-1AC4F03061CB}"/>
    <cellStyle name="20% - Accent3 2 2 2 4 2 3" xfId="12140" xr:uid="{A830763C-203B-4B64-A98C-70E7CF581B0D}"/>
    <cellStyle name="20% - Accent3 2 2 2 4 3" xfId="5763" xr:uid="{00000000-0005-0000-0000-000050010000}"/>
    <cellStyle name="20% - Accent3 2 2 2 4 3 2" xfId="14213" xr:uid="{5FFCD85F-E67E-4795-89B4-4E9CCA8FDD14}"/>
    <cellStyle name="20% - Accent3 2 2 2 4 4" xfId="9995" xr:uid="{D25BF9C2-42FF-48DC-B85A-B743FC8163A6}"/>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C41DFEA9-5BDE-4853-ADF5-5D7BD70ADDA2}"/>
    <cellStyle name="20% - Accent3 2 2 2 5 2 3" xfId="12553" xr:uid="{2482B20F-210E-4237-9D11-58C83887D8BD}"/>
    <cellStyle name="20% - Accent3 2 2 2 5 3" xfId="6176" xr:uid="{00000000-0005-0000-0000-000054010000}"/>
    <cellStyle name="20% - Accent3 2 2 2 5 3 2" xfId="14626" xr:uid="{5B6E21D7-1248-4E5D-98AB-2772F0D0A158}"/>
    <cellStyle name="20% - Accent3 2 2 2 5 4" xfId="10408" xr:uid="{93313D7F-10BC-4737-99CE-4B009CAAFB3C}"/>
    <cellStyle name="20% - Accent3 2 2 2 6" xfId="2283" xr:uid="{00000000-0005-0000-0000-000055010000}"/>
    <cellStyle name="20% - Accent3 2 2 2 6 2" xfId="6589" xr:uid="{00000000-0005-0000-0000-000056010000}"/>
    <cellStyle name="20% - Accent3 2 2 2 6 2 2" xfId="15039" xr:uid="{F5E90963-6A14-4536-9C39-550C535EEBE8}"/>
    <cellStyle name="20% - Accent3 2 2 2 6 3" xfId="10821" xr:uid="{EA219FAF-06F0-4879-92FB-48D471FAC3B6}"/>
    <cellStyle name="20% - Accent3 2 2 2 7" xfId="4523" xr:uid="{00000000-0005-0000-0000-000057010000}"/>
    <cellStyle name="20% - Accent3 2 2 2 7 2" xfId="12973" xr:uid="{9910210C-F60D-4F8E-901D-D045929D501C}"/>
    <cellStyle name="20% - Accent3 2 2 2 8" xfId="8755" xr:uid="{080C55D9-E6E7-4F7C-A56E-C894EC562FB2}"/>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829B74DC-ACE9-4873-B21C-B82A734D5D44}"/>
    <cellStyle name="20% - Accent3 2 2 3 2 3" xfId="11313" xr:uid="{2677CA25-7BDD-4A69-B59B-AA479A349C38}"/>
    <cellStyle name="20% - Accent3 2 2 3 3" xfId="4936" xr:uid="{00000000-0005-0000-0000-00005B010000}"/>
    <cellStyle name="20% - Accent3 2 2 3 3 2" xfId="13386" xr:uid="{9E4F1526-9F0F-46DD-B606-BA91441CD3F5}"/>
    <cellStyle name="20% - Accent3 2 2 3 4" xfId="9168" xr:uid="{468DE66E-6631-480F-9227-7968EC75F914}"/>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984F61FD-8605-4095-848A-6342D07602C2}"/>
    <cellStyle name="20% - Accent3 2 2 4 2 3" xfId="11726" xr:uid="{C97AFF28-3417-47D2-9BAD-60CB19CD2BDE}"/>
    <cellStyle name="20% - Accent3 2 2 4 3" xfId="5349" xr:uid="{00000000-0005-0000-0000-00005F010000}"/>
    <cellStyle name="20% - Accent3 2 2 4 3 2" xfId="13799" xr:uid="{0AEF2D2E-239F-4BD2-83C7-90584109A713}"/>
    <cellStyle name="20% - Accent3 2 2 4 4" xfId="9581" xr:uid="{371BE0C4-C9DE-46F0-8014-6045784F03D7}"/>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27DD9DF2-4CB5-48B2-832C-919CDB4C4B98}"/>
    <cellStyle name="20% - Accent3 2 2 5 2 3" xfId="12139" xr:uid="{389A9D3F-F34F-4271-9B25-142D478EE1F1}"/>
    <cellStyle name="20% - Accent3 2 2 5 3" xfId="5762" xr:uid="{00000000-0005-0000-0000-000063010000}"/>
    <cellStyle name="20% - Accent3 2 2 5 3 2" xfId="14212" xr:uid="{CB4B013D-0637-41C6-980C-325692228709}"/>
    <cellStyle name="20% - Accent3 2 2 5 4" xfId="9994" xr:uid="{36759A5D-CCDC-4F36-8EEB-D5A701173D21}"/>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26A529E4-60DA-43FE-B884-FB62AB05ED89}"/>
    <cellStyle name="20% - Accent3 2 2 6 2 3" xfId="12552" xr:uid="{A9C9D2E3-835C-462B-9F3F-AD2B885B5F3F}"/>
    <cellStyle name="20% - Accent3 2 2 6 3" xfId="6175" xr:uid="{00000000-0005-0000-0000-000067010000}"/>
    <cellStyle name="20% - Accent3 2 2 6 3 2" xfId="14625" xr:uid="{72C25164-C914-4F2F-AA77-3C85F2818A48}"/>
    <cellStyle name="20% - Accent3 2 2 6 4" xfId="10407" xr:uid="{0EA67CDA-8E85-49D1-B0F7-F516D4952187}"/>
    <cellStyle name="20% - Accent3 2 2 7" xfId="2282" xr:uid="{00000000-0005-0000-0000-000068010000}"/>
    <cellStyle name="20% - Accent3 2 2 7 2" xfId="6588" xr:uid="{00000000-0005-0000-0000-000069010000}"/>
    <cellStyle name="20% - Accent3 2 2 7 2 2" xfId="15038" xr:uid="{F0125355-E387-46B3-B378-BE1868B83DE4}"/>
    <cellStyle name="20% - Accent3 2 2 7 3" xfId="10820" xr:uid="{4934B43F-2ADA-4D8C-83F7-EFDF277D3069}"/>
    <cellStyle name="20% - Accent3 2 2 8" xfId="4522" xr:uid="{00000000-0005-0000-0000-00006A010000}"/>
    <cellStyle name="20% - Accent3 2 2 8 2" xfId="12972" xr:uid="{C9F750CF-797F-419D-A3A5-AFA12E4A2C8C}"/>
    <cellStyle name="20% - Accent3 2 2 9" xfId="8754" xr:uid="{8AD55EBC-79C5-4F75-855D-238E852EC29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D093684E-6B16-4D63-B2B0-CD5394E46449}"/>
    <cellStyle name="20% - Accent3 2 3 2 2 3" xfId="11315" xr:uid="{6ACDED62-08EF-42AD-AEC5-6FBC0140D7B1}"/>
    <cellStyle name="20% - Accent3 2 3 2 3" xfId="4938" xr:uid="{00000000-0005-0000-0000-00006F010000}"/>
    <cellStyle name="20% - Accent3 2 3 2 3 2" xfId="13388" xr:uid="{DC505844-92CD-421A-9D9D-6C5BE41B27AC}"/>
    <cellStyle name="20% - Accent3 2 3 2 4" xfId="9170" xr:uid="{FC9BB76C-FA78-48BA-8D03-03B18BACBF9B}"/>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76E2D236-B582-4664-881E-AAC828800B0F}"/>
    <cellStyle name="20% - Accent3 2 3 3 2 3" xfId="11728" xr:uid="{6DCBEF46-D222-46F8-807F-A20BF9C8C3DA}"/>
    <cellStyle name="20% - Accent3 2 3 3 3" xfId="5351" xr:uid="{00000000-0005-0000-0000-000073010000}"/>
    <cellStyle name="20% - Accent3 2 3 3 3 2" xfId="13801" xr:uid="{43B0A063-04D9-41EF-BF57-10CC0D78D34B}"/>
    <cellStyle name="20% - Accent3 2 3 3 4" xfId="9583" xr:uid="{25A0B68D-81B9-4C25-B8A6-1FA1AFEABDD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B2FD3431-6A77-4BB4-801F-7DB59A851593}"/>
    <cellStyle name="20% - Accent3 2 3 4 2 3" xfId="12141" xr:uid="{C3D95C87-10CB-42F8-B3A5-50AE2E765677}"/>
    <cellStyle name="20% - Accent3 2 3 4 3" xfId="5764" xr:uid="{00000000-0005-0000-0000-000077010000}"/>
    <cellStyle name="20% - Accent3 2 3 4 3 2" xfId="14214" xr:uid="{43FC6AAB-FAF5-40BE-BA8B-354B610B08D1}"/>
    <cellStyle name="20% - Accent3 2 3 4 4" xfId="9996" xr:uid="{1A7DEDCF-AB8A-4B6C-B82A-64B205CA1AF9}"/>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EE9A4919-B4BE-47B1-8D3A-6628AC5E13D5}"/>
    <cellStyle name="20% - Accent3 2 3 5 2 3" xfId="12554" xr:uid="{C264F64E-84B1-4F4B-BB80-C872E63B4713}"/>
    <cellStyle name="20% - Accent3 2 3 5 3" xfId="6177" xr:uid="{00000000-0005-0000-0000-00007B010000}"/>
    <cellStyle name="20% - Accent3 2 3 5 3 2" xfId="14627" xr:uid="{AC982167-2F52-4A57-B798-797FFB73983F}"/>
    <cellStyle name="20% - Accent3 2 3 5 4" xfId="10409" xr:uid="{3F4CFC3F-5A5B-4BC8-B7BC-B660DC1DEEB2}"/>
    <cellStyle name="20% - Accent3 2 3 6" xfId="2284" xr:uid="{00000000-0005-0000-0000-00007C010000}"/>
    <cellStyle name="20% - Accent3 2 3 6 2" xfId="6590" xr:uid="{00000000-0005-0000-0000-00007D010000}"/>
    <cellStyle name="20% - Accent3 2 3 6 2 2" xfId="15040" xr:uid="{99961FC7-95F3-463E-8A32-69BD8BD41A2F}"/>
    <cellStyle name="20% - Accent3 2 3 6 3" xfId="10822" xr:uid="{15B7F89A-95C7-4820-A29B-4956785C517A}"/>
    <cellStyle name="20% - Accent3 2 3 7" xfId="4524" xr:uid="{00000000-0005-0000-0000-00007E010000}"/>
    <cellStyle name="20% - Accent3 2 3 7 2" xfId="12974" xr:uid="{B19A4BB9-B562-42D5-9351-F34DE0145C3F}"/>
    <cellStyle name="20% - Accent3 2 3 8" xfId="8756" xr:uid="{C49517DC-79E2-4030-8D3E-D09661EF82B9}"/>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6B547648-F296-4092-AA94-0CA79BC084E5}"/>
    <cellStyle name="20% - Accent3 2 4 2 3" xfId="11312" xr:uid="{622C7AE7-0024-4A7A-AD28-687A9ED5359F}"/>
    <cellStyle name="20% - Accent3 2 4 3" xfId="4935" xr:uid="{00000000-0005-0000-0000-000082010000}"/>
    <cellStyle name="20% - Accent3 2 4 3 2" xfId="13385" xr:uid="{CBBE563D-D90E-40F7-9F4D-9FC4DCFEC40F}"/>
    <cellStyle name="20% - Accent3 2 4 4" xfId="9167" xr:uid="{4F5EF05F-12B7-4549-8DBE-81D2D379FB43}"/>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8DA308F0-FD74-47E4-8334-E35C50F904B0}"/>
    <cellStyle name="20% - Accent3 2 5 2 3" xfId="11725" xr:uid="{C4F7BAA2-0CCD-4975-9B12-57A25D47B937}"/>
    <cellStyle name="20% - Accent3 2 5 3" xfId="5348" xr:uid="{00000000-0005-0000-0000-000086010000}"/>
    <cellStyle name="20% - Accent3 2 5 3 2" xfId="13798" xr:uid="{A473EA2D-6929-4A31-957E-3CFC0C4097DD}"/>
    <cellStyle name="20% - Accent3 2 5 4" xfId="9580" xr:uid="{71E4C363-9466-4A3E-909F-DA5C381AFE5F}"/>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ADEAA629-CA83-4ADD-95EE-3DD7CDDEE451}"/>
    <cellStyle name="20% - Accent3 2 6 2 3" xfId="12138" xr:uid="{25612FD5-4C1C-4EC2-999C-1665EB2CBCD0}"/>
    <cellStyle name="20% - Accent3 2 6 3" xfId="5761" xr:uid="{00000000-0005-0000-0000-00008A010000}"/>
    <cellStyle name="20% - Accent3 2 6 3 2" xfId="14211" xr:uid="{85BB2DA2-1714-4019-8C3E-A08654246ECE}"/>
    <cellStyle name="20% - Accent3 2 6 4" xfId="9993" xr:uid="{D5B6A98C-2A0F-4981-9DF5-DA7AC5E3E744}"/>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001D8863-E242-4F7A-AE48-F8CB8B0F3836}"/>
    <cellStyle name="20% - Accent3 2 7 2 3" xfId="12551" xr:uid="{7B6E4F9B-0952-4F14-A958-0920954A57CB}"/>
    <cellStyle name="20% - Accent3 2 7 3" xfId="6174" xr:uid="{00000000-0005-0000-0000-00008E010000}"/>
    <cellStyle name="20% - Accent3 2 7 3 2" xfId="14624" xr:uid="{136CA2AA-FBD1-4230-942C-A923E08F6477}"/>
    <cellStyle name="20% - Accent3 2 7 4" xfId="10406" xr:uid="{B970593F-171F-4FC3-9050-00219AC8EAD2}"/>
    <cellStyle name="20% - Accent3 2 8" xfId="2281" xr:uid="{00000000-0005-0000-0000-00008F010000}"/>
    <cellStyle name="20% - Accent3 2 8 2" xfId="6587" xr:uid="{00000000-0005-0000-0000-000090010000}"/>
    <cellStyle name="20% - Accent3 2 8 2 2" xfId="15037" xr:uid="{24C9F718-B6FC-4DFC-A3F7-8DABC4C9667F}"/>
    <cellStyle name="20% - Accent3 2 8 3" xfId="10819" xr:uid="{F0405D59-DA67-46C0-8404-BA3F9CA35FA0}"/>
    <cellStyle name="20% - Accent3 2 9" xfId="4521" xr:uid="{00000000-0005-0000-0000-000091010000}"/>
    <cellStyle name="20% - Accent3 2 9 2" xfId="12971" xr:uid="{0FAF135F-4862-4389-8F96-672455F7E7EC}"/>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1D792D1B-18C0-4C83-8017-0E483A609AB0}"/>
    <cellStyle name="20% - Accent3 3 2 2 2 3" xfId="11317" xr:uid="{A24A4056-9427-4308-961C-572FC195DD69}"/>
    <cellStyle name="20% - Accent3 3 2 2 3" xfId="4940" xr:uid="{00000000-0005-0000-0000-000097010000}"/>
    <cellStyle name="20% - Accent3 3 2 2 3 2" xfId="13390" xr:uid="{7A4B59C8-C8BF-4ECC-B987-F23EBBA8DDFC}"/>
    <cellStyle name="20% - Accent3 3 2 2 4" xfId="9172" xr:uid="{A6E195FA-5974-4D99-9242-737CDE0B03FF}"/>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98A71A12-F761-4769-BD94-B94E2954DF6D}"/>
    <cellStyle name="20% - Accent3 3 2 3 2 3" xfId="11730" xr:uid="{5A48149B-F33F-4D51-A99C-DB694749AE42}"/>
    <cellStyle name="20% - Accent3 3 2 3 3" xfId="5353" xr:uid="{00000000-0005-0000-0000-00009B010000}"/>
    <cellStyle name="20% - Accent3 3 2 3 3 2" xfId="13803" xr:uid="{5C86756E-C368-4C29-9EEC-3A6BAF185A1B}"/>
    <cellStyle name="20% - Accent3 3 2 3 4" xfId="9585" xr:uid="{42A760A0-6F9E-45D3-9C44-4DF32B0452EB}"/>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41D01833-313F-4498-B774-AF51816E0551}"/>
    <cellStyle name="20% - Accent3 3 2 4 2 3" xfId="12143" xr:uid="{E2ED1542-68D9-4762-98D3-1D66DEB430BC}"/>
    <cellStyle name="20% - Accent3 3 2 4 3" xfId="5766" xr:uid="{00000000-0005-0000-0000-00009F010000}"/>
    <cellStyle name="20% - Accent3 3 2 4 3 2" xfId="14216" xr:uid="{263FBB3A-F6B5-4248-8F00-F8E7B3953B47}"/>
    <cellStyle name="20% - Accent3 3 2 4 4" xfId="9998" xr:uid="{514695E0-1D13-4D4A-8B7D-071AEAF5F308}"/>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04023767-6312-4AA4-9320-255277D2378B}"/>
    <cellStyle name="20% - Accent3 3 2 5 2 3" xfId="12556" xr:uid="{F689AB8C-9B16-40E1-9615-C32342EB9A9A}"/>
    <cellStyle name="20% - Accent3 3 2 5 3" xfId="6179" xr:uid="{00000000-0005-0000-0000-0000A3010000}"/>
    <cellStyle name="20% - Accent3 3 2 5 3 2" xfId="14629" xr:uid="{8ADA8411-C9F6-4809-97C6-5196F2849A7A}"/>
    <cellStyle name="20% - Accent3 3 2 5 4" xfId="10411" xr:uid="{C21F1273-BC3E-4C01-9AF7-C054EA59A353}"/>
    <cellStyle name="20% - Accent3 3 2 6" xfId="2286" xr:uid="{00000000-0005-0000-0000-0000A4010000}"/>
    <cellStyle name="20% - Accent3 3 2 6 2" xfId="6592" xr:uid="{00000000-0005-0000-0000-0000A5010000}"/>
    <cellStyle name="20% - Accent3 3 2 6 2 2" xfId="15042" xr:uid="{2983744A-688A-4DF2-BE76-BEF0FFFBCFDD}"/>
    <cellStyle name="20% - Accent3 3 2 6 3" xfId="10824" xr:uid="{721B84B6-C6CF-491C-AA1C-A8DB3804CF76}"/>
    <cellStyle name="20% - Accent3 3 2 7" xfId="4526" xr:uid="{00000000-0005-0000-0000-0000A6010000}"/>
    <cellStyle name="20% - Accent3 3 2 7 2" xfId="12976" xr:uid="{38190745-2A20-485E-9BF4-D2976D1F44ED}"/>
    <cellStyle name="20% - Accent3 3 2 8" xfId="8758" xr:uid="{BE89E696-5B02-4BA0-A5B7-EABE03DF5015}"/>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038B44CC-EB43-4164-AF1C-2D1007DB47DE}"/>
    <cellStyle name="20% - Accent3 3 3 2 3" xfId="11316" xr:uid="{1FF515D0-B071-42B7-A744-039B6AC7D53F}"/>
    <cellStyle name="20% - Accent3 3 3 3" xfId="4939" xr:uid="{00000000-0005-0000-0000-0000AA010000}"/>
    <cellStyle name="20% - Accent3 3 3 3 2" xfId="13389" xr:uid="{1AE96B7C-60C8-4804-9DA0-23712D300A25}"/>
    <cellStyle name="20% - Accent3 3 3 4" xfId="9171" xr:uid="{529969E6-F25C-4B29-A222-C6E4819CFFEE}"/>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B987028B-AEB6-4A25-8EF7-6BF03284D47E}"/>
    <cellStyle name="20% - Accent3 3 4 2 3" xfId="11729" xr:uid="{E37A04CB-6DB0-4C8A-870A-5442E320DBD6}"/>
    <cellStyle name="20% - Accent3 3 4 3" xfId="5352" xr:uid="{00000000-0005-0000-0000-0000AE010000}"/>
    <cellStyle name="20% - Accent3 3 4 3 2" xfId="13802" xr:uid="{1B374434-58FE-4802-8388-FE3FD07F1309}"/>
    <cellStyle name="20% - Accent3 3 4 4" xfId="9584" xr:uid="{23855DE5-D26F-48BF-AA28-1DCDBDD1CB2D}"/>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9C64C7BE-769B-4BFF-86ED-6C6753E6BC20}"/>
    <cellStyle name="20% - Accent3 3 5 2 3" xfId="12142" xr:uid="{56CB854D-56CC-4B50-8400-02644EE7D752}"/>
    <cellStyle name="20% - Accent3 3 5 3" xfId="5765" xr:uid="{00000000-0005-0000-0000-0000B2010000}"/>
    <cellStyle name="20% - Accent3 3 5 3 2" xfId="14215" xr:uid="{991F79F6-DC24-48E2-85E8-217077FD1FD7}"/>
    <cellStyle name="20% - Accent3 3 5 4" xfId="9997" xr:uid="{343D274C-1C5C-4CF5-83FD-3575819FBC85}"/>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39DDB12B-C513-4775-B7DF-68C01BEA043F}"/>
    <cellStyle name="20% - Accent3 3 6 2 3" xfId="12555" xr:uid="{E4F0DAF3-DE45-4264-B4A4-6AAD82A14A9F}"/>
    <cellStyle name="20% - Accent3 3 6 3" xfId="6178" xr:uid="{00000000-0005-0000-0000-0000B6010000}"/>
    <cellStyle name="20% - Accent3 3 6 3 2" xfId="14628" xr:uid="{BBD2A80B-BEAF-4B60-9DE4-45BA31A733AD}"/>
    <cellStyle name="20% - Accent3 3 6 4" xfId="10410" xr:uid="{FFA57A74-F0BA-4AE4-85B3-040AC830DD31}"/>
    <cellStyle name="20% - Accent3 3 7" xfId="2285" xr:uid="{00000000-0005-0000-0000-0000B7010000}"/>
    <cellStyle name="20% - Accent3 3 7 2" xfId="6591" xr:uid="{00000000-0005-0000-0000-0000B8010000}"/>
    <cellStyle name="20% - Accent3 3 7 2 2" xfId="15041" xr:uid="{F6924CAF-8DC1-4FA0-9F6B-9A87B9F1A836}"/>
    <cellStyle name="20% - Accent3 3 7 3" xfId="10823" xr:uid="{E33132DE-D398-4B8E-9535-782B81D1FE69}"/>
    <cellStyle name="20% - Accent3 3 8" xfId="4525" xr:uid="{00000000-0005-0000-0000-0000B9010000}"/>
    <cellStyle name="20% - Accent3 3 8 2" xfId="12975" xr:uid="{5822C3D6-358E-4E7E-9464-32C9C6221E15}"/>
    <cellStyle name="20% - Accent3 3 9" xfId="8757" xr:uid="{91CE0F6E-9CB5-46FB-BD5C-405AB0ECD7DA}"/>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F43E55C3-5A4E-4A0B-B179-9AB0C0E6E180}"/>
    <cellStyle name="20% - Accent3 4 2 2 3" xfId="11318" xr:uid="{D7ECEAAC-D9A5-48D8-8BA7-FC5D2F251CD8}"/>
    <cellStyle name="20% - Accent3 4 2 3" xfId="4941" xr:uid="{00000000-0005-0000-0000-0000BE010000}"/>
    <cellStyle name="20% - Accent3 4 2 3 2" xfId="13391" xr:uid="{713F31B1-2037-4129-9C30-B38DFCCC290D}"/>
    <cellStyle name="20% - Accent3 4 2 4" xfId="9173" xr:uid="{4BBE2430-947C-42E4-8C8D-BBEBAFD2AB79}"/>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879A8508-D38D-497D-BDDD-2EBA4A85702C}"/>
    <cellStyle name="20% - Accent3 4 3 2 3" xfId="11731" xr:uid="{7D6ACBBF-56DC-49A3-B6A1-737D5042E01E}"/>
    <cellStyle name="20% - Accent3 4 3 3" xfId="5354" xr:uid="{00000000-0005-0000-0000-0000C2010000}"/>
    <cellStyle name="20% - Accent3 4 3 3 2" xfId="13804" xr:uid="{21BEDD99-C2CA-426F-BD04-C86974219268}"/>
    <cellStyle name="20% - Accent3 4 3 4" xfId="9586" xr:uid="{AB70ADD6-288A-4562-8530-C6DDCFABB2C5}"/>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9E89FC88-0622-4B66-AA98-CB56B6C28C0C}"/>
    <cellStyle name="20% - Accent3 4 4 2 3" xfId="12144" xr:uid="{11BC8693-0E35-40EE-8064-32B7C66302DD}"/>
    <cellStyle name="20% - Accent3 4 4 3" xfId="5767" xr:uid="{00000000-0005-0000-0000-0000C6010000}"/>
    <cellStyle name="20% - Accent3 4 4 3 2" xfId="14217" xr:uid="{43B39532-AE5F-4D90-97BB-0A50B3677298}"/>
    <cellStyle name="20% - Accent3 4 4 4" xfId="9999" xr:uid="{C03D5FD6-2AA9-4612-82A5-9B045376FCD6}"/>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E35B7E12-9358-44CD-8954-B120108DAF55}"/>
    <cellStyle name="20% - Accent3 4 5 2 3" xfId="12557" xr:uid="{53DD7602-AE88-4173-9DEA-015D2FFB63DD}"/>
    <cellStyle name="20% - Accent3 4 5 3" xfId="6180" xr:uid="{00000000-0005-0000-0000-0000CA010000}"/>
    <cellStyle name="20% - Accent3 4 5 3 2" xfId="14630" xr:uid="{9742C2EF-6970-4AC0-A308-311183D8B461}"/>
    <cellStyle name="20% - Accent3 4 5 4" xfId="10412" xr:uid="{B6463ACB-B394-4837-8E55-54D1E665056A}"/>
    <cellStyle name="20% - Accent3 4 6" xfId="2287" xr:uid="{00000000-0005-0000-0000-0000CB010000}"/>
    <cellStyle name="20% - Accent3 4 6 2" xfId="6593" xr:uid="{00000000-0005-0000-0000-0000CC010000}"/>
    <cellStyle name="20% - Accent3 4 6 2 2" xfId="15043" xr:uid="{77510B23-EB61-458B-A583-BE1FC7675B4A}"/>
    <cellStyle name="20% - Accent3 4 6 3" xfId="10825" xr:uid="{FBDEF734-6216-4434-8C7B-65BDF02B74F5}"/>
    <cellStyle name="20% - Accent3 4 7" xfId="4527" xr:uid="{00000000-0005-0000-0000-0000CD010000}"/>
    <cellStyle name="20% - Accent3 4 7 2" xfId="12977" xr:uid="{D12D34B5-8259-4B03-8BE6-CDBB48E6BBE2}"/>
    <cellStyle name="20% - Accent3 4 8" xfId="8759" xr:uid="{1C2FC6ED-EFE2-411B-B173-6238CC087036}"/>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10C89E55-7142-4C69-8B4A-CA3932334332}"/>
    <cellStyle name="20% - Accent3 5 2 3" xfId="11311" xr:uid="{18B9B593-623B-46CC-8F92-21F0724F68A8}"/>
    <cellStyle name="20% - Accent3 5 3" xfId="4934" xr:uid="{00000000-0005-0000-0000-0000D1010000}"/>
    <cellStyle name="20% - Accent3 5 3 2" xfId="13384" xr:uid="{F5A5B62D-2E14-4B25-AE19-685AEDE3D4DA}"/>
    <cellStyle name="20% - Accent3 5 4" xfId="9166" xr:uid="{7C4F8F78-A292-4EFF-8330-5472B836752F}"/>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748785A5-D098-4451-8893-3F9A2BB6F4C2}"/>
    <cellStyle name="20% - Accent3 6 2 3" xfId="11724" xr:uid="{A922F80E-E5C2-49B5-A8AF-6520D455300E}"/>
    <cellStyle name="20% - Accent3 6 3" xfId="5347" xr:uid="{00000000-0005-0000-0000-0000D5010000}"/>
    <cellStyle name="20% - Accent3 6 3 2" xfId="13797" xr:uid="{D89003EA-DC00-4735-96D5-A5FE6C2AC870}"/>
    <cellStyle name="20% - Accent3 6 4" xfId="9579" xr:uid="{306F25BA-9396-43D1-B6CE-9914E128F23A}"/>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51D82BE1-5BA1-4299-8D55-38B83CB9998C}"/>
    <cellStyle name="20% - Accent3 7 2 3" xfId="12137" xr:uid="{2F61BA4F-4A5C-41BD-A676-8D911DCB6338}"/>
    <cellStyle name="20% - Accent3 7 3" xfId="5760" xr:uid="{00000000-0005-0000-0000-0000D9010000}"/>
    <cellStyle name="20% - Accent3 7 3 2" xfId="14210" xr:uid="{9F453DE3-7197-4930-8022-7F3A820EFE24}"/>
    <cellStyle name="20% - Accent3 7 4" xfId="9992" xr:uid="{B5CE9A8D-B535-4724-8E4F-ED1F05516106}"/>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2E4DC882-239C-484E-BBEF-DA9B3501FDDC}"/>
    <cellStyle name="20% - Accent3 8 2 3" xfId="12550" xr:uid="{80A0A3A1-6102-41F9-9AFF-BF9481685CB1}"/>
    <cellStyle name="20% - Accent3 8 3" xfId="6173" xr:uid="{00000000-0005-0000-0000-0000DD010000}"/>
    <cellStyle name="20% - Accent3 8 3 2" xfId="14623" xr:uid="{55AA4390-9975-42ED-8255-98D47E8A7B45}"/>
    <cellStyle name="20% - Accent3 8 4" xfId="10405" xr:uid="{CFFD4752-EAEA-46DA-B0A1-3B55769D3468}"/>
    <cellStyle name="20% - Accent3 9" xfId="2280" xr:uid="{00000000-0005-0000-0000-0000DE010000}"/>
    <cellStyle name="20% - Accent3 9 2" xfId="6586" xr:uid="{00000000-0005-0000-0000-0000DF010000}"/>
    <cellStyle name="20% - Accent3 9 2 2" xfId="15036" xr:uid="{18B2DDF5-A15C-40B9-AAD2-F79670A8F57C}"/>
    <cellStyle name="20% - Accent3 9 3" xfId="10818" xr:uid="{58C6A003-98B1-44CF-B63F-383F9544E79D}"/>
    <cellStyle name="20% - Accent4" xfId="25" builtinId="42" customBuiltin="1"/>
    <cellStyle name="20% - Accent4 10" xfId="4528" xr:uid="{00000000-0005-0000-0000-0000E1010000}"/>
    <cellStyle name="20% - Accent4 10 2" xfId="12978" xr:uid="{F55D2D1F-DA3D-43E2-8FA5-E20582951A72}"/>
    <cellStyle name="20% - Accent4 11" xfId="8760" xr:uid="{FEE43A69-3825-4D85-858D-63C3D6E13270}"/>
    <cellStyle name="20% - Accent4 2" xfId="26" xr:uid="{00000000-0005-0000-0000-0000E2010000}"/>
    <cellStyle name="20% - Accent4 2 10" xfId="8761" xr:uid="{A9D1F620-4C5C-423C-8008-879C776AB234}"/>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29C47FE5-DF19-4F22-99A6-B55F65BA6959}"/>
    <cellStyle name="20% - Accent4 2 2 2 2 2 3" xfId="11322" xr:uid="{CD4181B7-C7B6-4090-A754-311DBCD619F2}"/>
    <cellStyle name="20% - Accent4 2 2 2 2 3" xfId="4945" xr:uid="{00000000-0005-0000-0000-0000E8010000}"/>
    <cellStyle name="20% - Accent4 2 2 2 2 3 2" xfId="13395" xr:uid="{FD0A0FC7-8F9C-4CF7-A766-F291E4244F36}"/>
    <cellStyle name="20% - Accent4 2 2 2 2 4" xfId="9177" xr:uid="{B2C66D9D-2130-4FC5-913D-C98C2D7E8A17}"/>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02FF0B5F-AC87-442B-B9B0-7AC25CF6DA24}"/>
    <cellStyle name="20% - Accent4 2 2 2 3 2 3" xfId="11735" xr:uid="{ECA1443F-C378-4D22-B839-4BAF51320329}"/>
    <cellStyle name="20% - Accent4 2 2 2 3 3" xfId="5358" xr:uid="{00000000-0005-0000-0000-0000EC010000}"/>
    <cellStyle name="20% - Accent4 2 2 2 3 3 2" xfId="13808" xr:uid="{8D2E8C5F-B463-4919-9D36-870F9754C2A2}"/>
    <cellStyle name="20% - Accent4 2 2 2 3 4" xfId="9590" xr:uid="{2A24EC8F-F7E6-4A13-86F8-B1C85C45B5C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8E8BCFE7-2B78-4C1B-B96E-9D132CDE6D1E}"/>
    <cellStyle name="20% - Accent4 2 2 2 4 2 3" xfId="12148" xr:uid="{89672131-99D6-4F05-962B-B786E2C57D3F}"/>
    <cellStyle name="20% - Accent4 2 2 2 4 3" xfId="5771" xr:uid="{00000000-0005-0000-0000-0000F0010000}"/>
    <cellStyle name="20% - Accent4 2 2 2 4 3 2" xfId="14221" xr:uid="{75E5145B-88E6-4FDC-B411-A89678786288}"/>
    <cellStyle name="20% - Accent4 2 2 2 4 4" xfId="10003" xr:uid="{450702F5-78F5-4EE4-84EA-7ECB8D75D988}"/>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65A82601-F8D3-44BE-A62B-5DFA151F7678}"/>
    <cellStyle name="20% - Accent4 2 2 2 5 2 3" xfId="12561" xr:uid="{C2F040E7-92CC-4EF0-AD8D-4643EBC7BC3B}"/>
    <cellStyle name="20% - Accent4 2 2 2 5 3" xfId="6184" xr:uid="{00000000-0005-0000-0000-0000F4010000}"/>
    <cellStyle name="20% - Accent4 2 2 2 5 3 2" xfId="14634" xr:uid="{B780B6E9-864B-40E5-8BEA-B61F10CB7156}"/>
    <cellStyle name="20% - Accent4 2 2 2 5 4" xfId="10416" xr:uid="{8584C490-B444-43DF-B6CF-F3FD6ED23A06}"/>
    <cellStyle name="20% - Accent4 2 2 2 6" xfId="2291" xr:uid="{00000000-0005-0000-0000-0000F5010000}"/>
    <cellStyle name="20% - Accent4 2 2 2 6 2" xfId="6597" xr:uid="{00000000-0005-0000-0000-0000F6010000}"/>
    <cellStyle name="20% - Accent4 2 2 2 6 2 2" xfId="15047" xr:uid="{17DD26A5-AD92-4309-9B6E-FDB5250980C5}"/>
    <cellStyle name="20% - Accent4 2 2 2 6 3" xfId="10829" xr:uid="{B9087C3F-3094-415B-8A8A-BBFD272C6D5F}"/>
    <cellStyle name="20% - Accent4 2 2 2 7" xfId="4531" xr:uid="{00000000-0005-0000-0000-0000F7010000}"/>
    <cellStyle name="20% - Accent4 2 2 2 7 2" xfId="12981" xr:uid="{E761160A-24CC-49AB-9E9F-E306685E5424}"/>
    <cellStyle name="20% - Accent4 2 2 2 8" xfId="8763" xr:uid="{E487C56C-E4E0-4FF0-B12D-0F859B6C2E3E}"/>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6F27C87C-1C01-4ECA-A30C-FC067264E112}"/>
    <cellStyle name="20% - Accent4 2 2 3 2 3" xfId="11321" xr:uid="{00278A78-E347-45E4-8ABC-B4F4FB1C5D8F}"/>
    <cellStyle name="20% - Accent4 2 2 3 3" xfId="4944" xr:uid="{00000000-0005-0000-0000-0000FB010000}"/>
    <cellStyle name="20% - Accent4 2 2 3 3 2" xfId="13394" xr:uid="{892905BB-14B2-4CCD-B1B2-D89451C1A2C9}"/>
    <cellStyle name="20% - Accent4 2 2 3 4" xfId="9176" xr:uid="{9543B1E8-FBAC-4691-A33A-65ED98D4BCE1}"/>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A2417439-2546-42F4-B0A4-61460950E6B7}"/>
    <cellStyle name="20% - Accent4 2 2 4 2 3" xfId="11734" xr:uid="{0A5028C4-3235-4C83-9222-C44F82539100}"/>
    <cellStyle name="20% - Accent4 2 2 4 3" xfId="5357" xr:uid="{00000000-0005-0000-0000-0000FF010000}"/>
    <cellStyle name="20% - Accent4 2 2 4 3 2" xfId="13807" xr:uid="{5E3782D3-468D-4B0E-96CA-9DA9A1E953C3}"/>
    <cellStyle name="20% - Accent4 2 2 4 4" xfId="9589" xr:uid="{9D5A95B1-2207-4C52-A7B7-4F21AE43566F}"/>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97F5CB0C-F0C4-49DA-B26F-D6170192E756}"/>
    <cellStyle name="20% - Accent4 2 2 5 2 3" xfId="12147" xr:uid="{71024E32-B7ED-49D6-871E-6E26155DEB79}"/>
    <cellStyle name="20% - Accent4 2 2 5 3" xfId="5770" xr:uid="{00000000-0005-0000-0000-000003020000}"/>
    <cellStyle name="20% - Accent4 2 2 5 3 2" xfId="14220" xr:uid="{FE9A925B-20A7-48AB-8205-0441378212F3}"/>
    <cellStyle name="20% - Accent4 2 2 5 4" xfId="10002" xr:uid="{818CA838-1651-4C5D-8B98-52EC41CE26AA}"/>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0469424E-0911-4307-9562-591D97661731}"/>
    <cellStyle name="20% - Accent4 2 2 6 2 3" xfId="12560" xr:uid="{C5EC906C-82BE-43BF-94A2-3AF090ED3F38}"/>
    <cellStyle name="20% - Accent4 2 2 6 3" xfId="6183" xr:uid="{00000000-0005-0000-0000-000007020000}"/>
    <cellStyle name="20% - Accent4 2 2 6 3 2" xfId="14633" xr:uid="{873E3241-8DBA-40E9-9519-2F23A22B122F}"/>
    <cellStyle name="20% - Accent4 2 2 6 4" xfId="10415" xr:uid="{35510782-D013-48DA-A5A0-55D18B1C5833}"/>
    <cellStyle name="20% - Accent4 2 2 7" xfId="2290" xr:uid="{00000000-0005-0000-0000-000008020000}"/>
    <cellStyle name="20% - Accent4 2 2 7 2" xfId="6596" xr:uid="{00000000-0005-0000-0000-000009020000}"/>
    <cellStyle name="20% - Accent4 2 2 7 2 2" xfId="15046" xr:uid="{6FAA6E75-8CBA-4625-A720-8BE6E8EF27D1}"/>
    <cellStyle name="20% - Accent4 2 2 7 3" xfId="10828" xr:uid="{6402729A-5145-4E16-A1DB-9A7C1F9D9BA8}"/>
    <cellStyle name="20% - Accent4 2 2 8" xfId="4530" xr:uid="{00000000-0005-0000-0000-00000A020000}"/>
    <cellStyle name="20% - Accent4 2 2 8 2" xfId="12980" xr:uid="{E53E16E7-52E4-43AD-9369-BF6281D6B2C7}"/>
    <cellStyle name="20% - Accent4 2 2 9" xfId="8762" xr:uid="{8DA5D761-2595-467C-8ABF-B5549DA5A2C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E6B4E02B-BF0C-46EB-9CB8-07EF9E02861E}"/>
    <cellStyle name="20% - Accent4 2 3 2 2 3" xfId="11323" xr:uid="{19C2E036-C144-4EA4-851A-52EC68D48A3A}"/>
    <cellStyle name="20% - Accent4 2 3 2 3" xfId="4946" xr:uid="{00000000-0005-0000-0000-00000F020000}"/>
    <cellStyle name="20% - Accent4 2 3 2 3 2" xfId="13396" xr:uid="{26E611B5-1997-4A4B-9ABB-E9DF59C57A46}"/>
    <cellStyle name="20% - Accent4 2 3 2 4" xfId="9178" xr:uid="{D95069BB-DACE-4633-BA9D-548483918270}"/>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CD3B6A0A-C8FB-465A-9A63-245D14B44297}"/>
    <cellStyle name="20% - Accent4 2 3 3 2 3" xfId="11736" xr:uid="{DEDE6BD3-A01A-423D-B4D4-66EEAC00CF5D}"/>
    <cellStyle name="20% - Accent4 2 3 3 3" xfId="5359" xr:uid="{00000000-0005-0000-0000-000013020000}"/>
    <cellStyle name="20% - Accent4 2 3 3 3 2" xfId="13809" xr:uid="{7E2D0FFB-19AB-4228-ACE8-AB6E503D7A5D}"/>
    <cellStyle name="20% - Accent4 2 3 3 4" xfId="9591" xr:uid="{86D5C177-480B-486C-A907-95704204BC7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598425EC-A081-4DE2-83E5-D601E2749508}"/>
    <cellStyle name="20% - Accent4 2 3 4 2 3" xfId="12149" xr:uid="{1A6BA074-0D99-4167-8B3D-14FF1175491C}"/>
    <cellStyle name="20% - Accent4 2 3 4 3" xfId="5772" xr:uid="{00000000-0005-0000-0000-000017020000}"/>
    <cellStyle name="20% - Accent4 2 3 4 3 2" xfId="14222" xr:uid="{230FEC8A-6920-48F7-AB5C-F041014903F8}"/>
    <cellStyle name="20% - Accent4 2 3 4 4" xfId="10004" xr:uid="{66F2897F-61A3-49F5-8F0C-049712DAD23B}"/>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58DE2D44-F511-4A9C-A6F4-9C812C866465}"/>
    <cellStyle name="20% - Accent4 2 3 5 2 3" xfId="12562" xr:uid="{ECBC853F-377C-481D-BEE4-1B8B0E0F955F}"/>
    <cellStyle name="20% - Accent4 2 3 5 3" xfId="6185" xr:uid="{00000000-0005-0000-0000-00001B020000}"/>
    <cellStyle name="20% - Accent4 2 3 5 3 2" xfId="14635" xr:uid="{DC81CD6B-B8DF-41C9-865A-D43C5C870523}"/>
    <cellStyle name="20% - Accent4 2 3 5 4" xfId="10417" xr:uid="{46786BD1-4802-4757-8B3E-BD1187CA99DB}"/>
    <cellStyle name="20% - Accent4 2 3 6" xfId="2292" xr:uid="{00000000-0005-0000-0000-00001C020000}"/>
    <cellStyle name="20% - Accent4 2 3 6 2" xfId="6598" xr:uid="{00000000-0005-0000-0000-00001D020000}"/>
    <cellStyle name="20% - Accent4 2 3 6 2 2" xfId="15048" xr:uid="{056E30E7-9F82-4E4B-8BB4-78EB937B0643}"/>
    <cellStyle name="20% - Accent4 2 3 6 3" xfId="10830" xr:uid="{71492D82-2EDB-43E9-A7E3-F7F02D51638D}"/>
    <cellStyle name="20% - Accent4 2 3 7" xfId="4532" xr:uid="{00000000-0005-0000-0000-00001E020000}"/>
    <cellStyle name="20% - Accent4 2 3 7 2" xfId="12982" xr:uid="{DFCFB95B-EF0D-4059-88CC-7D95CD9425D2}"/>
    <cellStyle name="20% - Accent4 2 3 8" xfId="8764" xr:uid="{3AD1A84E-10E1-40BC-9D2B-8509218F1CE8}"/>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29EB3289-395F-4244-8615-E7E256314878}"/>
    <cellStyle name="20% - Accent4 2 4 2 3" xfId="11320" xr:uid="{138D11C5-3A83-4A8D-8978-D5293B62BDEF}"/>
    <cellStyle name="20% - Accent4 2 4 3" xfId="4943" xr:uid="{00000000-0005-0000-0000-000022020000}"/>
    <cellStyle name="20% - Accent4 2 4 3 2" xfId="13393" xr:uid="{06EE57F4-7A40-4332-9361-FF4F695D3197}"/>
    <cellStyle name="20% - Accent4 2 4 4" xfId="9175" xr:uid="{352EC17D-41E9-4F0C-AF0C-676BB3DEC104}"/>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D1BA9A08-E41B-4FB7-8AA7-ECE1364962B0}"/>
    <cellStyle name="20% - Accent4 2 5 2 3" xfId="11733" xr:uid="{F0CE6090-46C9-45AE-A101-9C3609277550}"/>
    <cellStyle name="20% - Accent4 2 5 3" xfId="5356" xr:uid="{00000000-0005-0000-0000-000026020000}"/>
    <cellStyle name="20% - Accent4 2 5 3 2" xfId="13806" xr:uid="{96991A24-26DE-4158-B50E-871CCA68EB57}"/>
    <cellStyle name="20% - Accent4 2 5 4" xfId="9588" xr:uid="{AA1BBE52-DC93-4B04-9808-956C37BFA630}"/>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655BD068-79F5-43FD-8B18-A219B722F46A}"/>
    <cellStyle name="20% - Accent4 2 6 2 3" xfId="12146" xr:uid="{7C6F190A-B3A9-4631-99A8-EB179E2566C1}"/>
    <cellStyle name="20% - Accent4 2 6 3" xfId="5769" xr:uid="{00000000-0005-0000-0000-00002A020000}"/>
    <cellStyle name="20% - Accent4 2 6 3 2" xfId="14219" xr:uid="{62FF6F95-E433-47F9-A453-6F4480906E42}"/>
    <cellStyle name="20% - Accent4 2 6 4" xfId="10001" xr:uid="{D917B2BE-BF96-4532-B319-98EA24E6E879}"/>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9CC6A620-349B-466E-ADBC-FC7D956865C0}"/>
    <cellStyle name="20% - Accent4 2 7 2 3" xfId="12559" xr:uid="{629FBB2A-78C8-4583-B7A0-ED4AB8BB4355}"/>
    <cellStyle name="20% - Accent4 2 7 3" xfId="6182" xr:uid="{00000000-0005-0000-0000-00002E020000}"/>
    <cellStyle name="20% - Accent4 2 7 3 2" xfId="14632" xr:uid="{F4B46B2C-75CE-4682-8168-ECDBA0D7C091}"/>
    <cellStyle name="20% - Accent4 2 7 4" xfId="10414" xr:uid="{DB3FF2E9-5E6F-483D-AEA7-5C9FA6A14498}"/>
    <cellStyle name="20% - Accent4 2 8" xfId="2289" xr:uid="{00000000-0005-0000-0000-00002F020000}"/>
    <cellStyle name="20% - Accent4 2 8 2" xfId="6595" xr:uid="{00000000-0005-0000-0000-000030020000}"/>
    <cellStyle name="20% - Accent4 2 8 2 2" xfId="15045" xr:uid="{8E33F525-6E7E-4384-9B95-0C74A3595B3F}"/>
    <cellStyle name="20% - Accent4 2 8 3" xfId="10827" xr:uid="{B045CE77-846F-4731-99CC-833FC29C3D4E}"/>
    <cellStyle name="20% - Accent4 2 9" xfId="4529" xr:uid="{00000000-0005-0000-0000-000031020000}"/>
    <cellStyle name="20% - Accent4 2 9 2" xfId="12979" xr:uid="{E2903CA5-09B1-4A66-97E4-F9F0919C84A9}"/>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254193B0-9308-499C-9BB3-8E9127B0908B}"/>
    <cellStyle name="20% - Accent4 3 2 2 2 3" xfId="11325" xr:uid="{48DD6562-D85E-4896-BB3D-AC248C4F1ABA}"/>
    <cellStyle name="20% - Accent4 3 2 2 3" xfId="4948" xr:uid="{00000000-0005-0000-0000-000037020000}"/>
    <cellStyle name="20% - Accent4 3 2 2 3 2" xfId="13398" xr:uid="{FE518CE6-C70E-47AE-8148-1E2EF157B1FC}"/>
    <cellStyle name="20% - Accent4 3 2 2 4" xfId="9180" xr:uid="{781D9C1A-250A-4371-9630-4ABF984B0E05}"/>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4E426BB8-54BD-4A96-ABE4-BFD90AA96971}"/>
    <cellStyle name="20% - Accent4 3 2 3 2 3" xfId="11738" xr:uid="{3557A326-C2A8-4DA1-A09D-FEA49B52D603}"/>
    <cellStyle name="20% - Accent4 3 2 3 3" xfId="5361" xr:uid="{00000000-0005-0000-0000-00003B020000}"/>
    <cellStyle name="20% - Accent4 3 2 3 3 2" xfId="13811" xr:uid="{2180501E-84E0-4C76-ADF1-994DB3CD68D5}"/>
    <cellStyle name="20% - Accent4 3 2 3 4" xfId="9593" xr:uid="{276EFA28-A78E-4E0E-9C3C-BDFDCD84F591}"/>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08CFFD3F-17DE-475C-9379-DBC7539A6A46}"/>
    <cellStyle name="20% - Accent4 3 2 4 2 3" xfId="12151" xr:uid="{B476D085-DD8F-4409-BEAE-33C3FEE713E8}"/>
    <cellStyle name="20% - Accent4 3 2 4 3" xfId="5774" xr:uid="{00000000-0005-0000-0000-00003F020000}"/>
    <cellStyle name="20% - Accent4 3 2 4 3 2" xfId="14224" xr:uid="{9D82E1D1-F5B5-46EA-B0B7-DE421FAE3340}"/>
    <cellStyle name="20% - Accent4 3 2 4 4" xfId="10006" xr:uid="{6937F279-5606-439C-AE5F-1D28C682DD6C}"/>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BDB6822C-1E86-48C4-BA3A-AEE4558207F0}"/>
    <cellStyle name="20% - Accent4 3 2 5 2 3" xfId="12564" xr:uid="{54527C3F-80AF-445F-9B42-9BA59F6CD2A2}"/>
    <cellStyle name="20% - Accent4 3 2 5 3" xfId="6187" xr:uid="{00000000-0005-0000-0000-000043020000}"/>
    <cellStyle name="20% - Accent4 3 2 5 3 2" xfId="14637" xr:uid="{A97DAA3F-2EC9-47E3-A8C4-EB36E49F473E}"/>
    <cellStyle name="20% - Accent4 3 2 5 4" xfId="10419" xr:uid="{DCA68DC5-B2A8-4BDC-8C8C-94CDF8237642}"/>
    <cellStyle name="20% - Accent4 3 2 6" xfId="2294" xr:uid="{00000000-0005-0000-0000-000044020000}"/>
    <cellStyle name="20% - Accent4 3 2 6 2" xfId="6600" xr:uid="{00000000-0005-0000-0000-000045020000}"/>
    <cellStyle name="20% - Accent4 3 2 6 2 2" xfId="15050" xr:uid="{3671AD56-B4C5-465D-9428-C017BD036718}"/>
    <cellStyle name="20% - Accent4 3 2 6 3" xfId="10832" xr:uid="{7449D316-33DF-451E-A129-AB2AAB504363}"/>
    <cellStyle name="20% - Accent4 3 2 7" xfId="4534" xr:uid="{00000000-0005-0000-0000-000046020000}"/>
    <cellStyle name="20% - Accent4 3 2 7 2" xfId="12984" xr:uid="{F4690F1F-89F8-42CC-8B30-709BD84D33F7}"/>
    <cellStyle name="20% - Accent4 3 2 8" xfId="8766" xr:uid="{5AEED4DE-FC08-4FB2-B662-54C723F7349D}"/>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C3D9F2AB-4E28-44A2-97B2-1B5CFD74D937}"/>
    <cellStyle name="20% - Accent4 3 3 2 3" xfId="11324" xr:uid="{B211A681-B145-4B99-B294-F0678AB7FEB9}"/>
    <cellStyle name="20% - Accent4 3 3 3" xfId="4947" xr:uid="{00000000-0005-0000-0000-00004A020000}"/>
    <cellStyle name="20% - Accent4 3 3 3 2" xfId="13397" xr:uid="{D2C1D2BC-6D10-4EA2-9F42-F99940122692}"/>
    <cellStyle name="20% - Accent4 3 3 4" xfId="9179" xr:uid="{43E8EAE6-41D9-4BC2-983F-BFC132D567C2}"/>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7C9007BE-5CFC-4B77-95DF-9FAFF3887957}"/>
    <cellStyle name="20% - Accent4 3 4 2 3" xfId="11737" xr:uid="{92D83940-5472-48D2-90CE-345ADCB54833}"/>
    <cellStyle name="20% - Accent4 3 4 3" xfId="5360" xr:uid="{00000000-0005-0000-0000-00004E020000}"/>
    <cellStyle name="20% - Accent4 3 4 3 2" xfId="13810" xr:uid="{EB624C54-3CD7-4DC9-9584-2088DB62AAFC}"/>
    <cellStyle name="20% - Accent4 3 4 4" xfId="9592" xr:uid="{C0180891-FAE2-40C2-B7C3-0894630484C7}"/>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3F76E91C-0094-4711-8CB8-FAAAD1302E4B}"/>
    <cellStyle name="20% - Accent4 3 5 2 3" xfId="12150" xr:uid="{ACCA08FD-9B0F-4A14-B883-6A2B1EBD02F3}"/>
    <cellStyle name="20% - Accent4 3 5 3" xfId="5773" xr:uid="{00000000-0005-0000-0000-000052020000}"/>
    <cellStyle name="20% - Accent4 3 5 3 2" xfId="14223" xr:uid="{5D5241FC-0CB4-4178-8887-92B766F7921A}"/>
    <cellStyle name="20% - Accent4 3 5 4" xfId="10005" xr:uid="{7286ADBE-655E-4643-8A2A-34C05BB21085}"/>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49D81E4C-3CA0-48DB-B387-944472BBEBD3}"/>
    <cellStyle name="20% - Accent4 3 6 2 3" xfId="12563" xr:uid="{240A943D-4132-4AF0-9E8C-09B91721E633}"/>
    <cellStyle name="20% - Accent4 3 6 3" xfId="6186" xr:uid="{00000000-0005-0000-0000-000056020000}"/>
    <cellStyle name="20% - Accent4 3 6 3 2" xfId="14636" xr:uid="{15C3B060-6C6D-4228-8B8D-EDDFAA8F262E}"/>
    <cellStyle name="20% - Accent4 3 6 4" xfId="10418" xr:uid="{B333F97F-7C3F-4022-AF19-5E6CA1397DC7}"/>
    <cellStyle name="20% - Accent4 3 7" xfId="2293" xr:uid="{00000000-0005-0000-0000-000057020000}"/>
    <cellStyle name="20% - Accent4 3 7 2" xfId="6599" xr:uid="{00000000-0005-0000-0000-000058020000}"/>
    <cellStyle name="20% - Accent4 3 7 2 2" xfId="15049" xr:uid="{EE43EB1D-88E1-473D-9EF0-9710E7DE40C1}"/>
    <cellStyle name="20% - Accent4 3 7 3" xfId="10831" xr:uid="{83F27BD7-929E-408F-869E-79E22F0CC7E8}"/>
    <cellStyle name="20% - Accent4 3 8" xfId="4533" xr:uid="{00000000-0005-0000-0000-000059020000}"/>
    <cellStyle name="20% - Accent4 3 8 2" xfId="12983" xr:uid="{9B73277A-229B-4D6D-BC32-71B01CB0288C}"/>
    <cellStyle name="20% - Accent4 3 9" xfId="8765" xr:uid="{2C74DB03-FBCF-41C4-8B4D-A5D94639062C}"/>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26E45950-4245-4338-843D-D800F9C86106}"/>
    <cellStyle name="20% - Accent4 4 2 2 3" xfId="11326" xr:uid="{2E48DF70-8B23-487A-B6CD-90D9637C8BF9}"/>
    <cellStyle name="20% - Accent4 4 2 3" xfId="4949" xr:uid="{00000000-0005-0000-0000-00005E020000}"/>
    <cellStyle name="20% - Accent4 4 2 3 2" xfId="13399" xr:uid="{2993E6CC-6532-4ACD-965D-3FDB2DBD3B8B}"/>
    <cellStyle name="20% - Accent4 4 2 4" xfId="9181" xr:uid="{9EF9DF6C-A4C9-4660-A67F-44AA837DB372}"/>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C8385045-5A5A-43F3-B003-19F0D3C4BCED}"/>
    <cellStyle name="20% - Accent4 4 3 2 3" xfId="11739" xr:uid="{04B33CC7-4F9F-4FA0-82DC-D0491F4A5B09}"/>
    <cellStyle name="20% - Accent4 4 3 3" xfId="5362" xr:uid="{00000000-0005-0000-0000-000062020000}"/>
    <cellStyle name="20% - Accent4 4 3 3 2" xfId="13812" xr:uid="{51BFDBA2-C93D-438B-AE3A-85088A276CBE}"/>
    <cellStyle name="20% - Accent4 4 3 4" xfId="9594" xr:uid="{D7DE559E-C936-4E8D-B8FF-ADB7AED7CA93}"/>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030936D2-08BA-4DA8-A2E5-D49BF80AECBD}"/>
    <cellStyle name="20% - Accent4 4 4 2 3" xfId="12152" xr:uid="{C50E1B7C-102C-4096-BFD7-A536D71E5925}"/>
    <cellStyle name="20% - Accent4 4 4 3" xfId="5775" xr:uid="{00000000-0005-0000-0000-000066020000}"/>
    <cellStyle name="20% - Accent4 4 4 3 2" xfId="14225" xr:uid="{AF66557D-3D03-4C2D-B3AB-5399310EF959}"/>
    <cellStyle name="20% - Accent4 4 4 4" xfId="10007" xr:uid="{24C7AB8C-67CF-4A06-A813-31B037DA36E5}"/>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86A9B323-2DC5-4DEF-AE1B-B09AE3AF9D43}"/>
    <cellStyle name="20% - Accent4 4 5 2 3" xfId="12565" xr:uid="{F4419AAD-DA58-4EF2-A877-F06656AE4116}"/>
    <cellStyle name="20% - Accent4 4 5 3" xfId="6188" xr:uid="{00000000-0005-0000-0000-00006A020000}"/>
    <cellStyle name="20% - Accent4 4 5 3 2" xfId="14638" xr:uid="{8CD89EA7-588C-4B36-AC9A-429EF44B7EB3}"/>
    <cellStyle name="20% - Accent4 4 5 4" xfId="10420" xr:uid="{E4BE77C5-E73B-4031-9BA1-1BCFF43161FB}"/>
    <cellStyle name="20% - Accent4 4 6" xfId="2295" xr:uid="{00000000-0005-0000-0000-00006B020000}"/>
    <cellStyle name="20% - Accent4 4 6 2" xfId="6601" xr:uid="{00000000-0005-0000-0000-00006C020000}"/>
    <cellStyle name="20% - Accent4 4 6 2 2" xfId="15051" xr:uid="{217CA660-1285-40A8-BD71-A668C9940117}"/>
    <cellStyle name="20% - Accent4 4 6 3" xfId="10833" xr:uid="{0A0BB9F0-7404-4AEC-93DE-D59D263FC393}"/>
    <cellStyle name="20% - Accent4 4 7" xfId="4535" xr:uid="{00000000-0005-0000-0000-00006D020000}"/>
    <cellStyle name="20% - Accent4 4 7 2" xfId="12985" xr:uid="{D16495A8-9618-425E-9669-F518AA8CD7B9}"/>
    <cellStyle name="20% - Accent4 4 8" xfId="8767" xr:uid="{D10DFD09-26EB-4C88-A9E7-7C253DA27788}"/>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F6E2E66B-AF56-4CD9-B21C-AF666AFAAA18}"/>
    <cellStyle name="20% - Accent4 5 2 3" xfId="11319" xr:uid="{077CFE9B-3D07-48DD-8A16-5CC14DD01956}"/>
    <cellStyle name="20% - Accent4 5 3" xfId="4942" xr:uid="{00000000-0005-0000-0000-000071020000}"/>
    <cellStyle name="20% - Accent4 5 3 2" xfId="13392" xr:uid="{3A2F16CB-CD66-40B2-B4C3-08D14AC33C37}"/>
    <cellStyle name="20% - Accent4 5 4" xfId="9174" xr:uid="{4F4110A5-7328-4878-A361-1EA7C15B891F}"/>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C0EA5FDE-BA63-4257-815E-362C29675DCD}"/>
    <cellStyle name="20% - Accent4 6 2 3" xfId="11732" xr:uid="{25E0F937-F421-4E4B-BD9C-A434E9F8495E}"/>
    <cellStyle name="20% - Accent4 6 3" xfId="5355" xr:uid="{00000000-0005-0000-0000-000075020000}"/>
    <cellStyle name="20% - Accent4 6 3 2" xfId="13805" xr:uid="{90E247A1-DB8A-41F8-8945-19F8D07B6950}"/>
    <cellStyle name="20% - Accent4 6 4" xfId="9587" xr:uid="{79E92FDA-7EA4-4507-B867-22B85D5E00FC}"/>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8BB75841-13A9-4C87-9D92-C94148E50F84}"/>
    <cellStyle name="20% - Accent4 7 2 3" xfId="12145" xr:uid="{A98BC722-C5E0-465D-9C3C-135CF91EAED2}"/>
    <cellStyle name="20% - Accent4 7 3" xfId="5768" xr:uid="{00000000-0005-0000-0000-000079020000}"/>
    <cellStyle name="20% - Accent4 7 3 2" xfId="14218" xr:uid="{3A07978F-0AF3-4933-A266-0D3BF9F0A7EA}"/>
    <cellStyle name="20% - Accent4 7 4" xfId="10000" xr:uid="{6EDDBADB-697C-4A29-9FB8-EA341C429CC0}"/>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3B8FEB9D-6000-4AB1-AD0A-100FAB2B4518}"/>
    <cellStyle name="20% - Accent4 8 2 3" xfId="12558" xr:uid="{7CA53C0A-6703-4893-8377-BDBEF867A838}"/>
    <cellStyle name="20% - Accent4 8 3" xfId="6181" xr:uid="{00000000-0005-0000-0000-00007D020000}"/>
    <cellStyle name="20% - Accent4 8 3 2" xfId="14631" xr:uid="{995B6E83-BF8E-4B1A-A560-51FE21BA7532}"/>
    <cellStyle name="20% - Accent4 8 4" xfId="10413" xr:uid="{AF886645-B37B-4BFA-87C4-C59C2E243C20}"/>
    <cellStyle name="20% - Accent4 9" xfId="2288" xr:uid="{00000000-0005-0000-0000-00007E020000}"/>
    <cellStyle name="20% - Accent4 9 2" xfId="6594" xr:uid="{00000000-0005-0000-0000-00007F020000}"/>
    <cellStyle name="20% - Accent4 9 2 2" xfId="15044" xr:uid="{90875E87-6586-4713-95AB-94292968FE37}"/>
    <cellStyle name="20% - Accent4 9 3" xfId="10826" xr:uid="{79909D65-1B06-4D02-B2A5-9A1B8F03778F}"/>
    <cellStyle name="20% - Accent5" xfId="33" builtinId="46" customBuiltin="1"/>
    <cellStyle name="20% - Accent5 10" xfId="4536" xr:uid="{00000000-0005-0000-0000-000081020000}"/>
    <cellStyle name="20% - Accent5 10 2" xfId="12986" xr:uid="{C7BDB9E8-7B9F-4E64-AFDE-96B94D94B39A}"/>
    <cellStyle name="20% - Accent5 11" xfId="8768" xr:uid="{B34486BA-B26C-4A17-82DC-FEE58F23DD39}"/>
    <cellStyle name="20% - Accent5 2" xfId="34" xr:uid="{00000000-0005-0000-0000-000082020000}"/>
    <cellStyle name="20% - Accent5 2 10" xfId="8769" xr:uid="{1E2D83D6-AE92-4E5D-8B9C-1B76245F5A2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50E0D77B-F8B5-4E0E-9DEA-E653E8D5F4E9}"/>
    <cellStyle name="20% - Accent5 2 2 2 2 2 3" xfId="11330" xr:uid="{EC1D820C-B804-49AE-8DF8-92C8E1E6F65E}"/>
    <cellStyle name="20% - Accent5 2 2 2 2 3" xfId="4953" xr:uid="{00000000-0005-0000-0000-000088020000}"/>
    <cellStyle name="20% - Accent5 2 2 2 2 3 2" xfId="13403" xr:uid="{06EBB1E2-CC4E-4295-95CC-208F8971562C}"/>
    <cellStyle name="20% - Accent5 2 2 2 2 4" xfId="9185" xr:uid="{FE701463-F6B4-48BD-9CA6-164E4984781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A631197A-EA01-430A-8326-90EFF75FB3B5}"/>
    <cellStyle name="20% - Accent5 2 2 2 3 2 3" xfId="11743" xr:uid="{1B185FB2-320D-47C6-BB00-AF7BB633A3CB}"/>
    <cellStyle name="20% - Accent5 2 2 2 3 3" xfId="5366" xr:uid="{00000000-0005-0000-0000-00008C020000}"/>
    <cellStyle name="20% - Accent5 2 2 2 3 3 2" xfId="13816" xr:uid="{0A8637A4-133C-4DA8-ADC2-F0CE6CA11FE5}"/>
    <cellStyle name="20% - Accent5 2 2 2 3 4" xfId="9598" xr:uid="{9226ABFF-3336-4568-A597-BB0AA8E7A022}"/>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F7D2A8C1-B24D-4676-9623-0D3C891D6378}"/>
    <cellStyle name="20% - Accent5 2 2 2 4 2 3" xfId="12156" xr:uid="{93DD944E-26FE-47DF-A7A2-5A1DA7F38959}"/>
    <cellStyle name="20% - Accent5 2 2 2 4 3" xfId="5779" xr:uid="{00000000-0005-0000-0000-000090020000}"/>
    <cellStyle name="20% - Accent5 2 2 2 4 3 2" xfId="14229" xr:uid="{FBF09679-F142-44BF-B869-0669CDB320D9}"/>
    <cellStyle name="20% - Accent5 2 2 2 4 4" xfId="10011" xr:uid="{F9DA3784-13FF-4ECF-94AB-CA063ED98A25}"/>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3A5FA517-A691-4F93-A1A9-DD04D7749175}"/>
    <cellStyle name="20% - Accent5 2 2 2 5 2 3" xfId="12569" xr:uid="{334DC985-CF43-44A0-AEA4-5300CE0AFAD1}"/>
    <cellStyle name="20% - Accent5 2 2 2 5 3" xfId="6192" xr:uid="{00000000-0005-0000-0000-000094020000}"/>
    <cellStyle name="20% - Accent5 2 2 2 5 3 2" xfId="14642" xr:uid="{924001C3-05DC-4693-B882-EA81B88DE3D2}"/>
    <cellStyle name="20% - Accent5 2 2 2 5 4" xfId="10424" xr:uid="{4C17B552-8A4C-4A4D-9ADC-EFE9A1B2983A}"/>
    <cellStyle name="20% - Accent5 2 2 2 6" xfId="2299" xr:uid="{00000000-0005-0000-0000-000095020000}"/>
    <cellStyle name="20% - Accent5 2 2 2 6 2" xfId="6605" xr:uid="{00000000-0005-0000-0000-000096020000}"/>
    <cellStyle name="20% - Accent5 2 2 2 6 2 2" xfId="15055" xr:uid="{839247B8-A254-4512-86E5-8962429059CB}"/>
    <cellStyle name="20% - Accent5 2 2 2 6 3" xfId="10837" xr:uid="{2605C5B3-551C-4278-8947-CC39DD105E8A}"/>
    <cellStyle name="20% - Accent5 2 2 2 7" xfId="4539" xr:uid="{00000000-0005-0000-0000-000097020000}"/>
    <cellStyle name="20% - Accent5 2 2 2 7 2" xfId="12989" xr:uid="{2D4A772D-5B82-49DD-92D8-CCEC7907993A}"/>
    <cellStyle name="20% - Accent5 2 2 2 8" xfId="8771" xr:uid="{C7E8C416-722F-4975-995F-B6468D105298}"/>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7A145C2B-53FC-4421-9D59-636E5974BDF9}"/>
    <cellStyle name="20% - Accent5 2 2 3 2 3" xfId="11329" xr:uid="{7E937CF6-4A84-493B-A1AC-211A5BC0D186}"/>
    <cellStyle name="20% - Accent5 2 2 3 3" xfId="4952" xr:uid="{00000000-0005-0000-0000-00009B020000}"/>
    <cellStyle name="20% - Accent5 2 2 3 3 2" xfId="13402" xr:uid="{7DFF1AB1-1BD3-4B24-AF90-A172B74D098F}"/>
    <cellStyle name="20% - Accent5 2 2 3 4" xfId="9184" xr:uid="{6D6AC036-DA18-46C0-A68E-A059C12F0AB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3376BF7D-DD8B-4875-B7AC-E8A7C05CBF98}"/>
    <cellStyle name="20% - Accent5 2 2 4 2 3" xfId="11742" xr:uid="{45D77A2A-7065-4C69-B415-8D0929B3845E}"/>
    <cellStyle name="20% - Accent5 2 2 4 3" xfId="5365" xr:uid="{00000000-0005-0000-0000-00009F020000}"/>
    <cellStyle name="20% - Accent5 2 2 4 3 2" xfId="13815" xr:uid="{DF2F71A0-81F2-46B9-A329-55BBEF78541A}"/>
    <cellStyle name="20% - Accent5 2 2 4 4" xfId="9597" xr:uid="{7BFE5EE5-C4DA-4391-8B6C-96A17C358DCD}"/>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D7D23897-C709-4781-873E-E00E520828C3}"/>
    <cellStyle name="20% - Accent5 2 2 5 2 3" xfId="12155" xr:uid="{567C34A4-7DB0-484D-9089-A84AE151A92C}"/>
    <cellStyle name="20% - Accent5 2 2 5 3" xfId="5778" xr:uid="{00000000-0005-0000-0000-0000A3020000}"/>
    <cellStyle name="20% - Accent5 2 2 5 3 2" xfId="14228" xr:uid="{F8E98572-C529-42A1-A22A-EB37228BCD74}"/>
    <cellStyle name="20% - Accent5 2 2 5 4" xfId="10010" xr:uid="{57BE74A6-3C6E-4B51-88DE-9E12719280BC}"/>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356002A8-8DC2-49F3-BF6E-587E1D57B4B0}"/>
    <cellStyle name="20% - Accent5 2 2 6 2 3" xfId="12568" xr:uid="{EC9C6FB1-8D3B-4D5B-B8B4-513CEE291BB4}"/>
    <cellStyle name="20% - Accent5 2 2 6 3" xfId="6191" xr:uid="{00000000-0005-0000-0000-0000A7020000}"/>
    <cellStyle name="20% - Accent5 2 2 6 3 2" xfId="14641" xr:uid="{AD6CBA55-9591-42D3-9A1F-4C8E29A04A73}"/>
    <cellStyle name="20% - Accent5 2 2 6 4" xfId="10423" xr:uid="{D65AEF34-FCBE-49DD-87EA-20F75E53DAD4}"/>
    <cellStyle name="20% - Accent5 2 2 7" xfId="2298" xr:uid="{00000000-0005-0000-0000-0000A8020000}"/>
    <cellStyle name="20% - Accent5 2 2 7 2" xfId="6604" xr:uid="{00000000-0005-0000-0000-0000A9020000}"/>
    <cellStyle name="20% - Accent5 2 2 7 2 2" xfId="15054" xr:uid="{7CBBF5FB-7D7C-4F68-AF53-40C1A1C6FEAB}"/>
    <cellStyle name="20% - Accent5 2 2 7 3" xfId="10836" xr:uid="{6360E102-1B34-4F6E-A6FF-C7079332F552}"/>
    <cellStyle name="20% - Accent5 2 2 8" xfId="4538" xr:uid="{00000000-0005-0000-0000-0000AA020000}"/>
    <cellStyle name="20% - Accent5 2 2 8 2" xfId="12988" xr:uid="{F77EACC9-83CA-4411-A79D-2C9402BD1682}"/>
    <cellStyle name="20% - Accent5 2 2 9" xfId="8770" xr:uid="{0A255377-208C-4E8A-8A02-4CA28AC012D8}"/>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410807AD-BCD4-4E34-A065-A853E0AE0BB0}"/>
    <cellStyle name="20% - Accent5 2 3 2 2 3" xfId="11331" xr:uid="{591548BF-AD02-4E9D-B88A-51A8372E2FE4}"/>
    <cellStyle name="20% - Accent5 2 3 2 3" xfId="4954" xr:uid="{00000000-0005-0000-0000-0000AF020000}"/>
    <cellStyle name="20% - Accent5 2 3 2 3 2" xfId="13404" xr:uid="{FF97033E-94AD-4880-B188-FBC67D4E4F54}"/>
    <cellStyle name="20% - Accent5 2 3 2 4" xfId="9186" xr:uid="{B70AAE02-F130-4F2A-9BFD-4745338FA6B2}"/>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EE93A176-60A2-4113-90E2-0BC6C75D5285}"/>
    <cellStyle name="20% - Accent5 2 3 3 2 3" xfId="11744" xr:uid="{34C312B5-1ADE-42B7-9286-02A24689E6C0}"/>
    <cellStyle name="20% - Accent5 2 3 3 3" xfId="5367" xr:uid="{00000000-0005-0000-0000-0000B3020000}"/>
    <cellStyle name="20% - Accent5 2 3 3 3 2" xfId="13817" xr:uid="{21C43BA3-5AFD-4A8F-B231-8BE5B9376DCD}"/>
    <cellStyle name="20% - Accent5 2 3 3 4" xfId="9599" xr:uid="{48082EF5-E441-408C-9FFC-BA01B9F9D3F7}"/>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844D3D73-8FC8-4711-B4CD-11AC28458950}"/>
    <cellStyle name="20% - Accent5 2 3 4 2 3" xfId="12157" xr:uid="{7B375250-93D8-4186-9A57-55E6B1D68474}"/>
    <cellStyle name="20% - Accent5 2 3 4 3" xfId="5780" xr:uid="{00000000-0005-0000-0000-0000B7020000}"/>
    <cellStyle name="20% - Accent5 2 3 4 3 2" xfId="14230" xr:uid="{B85F28BB-4ADD-43D6-989E-69D01F43BC99}"/>
    <cellStyle name="20% - Accent5 2 3 4 4" xfId="10012" xr:uid="{50E5AE85-9784-42E7-B292-6DCEE4BD8C13}"/>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BFBEBD68-422C-4B57-8679-DE768BCD7B48}"/>
    <cellStyle name="20% - Accent5 2 3 5 2 3" xfId="12570" xr:uid="{C5B47973-AE3C-4AF3-885D-0A373C928FD0}"/>
    <cellStyle name="20% - Accent5 2 3 5 3" xfId="6193" xr:uid="{00000000-0005-0000-0000-0000BB020000}"/>
    <cellStyle name="20% - Accent5 2 3 5 3 2" xfId="14643" xr:uid="{C8F1EC34-775E-420C-886F-36C5ABADBAF0}"/>
    <cellStyle name="20% - Accent5 2 3 5 4" xfId="10425" xr:uid="{B49FF047-0145-4BA8-A42E-412899757360}"/>
    <cellStyle name="20% - Accent5 2 3 6" xfId="2300" xr:uid="{00000000-0005-0000-0000-0000BC020000}"/>
    <cellStyle name="20% - Accent5 2 3 6 2" xfId="6606" xr:uid="{00000000-0005-0000-0000-0000BD020000}"/>
    <cellStyle name="20% - Accent5 2 3 6 2 2" xfId="15056" xr:uid="{7859539E-3E52-46E1-900F-2B935A7ADB95}"/>
    <cellStyle name="20% - Accent5 2 3 6 3" xfId="10838" xr:uid="{9877BD5B-DE87-4259-BF68-8B28FE1573C9}"/>
    <cellStyle name="20% - Accent5 2 3 7" xfId="4540" xr:uid="{00000000-0005-0000-0000-0000BE020000}"/>
    <cellStyle name="20% - Accent5 2 3 7 2" xfId="12990" xr:uid="{777E4342-FD23-4199-B976-45B8238690F1}"/>
    <cellStyle name="20% - Accent5 2 3 8" xfId="8772" xr:uid="{555DAD9A-A9EF-4073-83DB-31F636D0F1DC}"/>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B0C19BFA-8708-4A70-BE9E-A30236FB6326}"/>
    <cellStyle name="20% - Accent5 2 4 2 3" xfId="11328" xr:uid="{6B161446-21E8-411D-8BCE-5485810A8CB1}"/>
    <cellStyle name="20% - Accent5 2 4 3" xfId="4951" xr:uid="{00000000-0005-0000-0000-0000C2020000}"/>
    <cellStyle name="20% - Accent5 2 4 3 2" xfId="13401" xr:uid="{0C168243-FB26-4926-85E6-682578FF1854}"/>
    <cellStyle name="20% - Accent5 2 4 4" xfId="9183" xr:uid="{501AA625-FE96-4C96-B73C-B1041DDA3D48}"/>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FAC9EF7B-2645-4F61-A0E8-F5DE7C838A3C}"/>
    <cellStyle name="20% - Accent5 2 5 2 3" xfId="11741" xr:uid="{7DF25E0B-2675-4A42-A483-C4D506B4012D}"/>
    <cellStyle name="20% - Accent5 2 5 3" xfId="5364" xr:uid="{00000000-0005-0000-0000-0000C6020000}"/>
    <cellStyle name="20% - Accent5 2 5 3 2" xfId="13814" xr:uid="{C4D31ACB-CC41-4E30-8EBA-F66D46FE200E}"/>
    <cellStyle name="20% - Accent5 2 5 4" xfId="9596" xr:uid="{90B94A26-2D43-43D6-BB79-22AACB6A8B6A}"/>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578996F6-1063-4B0A-B804-8BF73143FA93}"/>
    <cellStyle name="20% - Accent5 2 6 2 3" xfId="12154" xr:uid="{09EBB54F-AC1D-4961-A286-6DA3DF66BCD5}"/>
    <cellStyle name="20% - Accent5 2 6 3" xfId="5777" xr:uid="{00000000-0005-0000-0000-0000CA020000}"/>
    <cellStyle name="20% - Accent5 2 6 3 2" xfId="14227" xr:uid="{05A86CDE-2449-40A9-9D87-721538F11A09}"/>
    <cellStyle name="20% - Accent5 2 6 4" xfId="10009" xr:uid="{E0EF6003-6263-4894-9F65-909615278D9D}"/>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63318E72-BE3A-47A2-9A74-4EF584513D17}"/>
    <cellStyle name="20% - Accent5 2 7 2 3" xfId="12567" xr:uid="{FDAC82F5-C240-4B8D-AD7D-B0759A1C8C14}"/>
    <cellStyle name="20% - Accent5 2 7 3" xfId="6190" xr:uid="{00000000-0005-0000-0000-0000CE020000}"/>
    <cellStyle name="20% - Accent5 2 7 3 2" xfId="14640" xr:uid="{8B526063-54E2-4A1A-BA75-CD9753C35CF4}"/>
    <cellStyle name="20% - Accent5 2 7 4" xfId="10422" xr:uid="{361E7DE0-1BB6-4C7C-AF2B-DA618246790B}"/>
    <cellStyle name="20% - Accent5 2 8" xfId="2297" xr:uid="{00000000-0005-0000-0000-0000CF020000}"/>
    <cellStyle name="20% - Accent5 2 8 2" xfId="6603" xr:uid="{00000000-0005-0000-0000-0000D0020000}"/>
    <cellStyle name="20% - Accent5 2 8 2 2" xfId="15053" xr:uid="{CFB09E7C-C065-4F98-9007-4503066B2782}"/>
    <cellStyle name="20% - Accent5 2 8 3" xfId="10835" xr:uid="{2E359BB2-38CE-4A1F-8FC5-D417C9E8BA82}"/>
    <cellStyle name="20% - Accent5 2 9" xfId="4537" xr:uid="{00000000-0005-0000-0000-0000D1020000}"/>
    <cellStyle name="20% - Accent5 2 9 2" xfId="12987" xr:uid="{05D88235-2C1C-4F2D-92C5-F622580931E9}"/>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CB02220B-FEBB-4B6D-B055-5EE56E03E888}"/>
    <cellStyle name="20% - Accent5 3 2 2 2 3" xfId="11333" xr:uid="{B99D8689-CAC1-44D7-8064-85BC236E3B9B}"/>
    <cellStyle name="20% - Accent5 3 2 2 3" xfId="4956" xr:uid="{00000000-0005-0000-0000-0000D7020000}"/>
    <cellStyle name="20% - Accent5 3 2 2 3 2" xfId="13406" xr:uid="{E7C5DF4F-51E7-4EE6-B5BB-5D9EE34DD291}"/>
    <cellStyle name="20% - Accent5 3 2 2 4" xfId="9188" xr:uid="{CEE3494A-3790-4B82-91BF-6BED525F364B}"/>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150D004C-2243-4828-BDD8-1F661DB2FD9B}"/>
    <cellStyle name="20% - Accent5 3 2 3 2 3" xfId="11746" xr:uid="{D71CB73A-CAA6-4D1A-94BA-BE099979C865}"/>
    <cellStyle name="20% - Accent5 3 2 3 3" xfId="5369" xr:uid="{00000000-0005-0000-0000-0000DB020000}"/>
    <cellStyle name="20% - Accent5 3 2 3 3 2" xfId="13819" xr:uid="{6FE8D47E-79D4-48AE-AAF2-77F5D1A331E8}"/>
    <cellStyle name="20% - Accent5 3 2 3 4" xfId="9601" xr:uid="{A1225455-5E1A-4A46-8531-487A6E70BD1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3E8319AA-5ADC-4C8D-9F4D-90FC814FE974}"/>
    <cellStyle name="20% - Accent5 3 2 4 2 3" xfId="12159" xr:uid="{C8E48CD4-B54F-41AF-8976-25D7C8F41494}"/>
    <cellStyle name="20% - Accent5 3 2 4 3" xfId="5782" xr:uid="{00000000-0005-0000-0000-0000DF020000}"/>
    <cellStyle name="20% - Accent5 3 2 4 3 2" xfId="14232" xr:uid="{564438C1-140E-466F-97AA-739EEE13658C}"/>
    <cellStyle name="20% - Accent5 3 2 4 4" xfId="10014" xr:uid="{1BBC26F5-C586-4F48-BFC2-08BD269578E4}"/>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11AD194C-6B61-4067-929B-D2F9FCC89B1F}"/>
    <cellStyle name="20% - Accent5 3 2 5 2 3" xfId="12572" xr:uid="{5ED9B965-F145-47C4-B493-B4F2195CECE2}"/>
    <cellStyle name="20% - Accent5 3 2 5 3" xfId="6195" xr:uid="{00000000-0005-0000-0000-0000E3020000}"/>
    <cellStyle name="20% - Accent5 3 2 5 3 2" xfId="14645" xr:uid="{50A1DEAE-2D49-4E5F-8EFC-141CC78A2128}"/>
    <cellStyle name="20% - Accent5 3 2 5 4" xfId="10427" xr:uid="{ACA53083-E736-4CF2-9315-85947597B11E}"/>
    <cellStyle name="20% - Accent5 3 2 6" xfId="2302" xr:uid="{00000000-0005-0000-0000-0000E4020000}"/>
    <cellStyle name="20% - Accent5 3 2 6 2" xfId="6608" xr:uid="{00000000-0005-0000-0000-0000E5020000}"/>
    <cellStyle name="20% - Accent5 3 2 6 2 2" xfId="15058" xr:uid="{5A89F94B-62A6-4D70-9052-73B8471E410F}"/>
    <cellStyle name="20% - Accent5 3 2 6 3" xfId="10840" xr:uid="{9F9AA1E8-67DD-41A8-8BBC-4DEFAFD1331D}"/>
    <cellStyle name="20% - Accent5 3 2 7" xfId="4542" xr:uid="{00000000-0005-0000-0000-0000E6020000}"/>
    <cellStyle name="20% - Accent5 3 2 7 2" xfId="12992" xr:uid="{88BEFAC6-931F-45E9-BBC6-C8A3CB7105EE}"/>
    <cellStyle name="20% - Accent5 3 2 8" xfId="8774" xr:uid="{52B69761-EC61-4C03-8917-D8E8514BF083}"/>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4473A8B2-D005-4E11-BAA5-1B58F619E0AA}"/>
    <cellStyle name="20% - Accent5 3 3 2 3" xfId="11332" xr:uid="{1E35D70F-8DF7-414E-8A34-597F8A134B70}"/>
    <cellStyle name="20% - Accent5 3 3 3" xfId="4955" xr:uid="{00000000-0005-0000-0000-0000EA020000}"/>
    <cellStyle name="20% - Accent5 3 3 3 2" xfId="13405" xr:uid="{1282B7F8-8ADF-40A0-8E10-777B3D558867}"/>
    <cellStyle name="20% - Accent5 3 3 4" xfId="9187" xr:uid="{4BF49902-B12B-4C3D-BAED-AC573A0ECDB7}"/>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93DC7AD6-94EF-4C02-B17C-3E97A5AEC234}"/>
    <cellStyle name="20% - Accent5 3 4 2 3" xfId="11745" xr:uid="{506BBB1C-7BFF-40C6-A628-237F1C4A0C15}"/>
    <cellStyle name="20% - Accent5 3 4 3" xfId="5368" xr:uid="{00000000-0005-0000-0000-0000EE020000}"/>
    <cellStyle name="20% - Accent5 3 4 3 2" xfId="13818" xr:uid="{97CFDD3E-41B1-432D-9586-F2485360816B}"/>
    <cellStyle name="20% - Accent5 3 4 4" xfId="9600" xr:uid="{D071F624-1ED2-4B7D-8793-2B3D3D71EA23}"/>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E642E37F-5004-4A8D-AE67-D863BF77F058}"/>
    <cellStyle name="20% - Accent5 3 5 2 3" xfId="12158" xr:uid="{251DEFF2-25BE-409F-8DA1-A1BA3043C157}"/>
    <cellStyle name="20% - Accent5 3 5 3" xfId="5781" xr:uid="{00000000-0005-0000-0000-0000F2020000}"/>
    <cellStyle name="20% - Accent5 3 5 3 2" xfId="14231" xr:uid="{C73E4A0C-75E5-4370-BDFF-333B74C5FD1F}"/>
    <cellStyle name="20% - Accent5 3 5 4" xfId="10013" xr:uid="{A8E719DC-B315-4A31-8364-535AB1A654D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B666C5ED-9D76-4C1D-990F-51B6C248E6DB}"/>
    <cellStyle name="20% - Accent5 3 6 2 3" xfId="12571" xr:uid="{29E3CFC2-F908-4E98-9742-AE2504AFAC3A}"/>
    <cellStyle name="20% - Accent5 3 6 3" xfId="6194" xr:uid="{00000000-0005-0000-0000-0000F6020000}"/>
    <cellStyle name="20% - Accent5 3 6 3 2" xfId="14644" xr:uid="{33C8958E-6F66-4B87-8578-6A13DF988D97}"/>
    <cellStyle name="20% - Accent5 3 6 4" xfId="10426" xr:uid="{DD507060-33B6-4425-A43D-B3A9BDC0EF0D}"/>
    <cellStyle name="20% - Accent5 3 7" xfId="2301" xr:uid="{00000000-0005-0000-0000-0000F7020000}"/>
    <cellStyle name="20% - Accent5 3 7 2" xfId="6607" xr:uid="{00000000-0005-0000-0000-0000F8020000}"/>
    <cellStyle name="20% - Accent5 3 7 2 2" xfId="15057" xr:uid="{6D1007E2-A35E-4CCC-B975-864FF3BB221C}"/>
    <cellStyle name="20% - Accent5 3 7 3" xfId="10839" xr:uid="{4037B3B3-0A74-4A21-A302-E83C0BED82C7}"/>
    <cellStyle name="20% - Accent5 3 8" xfId="4541" xr:uid="{00000000-0005-0000-0000-0000F9020000}"/>
    <cellStyle name="20% - Accent5 3 8 2" xfId="12991" xr:uid="{8DEBD8F7-07BA-4BCB-B477-927DB6F21BF3}"/>
    <cellStyle name="20% - Accent5 3 9" xfId="8773" xr:uid="{3F2BF6D0-0DD6-4402-9939-FD65AC9DF6FF}"/>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D583F800-DD13-4EC1-9318-8A6B6B7BE43D}"/>
    <cellStyle name="20% - Accent5 4 2 2 3" xfId="11334" xr:uid="{5D9EF918-D7BD-43CD-AA4F-D9377FC7F889}"/>
    <cellStyle name="20% - Accent5 4 2 3" xfId="4957" xr:uid="{00000000-0005-0000-0000-0000FE020000}"/>
    <cellStyle name="20% - Accent5 4 2 3 2" xfId="13407" xr:uid="{B455EB46-B593-4A96-A0BA-27EA5CE03EE2}"/>
    <cellStyle name="20% - Accent5 4 2 4" xfId="9189" xr:uid="{8F09DC54-00A8-46F4-AC7F-1B22F2F8B609}"/>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D4ADBE40-5872-4C02-ABC4-5D0D83CAAA4D}"/>
    <cellStyle name="20% - Accent5 4 3 2 3" xfId="11747" xr:uid="{27915537-463F-4146-B0AE-ACC7428E7892}"/>
    <cellStyle name="20% - Accent5 4 3 3" xfId="5370" xr:uid="{00000000-0005-0000-0000-000002030000}"/>
    <cellStyle name="20% - Accent5 4 3 3 2" xfId="13820" xr:uid="{7D88F902-7442-4526-B985-875BB1981647}"/>
    <cellStyle name="20% - Accent5 4 3 4" xfId="9602" xr:uid="{D48F384C-986F-40FC-8323-761997554633}"/>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F14DB8E4-4248-4B4A-92FA-9D5090557E0B}"/>
    <cellStyle name="20% - Accent5 4 4 2 3" xfId="12160" xr:uid="{E3EFFC04-9542-414B-9F64-20FDFC93AFF9}"/>
    <cellStyle name="20% - Accent5 4 4 3" xfId="5783" xr:uid="{00000000-0005-0000-0000-000006030000}"/>
    <cellStyle name="20% - Accent5 4 4 3 2" xfId="14233" xr:uid="{054D63DE-936A-4B61-98EA-2FAE65C07D91}"/>
    <cellStyle name="20% - Accent5 4 4 4" xfId="10015" xr:uid="{EBCB7646-87F3-43A0-8D82-DD4846181A78}"/>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5E6A1C82-6F4F-40E8-A9DD-FB05E46836DE}"/>
    <cellStyle name="20% - Accent5 4 5 2 3" xfId="12573" xr:uid="{0E6D4A26-5CB5-4E13-8CF4-AF557E770949}"/>
    <cellStyle name="20% - Accent5 4 5 3" xfId="6196" xr:uid="{00000000-0005-0000-0000-00000A030000}"/>
    <cellStyle name="20% - Accent5 4 5 3 2" xfId="14646" xr:uid="{5F56872B-1BDD-4B8D-9AF1-9C8E810C97DD}"/>
    <cellStyle name="20% - Accent5 4 5 4" xfId="10428" xr:uid="{00AB92AA-ECA5-4810-83F9-39FD7E9B43EB}"/>
    <cellStyle name="20% - Accent5 4 6" xfId="2303" xr:uid="{00000000-0005-0000-0000-00000B030000}"/>
    <cellStyle name="20% - Accent5 4 6 2" xfId="6609" xr:uid="{00000000-0005-0000-0000-00000C030000}"/>
    <cellStyle name="20% - Accent5 4 6 2 2" xfId="15059" xr:uid="{22419195-6EFD-4343-BE81-9903775A2854}"/>
    <cellStyle name="20% - Accent5 4 6 3" xfId="10841" xr:uid="{CB0A4555-30B4-4174-9D59-8A4153339D18}"/>
    <cellStyle name="20% - Accent5 4 7" xfId="4543" xr:uid="{00000000-0005-0000-0000-00000D030000}"/>
    <cellStyle name="20% - Accent5 4 7 2" xfId="12993" xr:uid="{3A966D3F-57C4-478B-9CCC-5A6CAAE95E9A}"/>
    <cellStyle name="20% - Accent5 4 8" xfId="8775" xr:uid="{7321A417-9526-4350-AA16-F025BA4A078C}"/>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AB278C21-AABC-47EC-82D2-1129F49B19F5}"/>
    <cellStyle name="20% - Accent5 5 2 3" xfId="11327" xr:uid="{508950CD-E3F1-451F-A47F-E00F4447AE0F}"/>
    <cellStyle name="20% - Accent5 5 3" xfId="4950" xr:uid="{00000000-0005-0000-0000-000011030000}"/>
    <cellStyle name="20% - Accent5 5 3 2" xfId="13400" xr:uid="{B1450D16-0A6E-45BE-AC77-CEB179B11E4F}"/>
    <cellStyle name="20% - Accent5 5 4" xfId="9182" xr:uid="{0C6DC701-3B5D-41FF-B81E-06F513B73080}"/>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F2E65F78-E9CC-4283-BC02-1F32F710213E}"/>
    <cellStyle name="20% - Accent5 6 2 3" xfId="11740" xr:uid="{9072B9E9-A0D3-4713-890E-5D76B154D133}"/>
    <cellStyle name="20% - Accent5 6 3" xfId="5363" xr:uid="{00000000-0005-0000-0000-000015030000}"/>
    <cellStyle name="20% - Accent5 6 3 2" xfId="13813" xr:uid="{91037B60-B2FF-48FA-A89A-562C532B22B0}"/>
    <cellStyle name="20% - Accent5 6 4" xfId="9595" xr:uid="{20F0B4C0-E6AC-4102-90E6-5F795C0BE48F}"/>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68C903CC-6BAC-4807-81B6-0257002EF775}"/>
    <cellStyle name="20% - Accent5 7 2 3" xfId="12153" xr:uid="{05647A87-2074-491A-97EE-3DDB22B05DBF}"/>
    <cellStyle name="20% - Accent5 7 3" xfId="5776" xr:uid="{00000000-0005-0000-0000-000019030000}"/>
    <cellStyle name="20% - Accent5 7 3 2" xfId="14226" xr:uid="{60195137-9C69-4D08-A4B9-6A66BD68669B}"/>
    <cellStyle name="20% - Accent5 7 4" xfId="10008" xr:uid="{B1F2A09D-D650-47C8-96C1-098DFD0C8E6D}"/>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AB4C5109-4DC2-4A59-B544-F4C654CC1B4D}"/>
    <cellStyle name="20% - Accent5 8 2 3" xfId="12566" xr:uid="{43A44053-D43E-48EC-AB30-C6BACBA21492}"/>
    <cellStyle name="20% - Accent5 8 3" xfId="6189" xr:uid="{00000000-0005-0000-0000-00001D030000}"/>
    <cellStyle name="20% - Accent5 8 3 2" xfId="14639" xr:uid="{932DFE0B-4A1E-4164-8CB0-1DA8643EC257}"/>
    <cellStyle name="20% - Accent5 8 4" xfId="10421" xr:uid="{472F8E64-0444-45A5-BB25-CECDFD66BBB3}"/>
    <cellStyle name="20% - Accent5 9" xfId="2296" xr:uid="{00000000-0005-0000-0000-00001E030000}"/>
    <cellStyle name="20% - Accent5 9 2" xfId="6602" xr:uid="{00000000-0005-0000-0000-00001F030000}"/>
    <cellStyle name="20% - Accent5 9 2 2" xfId="15052" xr:uid="{9125226C-251D-448A-844F-E2D1A4D33D4C}"/>
    <cellStyle name="20% - Accent5 9 3" xfId="10834" xr:uid="{EDBC8944-ED5F-4611-98D2-D98B4E216D87}"/>
    <cellStyle name="20% - Accent6" xfId="41" builtinId="50" customBuiltin="1"/>
    <cellStyle name="20% - Accent6 10" xfId="4544" xr:uid="{00000000-0005-0000-0000-000021030000}"/>
    <cellStyle name="20% - Accent6 10 2" xfId="12994" xr:uid="{423D45B8-1D8E-4029-908D-8361E82BFD57}"/>
    <cellStyle name="20% - Accent6 11" xfId="8776" xr:uid="{1210B773-C46A-4C74-BDF5-919198648D37}"/>
    <cellStyle name="20% - Accent6 2" xfId="42" xr:uid="{00000000-0005-0000-0000-000022030000}"/>
    <cellStyle name="20% - Accent6 2 10" xfId="8777" xr:uid="{CB3EE88E-3E09-4E44-BF64-8DADD80AE644}"/>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03798843-EF28-40DD-A7DB-EC0A55276B63}"/>
    <cellStyle name="20% - Accent6 2 2 2 2 2 3" xfId="11338" xr:uid="{7D01869D-21BE-44D7-BE02-8289CCC4CD20}"/>
    <cellStyle name="20% - Accent6 2 2 2 2 3" xfId="4961" xr:uid="{00000000-0005-0000-0000-000028030000}"/>
    <cellStyle name="20% - Accent6 2 2 2 2 3 2" xfId="13411" xr:uid="{3F228F83-AD3A-4723-B25F-2141828432BA}"/>
    <cellStyle name="20% - Accent6 2 2 2 2 4" xfId="9193" xr:uid="{BAC72B68-1F73-4C1C-906F-CA4943B3C725}"/>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1DA5D282-E68C-487B-8519-F97F12357326}"/>
    <cellStyle name="20% - Accent6 2 2 2 3 2 3" xfId="11751" xr:uid="{0DE8E452-31CF-48F6-9E3B-EDEC52659F1E}"/>
    <cellStyle name="20% - Accent6 2 2 2 3 3" xfId="5374" xr:uid="{00000000-0005-0000-0000-00002C030000}"/>
    <cellStyle name="20% - Accent6 2 2 2 3 3 2" xfId="13824" xr:uid="{DBB75C6C-7800-401C-87BC-FA6334214F6F}"/>
    <cellStyle name="20% - Accent6 2 2 2 3 4" xfId="9606" xr:uid="{A2BE2319-0A32-4BF7-AD82-1AFA650F5A4D}"/>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B3E94181-B011-4821-9150-93A976BA147E}"/>
    <cellStyle name="20% - Accent6 2 2 2 4 2 3" xfId="12164" xr:uid="{BC058142-7BBC-4324-B9C0-D17DE8028DA4}"/>
    <cellStyle name="20% - Accent6 2 2 2 4 3" xfId="5787" xr:uid="{00000000-0005-0000-0000-000030030000}"/>
    <cellStyle name="20% - Accent6 2 2 2 4 3 2" xfId="14237" xr:uid="{A2B52567-4BAC-4447-8AA0-C38AF82E97D9}"/>
    <cellStyle name="20% - Accent6 2 2 2 4 4" xfId="10019" xr:uid="{9DAF207D-C13F-47D4-A576-863973A4392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6A1305FE-A0D6-4856-BB19-1BEF9F567042}"/>
    <cellStyle name="20% - Accent6 2 2 2 5 2 3" xfId="12577" xr:uid="{ED715B97-C6DF-4481-AC64-7674C04F021D}"/>
    <cellStyle name="20% - Accent6 2 2 2 5 3" xfId="6200" xr:uid="{00000000-0005-0000-0000-000034030000}"/>
    <cellStyle name="20% - Accent6 2 2 2 5 3 2" xfId="14650" xr:uid="{CEE88713-FEEF-486C-8C59-30C929173037}"/>
    <cellStyle name="20% - Accent6 2 2 2 5 4" xfId="10432" xr:uid="{5E11A035-3549-4E36-99F2-820083036CB8}"/>
    <cellStyle name="20% - Accent6 2 2 2 6" xfId="2307" xr:uid="{00000000-0005-0000-0000-000035030000}"/>
    <cellStyle name="20% - Accent6 2 2 2 6 2" xfId="6613" xr:uid="{00000000-0005-0000-0000-000036030000}"/>
    <cellStyle name="20% - Accent6 2 2 2 6 2 2" xfId="15063" xr:uid="{2525AD6D-FB8E-4D6C-AFDD-0A7D2B5EE4F6}"/>
    <cellStyle name="20% - Accent6 2 2 2 6 3" xfId="10845" xr:uid="{C430396D-9B9A-43A0-850B-CAFBC767E35E}"/>
    <cellStyle name="20% - Accent6 2 2 2 7" xfId="4547" xr:uid="{00000000-0005-0000-0000-000037030000}"/>
    <cellStyle name="20% - Accent6 2 2 2 7 2" xfId="12997" xr:uid="{43BB6B3E-A517-49F6-8DA7-12B423ECAC05}"/>
    <cellStyle name="20% - Accent6 2 2 2 8" xfId="8779" xr:uid="{0D69BB19-1894-47D5-A822-A630C81066AF}"/>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9B886CEF-5155-415B-9DA7-C4F9EC30F12D}"/>
    <cellStyle name="20% - Accent6 2 2 3 2 3" xfId="11337" xr:uid="{FBD8A3DF-EF3A-4E1E-BF58-22E8E394F9EA}"/>
    <cellStyle name="20% - Accent6 2 2 3 3" xfId="4960" xr:uid="{00000000-0005-0000-0000-00003B030000}"/>
    <cellStyle name="20% - Accent6 2 2 3 3 2" xfId="13410" xr:uid="{FAB5A9E7-D9E0-4EC8-A3FF-7C6D4CFEA222}"/>
    <cellStyle name="20% - Accent6 2 2 3 4" xfId="9192" xr:uid="{9D8AB70D-9035-4B88-8389-AA3D2E03D577}"/>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A09408C6-18E6-4F89-8D0F-4CE3D214CEF9}"/>
    <cellStyle name="20% - Accent6 2 2 4 2 3" xfId="11750" xr:uid="{0E4542AC-D60D-4AF4-ADCB-4DA89EEAF457}"/>
    <cellStyle name="20% - Accent6 2 2 4 3" xfId="5373" xr:uid="{00000000-0005-0000-0000-00003F030000}"/>
    <cellStyle name="20% - Accent6 2 2 4 3 2" xfId="13823" xr:uid="{E71EC64E-66EA-469C-A81C-71ED55BB4758}"/>
    <cellStyle name="20% - Accent6 2 2 4 4" xfId="9605" xr:uid="{C4204B24-5A25-4DF2-B993-EEEC690FABA3}"/>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17399644-BCA8-4254-AD23-A63A94B280DF}"/>
    <cellStyle name="20% - Accent6 2 2 5 2 3" xfId="12163" xr:uid="{911EA6AD-5244-40D9-9C78-4196765A6D0E}"/>
    <cellStyle name="20% - Accent6 2 2 5 3" xfId="5786" xr:uid="{00000000-0005-0000-0000-000043030000}"/>
    <cellStyle name="20% - Accent6 2 2 5 3 2" xfId="14236" xr:uid="{92D56B01-EC52-40B6-ACBF-ACE0499F1ABE}"/>
    <cellStyle name="20% - Accent6 2 2 5 4" xfId="10018" xr:uid="{7FCC925C-FB25-41E5-ABF7-22A8024D141B}"/>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55680CD3-6345-498E-B09C-5BED2D39287A}"/>
    <cellStyle name="20% - Accent6 2 2 6 2 3" xfId="12576" xr:uid="{ACCBDC98-B6B8-4EE2-99F8-4F60CE9B3FEE}"/>
    <cellStyle name="20% - Accent6 2 2 6 3" xfId="6199" xr:uid="{00000000-0005-0000-0000-000047030000}"/>
    <cellStyle name="20% - Accent6 2 2 6 3 2" xfId="14649" xr:uid="{9CD592CC-7DC6-4EBA-AA2C-D63B01779CE5}"/>
    <cellStyle name="20% - Accent6 2 2 6 4" xfId="10431" xr:uid="{BB6B0FF1-C432-4D7E-82D1-3E0E871E0E41}"/>
    <cellStyle name="20% - Accent6 2 2 7" xfId="2306" xr:uid="{00000000-0005-0000-0000-000048030000}"/>
    <cellStyle name="20% - Accent6 2 2 7 2" xfId="6612" xr:uid="{00000000-0005-0000-0000-000049030000}"/>
    <cellStyle name="20% - Accent6 2 2 7 2 2" xfId="15062" xr:uid="{4ED7EE82-14D6-448A-AB94-4F09361FB636}"/>
    <cellStyle name="20% - Accent6 2 2 7 3" xfId="10844" xr:uid="{3E5C7087-E459-4ED6-80FB-59ED3DF1EEC7}"/>
    <cellStyle name="20% - Accent6 2 2 8" xfId="4546" xr:uid="{00000000-0005-0000-0000-00004A030000}"/>
    <cellStyle name="20% - Accent6 2 2 8 2" xfId="12996" xr:uid="{1556CD10-2D3A-4879-9A6F-B8B9C54A944A}"/>
    <cellStyle name="20% - Accent6 2 2 9" xfId="8778" xr:uid="{FFF954C0-880F-4C26-98E7-EE7EC5EC1C43}"/>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9FC373B6-F8EE-4E3C-9A47-9D877EAAF0B3}"/>
    <cellStyle name="20% - Accent6 2 3 2 2 3" xfId="11339" xr:uid="{53A17AB7-F477-4D91-AAA1-B37D32F55456}"/>
    <cellStyle name="20% - Accent6 2 3 2 3" xfId="4962" xr:uid="{00000000-0005-0000-0000-00004F030000}"/>
    <cellStyle name="20% - Accent6 2 3 2 3 2" xfId="13412" xr:uid="{3B81A90D-4903-4D67-B759-90F9A3E36D5E}"/>
    <cellStyle name="20% - Accent6 2 3 2 4" xfId="9194" xr:uid="{2714E41C-EB0F-461D-BB30-6DA3773DDB5F}"/>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2062F49E-7988-4514-8A8D-33C860579182}"/>
    <cellStyle name="20% - Accent6 2 3 3 2 3" xfId="11752" xr:uid="{AE77F22E-4FFD-446E-8649-26CD3A9ECA68}"/>
    <cellStyle name="20% - Accent6 2 3 3 3" xfId="5375" xr:uid="{00000000-0005-0000-0000-000053030000}"/>
    <cellStyle name="20% - Accent6 2 3 3 3 2" xfId="13825" xr:uid="{55097942-49FC-46ED-81AF-8E43CA4A72F8}"/>
    <cellStyle name="20% - Accent6 2 3 3 4" xfId="9607" xr:uid="{D3D2599A-F1F3-44CF-9786-9D45E2455D06}"/>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C1002B49-8EE5-4D8C-AFB8-A65E39E8C2A4}"/>
    <cellStyle name="20% - Accent6 2 3 4 2 3" xfId="12165" xr:uid="{6D14D0BB-1854-4AE4-B669-1AF74A07396A}"/>
    <cellStyle name="20% - Accent6 2 3 4 3" xfId="5788" xr:uid="{00000000-0005-0000-0000-000057030000}"/>
    <cellStyle name="20% - Accent6 2 3 4 3 2" xfId="14238" xr:uid="{D5338781-A1DF-4CA3-BFD2-0D8F9B6BD25D}"/>
    <cellStyle name="20% - Accent6 2 3 4 4" xfId="10020" xr:uid="{BE8F65A9-DC01-4017-8D6C-E471EC4FFE7B}"/>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EB5A32C8-98CD-468A-BEC2-9BFCF5E73350}"/>
    <cellStyle name="20% - Accent6 2 3 5 2 3" xfId="12578" xr:uid="{034640F0-832B-4C02-A0E1-19657D2A31F8}"/>
    <cellStyle name="20% - Accent6 2 3 5 3" xfId="6201" xr:uid="{00000000-0005-0000-0000-00005B030000}"/>
    <cellStyle name="20% - Accent6 2 3 5 3 2" xfId="14651" xr:uid="{472BDCC1-AB10-4B49-A131-E2DAA57C89A3}"/>
    <cellStyle name="20% - Accent6 2 3 5 4" xfId="10433" xr:uid="{11CC670B-0BEA-4D23-98C5-288F8BF3677A}"/>
    <cellStyle name="20% - Accent6 2 3 6" xfId="2308" xr:uid="{00000000-0005-0000-0000-00005C030000}"/>
    <cellStyle name="20% - Accent6 2 3 6 2" xfId="6614" xr:uid="{00000000-0005-0000-0000-00005D030000}"/>
    <cellStyle name="20% - Accent6 2 3 6 2 2" xfId="15064" xr:uid="{12FF3C38-DAF3-4F70-8143-E61674036DCD}"/>
    <cellStyle name="20% - Accent6 2 3 6 3" xfId="10846" xr:uid="{CE151723-EE22-489D-ABDD-DB3552EE51CA}"/>
    <cellStyle name="20% - Accent6 2 3 7" xfId="4548" xr:uid="{00000000-0005-0000-0000-00005E030000}"/>
    <cellStyle name="20% - Accent6 2 3 7 2" xfId="12998" xr:uid="{5C288B4A-F7DE-4925-9D6C-6D3C9B85E1F4}"/>
    <cellStyle name="20% - Accent6 2 3 8" xfId="8780" xr:uid="{4684EA6B-89B0-4EE2-8E16-92227CB5BFB8}"/>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EFDD1A08-6D18-4E27-A85E-17036934F278}"/>
    <cellStyle name="20% - Accent6 2 4 2 3" xfId="11336" xr:uid="{BD1248E9-B05B-4D82-A030-53302B0413B2}"/>
    <cellStyle name="20% - Accent6 2 4 3" xfId="4959" xr:uid="{00000000-0005-0000-0000-000062030000}"/>
    <cellStyle name="20% - Accent6 2 4 3 2" xfId="13409" xr:uid="{EE9E232E-A406-48B6-87B4-22BE6A1D8B81}"/>
    <cellStyle name="20% - Accent6 2 4 4" xfId="9191" xr:uid="{A13A2DF9-1647-4BDF-AC5F-9B2DCC6ED74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1447B12F-4AC6-4666-9E88-4BEEB6146840}"/>
    <cellStyle name="20% - Accent6 2 5 2 3" xfId="11749" xr:uid="{A62A805B-EA7B-43BC-8254-6820B478ABDD}"/>
    <cellStyle name="20% - Accent6 2 5 3" xfId="5372" xr:uid="{00000000-0005-0000-0000-000066030000}"/>
    <cellStyle name="20% - Accent6 2 5 3 2" xfId="13822" xr:uid="{169ECA66-78DE-43E3-920E-3612FBEA4571}"/>
    <cellStyle name="20% - Accent6 2 5 4" xfId="9604" xr:uid="{8AD5F656-ABF7-4A78-AE9A-571D8BEA277C}"/>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941DD9E3-C7C1-4E72-9CEA-FA0B9C31E263}"/>
    <cellStyle name="20% - Accent6 2 6 2 3" xfId="12162" xr:uid="{3D2627BE-FBB7-42D8-9EFD-F1DEA3103F5A}"/>
    <cellStyle name="20% - Accent6 2 6 3" xfId="5785" xr:uid="{00000000-0005-0000-0000-00006A030000}"/>
    <cellStyle name="20% - Accent6 2 6 3 2" xfId="14235" xr:uid="{4D460DFC-6635-409F-A4C4-AE0918F5FD4F}"/>
    <cellStyle name="20% - Accent6 2 6 4" xfId="10017" xr:uid="{58602899-5F20-4B1D-8BB4-6619A1E7C22E}"/>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B2203CD8-1E1D-4908-840B-F66E82383E61}"/>
    <cellStyle name="20% - Accent6 2 7 2 3" xfId="12575" xr:uid="{D60919C7-D0C7-4ADE-A3FE-A6E638A7DAB2}"/>
    <cellStyle name="20% - Accent6 2 7 3" xfId="6198" xr:uid="{00000000-0005-0000-0000-00006E030000}"/>
    <cellStyle name="20% - Accent6 2 7 3 2" xfId="14648" xr:uid="{034B33A5-846D-4D51-A1E2-907F4FA3F5D4}"/>
    <cellStyle name="20% - Accent6 2 7 4" xfId="10430" xr:uid="{D5A33A7A-51CA-4046-9610-F7CD72237C76}"/>
    <cellStyle name="20% - Accent6 2 8" xfId="2305" xr:uid="{00000000-0005-0000-0000-00006F030000}"/>
    <cellStyle name="20% - Accent6 2 8 2" xfId="6611" xr:uid="{00000000-0005-0000-0000-000070030000}"/>
    <cellStyle name="20% - Accent6 2 8 2 2" xfId="15061" xr:uid="{4EFB8C8E-458D-4E60-B21E-33D0E91CA818}"/>
    <cellStyle name="20% - Accent6 2 8 3" xfId="10843" xr:uid="{8DE78255-9A02-4AA7-A021-3E428FA7871D}"/>
    <cellStyle name="20% - Accent6 2 9" xfId="4545" xr:uid="{00000000-0005-0000-0000-000071030000}"/>
    <cellStyle name="20% - Accent6 2 9 2" xfId="12995" xr:uid="{61E2AC22-074D-40FB-8A5F-1328044689C1}"/>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CE4C7F25-1DB9-4BC4-9098-907A246E3810}"/>
    <cellStyle name="20% - Accent6 3 2 2 2 3" xfId="11341" xr:uid="{718861A0-FBF8-487A-BD5D-FB4FCB21F6B8}"/>
    <cellStyle name="20% - Accent6 3 2 2 3" xfId="4964" xr:uid="{00000000-0005-0000-0000-000077030000}"/>
    <cellStyle name="20% - Accent6 3 2 2 3 2" xfId="13414" xr:uid="{3AC6CD64-DCA5-44E3-857C-EB8AF3436CBF}"/>
    <cellStyle name="20% - Accent6 3 2 2 4" xfId="9196" xr:uid="{449626CF-A1DA-4599-996C-129E87D6200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846DB74D-3345-4873-8282-8F1555C9A597}"/>
    <cellStyle name="20% - Accent6 3 2 3 2 3" xfId="11754" xr:uid="{D98F82E0-6BF7-415C-A1E5-C7F9A1561E8F}"/>
    <cellStyle name="20% - Accent6 3 2 3 3" xfId="5377" xr:uid="{00000000-0005-0000-0000-00007B030000}"/>
    <cellStyle name="20% - Accent6 3 2 3 3 2" xfId="13827" xr:uid="{21672E03-DE28-440C-93BD-4D8BBE7620AE}"/>
    <cellStyle name="20% - Accent6 3 2 3 4" xfId="9609" xr:uid="{771DB189-F884-4279-9917-E5BBFC825A4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00A02F48-2891-4E5C-8F6D-83750633D4CE}"/>
    <cellStyle name="20% - Accent6 3 2 4 2 3" xfId="12167" xr:uid="{575F179B-A3D3-4325-92D6-3A084A4A98AD}"/>
    <cellStyle name="20% - Accent6 3 2 4 3" xfId="5790" xr:uid="{00000000-0005-0000-0000-00007F030000}"/>
    <cellStyle name="20% - Accent6 3 2 4 3 2" xfId="14240" xr:uid="{9DEEA9C9-E1F5-49B9-942F-69C69BAFBEDA}"/>
    <cellStyle name="20% - Accent6 3 2 4 4" xfId="10022" xr:uid="{D1B8A5F9-6B3C-4B91-A99A-3760E7E89501}"/>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25E17EC8-90D7-4D57-A807-F5A833AA4241}"/>
    <cellStyle name="20% - Accent6 3 2 5 2 3" xfId="12580" xr:uid="{D3F0EDAB-B60D-4E45-9FE3-3C12E328FFF8}"/>
    <cellStyle name="20% - Accent6 3 2 5 3" xfId="6203" xr:uid="{00000000-0005-0000-0000-000083030000}"/>
    <cellStyle name="20% - Accent6 3 2 5 3 2" xfId="14653" xr:uid="{842B13AA-3654-415F-A1F6-9558DDFD76EE}"/>
    <cellStyle name="20% - Accent6 3 2 5 4" xfId="10435" xr:uid="{305ADE47-6AEB-470F-B2BD-058DD0A16A68}"/>
    <cellStyle name="20% - Accent6 3 2 6" xfId="2310" xr:uid="{00000000-0005-0000-0000-000084030000}"/>
    <cellStyle name="20% - Accent6 3 2 6 2" xfId="6616" xr:uid="{00000000-0005-0000-0000-000085030000}"/>
    <cellStyle name="20% - Accent6 3 2 6 2 2" xfId="15066" xr:uid="{DC346742-FE98-4A44-BF16-91E10931F4E9}"/>
    <cellStyle name="20% - Accent6 3 2 6 3" xfId="10848" xr:uid="{580ABA43-38AE-43D3-ADC6-7DABCAD1306A}"/>
    <cellStyle name="20% - Accent6 3 2 7" xfId="4550" xr:uid="{00000000-0005-0000-0000-000086030000}"/>
    <cellStyle name="20% - Accent6 3 2 7 2" xfId="13000" xr:uid="{6EB433A0-2CB8-4CB4-9CCE-819DA5FEF342}"/>
    <cellStyle name="20% - Accent6 3 2 8" xfId="8782" xr:uid="{F7CEFB8C-110D-4284-A2AE-F5B57F2CFC2B}"/>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2E3B72C9-A338-4E1F-97F7-114AC9859FE0}"/>
    <cellStyle name="20% - Accent6 3 3 2 3" xfId="11340" xr:uid="{70618518-08C5-4E72-B4DA-A0EFE2F7FF7D}"/>
    <cellStyle name="20% - Accent6 3 3 3" xfId="4963" xr:uid="{00000000-0005-0000-0000-00008A030000}"/>
    <cellStyle name="20% - Accent6 3 3 3 2" xfId="13413" xr:uid="{E30BD43F-67F1-46D7-B2AA-D4BCA370CB8B}"/>
    <cellStyle name="20% - Accent6 3 3 4" xfId="9195" xr:uid="{7D245895-15E6-4B31-B891-C542A4EA101D}"/>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9F874F5B-6959-4AF3-B4DC-065F05F8E696}"/>
    <cellStyle name="20% - Accent6 3 4 2 3" xfId="11753" xr:uid="{0FC5F8DC-DE7E-47A8-9A31-1060A311D192}"/>
    <cellStyle name="20% - Accent6 3 4 3" xfId="5376" xr:uid="{00000000-0005-0000-0000-00008E030000}"/>
    <cellStyle name="20% - Accent6 3 4 3 2" xfId="13826" xr:uid="{BC40F304-51A0-45F9-95C5-9DEDDB2731BF}"/>
    <cellStyle name="20% - Accent6 3 4 4" xfId="9608" xr:uid="{699A8300-FC9F-4CC0-8720-17BA2DF93CFA}"/>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90928818-3827-4575-84DA-7DA984E85F77}"/>
    <cellStyle name="20% - Accent6 3 5 2 3" xfId="12166" xr:uid="{8AC843BD-D58A-475B-B8FD-511B61582F8F}"/>
    <cellStyle name="20% - Accent6 3 5 3" xfId="5789" xr:uid="{00000000-0005-0000-0000-000092030000}"/>
    <cellStyle name="20% - Accent6 3 5 3 2" xfId="14239" xr:uid="{65B2D85A-A1F7-4F55-A36C-0C3EC6C54F5E}"/>
    <cellStyle name="20% - Accent6 3 5 4" xfId="10021" xr:uid="{0C03E203-9FEA-4181-8FC0-F1606500C702}"/>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C21FE0C0-FE36-4EA4-A40F-F7E58FA7D88A}"/>
    <cellStyle name="20% - Accent6 3 6 2 3" xfId="12579" xr:uid="{CEE46F86-B5F1-4949-B1ED-47099CD5E89E}"/>
    <cellStyle name="20% - Accent6 3 6 3" xfId="6202" xr:uid="{00000000-0005-0000-0000-000096030000}"/>
    <cellStyle name="20% - Accent6 3 6 3 2" xfId="14652" xr:uid="{5DBE78A6-13C4-4705-8383-25E2B091D6E9}"/>
    <cellStyle name="20% - Accent6 3 6 4" xfId="10434" xr:uid="{85C4B5F7-0D13-43C2-BBDB-90A82A7339CF}"/>
    <cellStyle name="20% - Accent6 3 7" xfId="2309" xr:uid="{00000000-0005-0000-0000-000097030000}"/>
    <cellStyle name="20% - Accent6 3 7 2" xfId="6615" xr:uid="{00000000-0005-0000-0000-000098030000}"/>
    <cellStyle name="20% - Accent6 3 7 2 2" xfId="15065" xr:uid="{70898DAF-820E-4AAD-9146-05FF9A8F5A01}"/>
    <cellStyle name="20% - Accent6 3 7 3" xfId="10847" xr:uid="{4AE22FD0-0ACD-4120-91EC-26227478F518}"/>
    <cellStyle name="20% - Accent6 3 8" xfId="4549" xr:uid="{00000000-0005-0000-0000-000099030000}"/>
    <cellStyle name="20% - Accent6 3 8 2" xfId="12999" xr:uid="{8D469134-679A-4C41-8200-5358F1A43366}"/>
    <cellStyle name="20% - Accent6 3 9" xfId="8781" xr:uid="{469E2CC9-3307-4C41-BF3C-D610C57CA198}"/>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8F29313E-1B1A-4896-89DE-888F3CAE8225}"/>
    <cellStyle name="20% - Accent6 4 2 2 3" xfId="11342" xr:uid="{88AC1095-ED25-410D-B160-B820522CD452}"/>
    <cellStyle name="20% - Accent6 4 2 3" xfId="4965" xr:uid="{00000000-0005-0000-0000-00009E030000}"/>
    <cellStyle name="20% - Accent6 4 2 3 2" xfId="13415" xr:uid="{BD1DAE01-5B78-4505-9EFE-C3D2CD7BF133}"/>
    <cellStyle name="20% - Accent6 4 2 4" xfId="9197" xr:uid="{CDE646A4-CCD6-46E2-83B0-FE973F56CB25}"/>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8C91D6DD-7A6A-4408-BA84-E59E86CC603F}"/>
    <cellStyle name="20% - Accent6 4 3 2 3" xfId="11755" xr:uid="{DFC95191-3387-43E3-8EA4-A7C5792C6265}"/>
    <cellStyle name="20% - Accent6 4 3 3" xfId="5378" xr:uid="{00000000-0005-0000-0000-0000A2030000}"/>
    <cellStyle name="20% - Accent6 4 3 3 2" xfId="13828" xr:uid="{96EF6E58-3F2C-4FBF-934C-E25696FADEB2}"/>
    <cellStyle name="20% - Accent6 4 3 4" xfId="9610" xr:uid="{C04CFEF7-309B-4AA5-8DD5-63657A9EDEE1}"/>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8346118C-6549-4E18-825F-F4AAC6F5A04C}"/>
    <cellStyle name="20% - Accent6 4 4 2 3" xfId="12168" xr:uid="{5E54E1D3-F609-4C17-8698-3F33A05847EC}"/>
    <cellStyle name="20% - Accent6 4 4 3" xfId="5791" xr:uid="{00000000-0005-0000-0000-0000A6030000}"/>
    <cellStyle name="20% - Accent6 4 4 3 2" xfId="14241" xr:uid="{34AA0D5B-83F3-4542-9854-E2FA3208154B}"/>
    <cellStyle name="20% - Accent6 4 4 4" xfId="10023" xr:uid="{69579189-E42F-4ABF-A81B-E1B5E8DDCE16}"/>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9B5C4F88-146E-4285-910B-72A89F7386B8}"/>
    <cellStyle name="20% - Accent6 4 5 2 3" xfId="12581" xr:uid="{AE5594C8-A871-4D42-96D3-91FBC27CB126}"/>
    <cellStyle name="20% - Accent6 4 5 3" xfId="6204" xr:uid="{00000000-0005-0000-0000-0000AA030000}"/>
    <cellStyle name="20% - Accent6 4 5 3 2" xfId="14654" xr:uid="{CFF304F5-07EA-4555-AF7E-A1C2AE6D7E44}"/>
    <cellStyle name="20% - Accent6 4 5 4" xfId="10436" xr:uid="{4EAFA1A9-28F4-45C4-B0A6-50C56DF68904}"/>
    <cellStyle name="20% - Accent6 4 6" xfId="2311" xr:uid="{00000000-0005-0000-0000-0000AB030000}"/>
    <cellStyle name="20% - Accent6 4 6 2" xfId="6617" xr:uid="{00000000-0005-0000-0000-0000AC030000}"/>
    <cellStyle name="20% - Accent6 4 6 2 2" xfId="15067" xr:uid="{71072E9D-55E9-4491-9ED4-AB053F07CDC3}"/>
    <cellStyle name="20% - Accent6 4 6 3" xfId="10849" xr:uid="{47D4447B-9AF0-49CB-9628-DC9D42E9B65F}"/>
    <cellStyle name="20% - Accent6 4 7" xfId="4551" xr:uid="{00000000-0005-0000-0000-0000AD030000}"/>
    <cellStyle name="20% - Accent6 4 7 2" xfId="13001" xr:uid="{EE6C9A69-9584-4ECE-ACB8-AE2A062877F5}"/>
    <cellStyle name="20% - Accent6 4 8" xfId="8783" xr:uid="{596F3D23-3F45-4165-9355-8987A697F15D}"/>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15E54D91-D268-49F2-9F7A-095D3A2FDA83}"/>
    <cellStyle name="20% - Accent6 5 2 3" xfId="11335" xr:uid="{42514298-938B-45D3-A038-EC3C357D1196}"/>
    <cellStyle name="20% - Accent6 5 3" xfId="4958" xr:uid="{00000000-0005-0000-0000-0000B1030000}"/>
    <cellStyle name="20% - Accent6 5 3 2" xfId="13408" xr:uid="{E1FEF6BA-0E0C-4042-B98B-D1051E5A8892}"/>
    <cellStyle name="20% - Accent6 5 4" xfId="9190" xr:uid="{410974EB-D8A6-43BA-B562-1D2B862FD36D}"/>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57B6843B-C064-4613-8DAF-D383B8B599A6}"/>
    <cellStyle name="20% - Accent6 6 2 3" xfId="11748" xr:uid="{D97B8F46-BDEE-46F7-B00D-24A80C1BEC1E}"/>
    <cellStyle name="20% - Accent6 6 3" xfId="5371" xr:uid="{00000000-0005-0000-0000-0000B5030000}"/>
    <cellStyle name="20% - Accent6 6 3 2" xfId="13821" xr:uid="{37E04533-5FDE-4104-8B28-1131198A4BDC}"/>
    <cellStyle name="20% - Accent6 6 4" xfId="9603" xr:uid="{5AE62B6E-DF03-4F0D-8FD6-8E5FD52CA9EA}"/>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0023020C-810C-4857-95D6-9B1FCB69CEDF}"/>
    <cellStyle name="20% - Accent6 7 2 3" xfId="12161" xr:uid="{8F1D1EA4-378B-4CF7-955D-4BAFF3850873}"/>
    <cellStyle name="20% - Accent6 7 3" xfId="5784" xr:uid="{00000000-0005-0000-0000-0000B9030000}"/>
    <cellStyle name="20% - Accent6 7 3 2" xfId="14234" xr:uid="{6EE8BAB3-AC61-489E-ABF8-A3E640F83729}"/>
    <cellStyle name="20% - Accent6 7 4" xfId="10016" xr:uid="{15202586-791C-48CD-A680-0CD0717D995C}"/>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2BACADF7-AA94-4C1A-9BA4-1DF1E761E518}"/>
    <cellStyle name="20% - Accent6 8 2 3" xfId="12574" xr:uid="{02A2329D-6851-4F6A-A43F-6F6A7923CF21}"/>
    <cellStyle name="20% - Accent6 8 3" xfId="6197" xr:uid="{00000000-0005-0000-0000-0000BD030000}"/>
    <cellStyle name="20% - Accent6 8 3 2" xfId="14647" xr:uid="{F6C3232E-7018-4C26-AE06-297A93F0F2C9}"/>
    <cellStyle name="20% - Accent6 8 4" xfId="10429" xr:uid="{1C372F6C-6801-41DC-B392-D3965F225870}"/>
    <cellStyle name="20% - Accent6 9" xfId="2304" xr:uid="{00000000-0005-0000-0000-0000BE030000}"/>
    <cellStyle name="20% - Accent6 9 2" xfId="6610" xr:uid="{00000000-0005-0000-0000-0000BF030000}"/>
    <cellStyle name="20% - Accent6 9 2 2" xfId="15060" xr:uid="{4A917B70-F013-4943-8C91-2B331EC283DF}"/>
    <cellStyle name="20% - Accent6 9 3" xfId="10842" xr:uid="{F3248C80-FDB2-403E-BB7C-E00CC545192E}"/>
    <cellStyle name="40% - Accent1" xfId="49" builtinId="31" customBuiltin="1"/>
    <cellStyle name="40% - Accent1 10" xfId="4552" xr:uid="{00000000-0005-0000-0000-0000C1030000}"/>
    <cellStyle name="40% - Accent1 10 2" xfId="13002" xr:uid="{3C1E84FB-DDE2-4F4A-9845-FF48D88286BD}"/>
    <cellStyle name="40% - Accent1 11" xfId="8784" xr:uid="{B8D50DDD-1CD6-43EF-A41F-52B2BB56BC8A}"/>
    <cellStyle name="40% - Accent1 2" xfId="50" xr:uid="{00000000-0005-0000-0000-0000C2030000}"/>
    <cellStyle name="40% - Accent1 2 10" xfId="8785" xr:uid="{5C9BCDDE-2FDC-4AA0-ADE9-A66535F3A22C}"/>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AB499E90-9C97-421C-A461-07B7D48C6F2C}"/>
    <cellStyle name="40% - Accent1 2 2 2 2 2 3" xfId="11346" xr:uid="{C8A7D188-1319-4851-B12F-E2E9D6123EAD}"/>
    <cellStyle name="40% - Accent1 2 2 2 2 3" xfId="4969" xr:uid="{00000000-0005-0000-0000-0000C8030000}"/>
    <cellStyle name="40% - Accent1 2 2 2 2 3 2" xfId="13419" xr:uid="{F1610E8A-7F93-4DE7-96B5-527C5422F0FE}"/>
    <cellStyle name="40% - Accent1 2 2 2 2 4" xfId="9201" xr:uid="{3F5A127C-F523-41AC-A001-F482AAC710B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7DD7C140-B83D-4B71-8151-0C052A0D16A1}"/>
    <cellStyle name="40% - Accent1 2 2 2 3 2 3" xfId="11759" xr:uid="{1BA2E1BF-298C-4833-B537-40493E34B2A5}"/>
    <cellStyle name="40% - Accent1 2 2 2 3 3" xfId="5382" xr:uid="{00000000-0005-0000-0000-0000CC030000}"/>
    <cellStyle name="40% - Accent1 2 2 2 3 3 2" xfId="13832" xr:uid="{9E6A3766-4F69-47D1-8B82-FCC99EC476F7}"/>
    <cellStyle name="40% - Accent1 2 2 2 3 4" xfId="9614" xr:uid="{939C02FE-2149-4B24-ADEA-23599461BE8E}"/>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042072BC-E735-44E2-8274-4B5FF2121E0E}"/>
    <cellStyle name="40% - Accent1 2 2 2 4 2 3" xfId="12172" xr:uid="{5A6FAD20-EA9F-4B45-B11D-C995A32CD529}"/>
    <cellStyle name="40% - Accent1 2 2 2 4 3" xfId="5795" xr:uid="{00000000-0005-0000-0000-0000D0030000}"/>
    <cellStyle name="40% - Accent1 2 2 2 4 3 2" xfId="14245" xr:uid="{4ABD461D-679A-48E6-ACF5-159C962086A8}"/>
    <cellStyle name="40% - Accent1 2 2 2 4 4" xfId="10027" xr:uid="{6843FCA4-1B25-4CAA-8493-B64AF343BBB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62746310-42B3-47F0-8E20-5585466B86ED}"/>
    <cellStyle name="40% - Accent1 2 2 2 5 2 3" xfId="12585" xr:uid="{10E02E27-D8BA-45A4-9372-E930C4CABAEA}"/>
    <cellStyle name="40% - Accent1 2 2 2 5 3" xfId="6208" xr:uid="{00000000-0005-0000-0000-0000D4030000}"/>
    <cellStyle name="40% - Accent1 2 2 2 5 3 2" xfId="14658" xr:uid="{555AA9EA-AC65-4860-B4B1-C4B5CF864D85}"/>
    <cellStyle name="40% - Accent1 2 2 2 5 4" xfId="10440" xr:uid="{0C99FB3D-E045-4FFD-BA8B-716038323A0B}"/>
    <cellStyle name="40% - Accent1 2 2 2 6" xfId="2315" xr:uid="{00000000-0005-0000-0000-0000D5030000}"/>
    <cellStyle name="40% - Accent1 2 2 2 6 2" xfId="6621" xr:uid="{00000000-0005-0000-0000-0000D6030000}"/>
    <cellStyle name="40% - Accent1 2 2 2 6 2 2" xfId="15071" xr:uid="{C82359CD-6DE9-4954-AD36-6B139645CB6E}"/>
    <cellStyle name="40% - Accent1 2 2 2 6 3" xfId="10853" xr:uid="{543729D7-8B88-4D1B-95AA-ACDA4BEB62B9}"/>
    <cellStyle name="40% - Accent1 2 2 2 7" xfId="4555" xr:uid="{00000000-0005-0000-0000-0000D7030000}"/>
    <cellStyle name="40% - Accent1 2 2 2 7 2" xfId="13005" xr:uid="{904E6150-3706-4219-9392-2D841983705F}"/>
    <cellStyle name="40% - Accent1 2 2 2 8" xfId="8787" xr:uid="{914C9EEA-FA36-4788-9D45-AD5DA39D188C}"/>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95ECF142-7D10-406B-ACBF-BDD988F51878}"/>
    <cellStyle name="40% - Accent1 2 2 3 2 3" xfId="11345" xr:uid="{1F874DF3-A8B4-4E76-B8C9-8A51B3CA3B8F}"/>
    <cellStyle name="40% - Accent1 2 2 3 3" xfId="4968" xr:uid="{00000000-0005-0000-0000-0000DB030000}"/>
    <cellStyle name="40% - Accent1 2 2 3 3 2" xfId="13418" xr:uid="{B1A6B3CE-28A2-482F-9AB5-0B7A36EBCC60}"/>
    <cellStyle name="40% - Accent1 2 2 3 4" xfId="9200" xr:uid="{AA2F323A-7A00-4E16-9DEE-7E7017E040DB}"/>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69B94C2F-C566-4C93-9369-ADD938B234B8}"/>
    <cellStyle name="40% - Accent1 2 2 4 2 3" xfId="11758" xr:uid="{63AB3CF4-B64E-46CD-822F-EEFE390CFB17}"/>
    <cellStyle name="40% - Accent1 2 2 4 3" xfId="5381" xr:uid="{00000000-0005-0000-0000-0000DF030000}"/>
    <cellStyle name="40% - Accent1 2 2 4 3 2" xfId="13831" xr:uid="{9B7F1A9C-D4D4-4F71-AB19-3A1A38785C1F}"/>
    <cellStyle name="40% - Accent1 2 2 4 4" xfId="9613" xr:uid="{771F1465-73DA-4EF7-AC45-F44DEE03AA76}"/>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2FDDB40E-13B9-452B-AD4F-10064693A841}"/>
    <cellStyle name="40% - Accent1 2 2 5 2 3" xfId="12171" xr:uid="{A8D262CE-0A0E-4480-9202-ADBF5138749B}"/>
    <cellStyle name="40% - Accent1 2 2 5 3" xfId="5794" xr:uid="{00000000-0005-0000-0000-0000E3030000}"/>
    <cellStyle name="40% - Accent1 2 2 5 3 2" xfId="14244" xr:uid="{D12C3992-1B90-40BE-BC96-7C2DA203064F}"/>
    <cellStyle name="40% - Accent1 2 2 5 4" xfId="10026" xr:uid="{5382E175-A98A-4648-A7FE-A34E1A6DB780}"/>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E6B802CA-C0F7-42B7-B018-862ADCA95A77}"/>
    <cellStyle name="40% - Accent1 2 2 6 2 3" xfId="12584" xr:uid="{EDF1BC20-CA7D-46DC-9C12-AFCA3524FA76}"/>
    <cellStyle name="40% - Accent1 2 2 6 3" xfId="6207" xr:uid="{00000000-0005-0000-0000-0000E7030000}"/>
    <cellStyle name="40% - Accent1 2 2 6 3 2" xfId="14657" xr:uid="{2E94B8BE-3D34-47ED-BE37-98F50CFB85BF}"/>
    <cellStyle name="40% - Accent1 2 2 6 4" xfId="10439" xr:uid="{DD6E7D83-2EEE-431F-8161-514C136033C7}"/>
    <cellStyle name="40% - Accent1 2 2 7" xfId="2314" xr:uid="{00000000-0005-0000-0000-0000E8030000}"/>
    <cellStyle name="40% - Accent1 2 2 7 2" xfId="6620" xr:uid="{00000000-0005-0000-0000-0000E9030000}"/>
    <cellStyle name="40% - Accent1 2 2 7 2 2" xfId="15070" xr:uid="{A6C90602-B365-4046-A6C1-570D1D9DDEAF}"/>
    <cellStyle name="40% - Accent1 2 2 7 3" xfId="10852" xr:uid="{B8F945C2-C6A1-4704-9842-13DF8BF70515}"/>
    <cellStyle name="40% - Accent1 2 2 8" xfId="4554" xr:uid="{00000000-0005-0000-0000-0000EA030000}"/>
    <cellStyle name="40% - Accent1 2 2 8 2" xfId="13004" xr:uid="{5037FCC8-73E2-4C07-89B4-034F8F22DBC9}"/>
    <cellStyle name="40% - Accent1 2 2 9" xfId="8786" xr:uid="{4A54535A-8AAA-4F2F-8CAC-9E85A1616A4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6EEE933F-493A-459E-80ED-F8B90C813BCB}"/>
    <cellStyle name="40% - Accent1 2 3 2 2 3" xfId="11347" xr:uid="{5CB160BE-70BD-4DD6-98D9-99ABDF4BAA2C}"/>
    <cellStyle name="40% - Accent1 2 3 2 3" xfId="4970" xr:uid="{00000000-0005-0000-0000-0000EF030000}"/>
    <cellStyle name="40% - Accent1 2 3 2 3 2" xfId="13420" xr:uid="{7263D4B8-F46B-4E29-90FA-757CA1F39997}"/>
    <cellStyle name="40% - Accent1 2 3 2 4" xfId="9202" xr:uid="{750A665A-4D3A-433F-969F-93160F218316}"/>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762BB07A-9754-4A0A-9C9F-3F2F5DAA600C}"/>
    <cellStyle name="40% - Accent1 2 3 3 2 3" xfId="11760" xr:uid="{0E7DFD25-685F-44E4-BE66-C1637198444D}"/>
    <cellStyle name="40% - Accent1 2 3 3 3" xfId="5383" xr:uid="{00000000-0005-0000-0000-0000F3030000}"/>
    <cellStyle name="40% - Accent1 2 3 3 3 2" xfId="13833" xr:uid="{8A683915-D323-4E79-BBE4-37BE8385C801}"/>
    <cellStyle name="40% - Accent1 2 3 3 4" xfId="9615" xr:uid="{C18BE18D-BC35-42AC-BC35-B33D854FFBF0}"/>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693F38F8-AD66-41FB-A791-A5220787610B}"/>
    <cellStyle name="40% - Accent1 2 3 4 2 3" xfId="12173" xr:uid="{BC9F0003-7C87-496A-A4E5-A645D79CCA6D}"/>
    <cellStyle name="40% - Accent1 2 3 4 3" xfId="5796" xr:uid="{00000000-0005-0000-0000-0000F7030000}"/>
    <cellStyle name="40% - Accent1 2 3 4 3 2" xfId="14246" xr:uid="{B51BEF79-B321-469A-A73B-F06D063A0AAB}"/>
    <cellStyle name="40% - Accent1 2 3 4 4" xfId="10028" xr:uid="{494DC739-1B54-4F56-9B68-9BCD5203C275}"/>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6120A451-1107-4D07-B85B-CFCE4F868C45}"/>
    <cellStyle name="40% - Accent1 2 3 5 2 3" xfId="12586" xr:uid="{060DBD1A-F5BF-4CBF-9EB6-952FAA40A1CB}"/>
    <cellStyle name="40% - Accent1 2 3 5 3" xfId="6209" xr:uid="{00000000-0005-0000-0000-0000FB030000}"/>
    <cellStyle name="40% - Accent1 2 3 5 3 2" xfId="14659" xr:uid="{B31E9FB7-170B-45E8-A3A2-4886EEE97EF6}"/>
    <cellStyle name="40% - Accent1 2 3 5 4" xfId="10441" xr:uid="{4AE1C058-AFFA-4587-9BE4-4087EC90226E}"/>
    <cellStyle name="40% - Accent1 2 3 6" xfId="2316" xr:uid="{00000000-0005-0000-0000-0000FC030000}"/>
    <cellStyle name="40% - Accent1 2 3 6 2" xfId="6622" xr:uid="{00000000-0005-0000-0000-0000FD030000}"/>
    <cellStyle name="40% - Accent1 2 3 6 2 2" xfId="15072" xr:uid="{6A998BB0-3E10-4530-AE2C-94D971FBB589}"/>
    <cellStyle name="40% - Accent1 2 3 6 3" xfId="10854" xr:uid="{980F6BC3-39A4-4DDB-8785-27958E8E1026}"/>
    <cellStyle name="40% - Accent1 2 3 7" xfId="4556" xr:uid="{00000000-0005-0000-0000-0000FE030000}"/>
    <cellStyle name="40% - Accent1 2 3 7 2" xfId="13006" xr:uid="{56D1C282-C031-4A7D-BB3F-03E133D6B352}"/>
    <cellStyle name="40% - Accent1 2 3 8" xfId="8788" xr:uid="{6C923BA3-DA95-459E-BE2A-09850B970738}"/>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2DB3275D-3F61-45DE-BBFA-0534BBA62B04}"/>
    <cellStyle name="40% - Accent1 2 4 2 3" xfId="11344" xr:uid="{322C2B79-CA76-466B-A9DB-59CD32F76029}"/>
    <cellStyle name="40% - Accent1 2 4 3" xfId="4967" xr:uid="{00000000-0005-0000-0000-000002040000}"/>
    <cellStyle name="40% - Accent1 2 4 3 2" xfId="13417" xr:uid="{125FC17D-6CE8-4E4E-8DD6-DEBEDE35B483}"/>
    <cellStyle name="40% - Accent1 2 4 4" xfId="9199" xr:uid="{4F57F313-6D15-4539-8927-2620BF565526}"/>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B2FD1969-EA5C-4183-BA88-20AC9DDA4305}"/>
    <cellStyle name="40% - Accent1 2 5 2 3" xfId="11757" xr:uid="{667E9CE1-AABB-47DE-9B22-20182F6C6AB9}"/>
    <cellStyle name="40% - Accent1 2 5 3" xfId="5380" xr:uid="{00000000-0005-0000-0000-000006040000}"/>
    <cellStyle name="40% - Accent1 2 5 3 2" xfId="13830" xr:uid="{569FD217-2D7F-4A7D-8F12-953215526DDB}"/>
    <cellStyle name="40% - Accent1 2 5 4" xfId="9612" xr:uid="{29B3C911-7F83-43E4-BA0D-8ED5509FCB35}"/>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7A890CDF-BE2C-4E70-BFF6-A7985265596C}"/>
    <cellStyle name="40% - Accent1 2 6 2 3" xfId="12170" xr:uid="{035F37B9-4B51-4C7B-9981-25BC9BA08AF9}"/>
    <cellStyle name="40% - Accent1 2 6 3" xfId="5793" xr:uid="{00000000-0005-0000-0000-00000A040000}"/>
    <cellStyle name="40% - Accent1 2 6 3 2" xfId="14243" xr:uid="{8F733E3C-2AE0-404D-AD16-1341F25B606E}"/>
    <cellStyle name="40% - Accent1 2 6 4" xfId="10025" xr:uid="{37CEF679-B807-41B6-8DF9-17110491AE34}"/>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095947B-7343-4564-B79B-34AFB4D6A5F5}"/>
    <cellStyle name="40% - Accent1 2 7 2 3" xfId="12583" xr:uid="{B3EC1D6C-EF7D-4406-93A5-B7F0C8DF3A34}"/>
    <cellStyle name="40% - Accent1 2 7 3" xfId="6206" xr:uid="{00000000-0005-0000-0000-00000E040000}"/>
    <cellStyle name="40% - Accent1 2 7 3 2" xfId="14656" xr:uid="{A0785A64-2306-4BD4-A707-9E8798F3EF86}"/>
    <cellStyle name="40% - Accent1 2 7 4" xfId="10438" xr:uid="{72957A0A-CD7F-4677-9992-F0B7711F41DF}"/>
    <cellStyle name="40% - Accent1 2 8" xfId="2313" xr:uid="{00000000-0005-0000-0000-00000F040000}"/>
    <cellStyle name="40% - Accent1 2 8 2" xfId="6619" xr:uid="{00000000-0005-0000-0000-000010040000}"/>
    <cellStyle name="40% - Accent1 2 8 2 2" xfId="15069" xr:uid="{C42005A8-CC8B-43B5-9768-F3353CE0C27D}"/>
    <cellStyle name="40% - Accent1 2 8 3" xfId="10851" xr:uid="{E7B74CAD-C320-486B-927F-92F9452E3CAC}"/>
    <cellStyle name="40% - Accent1 2 9" xfId="4553" xr:uid="{00000000-0005-0000-0000-000011040000}"/>
    <cellStyle name="40% - Accent1 2 9 2" xfId="13003" xr:uid="{557323C9-2635-45D6-A1D1-6BA54046935B}"/>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C530E042-5F39-4BC8-8796-D6F2710D7F9B}"/>
    <cellStyle name="40% - Accent1 3 2 2 2 3" xfId="11349" xr:uid="{9370C671-239E-4FCA-A8BD-B85E913939C1}"/>
    <cellStyle name="40% - Accent1 3 2 2 3" xfId="4972" xr:uid="{00000000-0005-0000-0000-000017040000}"/>
    <cellStyle name="40% - Accent1 3 2 2 3 2" xfId="13422" xr:uid="{8F093A42-B2EC-4061-87A7-3D883691F814}"/>
    <cellStyle name="40% - Accent1 3 2 2 4" xfId="9204" xr:uid="{4A4A260A-38FA-48EB-8804-8C4C6C3A018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B84DF07C-BE12-439A-969B-8C8EDD0B7477}"/>
    <cellStyle name="40% - Accent1 3 2 3 2 3" xfId="11762" xr:uid="{8CD7770D-8608-4182-A9F7-7A1549ED71F5}"/>
    <cellStyle name="40% - Accent1 3 2 3 3" xfId="5385" xr:uid="{00000000-0005-0000-0000-00001B040000}"/>
    <cellStyle name="40% - Accent1 3 2 3 3 2" xfId="13835" xr:uid="{53A68E1C-9F5D-47A1-8FB5-A395384E4E52}"/>
    <cellStyle name="40% - Accent1 3 2 3 4" xfId="9617" xr:uid="{C8F3162D-C7DA-4F2F-9859-53564B822CD8}"/>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2EF03E99-6AD1-46D0-9CD9-740398CEF334}"/>
    <cellStyle name="40% - Accent1 3 2 4 2 3" xfId="12175" xr:uid="{06FDD27E-69C4-47AE-A0DD-B08727B8E905}"/>
    <cellStyle name="40% - Accent1 3 2 4 3" xfId="5798" xr:uid="{00000000-0005-0000-0000-00001F040000}"/>
    <cellStyle name="40% - Accent1 3 2 4 3 2" xfId="14248" xr:uid="{99D2A809-0AD6-4C73-85AA-BA53B70FFE76}"/>
    <cellStyle name="40% - Accent1 3 2 4 4" xfId="10030" xr:uid="{3B2C6886-8C45-4814-A8F1-8EC4A9F88824}"/>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8263CA36-7C43-4A67-8BC3-45BDE0F19072}"/>
    <cellStyle name="40% - Accent1 3 2 5 2 3" xfId="12588" xr:uid="{E9252A2C-40FF-4552-9DAA-CF64BE9F3E89}"/>
    <cellStyle name="40% - Accent1 3 2 5 3" xfId="6211" xr:uid="{00000000-0005-0000-0000-000023040000}"/>
    <cellStyle name="40% - Accent1 3 2 5 3 2" xfId="14661" xr:uid="{D4DD28FC-FA8F-41BF-9853-5D5736E8053D}"/>
    <cellStyle name="40% - Accent1 3 2 5 4" xfId="10443" xr:uid="{0FEB0C0D-A93F-402F-B1E1-0D0B6A20E2A4}"/>
    <cellStyle name="40% - Accent1 3 2 6" xfId="2318" xr:uid="{00000000-0005-0000-0000-000024040000}"/>
    <cellStyle name="40% - Accent1 3 2 6 2" xfId="6624" xr:uid="{00000000-0005-0000-0000-000025040000}"/>
    <cellStyle name="40% - Accent1 3 2 6 2 2" xfId="15074" xr:uid="{B7C37FFD-94B8-4118-8E2F-BCCF5D3D4250}"/>
    <cellStyle name="40% - Accent1 3 2 6 3" xfId="10856" xr:uid="{17F7912E-3828-4856-9757-D2CB8E2B1BB0}"/>
    <cellStyle name="40% - Accent1 3 2 7" xfId="4558" xr:uid="{00000000-0005-0000-0000-000026040000}"/>
    <cellStyle name="40% - Accent1 3 2 7 2" xfId="13008" xr:uid="{A6C0CF4B-5C6B-47BC-B68C-A4BB5604D048}"/>
    <cellStyle name="40% - Accent1 3 2 8" xfId="8790" xr:uid="{B1445971-1CE2-49C4-9095-B9820A115DCA}"/>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318CB200-78E5-4F53-BEA0-BAE82A26B45B}"/>
    <cellStyle name="40% - Accent1 3 3 2 3" xfId="11348" xr:uid="{D2FDA52C-DC62-41BA-B8A6-B76978F14BD3}"/>
    <cellStyle name="40% - Accent1 3 3 3" xfId="4971" xr:uid="{00000000-0005-0000-0000-00002A040000}"/>
    <cellStyle name="40% - Accent1 3 3 3 2" xfId="13421" xr:uid="{9274316B-12C5-48B2-A730-45D27F6FC87A}"/>
    <cellStyle name="40% - Accent1 3 3 4" xfId="9203" xr:uid="{F54D72AC-EE35-423A-905D-DB33DD0DE1C5}"/>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2CE3D48A-DEC4-4D5C-BACA-4CC88E33860E}"/>
    <cellStyle name="40% - Accent1 3 4 2 3" xfId="11761" xr:uid="{6A444C2D-EA17-4190-B983-810F3C4A2EA4}"/>
    <cellStyle name="40% - Accent1 3 4 3" xfId="5384" xr:uid="{00000000-0005-0000-0000-00002E040000}"/>
    <cellStyle name="40% - Accent1 3 4 3 2" xfId="13834" xr:uid="{2287B0B4-621E-424F-93AF-1FF9F12D30B7}"/>
    <cellStyle name="40% - Accent1 3 4 4" xfId="9616" xr:uid="{DD07A8BD-6F2B-4670-87D7-78673DECB64F}"/>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2311B96C-62A7-4920-97E2-CE98EC715D92}"/>
    <cellStyle name="40% - Accent1 3 5 2 3" xfId="12174" xr:uid="{D161D476-A903-4320-BE91-FC665C374764}"/>
    <cellStyle name="40% - Accent1 3 5 3" xfId="5797" xr:uid="{00000000-0005-0000-0000-000032040000}"/>
    <cellStyle name="40% - Accent1 3 5 3 2" xfId="14247" xr:uid="{2DA6F947-0F4E-4D99-B3FE-C9FEB2E9E0C5}"/>
    <cellStyle name="40% - Accent1 3 5 4" xfId="10029" xr:uid="{5C3FE0AC-2AB4-48E2-9572-60F4B3D0CBB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4AF680BF-2285-414E-96D1-9E5AFD8863F7}"/>
    <cellStyle name="40% - Accent1 3 6 2 3" xfId="12587" xr:uid="{416AFEB5-07B8-494F-B6C8-247A03580F79}"/>
    <cellStyle name="40% - Accent1 3 6 3" xfId="6210" xr:uid="{00000000-0005-0000-0000-000036040000}"/>
    <cellStyle name="40% - Accent1 3 6 3 2" xfId="14660" xr:uid="{DBA9700B-2CCC-4878-B851-0E4262BF7051}"/>
    <cellStyle name="40% - Accent1 3 6 4" xfId="10442" xr:uid="{5B43931D-7580-4F4F-8A86-1964C0DADE37}"/>
    <cellStyle name="40% - Accent1 3 7" xfId="2317" xr:uid="{00000000-0005-0000-0000-000037040000}"/>
    <cellStyle name="40% - Accent1 3 7 2" xfId="6623" xr:uid="{00000000-0005-0000-0000-000038040000}"/>
    <cellStyle name="40% - Accent1 3 7 2 2" xfId="15073" xr:uid="{F440D6FC-F04C-49B8-B863-4D23D2C9AC86}"/>
    <cellStyle name="40% - Accent1 3 7 3" xfId="10855" xr:uid="{B2A02435-F49B-4986-B32E-42870F200A3D}"/>
    <cellStyle name="40% - Accent1 3 8" xfId="4557" xr:uid="{00000000-0005-0000-0000-000039040000}"/>
    <cellStyle name="40% - Accent1 3 8 2" xfId="13007" xr:uid="{69F42048-3812-42C7-8785-E45FD53DACC9}"/>
    <cellStyle name="40% - Accent1 3 9" xfId="8789" xr:uid="{057B0C0B-3A0F-4729-B301-B5455799EAE2}"/>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823B9656-D616-429E-99B0-973A977F9CE2}"/>
    <cellStyle name="40% - Accent1 4 2 2 3" xfId="11350" xr:uid="{F2C241D2-BD0D-4093-A41C-02FDCAA44191}"/>
    <cellStyle name="40% - Accent1 4 2 3" xfId="4973" xr:uid="{00000000-0005-0000-0000-00003E040000}"/>
    <cellStyle name="40% - Accent1 4 2 3 2" xfId="13423" xr:uid="{960F7C48-EFDA-45E5-932A-298F07985835}"/>
    <cellStyle name="40% - Accent1 4 2 4" xfId="9205" xr:uid="{1ECC21FA-AAE2-49FC-9BD4-3CACFF899A65}"/>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D9FE6072-F7CB-4CC3-BB94-AECEEF8B2AC3}"/>
    <cellStyle name="40% - Accent1 4 3 2 3" xfId="11763" xr:uid="{B051E680-A399-4979-828F-E5E337086B11}"/>
    <cellStyle name="40% - Accent1 4 3 3" xfId="5386" xr:uid="{00000000-0005-0000-0000-000042040000}"/>
    <cellStyle name="40% - Accent1 4 3 3 2" xfId="13836" xr:uid="{16F48D92-2026-4C9B-BB98-FEED45912186}"/>
    <cellStyle name="40% - Accent1 4 3 4" xfId="9618" xr:uid="{4F224FD2-7FD7-4AED-9C58-D5A1CB1C8F45}"/>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C24F9A60-2E46-4D7D-9ED2-0148B3481080}"/>
    <cellStyle name="40% - Accent1 4 4 2 3" xfId="12176" xr:uid="{DAB07B92-5997-4C31-A00D-EF30BDD369D2}"/>
    <cellStyle name="40% - Accent1 4 4 3" xfId="5799" xr:uid="{00000000-0005-0000-0000-000046040000}"/>
    <cellStyle name="40% - Accent1 4 4 3 2" xfId="14249" xr:uid="{EC530C38-FB05-4824-BD83-A1B9DA02C732}"/>
    <cellStyle name="40% - Accent1 4 4 4" xfId="10031" xr:uid="{9233B96F-1EAB-461A-B545-CC237B1684F0}"/>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7BFFFA0F-B08A-499B-8712-65A47D449FB7}"/>
    <cellStyle name="40% - Accent1 4 5 2 3" xfId="12589" xr:uid="{39D82773-1440-4389-ACD0-56E4AFFEE3EE}"/>
    <cellStyle name="40% - Accent1 4 5 3" xfId="6212" xr:uid="{00000000-0005-0000-0000-00004A040000}"/>
    <cellStyle name="40% - Accent1 4 5 3 2" xfId="14662" xr:uid="{2691F309-637C-4E30-B406-B73E47A3E8D0}"/>
    <cellStyle name="40% - Accent1 4 5 4" xfId="10444" xr:uid="{866D4EF5-AD0A-4FD0-AD60-023F0B8374BF}"/>
    <cellStyle name="40% - Accent1 4 6" xfId="2319" xr:uid="{00000000-0005-0000-0000-00004B040000}"/>
    <cellStyle name="40% - Accent1 4 6 2" xfId="6625" xr:uid="{00000000-0005-0000-0000-00004C040000}"/>
    <cellStyle name="40% - Accent1 4 6 2 2" xfId="15075" xr:uid="{BDCC76E1-A476-406A-A679-7AFAC478C810}"/>
    <cellStyle name="40% - Accent1 4 6 3" xfId="10857" xr:uid="{EA56211C-2AE5-4F30-97E4-3E1832A30C99}"/>
    <cellStyle name="40% - Accent1 4 7" xfId="4559" xr:uid="{00000000-0005-0000-0000-00004D040000}"/>
    <cellStyle name="40% - Accent1 4 7 2" xfId="13009" xr:uid="{65E72F3F-D7DF-435A-B552-A737891F84CE}"/>
    <cellStyle name="40% - Accent1 4 8" xfId="8791" xr:uid="{DF559633-F5B7-4C67-BED4-2D5307E874DC}"/>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40D36070-D535-4B09-8A37-B483015B7E02}"/>
    <cellStyle name="40% - Accent1 5 2 3" xfId="11343" xr:uid="{247FC8BF-F0C1-4AAD-874C-4D0FB2278FAC}"/>
    <cellStyle name="40% - Accent1 5 3" xfId="4966" xr:uid="{00000000-0005-0000-0000-000051040000}"/>
    <cellStyle name="40% - Accent1 5 3 2" xfId="13416" xr:uid="{B6FD189F-C8DA-4A00-8BFB-DBF26C3B6D06}"/>
    <cellStyle name="40% - Accent1 5 4" xfId="9198" xr:uid="{46785EB1-9356-4E36-BC12-5CFD0B78A17B}"/>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408DD6FE-6343-4CF3-9608-ACD9F031DA9D}"/>
    <cellStyle name="40% - Accent1 6 2 3" xfId="11756" xr:uid="{E6832143-DC01-4497-96AB-0C51E091FA89}"/>
    <cellStyle name="40% - Accent1 6 3" xfId="5379" xr:uid="{00000000-0005-0000-0000-000055040000}"/>
    <cellStyle name="40% - Accent1 6 3 2" xfId="13829" xr:uid="{5D5C3542-6D4E-4E52-AA0F-C878831C1C2A}"/>
    <cellStyle name="40% - Accent1 6 4" xfId="9611" xr:uid="{1B702103-DB7C-4E7A-829B-1C8A6D514BAE}"/>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5781A2E9-8C7E-4152-ACF0-6048207598DE}"/>
    <cellStyle name="40% - Accent1 7 2 3" xfId="12169" xr:uid="{F8237028-CC2D-4072-B3F9-A24067311252}"/>
    <cellStyle name="40% - Accent1 7 3" xfId="5792" xr:uid="{00000000-0005-0000-0000-000059040000}"/>
    <cellStyle name="40% - Accent1 7 3 2" xfId="14242" xr:uid="{5215A1EE-CC08-4B89-A56E-0A96C3BBE181}"/>
    <cellStyle name="40% - Accent1 7 4" xfId="10024" xr:uid="{58C0E6A3-E045-466F-B47D-4C97DF00E662}"/>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2F248B07-C7B2-40E4-9725-B738CD60ED2A}"/>
    <cellStyle name="40% - Accent1 8 2 3" xfId="12582" xr:uid="{CE465758-42D8-440D-A413-A29B71DDE997}"/>
    <cellStyle name="40% - Accent1 8 3" xfId="6205" xr:uid="{00000000-0005-0000-0000-00005D040000}"/>
    <cellStyle name="40% - Accent1 8 3 2" xfId="14655" xr:uid="{4F8CE8D5-C0DC-4DDF-961B-21919FD45F0A}"/>
    <cellStyle name="40% - Accent1 8 4" xfId="10437" xr:uid="{FB0DBC65-38F0-4748-97C6-1D2A2BF48FA5}"/>
    <cellStyle name="40% - Accent1 9" xfId="2312" xr:uid="{00000000-0005-0000-0000-00005E040000}"/>
    <cellStyle name="40% - Accent1 9 2" xfId="6618" xr:uid="{00000000-0005-0000-0000-00005F040000}"/>
    <cellStyle name="40% - Accent1 9 2 2" xfId="15068" xr:uid="{9830F2D8-F728-401A-B22D-3592791DC7D0}"/>
    <cellStyle name="40% - Accent1 9 3" xfId="10850" xr:uid="{90E78D15-2E1B-4329-B7A7-3FE277A9BDCC}"/>
    <cellStyle name="40% - Accent2" xfId="57" builtinId="35" customBuiltin="1"/>
    <cellStyle name="40% - Accent2 10" xfId="4560" xr:uid="{00000000-0005-0000-0000-000061040000}"/>
    <cellStyle name="40% - Accent2 10 2" xfId="13010" xr:uid="{8449C4F7-8798-462A-9F7D-E1C95F5A6FEC}"/>
    <cellStyle name="40% - Accent2 11" xfId="8792" xr:uid="{BF39A068-40D7-4C31-92FC-0B2B1529468F}"/>
    <cellStyle name="40% - Accent2 2" xfId="58" xr:uid="{00000000-0005-0000-0000-000062040000}"/>
    <cellStyle name="40% - Accent2 2 10" xfId="8793" xr:uid="{52826843-02CC-4225-997F-88F2106A277A}"/>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F9F8BD09-0392-463A-BF47-FC42B2D55051}"/>
    <cellStyle name="40% - Accent2 2 2 2 2 2 3" xfId="11354" xr:uid="{45D53D95-99A4-4DF1-BC11-A97C429759BB}"/>
    <cellStyle name="40% - Accent2 2 2 2 2 3" xfId="4977" xr:uid="{00000000-0005-0000-0000-000068040000}"/>
    <cellStyle name="40% - Accent2 2 2 2 2 3 2" xfId="13427" xr:uid="{51EB719E-252C-411F-ABA1-0640DFE9567C}"/>
    <cellStyle name="40% - Accent2 2 2 2 2 4" xfId="9209" xr:uid="{933F2016-9E83-4CE2-81DD-ADA3757E02C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D418F1D9-A35D-44BA-A759-D59003CD5DF6}"/>
    <cellStyle name="40% - Accent2 2 2 2 3 2 3" xfId="11767" xr:uid="{0C523473-47DB-413A-9BD1-FC80CBBD21DF}"/>
    <cellStyle name="40% - Accent2 2 2 2 3 3" xfId="5390" xr:uid="{00000000-0005-0000-0000-00006C040000}"/>
    <cellStyle name="40% - Accent2 2 2 2 3 3 2" xfId="13840" xr:uid="{FBA7E39E-C20C-404A-ACFF-923F3246A0BA}"/>
    <cellStyle name="40% - Accent2 2 2 2 3 4" xfId="9622" xr:uid="{C3A0FA77-3D04-46D4-ABA5-32F202499B57}"/>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B84231AE-7F2E-426E-A210-E521FD188EFE}"/>
    <cellStyle name="40% - Accent2 2 2 2 4 2 3" xfId="12180" xr:uid="{FB67FB61-61A9-429D-B949-A4F4A83D6C8E}"/>
    <cellStyle name="40% - Accent2 2 2 2 4 3" xfId="5803" xr:uid="{00000000-0005-0000-0000-000070040000}"/>
    <cellStyle name="40% - Accent2 2 2 2 4 3 2" xfId="14253" xr:uid="{814B37B2-0FEA-4F57-9BC5-236177E47C19}"/>
    <cellStyle name="40% - Accent2 2 2 2 4 4" xfId="10035" xr:uid="{9261451A-486F-4BB1-84AA-F85F417E97FD}"/>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FB1F976D-F3D8-45CD-A00A-B599B45D37A3}"/>
    <cellStyle name="40% - Accent2 2 2 2 5 2 3" xfId="12593" xr:uid="{F7ED0240-5DC8-4BF8-9793-CB91657A5527}"/>
    <cellStyle name="40% - Accent2 2 2 2 5 3" xfId="6216" xr:uid="{00000000-0005-0000-0000-000074040000}"/>
    <cellStyle name="40% - Accent2 2 2 2 5 3 2" xfId="14666" xr:uid="{B3882CE7-2787-481A-9092-01AE91878FEB}"/>
    <cellStyle name="40% - Accent2 2 2 2 5 4" xfId="10448" xr:uid="{FA38394B-8013-4620-B924-CB62C070B53A}"/>
    <cellStyle name="40% - Accent2 2 2 2 6" xfId="2323" xr:uid="{00000000-0005-0000-0000-000075040000}"/>
    <cellStyle name="40% - Accent2 2 2 2 6 2" xfId="6629" xr:uid="{00000000-0005-0000-0000-000076040000}"/>
    <cellStyle name="40% - Accent2 2 2 2 6 2 2" xfId="15079" xr:uid="{0CF3200A-B769-41BE-99A7-632BF9371586}"/>
    <cellStyle name="40% - Accent2 2 2 2 6 3" xfId="10861" xr:uid="{7B473866-521F-44E0-ADBD-11AAB43D18E4}"/>
    <cellStyle name="40% - Accent2 2 2 2 7" xfId="4563" xr:uid="{00000000-0005-0000-0000-000077040000}"/>
    <cellStyle name="40% - Accent2 2 2 2 7 2" xfId="13013" xr:uid="{352C125C-A428-4662-A9F7-D3BCD099C6FB}"/>
    <cellStyle name="40% - Accent2 2 2 2 8" xfId="8795" xr:uid="{9A6F59E8-6C07-459E-A37C-481F9999C209}"/>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B2A4BC7E-288E-48B7-A1F0-2461CA9B00E0}"/>
    <cellStyle name="40% - Accent2 2 2 3 2 3" xfId="11353" xr:uid="{F0F7C47C-6B26-43AC-AB41-A80EB6C0C2BA}"/>
    <cellStyle name="40% - Accent2 2 2 3 3" xfId="4976" xr:uid="{00000000-0005-0000-0000-00007B040000}"/>
    <cellStyle name="40% - Accent2 2 2 3 3 2" xfId="13426" xr:uid="{EC3BF155-08DB-441B-99B0-C07C718483CA}"/>
    <cellStyle name="40% - Accent2 2 2 3 4" xfId="9208" xr:uid="{C489F583-7C87-4C98-92F0-9EEE49FE0E40}"/>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67D689CC-6A84-4AF5-844E-09638A9A3533}"/>
    <cellStyle name="40% - Accent2 2 2 4 2 3" xfId="11766" xr:uid="{4D469590-CD62-4F1F-8D92-7C1D02F0DCBF}"/>
    <cellStyle name="40% - Accent2 2 2 4 3" xfId="5389" xr:uid="{00000000-0005-0000-0000-00007F040000}"/>
    <cellStyle name="40% - Accent2 2 2 4 3 2" xfId="13839" xr:uid="{DC456FD1-8AAD-4531-B732-7F36D3A8BE92}"/>
    <cellStyle name="40% - Accent2 2 2 4 4" xfId="9621" xr:uid="{6858D800-3A6B-48C9-A14F-9767390D600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DF920A58-EED6-42CA-AD70-A2A4534231B0}"/>
    <cellStyle name="40% - Accent2 2 2 5 2 3" xfId="12179" xr:uid="{A69FB93F-943B-4884-8269-43E57C0CF931}"/>
    <cellStyle name="40% - Accent2 2 2 5 3" xfId="5802" xr:uid="{00000000-0005-0000-0000-000083040000}"/>
    <cellStyle name="40% - Accent2 2 2 5 3 2" xfId="14252" xr:uid="{57E2D054-CE93-49F8-8695-2A76427E125B}"/>
    <cellStyle name="40% - Accent2 2 2 5 4" xfId="10034" xr:uid="{4A17BC2D-EFA0-4AE7-9237-FE8EC365F734}"/>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71E6E15C-EA23-4A35-9DAE-DF3C452105C7}"/>
    <cellStyle name="40% - Accent2 2 2 6 2 3" xfId="12592" xr:uid="{D8D8A40D-F74F-4CE5-8371-C3277D548BA9}"/>
    <cellStyle name="40% - Accent2 2 2 6 3" xfId="6215" xr:uid="{00000000-0005-0000-0000-000087040000}"/>
    <cellStyle name="40% - Accent2 2 2 6 3 2" xfId="14665" xr:uid="{1CB10184-4407-4646-BF1F-26823946588B}"/>
    <cellStyle name="40% - Accent2 2 2 6 4" xfId="10447" xr:uid="{40FF982D-B3B9-4B2F-8D08-54D2E774BEAE}"/>
    <cellStyle name="40% - Accent2 2 2 7" xfId="2322" xr:uid="{00000000-0005-0000-0000-000088040000}"/>
    <cellStyle name="40% - Accent2 2 2 7 2" xfId="6628" xr:uid="{00000000-0005-0000-0000-000089040000}"/>
    <cellStyle name="40% - Accent2 2 2 7 2 2" xfId="15078" xr:uid="{3E46AEEE-4EB5-4C99-9F95-769D0BCFB8D6}"/>
    <cellStyle name="40% - Accent2 2 2 7 3" xfId="10860" xr:uid="{5487E002-D27D-4EAB-931F-E5987F0C606D}"/>
    <cellStyle name="40% - Accent2 2 2 8" xfId="4562" xr:uid="{00000000-0005-0000-0000-00008A040000}"/>
    <cellStyle name="40% - Accent2 2 2 8 2" xfId="13012" xr:uid="{206F6FA7-B8AD-4B39-8EDD-A83E1643338E}"/>
    <cellStyle name="40% - Accent2 2 2 9" xfId="8794" xr:uid="{BABDAE34-C042-4613-ABB8-7373B6692622}"/>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0AFA2ADC-ABE5-4403-B8E0-B7FAFBF5F364}"/>
    <cellStyle name="40% - Accent2 2 3 2 2 3" xfId="11355" xr:uid="{B2F11010-E3DE-4131-981B-54FA69FB197E}"/>
    <cellStyle name="40% - Accent2 2 3 2 3" xfId="4978" xr:uid="{00000000-0005-0000-0000-00008F040000}"/>
    <cellStyle name="40% - Accent2 2 3 2 3 2" xfId="13428" xr:uid="{98E7AC43-2E5C-49EE-A568-8ECF3B02CC4F}"/>
    <cellStyle name="40% - Accent2 2 3 2 4" xfId="9210" xr:uid="{30D63E48-5A7F-4C77-BEA6-44C9624C17EE}"/>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217BCD84-CFA9-47BF-A957-54548A85E4B9}"/>
    <cellStyle name="40% - Accent2 2 3 3 2 3" xfId="11768" xr:uid="{53D1A81D-EB8A-459F-87F2-8C569E5E22F5}"/>
    <cellStyle name="40% - Accent2 2 3 3 3" xfId="5391" xr:uid="{00000000-0005-0000-0000-000093040000}"/>
    <cellStyle name="40% - Accent2 2 3 3 3 2" xfId="13841" xr:uid="{34EFF1AD-292A-464B-8CFB-3807284CE43D}"/>
    <cellStyle name="40% - Accent2 2 3 3 4" xfId="9623" xr:uid="{8307DCB4-2B64-49E1-9BC1-0777DEDCEF32}"/>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2BC4874B-1791-418B-BB72-7B585EAB9C06}"/>
    <cellStyle name="40% - Accent2 2 3 4 2 3" xfId="12181" xr:uid="{0C3E2B5F-0147-47BD-976A-AB2B1ADCFFEA}"/>
    <cellStyle name="40% - Accent2 2 3 4 3" xfId="5804" xr:uid="{00000000-0005-0000-0000-000097040000}"/>
    <cellStyle name="40% - Accent2 2 3 4 3 2" xfId="14254" xr:uid="{373E8026-FAAD-4BDB-A77F-C2F96EDE8964}"/>
    <cellStyle name="40% - Accent2 2 3 4 4" xfId="10036" xr:uid="{0F6F5122-F5DF-4A04-B5D2-FDA88189A46D}"/>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9E5E4383-A0F5-4C48-A385-DA03034DFCCF}"/>
    <cellStyle name="40% - Accent2 2 3 5 2 3" xfId="12594" xr:uid="{118C8461-1402-4EB7-83AA-7BE3CB5FDFE0}"/>
    <cellStyle name="40% - Accent2 2 3 5 3" xfId="6217" xr:uid="{00000000-0005-0000-0000-00009B040000}"/>
    <cellStyle name="40% - Accent2 2 3 5 3 2" xfId="14667" xr:uid="{498C54E3-8A28-48FE-9676-291D444CBB15}"/>
    <cellStyle name="40% - Accent2 2 3 5 4" xfId="10449" xr:uid="{283E6096-FBB9-4596-AE4C-58CBF891852A}"/>
    <cellStyle name="40% - Accent2 2 3 6" xfId="2324" xr:uid="{00000000-0005-0000-0000-00009C040000}"/>
    <cellStyle name="40% - Accent2 2 3 6 2" xfId="6630" xr:uid="{00000000-0005-0000-0000-00009D040000}"/>
    <cellStyle name="40% - Accent2 2 3 6 2 2" xfId="15080" xr:uid="{1AAFFB69-A4FD-4C88-9200-0F9A7BEBE124}"/>
    <cellStyle name="40% - Accent2 2 3 6 3" xfId="10862" xr:uid="{7310EE52-1DEA-4473-B3B9-D57B14C30B63}"/>
    <cellStyle name="40% - Accent2 2 3 7" xfId="4564" xr:uid="{00000000-0005-0000-0000-00009E040000}"/>
    <cellStyle name="40% - Accent2 2 3 7 2" xfId="13014" xr:uid="{E36C23B2-B97E-4209-B9D0-94EF6B8E1BDC}"/>
    <cellStyle name="40% - Accent2 2 3 8" xfId="8796" xr:uid="{B419BA40-DD61-43C3-83CD-E9580180F5FF}"/>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592D9749-1BB9-4C35-B08C-3A0D1BA55658}"/>
    <cellStyle name="40% - Accent2 2 4 2 3" xfId="11352" xr:uid="{FC76A9EC-1121-43B0-A010-C8502F5F7BEC}"/>
    <cellStyle name="40% - Accent2 2 4 3" xfId="4975" xr:uid="{00000000-0005-0000-0000-0000A2040000}"/>
    <cellStyle name="40% - Accent2 2 4 3 2" xfId="13425" xr:uid="{C56FDD06-D881-4786-A6C4-9A037DC3AA10}"/>
    <cellStyle name="40% - Accent2 2 4 4" xfId="9207" xr:uid="{9795FF07-C9D1-4927-AAB7-AB3E85B3AC03}"/>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1971032A-D739-43AB-B950-4B0409090F24}"/>
    <cellStyle name="40% - Accent2 2 5 2 3" xfId="11765" xr:uid="{C8F25877-8515-4799-A1CA-1A68A63C9C7B}"/>
    <cellStyle name="40% - Accent2 2 5 3" xfId="5388" xr:uid="{00000000-0005-0000-0000-0000A6040000}"/>
    <cellStyle name="40% - Accent2 2 5 3 2" xfId="13838" xr:uid="{A90AC8A1-557D-4153-B368-F6AE34842D36}"/>
    <cellStyle name="40% - Accent2 2 5 4" xfId="9620" xr:uid="{BC45D288-3C92-44D8-9CF8-38E326CA7ACB}"/>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1822286E-9C89-446D-9456-25663EBFAFE5}"/>
    <cellStyle name="40% - Accent2 2 6 2 3" xfId="12178" xr:uid="{27184A21-7936-4EE0-84CA-CD19BEE095A6}"/>
    <cellStyle name="40% - Accent2 2 6 3" xfId="5801" xr:uid="{00000000-0005-0000-0000-0000AA040000}"/>
    <cellStyle name="40% - Accent2 2 6 3 2" xfId="14251" xr:uid="{7BD95085-4546-4A93-92E3-FBCF881DED09}"/>
    <cellStyle name="40% - Accent2 2 6 4" xfId="10033" xr:uid="{F6E0E178-E274-49BB-BF2D-8C22FC70D3A0}"/>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1C4BFBF3-BD51-44FD-AF70-23A9635F4FCC}"/>
    <cellStyle name="40% - Accent2 2 7 2 3" xfId="12591" xr:uid="{F67BB1E0-7C55-45D0-B453-D39E6F204857}"/>
    <cellStyle name="40% - Accent2 2 7 3" xfId="6214" xr:uid="{00000000-0005-0000-0000-0000AE040000}"/>
    <cellStyle name="40% - Accent2 2 7 3 2" xfId="14664" xr:uid="{FCA32C98-77CF-4911-B4C8-C1B97E2C6DA6}"/>
    <cellStyle name="40% - Accent2 2 7 4" xfId="10446" xr:uid="{257B9F1E-5A86-4422-96C5-E3A83D417BDE}"/>
    <cellStyle name="40% - Accent2 2 8" xfId="2321" xr:uid="{00000000-0005-0000-0000-0000AF040000}"/>
    <cellStyle name="40% - Accent2 2 8 2" xfId="6627" xr:uid="{00000000-0005-0000-0000-0000B0040000}"/>
    <cellStyle name="40% - Accent2 2 8 2 2" xfId="15077" xr:uid="{3F79A1F9-F779-4073-9E3E-3B0237CD92C9}"/>
    <cellStyle name="40% - Accent2 2 8 3" xfId="10859" xr:uid="{9F2D4591-B7BB-46E6-AC11-BB44C276C584}"/>
    <cellStyle name="40% - Accent2 2 9" xfId="4561" xr:uid="{00000000-0005-0000-0000-0000B1040000}"/>
    <cellStyle name="40% - Accent2 2 9 2" xfId="13011" xr:uid="{57A4DFA4-6421-42E6-ACC3-42A0689B218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BB5D4EB4-9C3C-441D-AE94-0A1EAB84CEFA}"/>
    <cellStyle name="40% - Accent2 3 2 2 2 3" xfId="11357" xr:uid="{0A044506-231F-4B50-8D30-03CCE687AD30}"/>
    <cellStyle name="40% - Accent2 3 2 2 3" xfId="4980" xr:uid="{00000000-0005-0000-0000-0000B7040000}"/>
    <cellStyle name="40% - Accent2 3 2 2 3 2" xfId="13430" xr:uid="{E2B87399-685D-452F-B8C8-5BA579D304DD}"/>
    <cellStyle name="40% - Accent2 3 2 2 4" xfId="9212" xr:uid="{2872A8DD-DE52-403A-8292-EC801DCBA351}"/>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6465ED7A-B4C5-4BC3-A7B5-466A66FF2FAF}"/>
    <cellStyle name="40% - Accent2 3 2 3 2 3" xfId="11770" xr:uid="{3C51645A-AA9E-46CF-8E55-9C5577B066A9}"/>
    <cellStyle name="40% - Accent2 3 2 3 3" xfId="5393" xr:uid="{00000000-0005-0000-0000-0000BB040000}"/>
    <cellStyle name="40% - Accent2 3 2 3 3 2" xfId="13843" xr:uid="{21BB4053-367E-4C47-94E0-D5B35E4F6C57}"/>
    <cellStyle name="40% - Accent2 3 2 3 4" xfId="9625" xr:uid="{91E4AD3B-265E-4144-8A57-78274C82FA70}"/>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82530DF8-BCDE-444D-9C43-3956CC919866}"/>
    <cellStyle name="40% - Accent2 3 2 4 2 3" xfId="12183" xr:uid="{67C65471-35D4-4480-B8BB-40F0DF81476D}"/>
    <cellStyle name="40% - Accent2 3 2 4 3" xfId="5806" xr:uid="{00000000-0005-0000-0000-0000BF040000}"/>
    <cellStyle name="40% - Accent2 3 2 4 3 2" xfId="14256" xr:uid="{55B64C14-1415-4D6B-BDA6-2B06E35CD451}"/>
    <cellStyle name="40% - Accent2 3 2 4 4" xfId="10038" xr:uid="{6F6C8B50-F8A2-4866-B0C4-CE5CC684D1D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C64E2990-A5A4-4136-800A-CE35C853E5C7}"/>
    <cellStyle name="40% - Accent2 3 2 5 2 3" xfId="12596" xr:uid="{940231E0-B926-499D-9B74-0624F8096BCF}"/>
    <cellStyle name="40% - Accent2 3 2 5 3" xfId="6219" xr:uid="{00000000-0005-0000-0000-0000C3040000}"/>
    <cellStyle name="40% - Accent2 3 2 5 3 2" xfId="14669" xr:uid="{7B93563D-582F-46C2-A41D-EA8946CB622D}"/>
    <cellStyle name="40% - Accent2 3 2 5 4" xfId="10451" xr:uid="{9CDF83C7-9C0E-467E-A863-A664EA532615}"/>
    <cellStyle name="40% - Accent2 3 2 6" xfId="2326" xr:uid="{00000000-0005-0000-0000-0000C4040000}"/>
    <cellStyle name="40% - Accent2 3 2 6 2" xfId="6632" xr:uid="{00000000-0005-0000-0000-0000C5040000}"/>
    <cellStyle name="40% - Accent2 3 2 6 2 2" xfId="15082" xr:uid="{137053AF-2009-4F03-B3E3-56C2FDBAB8B1}"/>
    <cellStyle name="40% - Accent2 3 2 6 3" xfId="10864" xr:uid="{F61C2091-EF01-439B-8B1A-8883242A5D5D}"/>
    <cellStyle name="40% - Accent2 3 2 7" xfId="4566" xr:uid="{00000000-0005-0000-0000-0000C6040000}"/>
    <cellStyle name="40% - Accent2 3 2 7 2" xfId="13016" xr:uid="{8192B94E-89A1-468D-ADA7-EEF3511D3B80}"/>
    <cellStyle name="40% - Accent2 3 2 8" xfId="8798" xr:uid="{21B21831-621B-4526-A1F8-C6538CA4A9C1}"/>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BDA40C00-9E84-4415-9759-88C709F1F5AE}"/>
    <cellStyle name="40% - Accent2 3 3 2 3" xfId="11356" xr:uid="{6440EA73-A892-4174-BF41-BE042712DD80}"/>
    <cellStyle name="40% - Accent2 3 3 3" xfId="4979" xr:uid="{00000000-0005-0000-0000-0000CA040000}"/>
    <cellStyle name="40% - Accent2 3 3 3 2" xfId="13429" xr:uid="{54E90259-8795-4A24-88A0-C15EAE8B5961}"/>
    <cellStyle name="40% - Accent2 3 3 4" xfId="9211" xr:uid="{3491DBE3-7825-415C-8C68-7DFBB0249A1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B49B898E-4168-48ED-BFF3-95733C2DDA4E}"/>
    <cellStyle name="40% - Accent2 3 4 2 3" xfId="11769" xr:uid="{D6900ACE-F6AA-41D8-A2E4-844B3F912B82}"/>
    <cellStyle name="40% - Accent2 3 4 3" xfId="5392" xr:uid="{00000000-0005-0000-0000-0000CE040000}"/>
    <cellStyle name="40% - Accent2 3 4 3 2" xfId="13842" xr:uid="{B6994470-0E05-4AE7-9F4C-ACB954FF0614}"/>
    <cellStyle name="40% - Accent2 3 4 4" xfId="9624" xr:uid="{7CD83B38-C8A8-4311-9C44-A0BC07752055}"/>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E924CF91-57FE-4AD3-8D0D-70CED9FBDAA0}"/>
    <cellStyle name="40% - Accent2 3 5 2 3" xfId="12182" xr:uid="{00D9F3DD-0EF4-49A7-B711-655B189471A4}"/>
    <cellStyle name="40% - Accent2 3 5 3" xfId="5805" xr:uid="{00000000-0005-0000-0000-0000D2040000}"/>
    <cellStyle name="40% - Accent2 3 5 3 2" xfId="14255" xr:uid="{4F512D25-473C-4593-A79F-31E66EDB7AFF}"/>
    <cellStyle name="40% - Accent2 3 5 4" xfId="10037" xr:uid="{BF6FD06E-A7B4-4DA3-8075-EDC083158522}"/>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24400608-F3FD-47B0-B779-83E233BED200}"/>
    <cellStyle name="40% - Accent2 3 6 2 3" xfId="12595" xr:uid="{627ECC70-4D39-4F1A-A3B6-28C81A34734A}"/>
    <cellStyle name="40% - Accent2 3 6 3" xfId="6218" xr:uid="{00000000-0005-0000-0000-0000D6040000}"/>
    <cellStyle name="40% - Accent2 3 6 3 2" xfId="14668" xr:uid="{F69249BB-EEDE-4A1D-9D2F-2C30E1C526F5}"/>
    <cellStyle name="40% - Accent2 3 6 4" xfId="10450" xr:uid="{521980B3-5621-4277-A682-3AB1D9ED73AB}"/>
    <cellStyle name="40% - Accent2 3 7" xfId="2325" xr:uid="{00000000-0005-0000-0000-0000D7040000}"/>
    <cellStyle name="40% - Accent2 3 7 2" xfId="6631" xr:uid="{00000000-0005-0000-0000-0000D8040000}"/>
    <cellStyle name="40% - Accent2 3 7 2 2" xfId="15081" xr:uid="{8114B1A6-A146-41B9-A8C6-AC9C0E2C5FCF}"/>
    <cellStyle name="40% - Accent2 3 7 3" xfId="10863" xr:uid="{5DA8192D-FCE9-4AB8-8537-708A61BB181D}"/>
    <cellStyle name="40% - Accent2 3 8" xfId="4565" xr:uid="{00000000-0005-0000-0000-0000D9040000}"/>
    <cellStyle name="40% - Accent2 3 8 2" xfId="13015" xr:uid="{8C9250D9-A0E8-4F84-BAE8-8A0FB261CBC8}"/>
    <cellStyle name="40% - Accent2 3 9" xfId="8797" xr:uid="{4966F767-2C51-4C4F-A754-F0B02BE7B7EF}"/>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41E3165F-CD3B-4098-9FB3-FCA7CB26C9CB}"/>
    <cellStyle name="40% - Accent2 4 2 2 3" xfId="11358" xr:uid="{5AD2C868-E3A1-4E80-8FDA-A818DD58FD6C}"/>
    <cellStyle name="40% - Accent2 4 2 3" xfId="4981" xr:uid="{00000000-0005-0000-0000-0000DE040000}"/>
    <cellStyle name="40% - Accent2 4 2 3 2" xfId="13431" xr:uid="{78FFAA05-D373-4A30-9705-0B363F182564}"/>
    <cellStyle name="40% - Accent2 4 2 4" xfId="9213" xr:uid="{EA38B228-996D-4FDA-B2AD-EFBCC3B4587E}"/>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5E64214D-D7D8-4CFC-A3D1-D81F0386BB36}"/>
    <cellStyle name="40% - Accent2 4 3 2 3" xfId="11771" xr:uid="{1CBF3314-69CE-4F43-AF42-832574A628DF}"/>
    <cellStyle name="40% - Accent2 4 3 3" xfId="5394" xr:uid="{00000000-0005-0000-0000-0000E2040000}"/>
    <cellStyle name="40% - Accent2 4 3 3 2" xfId="13844" xr:uid="{43D230CD-4CE5-4CCC-9066-8945F404CED1}"/>
    <cellStyle name="40% - Accent2 4 3 4" xfId="9626" xr:uid="{6088725E-D8A0-4365-B6A1-ED94162F7DD5}"/>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6F9CAF03-E960-48F8-86CE-2C50236E8458}"/>
    <cellStyle name="40% - Accent2 4 4 2 3" xfId="12184" xr:uid="{B1E991C3-5038-458F-BC43-7A72DBFD2949}"/>
    <cellStyle name="40% - Accent2 4 4 3" xfId="5807" xr:uid="{00000000-0005-0000-0000-0000E6040000}"/>
    <cellStyle name="40% - Accent2 4 4 3 2" xfId="14257" xr:uid="{F2DC22DC-703D-4A45-9407-390A47368926}"/>
    <cellStyle name="40% - Accent2 4 4 4" xfId="10039" xr:uid="{7685BE35-0C91-482D-8974-845EE216EE99}"/>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420DDE1A-4D76-469B-8808-02B513498BED}"/>
    <cellStyle name="40% - Accent2 4 5 2 3" xfId="12597" xr:uid="{64C433D3-3197-48AD-B8D8-1369D5915619}"/>
    <cellStyle name="40% - Accent2 4 5 3" xfId="6220" xr:uid="{00000000-0005-0000-0000-0000EA040000}"/>
    <cellStyle name="40% - Accent2 4 5 3 2" xfId="14670" xr:uid="{C882314E-2419-4C2A-8AAD-356C20AB43BC}"/>
    <cellStyle name="40% - Accent2 4 5 4" xfId="10452" xr:uid="{8DD7A620-93B7-4E37-9A3E-145D25FE428F}"/>
    <cellStyle name="40% - Accent2 4 6" xfId="2327" xr:uid="{00000000-0005-0000-0000-0000EB040000}"/>
    <cellStyle name="40% - Accent2 4 6 2" xfId="6633" xr:uid="{00000000-0005-0000-0000-0000EC040000}"/>
    <cellStyle name="40% - Accent2 4 6 2 2" xfId="15083" xr:uid="{0667A0FC-6E3F-466B-9094-101246966BE7}"/>
    <cellStyle name="40% - Accent2 4 6 3" xfId="10865" xr:uid="{C9F49C2C-7676-4D62-AA76-F7562EF7A395}"/>
    <cellStyle name="40% - Accent2 4 7" xfId="4567" xr:uid="{00000000-0005-0000-0000-0000ED040000}"/>
    <cellStyle name="40% - Accent2 4 7 2" xfId="13017" xr:uid="{FB228A2E-A24B-42D4-8A79-B8775369DF77}"/>
    <cellStyle name="40% - Accent2 4 8" xfId="8799" xr:uid="{0240887E-9F39-4A91-BE21-0E1C1F1A88E6}"/>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1AF5094F-7CDA-4A44-A155-58F675E0877B}"/>
    <cellStyle name="40% - Accent2 5 2 3" xfId="11351" xr:uid="{6909359D-4D10-4B43-A751-26618FBFEF9E}"/>
    <cellStyle name="40% - Accent2 5 3" xfId="4974" xr:uid="{00000000-0005-0000-0000-0000F1040000}"/>
    <cellStyle name="40% - Accent2 5 3 2" xfId="13424" xr:uid="{50B8BA67-DD31-4903-81BC-AC2474B29BC6}"/>
    <cellStyle name="40% - Accent2 5 4" xfId="9206" xr:uid="{59E2F108-4ECE-4B6A-80DC-FEEFE1A0DA5D}"/>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1244569C-C36C-4F8C-A2C0-09CD17D00DCF}"/>
    <cellStyle name="40% - Accent2 6 2 3" xfId="11764" xr:uid="{2B04CF24-374D-4390-B1F5-F513124FC738}"/>
    <cellStyle name="40% - Accent2 6 3" xfId="5387" xr:uid="{00000000-0005-0000-0000-0000F5040000}"/>
    <cellStyle name="40% - Accent2 6 3 2" xfId="13837" xr:uid="{F9C40DB1-C465-4FEE-8182-B2342956AA96}"/>
    <cellStyle name="40% - Accent2 6 4" xfId="9619" xr:uid="{18BC7F02-1AC6-4CA0-90CA-55ECFB672E98}"/>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0C330839-BB7E-4478-B627-5FA860A2649C}"/>
    <cellStyle name="40% - Accent2 7 2 3" xfId="12177" xr:uid="{D990B1C2-774A-41C2-9F4A-CB1D0AAF52CD}"/>
    <cellStyle name="40% - Accent2 7 3" xfId="5800" xr:uid="{00000000-0005-0000-0000-0000F9040000}"/>
    <cellStyle name="40% - Accent2 7 3 2" xfId="14250" xr:uid="{EC019551-4493-4270-B40D-47614DD7E699}"/>
    <cellStyle name="40% - Accent2 7 4" xfId="10032" xr:uid="{8F6D568B-54AD-46FC-B609-FA0764BACCCB}"/>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5B7A4754-B215-4A3F-8246-A61A09709211}"/>
    <cellStyle name="40% - Accent2 8 2 3" xfId="12590" xr:uid="{EDD1438B-0926-48B7-9089-5760C5991E3D}"/>
    <cellStyle name="40% - Accent2 8 3" xfId="6213" xr:uid="{00000000-0005-0000-0000-0000FD040000}"/>
    <cellStyle name="40% - Accent2 8 3 2" xfId="14663" xr:uid="{4539B3B4-5D82-4745-B065-2C53403521E8}"/>
    <cellStyle name="40% - Accent2 8 4" xfId="10445" xr:uid="{B2DD17D2-28A2-4B13-9F77-D93D2F402B8B}"/>
    <cellStyle name="40% - Accent2 9" xfId="2320" xr:uid="{00000000-0005-0000-0000-0000FE040000}"/>
    <cellStyle name="40% - Accent2 9 2" xfId="6626" xr:uid="{00000000-0005-0000-0000-0000FF040000}"/>
    <cellStyle name="40% - Accent2 9 2 2" xfId="15076" xr:uid="{0A6CCAC8-2317-419F-878F-DCE99DB95895}"/>
    <cellStyle name="40% - Accent2 9 3" xfId="10858" xr:uid="{CE186053-DA88-42AB-90AF-E67424917B46}"/>
    <cellStyle name="40% - Accent3" xfId="65" builtinId="39" customBuiltin="1"/>
    <cellStyle name="40% - Accent3 10" xfId="4568" xr:uid="{00000000-0005-0000-0000-000001050000}"/>
    <cellStyle name="40% - Accent3 10 2" xfId="13018" xr:uid="{8FE64CB4-EFA8-4CDE-94DC-8B29BF1E9079}"/>
    <cellStyle name="40% - Accent3 11" xfId="8800" xr:uid="{B00907FE-5836-4815-814E-6B6FCAFD5EEE}"/>
    <cellStyle name="40% - Accent3 2" xfId="66" xr:uid="{00000000-0005-0000-0000-000002050000}"/>
    <cellStyle name="40% - Accent3 2 10" xfId="8801" xr:uid="{B3C14BD4-491B-4204-B0DC-8FB549C773E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FB133044-74B5-4A59-A374-E724BFD65814}"/>
    <cellStyle name="40% - Accent3 2 2 2 2 2 3" xfId="11362" xr:uid="{65305497-D47A-4118-8807-4999396F1F48}"/>
    <cellStyle name="40% - Accent3 2 2 2 2 3" xfId="4985" xr:uid="{00000000-0005-0000-0000-000008050000}"/>
    <cellStyle name="40% - Accent3 2 2 2 2 3 2" xfId="13435" xr:uid="{934E807A-73E4-4436-8009-26DC4B768CAE}"/>
    <cellStyle name="40% - Accent3 2 2 2 2 4" xfId="9217" xr:uid="{3445C9A5-C6BE-4F20-8740-3EB593655875}"/>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4BFAFBE6-C06F-461B-86EF-D7E2B2E51EEF}"/>
    <cellStyle name="40% - Accent3 2 2 2 3 2 3" xfId="11775" xr:uid="{13A73DCE-189C-4300-99DD-E5A0AC008E98}"/>
    <cellStyle name="40% - Accent3 2 2 2 3 3" xfId="5398" xr:uid="{00000000-0005-0000-0000-00000C050000}"/>
    <cellStyle name="40% - Accent3 2 2 2 3 3 2" xfId="13848" xr:uid="{B948BB3C-D2EA-4DEB-8EBF-77A1A79FD05C}"/>
    <cellStyle name="40% - Accent3 2 2 2 3 4" xfId="9630" xr:uid="{E9C59ECA-08D1-4EC4-8A03-38688475F7F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6BC94383-B633-4E5A-A167-2917E2464504}"/>
    <cellStyle name="40% - Accent3 2 2 2 4 2 3" xfId="12188" xr:uid="{4277683F-37CD-4207-8DA8-96CCBA1AA40D}"/>
    <cellStyle name="40% - Accent3 2 2 2 4 3" xfId="5811" xr:uid="{00000000-0005-0000-0000-000010050000}"/>
    <cellStyle name="40% - Accent3 2 2 2 4 3 2" xfId="14261" xr:uid="{F386CD82-0FB7-432F-85F1-C6A5C5D8D80D}"/>
    <cellStyle name="40% - Accent3 2 2 2 4 4" xfId="10043" xr:uid="{B149899F-1D38-4538-BD50-B08684E018D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55961E1E-F2A0-417E-B341-01E7A969F4CB}"/>
    <cellStyle name="40% - Accent3 2 2 2 5 2 3" xfId="12601" xr:uid="{EF73176D-666C-4A63-A856-51DA1FB736E6}"/>
    <cellStyle name="40% - Accent3 2 2 2 5 3" xfId="6224" xr:uid="{00000000-0005-0000-0000-000014050000}"/>
    <cellStyle name="40% - Accent3 2 2 2 5 3 2" xfId="14674" xr:uid="{CC035FDB-CC3D-4A8D-A47E-10D53AD11093}"/>
    <cellStyle name="40% - Accent3 2 2 2 5 4" xfId="10456" xr:uid="{57B29168-657F-4796-ABC7-9C24B200DC16}"/>
    <cellStyle name="40% - Accent3 2 2 2 6" xfId="2331" xr:uid="{00000000-0005-0000-0000-000015050000}"/>
    <cellStyle name="40% - Accent3 2 2 2 6 2" xfId="6637" xr:uid="{00000000-0005-0000-0000-000016050000}"/>
    <cellStyle name="40% - Accent3 2 2 2 6 2 2" xfId="15087" xr:uid="{BE4629A8-2306-4634-B9EF-A86E0C0B5DA8}"/>
    <cellStyle name="40% - Accent3 2 2 2 6 3" xfId="10869" xr:uid="{F73E50CF-B361-476F-9E62-19A7A1B93AD1}"/>
    <cellStyle name="40% - Accent3 2 2 2 7" xfId="4571" xr:uid="{00000000-0005-0000-0000-000017050000}"/>
    <cellStyle name="40% - Accent3 2 2 2 7 2" xfId="13021" xr:uid="{52B69856-0242-47C2-A69E-F3B71F96A220}"/>
    <cellStyle name="40% - Accent3 2 2 2 8" xfId="8803" xr:uid="{46740F04-41F1-4DAF-9A01-BCF5007E5184}"/>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A54C8A8E-1FC2-4F63-BE83-7D6EBD00248C}"/>
    <cellStyle name="40% - Accent3 2 2 3 2 3" xfId="11361" xr:uid="{8D32F071-A398-478C-BA93-C9277DE44168}"/>
    <cellStyle name="40% - Accent3 2 2 3 3" xfId="4984" xr:uid="{00000000-0005-0000-0000-00001B050000}"/>
    <cellStyle name="40% - Accent3 2 2 3 3 2" xfId="13434" xr:uid="{2C870279-4099-4480-A1C3-3564EA928DA0}"/>
    <cellStyle name="40% - Accent3 2 2 3 4" xfId="9216" xr:uid="{8E8E92BA-8D73-4D68-9D77-B21E75CE92BB}"/>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6ACD93B0-A0DB-439E-B90E-E5DC07F9C45B}"/>
    <cellStyle name="40% - Accent3 2 2 4 2 3" xfId="11774" xr:uid="{3A2200C8-1B93-433F-A1A6-87064C7A6A4E}"/>
    <cellStyle name="40% - Accent3 2 2 4 3" xfId="5397" xr:uid="{00000000-0005-0000-0000-00001F050000}"/>
    <cellStyle name="40% - Accent3 2 2 4 3 2" xfId="13847" xr:uid="{A95959A4-98D4-4B20-8783-A31AFD7B712A}"/>
    <cellStyle name="40% - Accent3 2 2 4 4" xfId="9629" xr:uid="{B11B66B8-80B5-4E49-BC1F-B20C2FC55972}"/>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72903EC2-5E0D-44D9-9E2A-478C3781130F}"/>
    <cellStyle name="40% - Accent3 2 2 5 2 3" xfId="12187" xr:uid="{D451B91C-3097-40AD-A0A1-0DCE48C9D7F9}"/>
    <cellStyle name="40% - Accent3 2 2 5 3" xfId="5810" xr:uid="{00000000-0005-0000-0000-000023050000}"/>
    <cellStyle name="40% - Accent3 2 2 5 3 2" xfId="14260" xr:uid="{4508C13E-CC4C-4F04-B3FE-9E5D27B3A511}"/>
    <cellStyle name="40% - Accent3 2 2 5 4" xfId="10042" xr:uid="{17507E03-5C1D-479C-9E60-C16DBAD29E54}"/>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5D3110BC-2B71-4410-A188-0F5CFD801357}"/>
    <cellStyle name="40% - Accent3 2 2 6 2 3" xfId="12600" xr:uid="{65DC402F-BFBC-4003-8245-497125769FB6}"/>
    <cellStyle name="40% - Accent3 2 2 6 3" xfId="6223" xr:uid="{00000000-0005-0000-0000-000027050000}"/>
    <cellStyle name="40% - Accent3 2 2 6 3 2" xfId="14673" xr:uid="{9114CFD8-629C-4171-B1B3-32EFB526CABA}"/>
    <cellStyle name="40% - Accent3 2 2 6 4" xfId="10455" xr:uid="{A1656EF6-6754-4588-B082-5F0C1F4FAE15}"/>
    <cellStyle name="40% - Accent3 2 2 7" xfId="2330" xr:uid="{00000000-0005-0000-0000-000028050000}"/>
    <cellStyle name="40% - Accent3 2 2 7 2" xfId="6636" xr:uid="{00000000-0005-0000-0000-000029050000}"/>
    <cellStyle name="40% - Accent3 2 2 7 2 2" xfId="15086" xr:uid="{0E274650-AD13-4E51-9D6E-3F1D99FF64AD}"/>
    <cellStyle name="40% - Accent3 2 2 7 3" xfId="10868" xr:uid="{F30FBB75-015A-40D7-A093-A05726D0FC16}"/>
    <cellStyle name="40% - Accent3 2 2 8" xfId="4570" xr:uid="{00000000-0005-0000-0000-00002A050000}"/>
    <cellStyle name="40% - Accent3 2 2 8 2" xfId="13020" xr:uid="{2524E23A-20C4-4238-B60E-D78B28DB839D}"/>
    <cellStyle name="40% - Accent3 2 2 9" xfId="8802" xr:uid="{B0F39B87-B1A4-421E-B9C6-D84D4BC5D3C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21CC92CF-C938-4BAC-AB74-DF5CC45AE532}"/>
    <cellStyle name="40% - Accent3 2 3 2 2 3" xfId="11363" xr:uid="{C4DA563F-53BB-48F7-9F0E-6EDBADA9B907}"/>
    <cellStyle name="40% - Accent3 2 3 2 3" xfId="4986" xr:uid="{00000000-0005-0000-0000-00002F050000}"/>
    <cellStyle name="40% - Accent3 2 3 2 3 2" xfId="13436" xr:uid="{BF6EDF27-FA5E-4F3E-B3F5-86B913ABABAD}"/>
    <cellStyle name="40% - Accent3 2 3 2 4" xfId="9218" xr:uid="{D0DC5504-D5CF-4A1E-8C53-1B3DAF8C84A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9A59D4E4-34D2-47BD-B899-E10304DD9B78}"/>
    <cellStyle name="40% - Accent3 2 3 3 2 3" xfId="11776" xr:uid="{5BEADA4D-2DFB-43D7-8630-56DB18A53F47}"/>
    <cellStyle name="40% - Accent3 2 3 3 3" xfId="5399" xr:uid="{00000000-0005-0000-0000-000033050000}"/>
    <cellStyle name="40% - Accent3 2 3 3 3 2" xfId="13849" xr:uid="{81EB8EFA-D656-4B0E-BBD0-61C67B0FA9FC}"/>
    <cellStyle name="40% - Accent3 2 3 3 4" xfId="9631" xr:uid="{E1384BD2-17E1-48EA-87DA-F127DCF9FC6C}"/>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78E54095-05DF-4477-A374-CAFFE87E0DC2}"/>
    <cellStyle name="40% - Accent3 2 3 4 2 3" xfId="12189" xr:uid="{89472675-5016-4BF1-B573-7B9B27D8EF1C}"/>
    <cellStyle name="40% - Accent3 2 3 4 3" xfId="5812" xr:uid="{00000000-0005-0000-0000-000037050000}"/>
    <cellStyle name="40% - Accent3 2 3 4 3 2" xfId="14262" xr:uid="{CC9A6234-190B-408F-A50B-9D7BB4A66CB3}"/>
    <cellStyle name="40% - Accent3 2 3 4 4" xfId="10044" xr:uid="{D286A3A0-206E-43B0-AEAA-776E4F202600}"/>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8B28C7F1-4766-4C78-9258-3E5E4E8353B8}"/>
    <cellStyle name="40% - Accent3 2 3 5 2 3" xfId="12602" xr:uid="{0C7637B7-2094-4228-BE03-C5D45351347E}"/>
    <cellStyle name="40% - Accent3 2 3 5 3" xfId="6225" xr:uid="{00000000-0005-0000-0000-00003B050000}"/>
    <cellStyle name="40% - Accent3 2 3 5 3 2" xfId="14675" xr:uid="{72E1B22D-8E57-4948-92B4-4605AB902B47}"/>
    <cellStyle name="40% - Accent3 2 3 5 4" xfId="10457" xr:uid="{233FBACE-EE26-464F-A573-64F2EACB0DC8}"/>
    <cellStyle name="40% - Accent3 2 3 6" xfId="2332" xr:uid="{00000000-0005-0000-0000-00003C050000}"/>
    <cellStyle name="40% - Accent3 2 3 6 2" xfId="6638" xr:uid="{00000000-0005-0000-0000-00003D050000}"/>
    <cellStyle name="40% - Accent3 2 3 6 2 2" xfId="15088" xr:uid="{ED34CCCF-C842-4613-9C16-EA4D0022FD45}"/>
    <cellStyle name="40% - Accent3 2 3 6 3" xfId="10870" xr:uid="{23F55024-0EB5-4417-9238-3D98CB66B6EF}"/>
    <cellStyle name="40% - Accent3 2 3 7" xfId="4572" xr:uid="{00000000-0005-0000-0000-00003E050000}"/>
    <cellStyle name="40% - Accent3 2 3 7 2" xfId="13022" xr:uid="{526D235A-0E82-4CD7-A1BF-DE1ABF15E3EA}"/>
    <cellStyle name="40% - Accent3 2 3 8" xfId="8804" xr:uid="{73907377-EC9B-4E5E-9BD3-69F3D4243757}"/>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E3B132B1-7856-4AE2-9DE7-80FCC5F07760}"/>
    <cellStyle name="40% - Accent3 2 4 2 3" xfId="11360" xr:uid="{5587AA8E-1227-41C1-BF81-78AEC73D2850}"/>
    <cellStyle name="40% - Accent3 2 4 3" xfId="4983" xr:uid="{00000000-0005-0000-0000-000042050000}"/>
    <cellStyle name="40% - Accent3 2 4 3 2" xfId="13433" xr:uid="{B6F308BC-5194-48D5-A728-DE3325CA4880}"/>
    <cellStyle name="40% - Accent3 2 4 4" xfId="9215" xr:uid="{2F739504-0A6D-48AB-9971-57309C38EBC7}"/>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F110C20C-8C4B-47D1-A899-6F8D7B80E003}"/>
    <cellStyle name="40% - Accent3 2 5 2 3" xfId="11773" xr:uid="{DD346127-5DDE-4A21-A350-A0BBCFF5BD3D}"/>
    <cellStyle name="40% - Accent3 2 5 3" xfId="5396" xr:uid="{00000000-0005-0000-0000-000046050000}"/>
    <cellStyle name="40% - Accent3 2 5 3 2" xfId="13846" xr:uid="{0CC3803D-EE97-46AC-A1FB-FD4205D01D9B}"/>
    <cellStyle name="40% - Accent3 2 5 4" xfId="9628" xr:uid="{35233FAF-3890-46B6-B398-883329563ABB}"/>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6CAC2B04-2F56-4DAA-B5CF-475B7D3BA1D7}"/>
    <cellStyle name="40% - Accent3 2 6 2 3" xfId="12186" xr:uid="{CBF259BD-BF4A-4947-8688-E731572D8B13}"/>
    <cellStyle name="40% - Accent3 2 6 3" xfId="5809" xr:uid="{00000000-0005-0000-0000-00004A050000}"/>
    <cellStyle name="40% - Accent3 2 6 3 2" xfId="14259" xr:uid="{24A80395-E213-42CC-A728-4778131B60DA}"/>
    <cellStyle name="40% - Accent3 2 6 4" xfId="10041" xr:uid="{6DF67FB1-E8EC-4F4D-BCBD-0F0F6336D5E6}"/>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C63DB75C-2273-4F6F-A4B1-BE1B29FE866B}"/>
    <cellStyle name="40% - Accent3 2 7 2 3" xfId="12599" xr:uid="{659A3E4C-400E-4941-9CF7-9F991FBD4B96}"/>
    <cellStyle name="40% - Accent3 2 7 3" xfId="6222" xr:uid="{00000000-0005-0000-0000-00004E050000}"/>
    <cellStyle name="40% - Accent3 2 7 3 2" xfId="14672" xr:uid="{B08926ED-56A0-4CF3-A3AE-76606D71077B}"/>
    <cellStyle name="40% - Accent3 2 7 4" xfId="10454" xr:uid="{BC520FB9-680C-4125-B30F-455C17B3B9F0}"/>
    <cellStyle name="40% - Accent3 2 8" xfId="2329" xr:uid="{00000000-0005-0000-0000-00004F050000}"/>
    <cellStyle name="40% - Accent3 2 8 2" xfId="6635" xr:uid="{00000000-0005-0000-0000-000050050000}"/>
    <cellStyle name="40% - Accent3 2 8 2 2" xfId="15085" xr:uid="{261F0C6E-8827-464C-9662-05C27B794053}"/>
    <cellStyle name="40% - Accent3 2 8 3" xfId="10867" xr:uid="{1F5EA221-D0B6-4759-9520-DABE2E77BE2A}"/>
    <cellStyle name="40% - Accent3 2 9" xfId="4569" xr:uid="{00000000-0005-0000-0000-000051050000}"/>
    <cellStyle name="40% - Accent3 2 9 2" xfId="13019" xr:uid="{7C47A8DE-5933-4C14-BC43-5F379A572FAD}"/>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F7EE10B2-B979-481C-B667-53FCB1C0778C}"/>
    <cellStyle name="40% - Accent3 3 2 2 2 3" xfId="11365" xr:uid="{60A96C48-1C4E-48B5-BCB9-97BCEB09A431}"/>
    <cellStyle name="40% - Accent3 3 2 2 3" xfId="4988" xr:uid="{00000000-0005-0000-0000-000057050000}"/>
    <cellStyle name="40% - Accent3 3 2 2 3 2" xfId="13438" xr:uid="{75EB1049-F917-4B69-9D1E-C3F947DBC40C}"/>
    <cellStyle name="40% - Accent3 3 2 2 4" xfId="9220" xr:uid="{9A20A42E-DBC8-4C0B-BCC0-80B5928BA35A}"/>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95F5BD44-BF72-49B4-80AF-694606572612}"/>
    <cellStyle name="40% - Accent3 3 2 3 2 3" xfId="11778" xr:uid="{5A23B0AE-6059-457B-8BDC-28CC442644EF}"/>
    <cellStyle name="40% - Accent3 3 2 3 3" xfId="5401" xr:uid="{00000000-0005-0000-0000-00005B050000}"/>
    <cellStyle name="40% - Accent3 3 2 3 3 2" xfId="13851" xr:uid="{AD95529A-F160-465C-90EB-AC8EFEDB389F}"/>
    <cellStyle name="40% - Accent3 3 2 3 4" xfId="9633" xr:uid="{626B2DBF-198C-4E4F-9768-4DEA254630CA}"/>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73E8C8FE-6FCA-4EA6-9C0C-76280E573C1A}"/>
    <cellStyle name="40% - Accent3 3 2 4 2 3" xfId="12191" xr:uid="{EDC95F82-D97B-4EA8-877D-945F63AEF0FE}"/>
    <cellStyle name="40% - Accent3 3 2 4 3" xfId="5814" xr:uid="{00000000-0005-0000-0000-00005F050000}"/>
    <cellStyle name="40% - Accent3 3 2 4 3 2" xfId="14264" xr:uid="{4B371280-ED90-4B95-8B51-8AF8AB4EB577}"/>
    <cellStyle name="40% - Accent3 3 2 4 4" xfId="10046" xr:uid="{E69B62A6-D869-43DD-AA8E-0D30AA43D095}"/>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2133AB98-4EA0-4BAF-89C8-F2F77620A316}"/>
    <cellStyle name="40% - Accent3 3 2 5 2 3" xfId="12604" xr:uid="{02A23B74-36D7-4131-A377-093F884E4D71}"/>
    <cellStyle name="40% - Accent3 3 2 5 3" xfId="6227" xr:uid="{00000000-0005-0000-0000-000063050000}"/>
    <cellStyle name="40% - Accent3 3 2 5 3 2" xfId="14677" xr:uid="{4F1BD8CA-E625-4566-9183-629E284DB8AE}"/>
    <cellStyle name="40% - Accent3 3 2 5 4" xfId="10459" xr:uid="{D9F254E2-992C-43F4-A3F6-7552F034EDA7}"/>
    <cellStyle name="40% - Accent3 3 2 6" xfId="2334" xr:uid="{00000000-0005-0000-0000-000064050000}"/>
    <cellStyle name="40% - Accent3 3 2 6 2" xfId="6640" xr:uid="{00000000-0005-0000-0000-000065050000}"/>
    <cellStyle name="40% - Accent3 3 2 6 2 2" xfId="15090" xr:uid="{A85BCEA2-6AFA-428C-906B-104CFEE8DE5D}"/>
    <cellStyle name="40% - Accent3 3 2 6 3" xfId="10872" xr:uid="{A1EDC078-2F50-4BF6-944D-3A6306769094}"/>
    <cellStyle name="40% - Accent3 3 2 7" xfId="4574" xr:uid="{00000000-0005-0000-0000-000066050000}"/>
    <cellStyle name="40% - Accent3 3 2 7 2" xfId="13024" xr:uid="{288D5D0D-6410-4543-957B-E64AADCA3B28}"/>
    <cellStyle name="40% - Accent3 3 2 8" xfId="8806" xr:uid="{95B17F02-38BB-4B85-8397-F62D6376D355}"/>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8458D420-C92D-4502-BDFC-4EBAA2A2A6D2}"/>
    <cellStyle name="40% - Accent3 3 3 2 3" xfId="11364" xr:uid="{DF0FEBE4-C821-4AC4-8568-91E409204ECF}"/>
    <cellStyle name="40% - Accent3 3 3 3" xfId="4987" xr:uid="{00000000-0005-0000-0000-00006A050000}"/>
    <cellStyle name="40% - Accent3 3 3 3 2" xfId="13437" xr:uid="{AD702436-2F8E-4809-BCD8-61485E20671A}"/>
    <cellStyle name="40% - Accent3 3 3 4" xfId="9219" xr:uid="{FEFEEB2C-8BE5-4772-8509-9C3CE54F2834}"/>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426673F2-A4BF-4500-9354-CE03DBC86E23}"/>
    <cellStyle name="40% - Accent3 3 4 2 3" xfId="11777" xr:uid="{E7AE9E10-9D92-43AB-AB62-A2EEE4772910}"/>
    <cellStyle name="40% - Accent3 3 4 3" xfId="5400" xr:uid="{00000000-0005-0000-0000-00006E050000}"/>
    <cellStyle name="40% - Accent3 3 4 3 2" xfId="13850" xr:uid="{07745E1A-FC97-4745-BE0C-1A9CEA6CE1E6}"/>
    <cellStyle name="40% - Accent3 3 4 4" xfId="9632" xr:uid="{0FC5DC77-A51B-4D1F-9F06-CCAEC51A95E5}"/>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F4BAF288-7B3E-476D-9179-47C1654F7023}"/>
    <cellStyle name="40% - Accent3 3 5 2 3" xfId="12190" xr:uid="{6D28FAA3-63EE-48CD-8ADB-1736F5B739C0}"/>
    <cellStyle name="40% - Accent3 3 5 3" xfId="5813" xr:uid="{00000000-0005-0000-0000-000072050000}"/>
    <cellStyle name="40% - Accent3 3 5 3 2" xfId="14263" xr:uid="{5440A5AD-048B-4942-8241-B082F2BFB09F}"/>
    <cellStyle name="40% - Accent3 3 5 4" xfId="10045" xr:uid="{8AE92666-101D-431B-B796-D4BC347F6121}"/>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594730F8-204A-4555-82EE-902245737EA1}"/>
    <cellStyle name="40% - Accent3 3 6 2 3" xfId="12603" xr:uid="{31F70C04-8C97-446B-87D5-C1966B8B46C4}"/>
    <cellStyle name="40% - Accent3 3 6 3" xfId="6226" xr:uid="{00000000-0005-0000-0000-000076050000}"/>
    <cellStyle name="40% - Accent3 3 6 3 2" xfId="14676" xr:uid="{EDBF7C98-3034-41BE-AB21-750FAF0CB756}"/>
    <cellStyle name="40% - Accent3 3 6 4" xfId="10458" xr:uid="{F264B0E0-3DF2-4B38-9E5E-20AE1DA09E98}"/>
    <cellStyle name="40% - Accent3 3 7" xfId="2333" xr:uid="{00000000-0005-0000-0000-000077050000}"/>
    <cellStyle name="40% - Accent3 3 7 2" xfId="6639" xr:uid="{00000000-0005-0000-0000-000078050000}"/>
    <cellStyle name="40% - Accent3 3 7 2 2" xfId="15089" xr:uid="{AA847B0D-99D9-4868-92D4-18FAFF3CD938}"/>
    <cellStyle name="40% - Accent3 3 7 3" xfId="10871" xr:uid="{7AABE0DC-706C-424D-B19C-4D2D65233B1A}"/>
    <cellStyle name="40% - Accent3 3 8" xfId="4573" xr:uid="{00000000-0005-0000-0000-000079050000}"/>
    <cellStyle name="40% - Accent3 3 8 2" xfId="13023" xr:uid="{15290170-249C-4BF2-AB5B-4A1524A1A9E4}"/>
    <cellStyle name="40% - Accent3 3 9" xfId="8805" xr:uid="{66FECBE9-4E3E-4077-AED1-084C66CD43E2}"/>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70757BDA-C0EE-4AA3-860C-77C73608A022}"/>
    <cellStyle name="40% - Accent3 4 2 2 3" xfId="11366" xr:uid="{41932A0B-C2A1-47B8-AC1C-B76DFB7E8722}"/>
    <cellStyle name="40% - Accent3 4 2 3" xfId="4989" xr:uid="{00000000-0005-0000-0000-00007E050000}"/>
    <cellStyle name="40% - Accent3 4 2 3 2" xfId="13439" xr:uid="{329DB5EB-FADB-4183-8A8E-124F877ABE9B}"/>
    <cellStyle name="40% - Accent3 4 2 4" xfId="9221" xr:uid="{8B1CBFC0-909A-4AD0-AC41-80EF459419E3}"/>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36E2A081-075D-4660-BDE7-184E54EA6718}"/>
    <cellStyle name="40% - Accent3 4 3 2 3" xfId="11779" xr:uid="{F006E31E-9810-4FEC-BFF1-4E7B27673DC6}"/>
    <cellStyle name="40% - Accent3 4 3 3" xfId="5402" xr:uid="{00000000-0005-0000-0000-000082050000}"/>
    <cellStyle name="40% - Accent3 4 3 3 2" xfId="13852" xr:uid="{A8EA2097-12AD-4937-A465-2632137AAB1C}"/>
    <cellStyle name="40% - Accent3 4 3 4" xfId="9634" xr:uid="{D4949988-F947-4ED4-AEB7-7E9CB67323F4}"/>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5C353FAB-01AF-49C4-B0B9-2C6FB88D0F29}"/>
    <cellStyle name="40% - Accent3 4 4 2 3" xfId="12192" xr:uid="{DF81566F-AE39-48F4-BF11-924E3B7DDF2F}"/>
    <cellStyle name="40% - Accent3 4 4 3" xfId="5815" xr:uid="{00000000-0005-0000-0000-000086050000}"/>
    <cellStyle name="40% - Accent3 4 4 3 2" xfId="14265" xr:uid="{7BB47C6E-6EEF-4A43-8F28-4C9F97536D34}"/>
    <cellStyle name="40% - Accent3 4 4 4" xfId="10047" xr:uid="{15F33852-C7E8-41DE-A3A2-8CDA1D81A291}"/>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CD847C38-1257-4190-8EEB-64AF2CF335C8}"/>
    <cellStyle name="40% - Accent3 4 5 2 3" xfId="12605" xr:uid="{377D677B-D659-41F4-8484-91173030F4C0}"/>
    <cellStyle name="40% - Accent3 4 5 3" xfId="6228" xr:uid="{00000000-0005-0000-0000-00008A050000}"/>
    <cellStyle name="40% - Accent3 4 5 3 2" xfId="14678" xr:uid="{D1F09E33-99C5-4B44-92BE-F50BC10A6DCE}"/>
    <cellStyle name="40% - Accent3 4 5 4" xfId="10460" xr:uid="{A73E6621-26DD-4736-B28C-FC1A8DC9C4AD}"/>
    <cellStyle name="40% - Accent3 4 6" xfId="2335" xr:uid="{00000000-0005-0000-0000-00008B050000}"/>
    <cellStyle name="40% - Accent3 4 6 2" xfId="6641" xr:uid="{00000000-0005-0000-0000-00008C050000}"/>
    <cellStyle name="40% - Accent3 4 6 2 2" xfId="15091" xr:uid="{AD6F259D-46C3-44EA-AF45-A3A7DD67F5C6}"/>
    <cellStyle name="40% - Accent3 4 6 3" xfId="10873" xr:uid="{CB516550-CD16-414D-9A05-CECE5CA525FA}"/>
    <cellStyle name="40% - Accent3 4 7" xfId="4575" xr:uid="{00000000-0005-0000-0000-00008D050000}"/>
    <cellStyle name="40% - Accent3 4 7 2" xfId="13025" xr:uid="{8E39522B-FE28-4C23-9191-21341E1CCAE2}"/>
    <cellStyle name="40% - Accent3 4 8" xfId="8807" xr:uid="{7C6A2A09-D136-4E6E-9F47-BA8D58E3DF6D}"/>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6B8E9F63-A8B2-4411-BE81-95B2D3C96D5A}"/>
    <cellStyle name="40% - Accent3 5 2 3" xfId="11359" xr:uid="{FBBFE794-F569-4FD5-A9F1-2F59D4DC0D6F}"/>
    <cellStyle name="40% - Accent3 5 3" xfId="4982" xr:uid="{00000000-0005-0000-0000-000091050000}"/>
    <cellStyle name="40% - Accent3 5 3 2" xfId="13432" xr:uid="{AC7CD205-527F-4C6B-B62D-D3F70BD220F2}"/>
    <cellStyle name="40% - Accent3 5 4" xfId="9214" xr:uid="{673AAA6B-D827-4C9F-8B7B-5D64AC1A1D52}"/>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6F668165-9E87-47E3-8A56-2A1458FD7516}"/>
    <cellStyle name="40% - Accent3 6 2 3" xfId="11772" xr:uid="{DF0C461D-E76B-4AF1-BB34-31FA79823EB2}"/>
    <cellStyle name="40% - Accent3 6 3" xfId="5395" xr:uid="{00000000-0005-0000-0000-000095050000}"/>
    <cellStyle name="40% - Accent3 6 3 2" xfId="13845" xr:uid="{AB5C0B3F-1728-4015-B3F6-E58EE721F92E}"/>
    <cellStyle name="40% - Accent3 6 4" xfId="9627" xr:uid="{0449C640-08A6-466B-A045-4E353D5D3FC2}"/>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AC2538A8-1506-4A8A-B2E3-2C151C581707}"/>
    <cellStyle name="40% - Accent3 7 2 3" xfId="12185" xr:uid="{A6FBB261-FF64-41AB-9D5A-4035DD5C8267}"/>
    <cellStyle name="40% - Accent3 7 3" xfId="5808" xr:uid="{00000000-0005-0000-0000-000099050000}"/>
    <cellStyle name="40% - Accent3 7 3 2" xfId="14258" xr:uid="{67666D26-87D2-4863-83F3-B215276196FC}"/>
    <cellStyle name="40% - Accent3 7 4" xfId="10040" xr:uid="{1CBBEDE4-EBEB-4593-9630-29C7215F15D3}"/>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866AD268-BF0F-4480-9E81-911D8EC0BAB5}"/>
    <cellStyle name="40% - Accent3 8 2 3" xfId="12598" xr:uid="{A72D3930-4569-43E3-BF28-A0B472B44C14}"/>
    <cellStyle name="40% - Accent3 8 3" xfId="6221" xr:uid="{00000000-0005-0000-0000-00009D050000}"/>
    <cellStyle name="40% - Accent3 8 3 2" xfId="14671" xr:uid="{46A19134-C005-49CE-B456-048D1608E840}"/>
    <cellStyle name="40% - Accent3 8 4" xfId="10453" xr:uid="{1425F467-9CE9-4F51-A6DF-9CD371B42E35}"/>
    <cellStyle name="40% - Accent3 9" xfId="2328" xr:uid="{00000000-0005-0000-0000-00009E050000}"/>
    <cellStyle name="40% - Accent3 9 2" xfId="6634" xr:uid="{00000000-0005-0000-0000-00009F050000}"/>
    <cellStyle name="40% - Accent3 9 2 2" xfId="15084" xr:uid="{29EDB59D-7BC2-4B4E-8D1A-197F016C52FB}"/>
    <cellStyle name="40% - Accent3 9 3" xfId="10866" xr:uid="{EBC1F3AE-0D63-46FC-8CA0-149C3F9B0B68}"/>
    <cellStyle name="40% - Accent4" xfId="73" builtinId="43" customBuiltin="1"/>
    <cellStyle name="40% - Accent4 10" xfId="4576" xr:uid="{00000000-0005-0000-0000-0000A1050000}"/>
    <cellStyle name="40% - Accent4 10 2" xfId="13026" xr:uid="{23B99E64-49A8-4AD0-87EE-7F694353C473}"/>
    <cellStyle name="40% - Accent4 11" xfId="8808" xr:uid="{AD0A718A-3B81-4F8D-A52A-1B5E7E7FEB88}"/>
    <cellStyle name="40% - Accent4 2" xfId="74" xr:uid="{00000000-0005-0000-0000-0000A2050000}"/>
    <cellStyle name="40% - Accent4 2 10" xfId="8809" xr:uid="{072C9DC4-E0C1-48DF-A35F-F7BD969BC807}"/>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CE90554E-7849-48B4-9F16-73C49081294E}"/>
    <cellStyle name="40% - Accent4 2 2 2 2 2 3" xfId="11370" xr:uid="{18311A56-B1B3-446B-8B3E-151035C8FD2A}"/>
    <cellStyle name="40% - Accent4 2 2 2 2 3" xfId="4993" xr:uid="{00000000-0005-0000-0000-0000A8050000}"/>
    <cellStyle name="40% - Accent4 2 2 2 2 3 2" xfId="13443" xr:uid="{501E99DF-AD7A-4D02-819F-3EEB359E34B3}"/>
    <cellStyle name="40% - Accent4 2 2 2 2 4" xfId="9225" xr:uid="{3DBE1247-4569-4B40-94A5-F17AA99A96AB}"/>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64C31411-7821-474E-BAFA-9EE540AF7718}"/>
    <cellStyle name="40% - Accent4 2 2 2 3 2 3" xfId="11783" xr:uid="{4228F4A4-CF8B-494B-9953-D00F40578357}"/>
    <cellStyle name="40% - Accent4 2 2 2 3 3" xfId="5406" xr:uid="{00000000-0005-0000-0000-0000AC050000}"/>
    <cellStyle name="40% - Accent4 2 2 2 3 3 2" xfId="13856" xr:uid="{39135898-6919-444C-84CA-CB8F8A3F4EFC}"/>
    <cellStyle name="40% - Accent4 2 2 2 3 4" xfId="9638" xr:uid="{32C97EE7-5ADB-4319-B213-8FA4A301113F}"/>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33E4CC5B-16D9-42A6-8845-4AD62BA83C5E}"/>
    <cellStyle name="40% - Accent4 2 2 2 4 2 3" xfId="12196" xr:uid="{A54ADB90-2B2B-44C2-9D60-DB7FFA2AF210}"/>
    <cellStyle name="40% - Accent4 2 2 2 4 3" xfId="5819" xr:uid="{00000000-0005-0000-0000-0000B0050000}"/>
    <cellStyle name="40% - Accent4 2 2 2 4 3 2" xfId="14269" xr:uid="{CCD877D3-6CDE-4DB6-BD15-1001AD96B63C}"/>
    <cellStyle name="40% - Accent4 2 2 2 4 4" xfId="10051" xr:uid="{03121B23-8926-4817-B47B-4700A72DD602}"/>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BF22714F-FFA5-4C66-8A5B-AE1E77686ABA}"/>
    <cellStyle name="40% - Accent4 2 2 2 5 2 3" xfId="12609" xr:uid="{279DF5A5-EC2B-4020-A347-9C52CCC1A586}"/>
    <cellStyle name="40% - Accent4 2 2 2 5 3" xfId="6232" xr:uid="{00000000-0005-0000-0000-0000B4050000}"/>
    <cellStyle name="40% - Accent4 2 2 2 5 3 2" xfId="14682" xr:uid="{EFC8F4A4-91BD-481F-954E-59C27B7E726C}"/>
    <cellStyle name="40% - Accent4 2 2 2 5 4" xfId="10464" xr:uid="{FADB4703-D934-48E7-94C8-75369B9FBD9F}"/>
    <cellStyle name="40% - Accent4 2 2 2 6" xfId="2339" xr:uid="{00000000-0005-0000-0000-0000B5050000}"/>
    <cellStyle name="40% - Accent4 2 2 2 6 2" xfId="6645" xr:uid="{00000000-0005-0000-0000-0000B6050000}"/>
    <cellStyle name="40% - Accent4 2 2 2 6 2 2" xfId="15095" xr:uid="{3B5ABC10-A998-4922-A9D1-46764F77A945}"/>
    <cellStyle name="40% - Accent4 2 2 2 6 3" xfId="10877" xr:uid="{DA7AB226-F8B9-4800-BC02-F99E1240F2C2}"/>
    <cellStyle name="40% - Accent4 2 2 2 7" xfId="4579" xr:uid="{00000000-0005-0000-0000-0000B7050000}"/>
    <cellStyle name="40% - Accent4 2 2 2 7 2" xfId="13029" xr:uid="{6973A922-300B-4FB0-A432-1C17BDB2FC9D}"/>
    <cellStyle name="40% - Accent4 2 2 2 8" xfId="8811" xr:uid="{C1F5D747-3DEE-443F-8B68-7B103613329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956F6E14-87C1-40EB-8054-E43F268953C0}"/>
    <cellStyle name="40% - Accent4 2 2 3 2 3" xfId="11369" xr:uid="{7E290C7F-CFE6-4876-A98F-A559527AE547}"/>
    <cellStyle name="40% - Accent4 2 2 3 3" xfId="4992" xr:uid="{00000000-0005-0000-0000-0000BB050000}"/>
    <cellStyle name="40% - Accent4 2 2 3 3 2" xfId="13442" xr:uid="{AC41433D-C78B-49D8-8BF8-8A20ECA03DAB}"/>
    <cellStyle name="40% - Accent4 2 2 3 4" xfId="9224" xr:uid="{8C264472-896B-4120-B5B5-4705534C714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D0AB93CA-10A3-413D-85F8-7F8E4FFB157B}"/>
    <cellStyle name="40% - Accent4 2 2 4 2 3" xfId="11782" xr:uid="{34AED195-EFAE-4825-916F-04EBAC87703F}"/>
    <cellStyle name="40% - Accent4 2 2 4 3" xfId="5405" xr:uid="{00000000-0005-0000-0000-0000BF050000}"/>
    <cellStyle name="40% - Accent4 2 2 4 3 2" xfId="13855" xr:uid="{C2728B59-25A8-42E9-B474-E2A420048D5B}"/>
    <cellStyle name="40% - Accent4 2 2 4 4" xfId="9637" xr:uid="{14BE7A6C-5738-4CFB-AC84-6F245EC3C15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E474CC18-A2D0-4DD2-A0DF-FF23C6390A86}"/>
    <cellStyle name="40% - Accent4 2 2 5 2 3" xfId="12195" xr:uid="{332ED7CB-47B8-4FD5-8A38-AF1C4E8C3D95}"/>
    <cellStyle name="40% - Accent4 2 2 5 3" xfId="5818" xr:uid="{00000000-0005-0000-0000-0000C3050000}"/>
    <cellStyle name="40% - Accent4 2 2 5 3 2" xfId="14268" xr:uid="{14391702-2AF3-444D-9060-1D4EBDBADD95}"/>
    <cellStyle name="40% - Accent4 2 2 5 4" xfId="10050" xr:uid="{5CD78C6A-A36D-44BD-8804-AFA7727B355F}"/>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B1584917-DEF5-4433-B10B-B8451275883A}"/>
    <cellStyle name="40% - Accent4 2 2 6 2 3" xfId="12608" xr:uid="{DB802A22-CC13-4D9A-A5B3-F72482189323}"/>
    <cellStyle name="40% - Accent4 2 2 6 3" xfId="6231" xr:uid="{00000000-0005-0000-0000-0000C7050000}"/>
    <cellStyle name="40% - Accent4 2 2 6 3 2" xfId="14681" xr:uid="{7FD07130-3E73-422C-916C-F88A4824923D}"/>
    <cellStyle name="40% - Accent4 2 2 6 4" xfId="10463" xr:uid="{C95FC8A5-C6ED-4E8D-A8B4-13730F7DE34F}"/>
    <cellStyle name="40% - Accent4 2 2 7" xfId="2338" xr:uid="{00000000-0005-0000-0000-0000C8050000}"/>
    <cellStyle name="40% - Accent4 2 2 7 2" xfId="6644" xr:uid="{00000000-0005-0000-0000-0000C9050000}"/>
    <cellStyle name="40% - Accent4 2 2 7 2 2" xfId="15094" xr:uid="{2659CE77-E2B5-448F-A8F6-8BC41AF8D196}"/>
    <cellStyle name="40% - Accent4 2 2 7 3" xfId="10876" xr:uid="{82C8AE67-69A9-424C-82AC-62AAC888242E}"/>
    <cellStyle name="40% - Accent4 2 2 8" xfId="4578" xr:uid="{00000000-0005-0000-0000-0000CA050000}"/>
    <cellStyle name="40% - Accent4 2 2 8 2" xfId="13028" xr:uid="{83A6C664-A0F3-4EFB-B24E-4C72337E4F6F}"/>
    <cellStyle name="40% - Accent4 2 2 9" xfId="8810" xr:uid="{EEDD059A-F539-4894-9999-9D7DAC52275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C8332B01-7A33-40A5-833B-8C0E8A21C414}"/>
    <cellStyle name="40% - Accent4 2 3 2 2 3" xfId="11371" xr:uid="{8A0F478C-BC3A-49E0-B9BE-E7D80E9493B4}"/>
    <cellStyle name="40% - Accent4 2 3 2 3" xfId="4994" xr:uid="{00000000-0005-0000-0000-0000CF050000}"/>
    <cellStyle name="40% - Accent4 2 3 2 3 2" xfId="13444" xr:uid="{AB28C39D-E88F-4F88-98F8-ACB2588E9C04}"/>
    <cellStyle name="40% - Accent4 2 3 2 4" xfId="9226" xr:uid="{F72CFF9D-AC96-4FF8-855E-8C9FF2DD2AB9}"/>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E0FDC7CC-19F1-4D32-AA30-9E593D7B3C07}"/>
    <cellStyle name="40% - Accent4 2 3 3 2 3" xfId="11784" xr:uid="{A53FAAC8-9EDA-4AFA-A1E8-EAEC077D453D}"/>
    <cellStyle name="40% - Accent4 2 3 3 3" xfId="5407" xr:uid="{00000000-0005-0000-0000-0000D3050000}"/>
    <cellStyle name="40% - Accent4 2 3 3 3 2" xfId="13857" xr:uid="{8752B5B7-70F3-4178-A73A-3BA315750DDC}"/>
    <cellStyle name="40% - Accent4 2 3 3 4" xfId="9639" xr:uid="{9CBE237A-BE9B-4864-823F-CF001ECB0775}"/>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9E6AC76E-76BF-4203-AEC5-FEECEBAACA99}"/>
    <cellStyle name="40% - Accent4 2 3 4 2 3" xfId="12197" xr:uid="{C6A85C0E-CA9C-4EE1-BBDF-BB2094F293C8}"/>
    <cellStyle name="40% - Accent4 2 3 4 3" xfId="5820" xr:uid="{00000000-0005-0000-0000-0000D7050000}"/>
    <cellStyle name="40% - Accent4 2 3 4 3 2" xfId="14270" xr:uid="{57B74BE8-CBAC-4C14-A6FE-E0CD0F250F1A}"/>
    <cellStyle name="40% - Accent4 2 3 4 4" xfId="10052" xr:uid="{2BB4D2BA-BD01-4B49-8272-90EE785A29E3}"/>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E20E365D-45D0-47B6-89A1-90EB795D216D}"/>
    <cellStyle name="40% - Accent4 2 3 5 2 3" xfId="12610" xr:uid="{A4B6CF97-6B66-48C0-85B3-9740F17331EF}"/>
    <cellStyle name="40% - Accent4 2 3 5 3" xfId="6233" xr:uid="{00000000-0005-0000-0000-0000DB050000}"/>
    <cellStyle name="40% - Accent4 2 3 5 3 2" xfId="14683" xr:uid="{10F6898C-F3C4-49DE-BA3C-B4CE42558C7A}"/>
    <cellStyle name="40% - Accent4 2 3 5 4" xfId="10465" xr:uid="{A1E884D3-AA34-431C-A785-F01150E71A76}"/>
    <cellStyle name="40% - Accent4 2 3 6" xfId="2340" xr:uid="{00000000-0005-0000-0000-0000DC050000}"/>
    <cellStyle name="40% - Accent4 2 3 6 2" xfId="6646" xr:uid="{00000000-0005-0000-0000-0000DD050000}"/>
    <cellStyle name="40% - Accent4 2 3 6 2 2" xfId="15096" xr:uid="{E21C4C4C-5D03-47BB-B68B-2C765DA661E3}"/>
    <cellStyle name="40% - Accent4 2 3 6 3" xfId="10878" xr:uid="{93EBE128-DE1C-4854-8834-6C6098FAACBE}"/>
    <cellStyle name="40% - Accent4 2 3 7" xfId="4580" xr:uid="{00000000-0005-0000-0000-0000DE050000}"/>
    <cellStyle name="40% - Accent4 2 3 7 2" xfId="13030" xr:uid="{51F124C5-85C1-4EF5-AE76-046FD6AE9664}"/>
    <cellStyle name="40% - Accent4 2 3 8" xfId="8812" xr:uid="{CAFD35C2-29EE-4D87-B4FB-D76520C9DAD2}"/>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07304726-16A0-4F5E-BC53-DAC4E7AF7391}"/>
    <cellStyle name="40% - Accent4 2 4 2 3" xfId="11368" xr:uid="{9C1AC06E-AF6B-4160-AA44-6FDBB5749E1F}"/>
    <cellStyle name="40% - Accent4 2 4 3" xfId="4991" xr:uid="{00000000-0005-0000-0000-0000E2050000}"/>
    <cellStyle name="40% - Accent4 2 4 3 2" xfId="13441" xr:uid="{801654EE-F671-417B-B460-07E43913550F}"/>
    <cellStyle name="40% - Accent4 2 4 4" xfId="9223" xr:uid="{D3F10217-D6B0-45E4-A960-327FEE79EBD0}"/>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D6BBB8CD-FBB6-4A34-BCC4-66B8E4758D40}"/>
    <cellStyle name="40% - Accent4 2 5 2 3" xfId="11781" xr:uid="{62CA542C-B237-4FC0-A70F-CADE48A77A98}"/>
    <cellStyle name="40% - Accent4 2 5 3" xfId="5404" xr:uid="{00000000-0005-0000-0000-0000E6050000}"/>
    <cellStyle name="40% - Accent4 2 5 3 2" xfId="13854" xr:uid="{64CEA4A7-4DFD-4422-B810-B5B074EB4480}"/>
    <cellStyle name="40% - Accent4 2 5 4" xfId="9636" xr:uid="{5A784E23-C12F-4C28-B019-714994089854}"/>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B590F640-1978-4FA0-8A5E-9982F4B89CF1}"/>
    <cellStyle name="40% - Accent4 2 6 2 3" xfId="12194" xr:uid="{04D38986-58D4-4F7E-95E3-EC64161F29A9}"/>
    <cellStyle name="40% - Accent4 2 6 3" xfId="5817" xr:uid="{00000000-0005-0000-0000-0000EA050000}"/>
    <cellStyle name="40% - Accent4 2 6 3 2" xfId="14267" xr:uid="{475FA4DF-CE10-495B-83DE-232AB809CBC4}"/>
    <cellStyle name="40% - Accent4 2 6 4" xfId="10049" xr:uid="{28FDD55C-F6BA-4E09-B9C9-94F32E04B9C2}"/>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D6DB8451-98DB-4964-925F-F5D60635D98D}"/>
    <cellStyle name="40% - Accent4 2 7 2 3" xfId="12607" xr:uid="{E87BCE9F-1F8F-4F5B-B8AA-E49DADE83F03}"/>
    <cellStyle name="40% - Accent4 2 7 3" xfId="6230" xr:uid="{00000000-0005-0000-0000-0000EE050000}"/>
    <cellStyle name="40% - Accent4 2 7 3 2" xfId="14680" xr:uid="{8E75CE0A-531B-47BF-B899-428966D5FBFF}"/>
    <cellStyle name="40% - Accent4 2 7 4" xfId="10462" xr:uid="{A8636FBC-C99E-4020-AB31-8F51B218B40E}"/>
    <cellStyle name="40% - Accent4 2 8" xfId="2337" xr:uid="{00000000-0005-0000-0000-0000EF050000}"/>
    <cellStyle name="40% - Accent4 2 8 2" xfId="6643" xr:uid="{00000000-0005-0000-0000-0000F0050000}"/>
    <cellStyle name="40% - Accent4 2 8 2 2" xfId="15093" xr:uid="{EA4E263F-33F7-4B36-AFAC-C7C004D7F3BF}"/>
    <cellStyle name="40% - Accent4 2 8 3" xfId="10875" xr:uid="{9F415C44-E556-4A7B-86FF-BF9478BFA1EB}"/>
    <cellStyle name="40% - Accent4 2 9" xfId="4577" xr:uid="{00000000-0005-0000-0000-0000F1050000}"/>
    <cellStyle name="40% - Accent4 2 9 2" xfId="13027" xr:uid="{774E86AC-77F9-43D5-9C0D-981F6E9B260F}"/>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1ED6CCE3-8CEA-48A8-8097-4A0388FF5F3D}"/>
    <cellStyle name="40% - Accent4 3 2 2 2 3" xfId="11373" xr:uid="{E5DAC6D1-A896-433C-A070-9BCB3345942B}"/>
    <cellStyle name="40% - Accent4 3 2 2 3" xfId="4996" xr:uid="{00000000-0005-0000-0000-0000F7050000}"/>
    <cellStyle name="40% - Accent4 3 2 2 3 2" xfId="13446" xr:uid="{37F8BD81-87D5-4D9D-8A3D-9DBD9ADD95FD}"/>
    <cellStyle name="40% - Accent4 3 2 2 4" xfId="9228" xr:uid="{2CB8027B-2BB5-4568-9F2D-363906CEB879}"/>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4441278D-67A7-47C2-8982-CD054B57C801}"/>
    <cellStyle name="40% - Accent4 3 2 3 2 3" xfId="11786" xr:uid="{6281C094-3984-43C3-827B-776361BC300B}"/>
    <cellStyle name="40% - Accent4 3 2 3 3" xfId="5409" xr:uid="{00000000-0005-0000-0000-0000FB050000}"/>
    <cellStyle name="40% - Accent4 3 2 3 3 2" xfId="13859" xr:uid="{3CDF9CA4-B74F-47ED-8D82-E8477208A92F}"/>
    <cellStyle name="40% - Accent4 3 2 3 4" xfId="9641" xr:uid="{39F198F3-8142-4D05-9E3A-3FBC8C34360C}"/>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A8197B8C-8A64-4243-86D5-14A5F66B69BD}"/>
    <cellStyle name="40% - Accent4 3 2 4 2 3" xfId="12199" xr:uid="{046D24B6-2709-4A15-BB2A-0AE6FCBE229B}"/>
    <cellStyle name="40% - Accent4 3 2 4 3" xfId="5822" xr:uid="{00000000-0005-0000-0000-0000FF050000}"/>
    <cellStyle name="40% - Accent4 3 2 4 3 2" xfId="14272" xr:uid="{43CEB5C6-23CE-4AE9-854E-E5EF0E19739A}"/>
    <cellStyle name="40% - Accent4 3 2 4 4" xfId="10054" xr:uid="{BDF489EA-7D9C-40EA-BBCB-EFB392E70A4A}"/>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28AF3B22-84E4-43BF-979B-369BD0CFA767}"/>
    <cellStyle name="40% - Accent4 3 2 5 2 3" xfId="12612" xr:uid="{008D4069-9AFE-453A-BC34-77935DBE236B}"/>
    <cellStyle name="40% - Accent4 3 2 5 3" xfId="6235" xr:uid="{00000000-0005-0000-0000-000003060000}"/>
    <cellStyle name="40% - Accent4 3 2 5 3 2" xfId="14685" xr:uid="{2C8AAE73-2704-4F77-AAC3-1B9FEF33EFF4}"/>
    <cellStyle name="40% - Accent4 3 2 5 4" xfId="10467" xr:uid="{1AF4E432-223E-4B2E-B6C3-A70DCF0FD9B3}"/>
    <cellStyle name="40% - Accent4 3 2 6" xfId="2342" xr:uid="{00000000-0005-0000-0000-000004060000}"/>
    <cellStyle name="40% - Accent4 3 2 6 2" xfId="6648" xr:uid="{00000000-0005-0000-0000-000005060000}"/>
    <cellStyle name="40% - Accent4 3 2 6 2 2" xfId="15098" xr:uid="{8E6654B9-1A44-4C5B-BFE1-A5521A0C3788}"/>
    <cellStyle name="40% - Accent4 3 2 6 3" xfId="10880" xr:uid="{369F3160-2EE1-4E20-A0C6-F8A61DA3EF23}"/>
    <cellStyle name="40% - Accent4 3 2 7" xfId="4582" xr:uid="{00000000-0005-0000-0000-000006060000}"/>
    <cellStyle name="40% - Accent4 3 2 7 2" xfId="13032" xr:uid="{4704F3D1-B52C-49B6-A1F3-F21BCC97BDF4}"/>
    <cellStyle name="40% - Accent4 3 2 8" xfId="8814" xr:uid="{4A6C741E-C0D2-432B-A793-957DA56839CE}"/>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BAB1281A-D992-4E92-B9FD-AA1DE3339922}"/>
    <cellStyle name="40% - Accent4 3 3 2 3" xfId="11372" xr:uid="{9200A392-7738-49C7-BEFC-AFB9B3DF9022}"/>
    <cellStyle name="40% - Accent4 3 3 3" xfId="4995" xr:uid="{00000000-0005-0000-0000-00000A060000}"/>
    <cellStyle name="40% - Accent4 3 3 3 2" xfId="13445" xr:uid="{BF6718F2-3BC1-4CFA-9CA5-0E5AAA34E87B}"/>
    <cellStyle name="40% - Accent4 3 3 4" xfId="9227" xr:uid="{E9CDB204-0A92-486D-B2A7-89749685A40B}"/>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DA3E76BE-F22D-48CB-BDD1-36BE1454EAD8}"/>
    <cellStyle name="40% - Accent4 3 4 2 3" xfId="11785" xr:uid="{26606EFD-2B43-4408-B7E8-B170EACBEFA2}"/>
    <cellStyle name="40% - Accent4 3 4 3" xfId="5408" xr:uid="{00000000-0005-0000-0000-00000E060000}"/>
    <cellStyle name="40% - Accent4 3 4 3 2" xfId="13858" xr:uid="{540E4C0E-3B16-4F32-A43C-F7617A4A4700}"/>
    <cellStyle name="40% - Accent4 3 4 4" xfId="9640" xr:uid="{EC91B92A-760A-4499-BBF0-EBB10FE493AB}"/>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1D9863F7-DAE1-4EF5-983E-14792DE5B5D1}"/>
    <cellStyle name="40% - Accent4 3 5 2 3" xfId="12198" xr:uid="{E29C78A5-A2A6-4733-B075-E1834D61EFC2}"/>
    <cellStyle name="40% - Accent4 3 5 3" xfId="5821" xr:uid="{00000000-0005-0000-0000-000012060000}"/>
    <cellStyle name="40% - Accent4 3 5 3 2" xfId="14271" xr:uid="{412FFD32-02C3-48D4-ADC9-C947282C3502}"/>
    <cellStyle name="40% - Accent4 3 5 4" xfId="10053" xr:uid="{8CE02120-641E-4690-967A-A1E5AE846704}"/>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B50994F5-013F-4D59-A864-603175655669}"/>
    <cellStyle name="40% - Accent4 3 6 2 3" xfId="12611" xr:uid="{AC5482AD-8A14-4EBE-8431-AFF3526A99A4}"/>
    <cellStyle name="40% - Accent4 3 6 3" xfId="6234" xr:uid="{00000000-0005-0000-0000-000016060000}"/>
    <cellStyle name="40% - Accent4 3 6 3 2" xfId="14684" xr:uid="{7613101D-4A8D-4019-B8E6-1CAF0D069EF9}"/>
    <cellStyle name="40% - Accent4 3 6 4" xfId="10466" xr:uid="{77A68446-9920-44C9-BEC4-86C24F2FF5BE}"/>
    <cellStyle name="40% - Accent4 3 7" xfId="2341" xr:uid="{00000000-0005-0000-0000-000017060000}"/>
    <cellStyle name="40% - Accent4 3 7 2" xfId="6647" xr:uid="{00000000-0005-0000-0000-000018060000}"/>
    <cellStyle name="40% - Accent4 3 7 2 2" xfId="15097" xr:uid="{4889000A-12BA-4C76-B6BD-CD45402FD242}"/>
    <cellStyle name="40% - Accent4 3 7 3" xfId="10879" xr:uid="{D1960CE5-7398-4B37-AC7E-F7C71EF441AB}"/>
    <cellStyle name="40% - Accent4 3 8" xfId="4581" xr:uid="{00000000-0005-0000-0000-000019060000}"/>
    <cellStyle name="40% - Accent4 3 8 2" xfId="13031" xr:uid="{D3EB1850-94C1-4C17-9839-978B36DA8D31}"/>
    <cellStyle name="40% - Accent4 3 9" xfId="8813" xr:uid="{6FE3F5AD-FDDD-40F1-9E36-F460497D0264}"/>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50777188-A654-4250-93EB-99751C538858}"/>
    <cellStyle name="40% - Accent4 4 2 2 3" xfId="11374" xr:uid="{35AA0808-D140-42F6-B093-9F0862620745}"/>
    <cellStyle name="40% - Accent4 4 2 3" xfId="4997" xr:uid="{00000000-0005-0000-0000-00001E060000}"/>
    <cellStyle name="40% - Accent4 4 2 3 2" xfId="13447" xr:uid="{5E25CAC6-8096-40D4-942C-D3BCF2F1F5BF}"/>
    <cellStyle name="40% - Accent4 4 2 4" xfId="9229" xr:uid="{53CA2783-8F0B-4F01-8A8D-8A87E45FB333}"/>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0B7D5E8B-DC55-4A29-A7BE-B6EE2705A686}"/>
    <cellStyle name="40% - Accent4 4 3 2 3" xfId="11787" xr:uid="{963C3D17-4A21-4B73-A6F4-B46F3F047869}"/>
    <cellStyle name="40% - Accent4 4 3 3" xfId="5410" xr:uid="{00000000-0005-0000-0000-000022060000}"/>
    <cellStyle name="40% - Accent4 4 3 3 2" xfId="13860" xr:uid="{B6B8A5E9-5E93-41DA-940F-43A51B51382E}"/>
    <cellStyle name="40% - Accent4 4 3 4" xfId="9642" xr:uid="{35C8CF0C-3114-4303-9070-3FAAC861C99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4EF0056B-1B42-475B-905C-D3979BDD3669}"/>
    <cellStyle name="40% - Accent4 4 4 2 3" xfId="12200" xr:uid="{2EEDB31B-ABF8-44AC-9638-BF0C2495829B}"/>
    <cellStyle name="40% - Accent4 4 4 3" xfId="5823" xr:uid="{00000000-0005-0000-0000-000026060000}"/>
    <cellStyle name="40% - Accent4 4 4 3 2" xfId="14273" xr:uid="{FA767570-F10C-4F55-B762-08F80F705DA2}"/>
    <cellStyle name="40% - Accent4 4 4 4" xfId="10055" xr:uid="{704C7990-8D7F-4160-A768-6D80FB3A10AD}"/>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7CA81672-2F8F-4330-9793-44B5D007947E}"/>
    <cellStyle name="40% - Accent4 4 5 2 3" xfId="12613" xr:uid="{F5C696B0-CDDA-45CA-98EF-199EA82F6C7F}"/>
    <cellStyle name="40% - Accent4 4 5 3" xfId="6236" xr:uid="{00000000-0005-0000-0000-00002A060000}"/>
    <cellStyle name="40% - Accent4 4 5 3 2" xfId="14686" xr:uid="{5D506C30-775A-4267-9F62-7E0B60836C0C}"/>
    <cellStyle name="40% - Accent4 4 5 4" xfId="10468" xr:uid="{AE62F4B8-EBAF-4AA0-B8E6-2F1D0BB9F717}"/>
    <cellStyle name="40% - Accent4 4 6" xfId="2343" xr:uid="{00000000-0005-0000-0000-00002B060000}"/>
    <cellStyle name="40% - Accent4 4 6 2" xfId="6649" xr:uid="{00000000-0005-0000-0000-00002C060000}"/>
    <cellStyle name="40% - Accent4 4 6 2 2" xfId="15099" xr:uid="{F493EF84-8ECD-4337-911C-7B6DDEDFC4AF}"/>
    <cellStyle name="40% - Accent4 4 6 3" xfId="10881" xr:uid="{7EE307EC-7363-42E2-8416-521483FBF732}"/>
    <cellStyle name="40% - Accent4 4 7" xfId="4583" xr:uid="{00000000-0005-0000-0000-00002D060000}"/>
    <cellStyle name="40% - Accent4 4 7 2" xfId="13033" xr:uid="{001F9555-63BD-49CF-8125-326284AC2427}"/>
    <cellStyle name="40% - Accent4 4 8" xfId="8815" xr:uid="{2293BC6E-7474-4E2D-BE96-E4F12B1904A1}"/>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2A95D5B6-F122-4F7B-9943-C77D53F1F018}"/>
    <cellStyle name="40% - Accent4 5 2 3" xfId="11367" xr:uid="{CBBF7CE4-E7DB-40B1-BB38-41C29B2AAEC7}"/>
    <cellStyle name="40% - Accent4 5 3" xfId="4990" xr:uid="{00000000-0005-0000-0000-000031060000}"/>
    <cellStyle name="40% - Accent4 5 3 2" xfId="13440" xr:uid="{66045E29-6C7A-41B0-BA6F-EBDC975404FD}"/>
    <cellStyle name="40% - Accent4 5 4" xfId="9222" xr:uid="{FDB171FF-F98A-4C32-A85C-CB25894D263B}"/>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87A4393D-9912-4A76-910D-3CA0239D086A}"/>
    <cellStyle name="40% - Accent4 6 2 3" xfId="11780" xr:uid="{E07694B5-CF24-4E0D-A998-3D8E0DC37C33}"/>
    <cellStyle name="40% - Accent4 6 3" xfId="5403" xr:uid="{00000000-0005-0000-0000-000035060000}"/>
    <cellStyle name="40% - Accent4 6 3 2" xfId="13853" xr:uid="{286C57ED-3008-4013-8B01-50A049D85E12}"/>
    <cellStyle name="40% - Accent4 6 4" xfId="9635" xr:uid="{8BE91546-70A4-4E31-87A9-EE2D4DC3E4C5}"/>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8544A90C-0BAF-4FD6-B24D-B74E6EBD88F5}"/>
    <cellStyle name="40% - Accent4 7 2 3" xfId="12193" xr:uid="{D90F12F0-2E9E-464B-B261-4984BA41640C}"/>
    <cellStyle name="40% - Accent4 7 3" xfId="5816" xr:uid="{00000000-0005-0000-0000-000039060000}"/>
    <cellStyle name="40% - Accent4 7 3 2" xfId="14266" xr:uid="{083E0269-E8FC-411C-8DEC-17389430EAA2}"/>
    <cellStyle name="40% - Accent4 7 4" xfId="10048" xr:uid="{9DF16E0C-B9D3-4560-ADB0-B1BC3B66EEE0}"/>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1BCA0249-8CC9-4C44-8EB1-943AB2C94C4B}"/>
    <cellStyle name="40% - Accent4 8 2 3" xfId="12606" xr:uid="{1C77BEAF-FBAD-4F4D-A5EC-346CBCA82D2C}"/>
    <cellStyle name="40% - Accent4 8 3" xfId="6229" xr:uid="{00000000-0005-0000-0000-00003D060000}"/>
    <cellStyle name="40% - Accent4 8 3 2" xfId="14679" xr:uid="{4A39CE6F-1603-4B12-AF00-D20D46EF897A}"/>
    <cellStyle name="40% - Accent4 8 4" xfId="10461" xr:uid="{AEB1ABCA-ACC2-4E17-AEA6-64666C668634}"/>
    <cellStyle name="40% - Accent4 9" xfId="2336" xr:uid="{00000000-0005-0000-0000-00003E060000}"/>
    <cellStyle name="40% - Accent4 9 2" xfId="6642" xr:uid="{00000000-0005-0000-0000-00003F060000}"/>
    <cellStyle name="40% - Accent4 9 2 2" xfId="15092" xr:uid="{94F17E1F-0DA4-44DE-906B-F13EA3EAB0CB}"/>
    <cellStyle name="40% - Accent4 9 3" xfId="10874" xr:uid="{34B6203A-E3B4-415E-9E0D-C4BE98BF7121}"/>
    <cellStyle name="40% - Accent5" xfId="81" builtinId="47" customBuiltin="1"/>
    <cellStyle name="40% - Accent5 10" xfId="4584" xr:uid="{00000000-0005-0000-0000-000041060000}"/>
    <cellStyle name="40% - Accent5 10 2" xfId="13034" xr:uid="{E983B7CF-EF8A-4833-A055-5F0CB247CB48}"/>
    <cellStyle name="40% - Accent5 11" xfId="8816" xr:uid="{568A483C-EB2A-446B-AF2F-6BB61B986024}"/>
    <cellStyle name="40% - Accent5 2" xfId="82" xr:uid="{00000000-0005-0000-0000-000042060000}"/>
    <cellStyle name="40% - Accent5 2 10" xfId="8817" xr:uid="{7FC4CF13-F07E-43D6-9412-8964067EE2A2}"/>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C57ACDB7-A0D2-4792-8F04-6A268FC0E037}"/>
    <cellStyle name="40% - Accent5 2 2 2 2 2 3" xfId="11378" xr:uid="{99DC39B6-D038-4887-A607-A0AA4BE267EF}"/>
    <cellStyle name="40% - Accent5 2 2 2 2 3" xfId="5001" xr:uid="{00000000-0005-0000-0000-000048060000}"/>
    <cellStyle name="40% - Accent5 2 2 2 2 3 2" xfId="13451" xr:uid="{78D07B6D-F01B-4606-9AB2-E3B400E0B63F}"/>
    <cellStyle name="40% - Accent5 2 2 2 2 4" xfId="9233" xr:uid="{1C394C57-014B-4EC0-A2C2-3C65B4F6CBF5}"/>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2CCFDD1D-B80E-4D47-86CB-B07B889F4CCD}"/>
    <cellStyle name="40% - Accent5 2 2 2 3 2 3" xfId="11791" xr:uid="{C5DC9EFA-B7FB-4F54-9E70-CA305C1F6883}"/>
    <cellStyle name="40% - Accent5 2 2 2 3 3" xfId="5414" xr:uid="{00000000-0005-0000-0000-00004C060000}"/>
    <cellStyle name="40% - Accent5 2 2 2 3 3 2" xfId="13864" xr:uid="{D618C2EE-3D6F-407B-9FD8-A6EEC032973A}"/>
    <cellStyle name="40% - Accent5 2 2 2 3 4" xfId="9646" xr:uid="{E2756CDB-4071-4DA6-86DE-305217CCFCF1}"/>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DFCAEAB9-1869-45DE-BA65-222A54FFAD20}"/>
    <cellStyle name="40% - Accent5 2 2 2 4 2 3" xfId="12204" xr:uid="{086B6539-0D1D-4F6F-B142-90137AD99008}"/>
    <cellStyle name="40% - Accent5 2 2 2 4 3" xfId="5827" xr:uid="{00000000-0005-0000-0000-000050060000}"/>
    <cellStyle name="40% - Accent5 2 2 2 4 3 2" xfId="14277" xr:uid="{82C64EB2-AA37-42BB-9BC0-C7247DC70E19}"/>
    <cellStyle name="40% - Accent5 2 2 2 4 4" xfId="10059" xr:uid="{D5E22950-2E10-4147-924C-2508498DB50B}"/>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78A554D5-9A57-4794-93B7-4AA50E1F7366}"/>
    <cellStyle name="40% - Accent5 2 2 2 5 2 3" xfId="12617" xr:uid="{A0AAEC05-59B9-48B4-8BAA-A985D788EF95}"/>
    <cellStyle name="40% - Accent5 2 2 2 5 3" xfId="6240" xr:uid="{00000000-0005-0000-0000-000054060000}"/>
    <cellStyle name="40% - Accent5 2 2 2 5 3 2" xfId="14690" xr:uid="{D7EFCA4B-A7D6-4CB7-B345-D8C13EF3609A}"/>
    <cellStyle name="40% - Accent5 2 2 2 5 4" xfId="10472" xr:uid="{AEC44660-7257-4C03-BA4B-2F609AB61DFE}"/>
    <cellStyle name="40% - Accent5 2 2 2 6" xfId="2347" xr:uid="{00000000-0005-0000-0000-000055060000}"/>
    <cellStyle name="40% - Accent5 2 2 2 6 2" xfId="6653" xr:uid="{00000000-0005-0000-0000-000056060000}"/>
    <cellStyle name="40% - Accent5 2 2 2 6 2 2" xfId="15103" xr:uid="{F377FB1A-DBDF-4F80-A356-583A2C7A309F}"/>
    <cellStyle name="40% - Accent5 2 2 2 6 3" xfId="10885" xr:uid="{194B7A6F-6E68-4F43-B13C-A4781E91495C}"/>
    <cellStyle name="40% - Accent5 2 2 2 7" xfId="4587" xr:uid="{00000000-0005-0000-0000-000057060000}"/>
    <cellStyle name="40% - Accent5 2 2 2 7 2" xfId="13037" xr:uid="{68F96DEA-BF2D-49FE-8188-CC672AC9EEE2}"/>
    <cellStyle name="40% - Accent5 2 2 2 8" xfId="8819" xr:uid="{0DBF809F-D677-4257-AE18-F61B9D54B2A3}"/>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E8FF0C8E-2345-45DF-95A3-5AA750ADE065}"/>
    <cellStyle name="40% - Accent5 2 2 3 2 3" xfId="11377" xr:uid="{76BEBBAD-5FB1-49A1-8490-F68B7D59486D}"/>
    <cellStyle name="40% - Accent5 2 2 3 3" xfId="5000" xr:uid="{00000000-0005-0000-0000-00005B060000}"/>
    <cellStyle name="40% - Accent5 2 2 3 3 2" xfId="13450" xr:uid="{10523FD8-74B5-4DFA-9964-C654A27A2970}"/>
    <cellStyle name="40% - Accent5 2 2 3 4" xfId="9232" xr:uid="{875154CB-2F85-4DA1-87D9-1B91B4391176}"/>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06B01B2F-DFB5-4CA2-820A-ADEC74BEBE22}"/>
    <cellStyle name="40% - Accent5 2 2 4 2 3" xfId="11790" xr:uid="{4902DBEF-C493-4BA4-A90B-BC1033C4169D}"/>
    <cellStyle name="40% - Accent5 2 2 4 3" xfId="5413" xr:uid="{00000000-0005-0000-0000-00005F060000}"/>
    <cellStyle name="40% - Accent5 2 2 4 3 2" xfId="13863" xr:uid="{65F07B68-B05C-4D3E-8BEB-9923867AB9A4}"/>
    <cellStyle name="40% - Accent5 2 2 4 4" xfId="9645" xr:uid="{B590C57E-F5B7-487D-8077-06FDBA6C608F}"/>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05B78A87-E390-4E28-9E53-C1401D994A67}"/>
    <cellStyle name="40% - Accent5 2 2 5 2 3" xfId="12203" xr:uid="{8CF34496-7163-4F30-BBF6-3B146F231A20}"/>
    <cellStyle name="40% - Accent5 2 2 5 3" xfId="5826" xr:uid="{00000000-0005-0000-0000-000063060000}"/>
    <cellStyle name="40% - Accent5 2 2 5 3 2" xfId="14276" xr:uid="{EFC6BED0-8EED-4BEF-83D6-6639AEF72E22}"/>
    <cellStyle name="40% - Accent5 2 2 5 4" xfId="10058" xr:uid="{9EEEED93-9EF1-4824-8D61-419252EE5556}"/>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7A948915-F3AE-455F-8323-5A8AE37AF040}"/>
    <cellStyle name="40% - Accent5 2 2 6 2 3" xfId="12616" xr:uid="{D2E95ECF-99FD-4732-94A3-810BD7BFD5B7}"/>
    <cellStyle name="40% - Accent5 2 2 6 3" xfId="6239" xr:uid="{00000000-0005-0000-0000-000067060000}"/>
    <cellStyle name="40% - Accent5 2 2 6 3 2" xfId="14689" xr:uid="{46C29D79-1CB7-4F70-87A4-8554AD4CC5CB}"/>
    <cellStyle name="40% - Accent5 2 2 6 4" xfId="10471" xr:uid="{02A72DA7-7BDF-47B2-9AA3-F59293666E96}"/>
    <cellStyle name="40% - Accent5 2 2 7" xfId="2346" xr:uid="{00000000-0005-0000-0000-000068060000}"/>
    <cellStyle name="40% - Accent5 2 2 7 2" xfId="6652" xr:uid="{00000000-0005-0000-0000-000069060000}"/>
    <cellStyle name="40% - Accent5 2 2 7 2 2" xfId="15102" xr:uid="{2D3F4976-D3D5-4837-AF8C-05BEB88539D9}"/>
    <cellStyle name="40% - Accent5 2 2 7 3" xfId="10884" xr:uid="{0892ADDA-B950-473A-8B78-2BDA24AC973C}"/>
    <cellStyle name="40% - Accent5 2 2 8" xfId="4586" xr:uid="{00000000-0005-0000-0000-00006A060000}"/>
    <cellStyle name="40% - Accent5 2 2 8 2" xfId="13036" xr:uid="{273AD866-FA23-4F66-B391-F406FAD51CD0}"/>
    <cellStyle name="40% - Accent5 2 2 9" xfId="8818" xr:uid="{DCEF1456-EED9-4090-B5D0-E1994CB8DF49}"/>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DE002F67-27C8-431F-A19A-520101855F84}"/>
    <cellStyle name="40% - Accent5 2 3 2 2 3" xfId="11379" xr:uid="{09028BDE-FD28-407A-8F26-28499011ADDE}"/>
    <cellStyle name="40% - Accent5 2 3 2 3" xfId="5002" xr:uid="{00000000-0005-0000-0000-00006F060000}"/>
    <cellStyle name="40% - Accent5 2 3 2 3 2" xfId="13452" xr:uid="{19DE4664-402A-4149-9439-835391B67F37}"/>
    <cellStyle name="40% - Accent5 2 3 2 4" xfId="9234" xr:uid="{38DF6505-9324-4DE3-B3FE-43BABBFCA60E}"/>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02985837-A7B3-4070-8321-279D43C14B00}"/>
    <cellStyle name="40% - Accent5 2 3 3 2 3" xfId="11792" xr:uid="{9D21192C-8AFA-45AC-8D9A-E1671149EBB5}"/>
    <cellStyle name="40% - Accent5 2 3 3 3" xfId="5415" xr:uid="{00000000-0005-0000-0000-000073060000}"/>
    <cellStyle name="40% - Accent5 2 3 3 3 2" xfId="13865" xr:uid="{E4DB7612-4F93-4C44-BC1F-7485CCCB1295}"/>
    <cellStyle name="40% - Accent5 2 3 3 4" xfId="9647" xr:uid="{E2D258BD-5CA7-4B26-BCB9-590C697E95E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76AC3BB0-4F10-49D2-BC00-A1B1229F5CF1}"/>
    <cellStyle name="40% - Accent5 2 3 4 2 3" xfId="12205" xr:uid="{7366C6AF-FFDF-43BC-B77D-EBDDB6C958A6}"/>
    <cellStyle name="40% - Accent5 2 3 4 3" xfId="5828" xr:uid="{00000000-0005-0000-0000-000077060000}"/>
    <cellStyle name="40% - Accent5 2 3 4 3 2" xfId="14278" xr:uid="{4C2A7B84-849C-4139-8D1E-5971B77B0719}"/>
    <cellStyle name="40% - Accent5 2 3 4 4" xfId="10060" xr:uid="{1ED7BFF4-31EA-4BB8-8AF6-67E445D45E8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B49E252D-CC36-41BF-B354-66D3C8118520}"/>
    <cellStyle name="40% - Accent5 2 3 5 2 3" xfId="12618" xr:uid="{2B92823E-4F33-4C09-9987-9A427BB6E2A0}"/>
    <cellStyle name="40% - Accent5 2 3 5 3" xfId="6241" xr:uid="{00000000-0005-0000-0000-00007B060000}"/>
    <cellStyle name="40% - Accent5 2 3 5 3 2" xfId="14691" xr:uid="{7E13CB7B-1B74-4B5D-9A9A-99DD05B15D16}"/>
    <cellStyle name="40% - Accent5 2 3 5 4" xfId="10473" xr:uid="{D1A59F31-43F2-4182-830A-10EDD5C8C226}"/>
    <cellStyle name="40% - Accent5 2 3 6" xfId="2348" xr:uid="{00000000-0005-0000-0000-00007C060000}"/>
    <cellStyle name="40% - Accent5 2 3 6 2" xfId="6654" xr:uid="{00000000-0005-0000-0000-00007D060000}"/>
    <cellStyle name="40% - Accent5 2 3 6 2 2" xfId="15104" xr:uid="{CA1D575B-A836-46B3-95B5-1347D964673E}"/>
    <cellStyle name="40% - Accent5 2 3 6 3" xfId="10886" xr:uid="{382E2A0F-DB70-4504-A17D-9306067C83B4}"/>
    <cellStyle name="40% - Accent5 2 3 7" xfId="4588" xr:uid="{00000000-0005-0000-0000-00007E060000}"/>
    <cellStyle name="40% - Accent5 2 3 7 2" xfId="13038" xr:uid="{A28C43A4-37C1-461D-AB0F-C9BFBD37C206}"/>
    <cellStyle name="40% - Accent5 2 3 8" xfId="8820" xr:uid="{DC2FA4F0-7CAA-4A3D-86F8-914E53944FDD}"/>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B8FD9929-99A7-4A51-A9E8-B6C76E31E399}"/>
    <cellStyle name="40% - Accent5 2 4 2 3" xfId="11376" xr:uid="{0F3AC59C-904E-447E-B7B8-A6430E7EA056}"/>
    <cellStyle name="40% - Accent5 2 4 3" xfId="4999" xr:uid="{00000000-0005-0000-0000-000082060000}"/>
    <cellStyle name="40% - Accent5 2 4 3 2" xfId="13449" xr:uid="{0728C46C-4101-4A88-8CD6-A1034FF2FC85}"/>
    <cellStyle name="40% - Accent5 2 4 4" xfId="9231" xr:uid="{0B1605C2-EC62-40F4-8402-8CDCD8677AAB}"/>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3C4D26A5-18F7-45F5-9C82-42F4284CB50B}"/>
    <cellStyle name="40% - Accent5 2 5 2 3" xfId="11789" xr:uid="{EF017225-BF97-4996-91D4-8E882A4891AB}"/>
    <cellStyle name="40% - Accent5 2 5 3" xfId="5412" xr:uid="{00000000-0005-0000-0000-000086060000}"/>
    <cellStyle name="40% - Accent5 2 5 3 2" xfId="13862" xr:uid="{90FF430A-47FA-4342-919E-F54304C372B7}"/>
    <cellStyle name="40% - Accent5 2 5 4" xfId="9644" xr:uid="{10E09021-26BA-4600-856B-11061026504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71AACF43-F369-4885-8AB8-3F654121B3A9}"/>
    <cellStyle name="40% - Accent5 2 6 2 3" xfId="12202" xr:uid="{844A83F8-A606-44DF-B7B9-114920FE4FB0}"/>
    <cellStyle name="40% - Accent5 2 6 3" xfId="5825" xr:uid="{00000000-0005-0000-0000-00008A060000}"/>
    <cellStyle name="40% - Accent5 2 6 3 2" xfId="14275" xr:uid="{80A075AC-308C-4A96-B425-27B1CE6C7D07}"/>
    <cellStyle name="40% - Accent5 2 6 4" xfId="10057" xr:uid="{87B8A48B-9F40-4568-9A68-510373A58831}"/>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161E5D23-473C-42F5-B661-938E84EF4548}"/>
    <cellStyle name="40% - Accent5 2 7 2 3" xfId="12615" xr:uid="{C548BEAA-C9E3-4E0C-A6E8-77069B19DB78}"/>
    <cellStyle name="40% - Accent5 2 7 3" xfId="6238" xr:uid="{00000000-0005-0000-0000-00008E060000}"/>
    <cellStyle name="40% - Accent5 2 7 3 2" xfId="14688" xr:uid="{3F671F6C-4239-4A50-808B-CAD33FCBC4A2}"/>
    <cellStyle name="40% - Accent5 2 7 4" xfId="10470" xr:uid="{8114CA6A-5E24-4BA3-BDE4-6B0F09B936B1}"/>
    <cellStyle name="40% - Accent5 2 8" xfId="2345" xr:uid="{00000000-0005-0000-0000-00008F060000}"/>
    <cellStyle name="40% - Accent5 2 8 2" xfId="6651" xr:uid="{00000000-0005-0000-0000-000090060000}"/>
    <cellStyle name="40% - Accent5 2 8 2 2" xfId="15101" xr:uid="{F751B71A-30D9-4C97-8852-24BC9866CFC6}"/>
    <cellStyle name="40% - Accent5 2 8 3" xfId="10883" xr:uid="{6DA58150-B4C4-4DF6-A2A0-BECF024877C6}"/>
    <cellStyle name="40% - Accent5 2 9" xfId="4585" xr:uid="{00000000-0005-0000-0000-000091060000}"/>
    <cellStyle name="40% - Accent5 2 9 2" xfId="13035" xr:uid="{177EF841-0482-41B6-9584-A4F9582E53CD}"/>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ED6D4C15-C815-402B-ABD6-EA24798481C1}"/>
    <cellStyle name="40% - Accent5 3 2 2 2 3" xfId="11381" xr:uid="{A81FADC6-79CA-405B-B698-880314B640D2}"/>
    <cellStyle name="40% - Accent5 3 2 2 3" xfId="5004" xr:uid="{00000000-0005-0000-0000-000097060000}"/>
    <cellStyle name="40% - Accent5 3 2 2 3 2" xfId="13454" xr:uid="{8FF4BC13-2015-417F-BF85-4AC857EBC768}"/>
    <cellStyle name="40% - Accent5 3 2 2 4" xfId="9236" xr:uid="{4180BBA8-0451-4F64-9A72-EA53265CDF7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E9FD15E7-91DA-49CD-81DB-3F3007119F06}"/>
    <cellStyle name="40% - Accent5 3 2 3 2 3" xfId="11794" xr:uid="{DEE2577F-521C-427D-9219-7906BBFFCCC6}"/>
    <cellStyle name="40% - Accent5 3 2 3 3" xfId="5417" xr:uid="{00000000-0005-0000-0000-00009B060000}"/>
    <cellStyle name="40% - Accent5 3 2 3 3 2" xfId="13867" xr:uid="{0CC5658F-8F50-4EC5-A7FF-BC6943F94922}"/>
    <cellStyle name="40% - Accent5 3 2 3 4" xfId="9649" xr:uid="{4FB44BAA-9E53-4D2B-9ECF-B592EC91423C}"/>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BD77D824-73CB-423A-AA4A-962144016CF5}"/>
    <cellStyle name="40% - Accent5 3 2 4 2 3" xfId="12207" xr:uid="{5E97B413-587E-4FC3-A4D8-D7A029E9FB00}"/>
    <cellStyle name="40% - Accent5 3 2 4 3" xfId="5830" xr:uid="{00000000-0005-0000-0000-00009F060000}"/>
    <cellStyle name="40% - Accent5 3 2 4 3 2" xfId="14280" xr:uid="{380141F1-5CDE-4854-AB83-03CAD362C3D2}"/>
    <cellStyle name="40% - Accent5 3 2 4 4" xfId="10062" xr:uid="{3DD9528F-3155-4EB2-A19E-238F94535F36}"/>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E07C9FF8-05EE-4A9B-884B-F9717C821FE8}"/>
    <cellStyle name="40% - Accent5 3 2 5 2 3" xfId="12620" xr:uid="{FBACB230-5EE4-4EDD-A34F-357B446985D0}"/>
    <cellStyle name="40% - Accent5 3 2 5 3" xfId="6243" xr:uid="{00000000-0005-0000-0000-0000A3060000}"/>
    <cellStyle name="40% - Accent5 3 2 5 3 2" xfId="14693" xr:uid="{92401F04-95BA-4EAE-9CF2-DEEC05354B74}"/>
    <cellStyle name="40% - Accent5 3 2 5 4" xfId="10475" xr:uid="{F932C34A-7308-435B-9B28-E8D484D44ACD}"/>
    <cellStyle name="40% - Accent5 3 2 6" xfId="2350" xr:uid="{00000000-0005-0000-0000-0000A4060000}"/>
    <cellStyle name="40% - Accent5 3 2 6 2" xfId="6656" xr:uid="{00000000-0005-0000-0000-0000A5060000}"/>
    <cellStyle name="40% - Accent5 3 2 6 2 2" xfId="15106" xr:uid="{FBEBFC8C-5B0A-468B-A40C-ACDC2FA1FDDB}"/>
    <cellStyle name="40% - Accent5 3 2 6 3" xfId="10888" xr:uid="{6AE3287F-13C5-4C2A-8D3C-82F717C21FF1}"/>
    <cellStyle name="40% - Accent5 3 2 7" xfId="4590" xr:uid="{00000000-0005-0000-0000-0000A6060000}"/>
    <cellStyle name="40% - Accent5 3 2 7 2" xfId="13040" xr:uid="{3543AAB5-0A29-465B-9891-30404BC64714}"/>
    <cellStyle name="40% - Accent5 3 2 8" xfId="8822" xr:uid="{0CCD5F9A-85E2-4F89-AB2F-B083991772FB}"/>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483AF4CD-CFDE-4197-858E-E4C92C20CE83}"/>
    <cellStyle name="40% - Accent5 3 3 2 3" xfId="11380" xr:uid="{2C2BF7C2-1030-48B3-84F6-4D9CE449A933}"/>
    <cellStyle name="40% - Accent5 3 3 3" xfId="5003" xr:uid="{00000000-0005-0000-0000-0000AA060000}"/>
    <cellStyle name="40% - Accent5 3 3 3 2" xfId="13453" xr:uid="{53691447-F69B-4E8A-9F3B-B10AFBB1AD41}"/>
    <cellStyle name="40% - Accent5 3 3 4" xfId="9235" xr:uid="{AA3AB250-7080-413F-A304-7E2CC591B9A8}"/>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4F76BC63-79AA-464C-853D-DAC44AB6A016}"/>
    <cellStyle name="40% - Accent5 3 4 2 3" xfId="11793" xr:uid="{8252C8E3-63D8-4914-93FE-993D31B727A0}"/>
    <cellStyle name="40% - Accent5 3 4 3" xfId="5416" xr:uid="{00000000-0005-0000-0000-0000AE060000}"/>
    <cellStyle name="40% - Accent5 3 4 3 2" xfId="13866" xr:uid="{79ED3DCE-3548-4185-921A-EC6E3C1C5F28}"/>
    <cellStyle name="40% - Accent5 3 4 4" xfId="9648" xr:uid="{B37C6574-199D-46ED-8985-78C6BD0532CC}"/>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E7A97A7B-8C5B-413E-A4AA-50A3036C94F3}"/>
    <cellStyle name="40% - Accent5 3 5 2 3" xfId="12206" xr:uid="{4707C35A-05C0-49B2-919D-3AD3EB2E6A21}"/>
    <cellStyle name="40% - Accent5 3 5 3" xfId="5829" xr:uid="{00000000-0005-0000-0000-0000B2060000}"/>
    <cellStyle name="40% - Accent5 3 5 3 2" xfId="14279" xr:uid="{187908BF-C6B5-424F-BD36-FA31B035A670}"/>
    <cellStyle name="40% - Accent5 3 5 4" xfId="10061" xr:uid="{75ABF6FD-F520-4B49-B1EE-5147CBEDF937}"/>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9A87FE3B-4758-4C4F-994F-632329EE57FF}"/>
    <cellStyle name="40% - Accent5 3 6 2 3" xfId="12619" xr:uid="{21881F0E-059A-44C5-AE94-1538A1CBB291}"/>
    <cellStyle name="40% - Accent5 3 6 3" xfId="6242" xr:uid="{00000000-0005-0000-0000-0000B6060000}"/>
    <cellStyle name="40% - Accent5 3 6 3 2" xfId="14692" xr:uid="{15F3B559-FF9E-43BC-81D6-3E2AB378F237}"/>
    <cellStyle name="40% - Accent5 3 6 4" xfId="10474" xr:uid="{09EAD4B4-6319-4477-BD51-E98337FC17CD}"/>
    <cellStyle name="40% - Accent5 3 7" xfId="2349" xr:uid="{00000000-0005-0000-0000-0000B7060000}"/>
    <cellStyle name="40% - Accent5 3 7 2" xfId="6655" xr:uid="{00000000-0005-0000-0000-0000B8060000}"/>
    <cellStyle name="40% - Accent5 3 7 2 2" xfId="15105" xr:uid="{D89FD9B1-B4D0-4277-B731-D206CAEB061A}"/>
    <cellStyle name="40% - Accent5 3 7 3" xfId="10887" xr:uid="{4AC969F6-C190-40CE-BEF9-A3749BCAC925}"/>
    <cellStyle name="40% - Accent5 3 8" xfId="4589" xr:uid="{00000000-0005-0000-0000-0000B9060000}"/>
    <cellStyle name="40% - Accent5 3 8 2" xfId="13039" xr:uid="{DF566052-F2E3-4B12-BFBD-FC77018A876A}"/>
    <cellStyle name="40% - Accent5 3 9" xfId="8821" xr:uid="{1B54F9B9-2ABD-4E26-91B5-1C4233FCBD63}"/>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8CB6A83F-E0D0-4A17-A7E4-544691132AB6}"/>
    <cellStyle name="40% - Accent5 4 2 2 3" xfId="11382" xr:uid="{EDEEEEFA-F7C7-4C5F-92B0-FA6206BFAE89}"/>
    <cellStyle name="40% - Accent5 4 2 3" xfId="5005" xr:uid="{00000000-0005-0000-0000-0000BE060000}"/>
    <cellStyle name="40% - Accent5 4 2 3 2" xfId="13455" xr:uid="{8FC3B394-17DA-4EF8-B8DD-B446D12C9B5C}"/>
    <cellStyle name="40% - Accent5 4 2 4" xfId="9237" xr:uid="{343D59C9-2473-45E2-877B-E4303A6D8F05}"/>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79CD97AD-73D6-48C6-A030-6392B555D43B}"/>
    <cellStyle name="40% - Accent5 4 3 2 3" xfId="11795" xr:uid="{0F71B4E5-34F4-4597-9917-BBEBA550F304}"/>
    <cellStyle name="40% - Accent5 4 3 3" xfId="5418" xr:uid="{00000000-0005-0000-0000-0000C2060000}"/>
    <cellStyle name="40% - Accent5 4 3 3 2" xfId="13868" xr:uid="{C1C1938F-3BB4-4DC0-8D6F-B05E60CA444F}"/>
    <cellStyle name="40% - Accent5 4 3 4" xfId="9650" xr:uid="{F4278873-4B99-4441-A551-C936E8EB5E3B}"/>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97A88FE7-3E43-40B3-9B0E-E2C8EE343F5E}"/>
    <cellStyle name="40% - Accent5 4 4 2 3" xfId="12208" xr:uid="{F6F1D6A0-A3D0-4090-A57D-4C9328E05454}"/>
    <cellStyle name="40% - Accent5 4 4 3" xfId="5831" xr:uid="{00000000-0005-0000-0000-0000C6060000}"/>
    <cellStyle name="40% - Accent5 4 4 3 2" xfId="14281" xr:uid="{3434EF01-746B-4668-B8A2-D08BACA40721}"/>
    <cellStyle name="40% - Accent5 4 4 4" xfId="10063" xr:uid="{A0C557A6-27D8-43A2-AF81-533A2A06A14B}"/>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1855EDE7-96D8-4484-9C77-6D5C6B3691D2}"/>
    <cellStyle name="40% - Accent5 4 5 2 3" xfId="12621" xr:uid="{919433DF-6E7E-4F70-AA7C-8C1EB7D73B2E}"/>
    <cellStyle name="40% - Accent5 4 5 3" xfId="6244" xr:uid="{00000000-0005-0000-0000-0000CA060000}"/>
    <cellStyle name="40% - Accent5 4 5 3 2" xfId="14694" xr:uid="{998170A4-241B-4C6B-B1DA-97C217CC7F2A}"/>
    <cellStyle name="40% - Accent5 4 5 4" xfId="10476" xr:uid="{1D123F13-BBF3-405D-A308-5AA7FC812C24}"/>
    <cellStyle name="40% - Accent5 4 6" xfId="2351" xr:uid="{00000000-0005-0000-0000-0000CB060000}"/>
    <cellStyle name="40% - Accent5 4 6 2" xfId="6657" xr:uid="{00000000-0005-0000-0000-0000CC060000}"/>
    <cellStyle name="40% - Accent5 4 6 2 2" xfId="15107" xr:uid="{69F78FEA-9AF0-487B-A7B1-ADFFC83B913F}"/>
    <cellStyle name="40% - Accent5 4 6 3" xfId="10889" xr:uid="{E9B07C96-AF89-4192-B7BA-792292233C64}"/>
    <cellStyle name="40% - Accent5 4 7" xfId="4591" xr:uid="{00000000-0005-0000-0000-0000CD060000}"/>
    <cellStyle name="40% - Accent5 4 7 2" xfId="13041" xr:uid="{D2082A61-23E5-4B95-BB41-4DFAFFE0DA14}"/>
    <cellStyle name="40% - Accent5 4 8" xfId="8823" xr:uid="{A7041B7E-3154-4E4E-BE82-41CA11AAF813}"/>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D250AF2B-86EB-4C44-9AF1-11A189FD7E45}"/>
    <cellStyle name="40% - Accent5 5 2 3" xfId="11375" xr:uid="{AED2E831-5942-4F18-B862-B72625450C04}"/>
    <cellStyle name="40% - Accent5 5 3" xfId="4998" xr:uid="{00000000-0005-0000-0000-0000D1060000}"/>
    <cellStyle name="40% - Accent5 5 3 2" xfId="13448" xr:uid="{DB602992-3B63-48FA-8F97-442D00122FB5}"/>
    <cellStyle name="40% - Accent5 5 4" xfId="9230" xr:uid="{EAF69929-DBAA-4572-A6DE-57E23E5B338E}"/>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5453869E-C523-4A14-A5D2-C3FF38434D75}"/>
    <cellStyle name="40% - Accent5 6 2 3" xfId="11788" xr:uid="{D7DBDA51-7DE9-4F75-BF4D-04537DC279D3}"/>
    <cellStyle name="40% - Accent5 6 3" xfId="5411" xr:uid="{00000000-0005-0000-0000-0000D5060000}"/>
    <cellStyle name="40% - Accent5 6 3 2" xfId="13861" xr:uid="{CD978E28-C4D4-442A-B2B6-92AAE9F74611}"/>
    <cellStyle name="40% - Accent5 6 4" xfId="9643" xr:uid="{26445097-3D73-4084-A521-DA3E49DDADC9}"/>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0FBFE7BA-E3C9-4855-94F2-DEFE45A1836F}"/>
    <cellStyle name="40% - Accent5 7 2 3" xfId="12201" xr:uid="{629D0053-6853-4CC1-9F22-0E34AB6F15A8}"/>
    <cellStyle name="40% - Accent5 7 3" xfId="5824" xr:uid="{00000000-0005-0000-0000-0000D9060000}"/>
    <cellStyle name="40% - Accent5 7 3 2" xfId="14274" xr:uid="{BB0537ED-B6D3-40D3-8395-2196997A52A1}"/>
    <cellStyle name="40% - Accent5 7 4" xfId="10056" xr:uid="{324C8B0E-1FAF-48F3-9A08-F46976D60A4E}"/>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721DA398-5C1F-45FD-B9F5-37A0ACC937EC}"/>
    <cellStyle name="40% - Accent5 8 2 3" xfId="12614" xr:uid="{F73718D1-3C25-40EB-91AA-B4293F10888C}"/>
    <cellStyle name="40% - Accent5 8 3" xfId="6237" xr:uid="{00000000-0005-0000-0000-0000DD060000}"/>
    <cellStyle name="40% - Accent5 8 3 2" xfId="14687" xr:uid="{5DF1D133-B96D-42D2-9670-E5D645924D05}"/>
    <cellStyle name="40% - Accent5 8 4" xfId="10469" xr:uid="{F545B871-C2C6-4A87-8B86-57B586AA56F6}"/>
    <cellStyle name="40% - Accent5 9" xfId="2344" xr:uid="{00000000-0005-0000-0000-0000DE060000}"/>
    <cellStyle name="40% - Accent5 9 2" xfId="6650" xr:uid="{00000000-0005-0000-0000-0000DF060000}"/>
    <cellStyle name="40% - Accent5 9 2 2" xfId="15100" xr:uid="{B4623869-0E5E-4A71-B86B-084A5ECD0EB7}"/>
    <cellStyle name="40% - Accent5 9 3" xfId="10882" xr:uid="{F3B17749-CA5E-47E2-B87B-94EEF55BA455}"/>
    <cellStyle name="40% - Accent6" xfId="89" builtinId="51" customBuiltin="1"/>
    <cellStyle name="40% - Accent6 10" xfId="4592" xr:uid="{00000000-0005-0000-0000-0000E1060000}"/>
    <cellStyle name="40% - Accent6 10 2" xfId="13042" xr:uid="{E794D4DE-D549-42F1-962A-1579EC945CC1}"/>
    <cellStyle name="40% - Accent6 11" xfId="8824" xr:uid="{7630B630-CDDF-4A59-A212-61058B3B4A91}"/>
    <cellStyle name="40% - Accent6 2" xfId="90" xr:uid="{00000000-0005-0000-0000-0000E2060000}"/>
    <cellStyle name="40% - Accent6 2 10" xfId="8825" xr:uid="{36C4231A-C133-43D5-A80F-84173B983609}"/>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8F21521B-C4B7-44FF-812A-003E09499320}"/>
    <cellStyle name="40% - Accent6 2 2 2 2 2 3" xfId="11386" xr:uid="{931B212E-7752-48FC-85ED-3D1CC2FBC16A}"/>
    <cellStyle name="40% - Accent6 2 2 2 2 3" xfId="5009" xr:uid="{00000000-0005-0000-0000-0000E8060000}"/>
    <cellStyle name="40% - Accent6 2 2 2 2 3 2" xfId="13459" xr:uid="{8DFE7C6A-DA55-4402-9560-E57191D69FA7}"/>
    <cellStyle name="40% - Accent6 2 2 2 2 4" xfId="9241" xr:uid="{F4DB77D0-F40F-4331-9F51-F0C401F2A8F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9541E162-15EB-4E2C-82A6-A2DFF9172CB0}"/>
    <cellStyle name="40% - Accent6 2 2 2 3 2 3" xfId="11799" xr:uid="{AAF5FD95-333C-4375-AC4A-AD38B9279BC3}"/>
    <cellStyle name="40% - Accent6 2 2 2 3 3" xfId="5422" xr:uid="{00000000-0005-0000-0000-0000EC060000}"/>
    <cellStyle name="40% - Accent6 2 2 2 3 3 2" xfId="13872" xr:uid="{F096ED6A-FAD5-4819-A473-725E534F01C7}"/>
    <cellStyle name="40% - Accent6 2 2 2 3 4" xfId="9654" xr:uid="{B80436CC-B49B-425D-96B8-874BBB252978}"/>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97298EF3-D4B7-497D-A157-4123015DCF73}"/>
    <cellStyle name="40% - Accent6 2 2 2 4 2 3" xfId="12212" xr:uid="{DB46B2B8-3C5D-4640-A634-4604868B084C}"/>
    <cellStyle name="40% - Accent6 2 2 2 4 3" xfId="5835" xr:uid="{00000000-0005-0000-0000-0000F0060000}"/>
    <cellStyle name="40% - Accent6 2 2 2 4 3 2" xfId="14285" xr:uid="{AAC4429B-AD2A-49B1-9C33-A3D007B643AC}"/>
    <cellStyle name="40% - Accent6 2 2 2 4 4" xfId="10067" xr:uid="{1E7E9696-1F59-49BF-BCF1-E0857D2E67C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870826A2-2682-4092-A4E6-2D95966F36E3}"/>
    <cellStyle name="40% - Accent6 2 2 2 5 2 3" xfId="12625" xr:uid="{FEB960E1-F38F-4567-8CBD-4F0E1AAA75C9}"/>
    <cellStyle name="40% - Accent6 2 2 2 5 3" xfId="6248" xr:uid="{00000000-0005-0000-0000-0000F4060000}"/>
    <cellStyle name="40% - Accent6 2 2 2 5 3 2" xfId="14698" xr:uid="{588C6890-5FB7-44DB-8A93-4165938BA5BB}"/>
    <cellStyle name="40% - Accent6 2 2 2 5 4" xfId="10480" xr:uid="{5764C002-DC2E-4D31-B23B-FDAFFAB52565}"/>
    <cellStyle name="40% - Accent6 2 2 2 6" xfId="2355" xr:uid="{00000000-0005-0000-0000-0000F5060000}"/>
    <cellStyle name="40% - Accent6 2 2 2 6 2" xfId="6661" xr:uid="{00000000-0005-0000-0000-0000F6060000}"/>
    <cellStyle name="40% - Accent6 2 2 2 6 2 2" xfId="15111" xr:uid="{698C8471-136C-450B-BB63-79E7F4A1A7FD}"/>
    <cellStyle name="40% - Accent6 2 2 2 6 3" xfId="10893" xr:uid="{B07C6F73-07C0-440B-8A08-4B588C67E983}"/>
    <cellStyle name="40% - Accent6 2 2 2 7" xfId="4595" xr:uid="{00000000-0005-0000-0000-0000F7060000}"/>
    <cellStyle name="40% - Accent6 2 2 2 7 2" xfId="13045" xr:uid="{01722101-321D-4887-AEF6-F0AC0D53305D}"/>
    <cellStyle name="40% - Accent6 2 2 2 8" xfId="8827" xr:uid="{B49A4161-764F-4D4D-9138-551F830E17D3}"/>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3C711325-30EA-4E26-B47A-B4C30084B07D}"/>
    <cellStyle name="40% - Accent6 2 2 3 2 3" xfId="11385" xr:uid="{088F12E4-F96D-461D-83F5-56F2BA56F306}"/>
    <cellStyle name="40% - Accent6 2 2 3 3" xfId="5008" xr:uid="{00000000-0005-0000-0000-0000FB060000}"/>
    <cellStyle name="40% - Accent6 2 2 3 3 2" xfId="13458" xr:uid="{25B00AFE-76E5-4975-A1A2-34F39B4841F6}"/>
    <cellStyle name="40% - Accent6 2 2 3 4" xfId="9240" xr:uid="{42032D87-CB06-44FA-B109-4F6364A82F3B}"/>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A29DD42A-2A81-4AFC-B5B5-A20F83E40AB9}"/>
    <cellStyle name="40% - Accent6 2 2 4 2 3" xfId="11798" xr:uid="{76384B08-147B-4DCF-81AC-535201747B9D}"/>
    <cellStyle name="40% - Accent6 2 2 4 3" xfId="5421" xr:uid="{00000000-0005-0000-0000-0000FF060000}"/>
    <cellStyle name="40% - Accent6 2 2 4 3 2" xfId="13871" xr:uid="{B3C8CC2B-ED14-479C-B88F-6B8461D39C8A}"/>
    <cellStyle name="40% - Accent6 2 2 4 4" xfId="9653" xr:uid="{354B0969-C1F8-4363-8014-96DC6DCCB484}"/>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C5694BE4-5956-4160-8F6D-9C3CB5413410}"/>
    <cellStyle name="40% - Accent6 2 2 5 2 3" xfId="12211" xr:uid="{8E5812AB-FCED-48D7-A6BC-B3DB5C238C07}"/>
    <cellStyle name="40% - Accent6 2 2 5 3" xfId="5834" xr:uid="{00000000-0005-0000-0000-000003070000}"/>
    <cellStyle name="40% - Accent6 2 2 5 3 2" xfId="14284" xr:uid="{C250F64E-067A-4642-A79B-9A5D7E5409C6}"/>
    <cellStyle name="40% - Accent6 2 2 5 4" xfId="10066" xr:uid="{ABB84899-58B1-4BA1-9900-2705A9A17A85}"/>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D79D1D5F-993F-437A-9040-B04D201FB950}"/>
    <cellStyle name="40% - Accent6 2 2 6 2 3" xfId="12624" xr:uid="{6A58E162-6ED3-4C49-99D8-ECA5D74E4A58}"/>
    <cellStyle name="40% - Accent6 2 2 6 3" xfId="6247" xr:uid="{00000000-0005-0000-0000-000007070000}"/>
    <cellStyle name="40% - Accent6 2 2 6 3 2" xfId="14697" xr:uid="{CD533B91-6BBE-4FEA-AF6D-E7DCDECDC94B}"/>
    <cellStyle name="40% - Accent6 2 2 6 4" xfId="10479" xr:uid="{42B79E02-B624-4D1E-A349-88CEEA44E78F}"/>
    <cellStyle name="40% - Accent6 2 2 7" xfId="2354" xr:uid="{00000000-0005-0000-0000-000008070000}"/>
    <cellStyle name="40% - Accent6 2 2 7 2" xfId="6660" xr:uid="{00000000-0005-0000-0000-000009070000}"/>
    <cellStyle name="40% - Accent6 2 2 7 2 2" xfId="15110" xr:uid="{1C851573-12E3-47C1-A618-E5C58F881903}"/>
    <cellStyle name="40% - Accent6 2 2 7 3" xfId="10892" xr:uid="{ABDF2482-8E50-48EA-9228-A47F0C3FEA93}"/>
    <cellStyle name="40% - Accent6 2 2 8" xfId="4594" xr:uid="{00000000-0005-0000-0000-00000A070000}"/>
    <cellStyle name="40% - Accent6 2 2 8 2" xfId="13044" xr:uid="{1A6E9DD1-5A70-4C26-9447-84A1469F2923}"/>
    <cellStyle name="40% - Accent6 2 2 9" xfId="8826" xr:uid="{C14B5A37-0437-4608-94C0-202A3AF183FD}"/>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0460F4E3-25BB-4766-A1D1-63218EBCB855}"/>
    <cellStyle name="40% - Accent6 2 3 2 2 3" xfId="11387" xr:uid="{BCA1E2F8-B101-46D4-BFA1-56348B82126F}"/>
    <cellStyle name="40% - Accent6 2 3 2 3" xfId="5010" xr:uid="{00000000-0005-0000-0000-00000F070000}"/>
    <cellStyle name="40% - Accent6 2 3 2 3 2" xfId="13460" xr:uid="{535B31B7-B228-4AA3-85ED-4EAFB21217C1}"/>
    <cellStyle name="40% - Accent6 2 3 2 4" xfId="9242" xr:uid="{0482D534-6D88-42E9-9EDB-241E6742A3D1}"/>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3DC6D2F9-36C2-4402-82A5-652A4F11700C}"/>
    <cellStyle name="40% - Accent6 2 3 3 2 3" xfId="11800" xr:uid="{1A632611-CA9F-4EF9-902E-AAD8CF4B751D}"/>
    <cellStyle name="40% - Accent6 2 3 3 3" xfId="5423" xr:uid="{00000000-0005-0000-0000-000013070000}"/>
    <cellStyle name="40% - Accent6 2 3 3 3 2" xfId="13873" xr:uid="{0B9649EE-B339-490A-96CA-7310E02105C9}"/>
    <cellStyle name="40% - Accent6 2 3 3 4" xfId="9655" xr:uid="{F29E04F9-F25B-4471-84D7-A81ABCCC445E}"/>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E4C1B728-0890-413E-8822-C7626E8901E7}"/>
    <cellStyle name="40% - Accent6 2 3 4 2 3" xfId="12213" xr:uid="{F2E1553F-59B0-4AF0-8F71-2D0A369F0E40}"/>
    <cellStyle name="40% - Accent6 2 3 4 3" xfId="5836" xr:uid="{00000000-0005-0000-0000-000017070000}"/>
    <cellStyle name="40% - Accent6 2 3 4 3 2" xfId="14286" xr:uid="{642818F5-4252-4815-82F0-3722E8606F8C}"/>
    <cellStyle name="40% - Accent6 2 3 4 4" xfId="10068" xr:uid="{4C9DBC8B-5A4E-43F1-89C9-9A6D937BC829}"/>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B7D04005-8AC6-476D-88A2-69712F41F9EB}"/>
    <cellStyle name="40% - Accent6 2 3 5 2 3" xfId="12626" xr:uid="{1702785A-BF96-4BF5-953C-0EE78A05C3BD}"/>
    <cellStyle name="40% - Accent6 2 3 5 3" xfId="6249" xr:uid="{00000000-0005-0000-0000-00001B070000}"/>
    <cellStyle name="40% - Accent6 2 3 5 3 2" xfId="14699" xr:uid="{6EF7A9B4-4AD6-4010-A4E7-A075A315907A}"/>
    <cellStyle name="40% - Accent6 2 3 5 4" xfId="10481" xr:uid="{E1F21A20-6732-4FCC-8F44-30EDA97D119C}"/>
    <cellStyle name="40% - Accent6 2 3 6" xfId="2356" xr:uid="{00000000-0005-0000-0000-00001C070000}"/>
    <cellStyle name="40% - Accent6 2 3 6 2" xfId="6662" xr:uid="{00000000-0005-0000-0000-00001D070000}"/>
    <cellStyle name="40% - Accent6 2 3 6 2 2" xfId="15112" xr:uid="{7F78043D-6B9B-41CD-8499-A349C20E5241}"/>
    <cellStyle name="40% - Accent6 2 3 6 3" xfId="10894" xr:uid="{CEAE8EA4-B89B-4F21-B66A-0CA02D503C6B}"/>
    <cellStyle name="40% - Accent6 2 3 7" xfId="4596" xr:uid="{00000000-0005-0000-0000-00001E070000}"/>
    <cellStyle name="40% - Accent6 2 3 7 2" xfId="13046" xr:uid="{C2DC4C9C-AA74-46CF-AD9A-3DB793B5700E}"/>
    <cellStyle name="40% - Accent6 2 3 8" xfId="8828" xr:uid="{CCF9B95B-200B-484E-840F-84376F9063BE}"/>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37FAD69B-D974-405F-A4BA-C76625A1E8D1}"/>
    <cellStyle name="40% - Accent6 2 4 2 3" xfId="11384" xr:uid="{91088EBD-E861-4801-8FEF-F0D3C90CE88D}"/>
    <cellStyle name="40% - Accent6 2 4 3" xfId="5007" xr:uid="{00000000-0005-0000-0000-000022070000}"/>
    <cellStyle name="40% - Accent6 2 4 3 2" xfId="13457" xr:uid="{40710B86-9BAC-4E75-BA39-A5251D45CC1C}"/>
    <cellStyle name="40% - Accent6 2 4 4" xfId="9239" xr:uid="{7BBAD0D9-3F0D-4EB2-8B71-07E84EF99445}"/>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0C638586-5404-492A-98C7-FD52684AD967}"/>
    <cellStyle name="40% - Accent6 2 5 2 3" xfId="11797" xr:uid="{17E62C52-978E-4837-90B0-146636B74277}"/>
    <cellStyle name="40% - Accent6 2 5 3" xfId="5420" xr:uid="{00000000-0005-0000-0000-000026070000}"/>
    <cellStyle name="40% - Accent6 2 5 3 2" xfId="13870" xr:uid="{5864353F-46D1-4BB5-9718-14A1A759AF15}"/>
    <cellStyle name="40% - Accent6 2 5 4" xfId="9652" xr:uid="{DA582AC3-4494-4157-9333-93BD4DD0819E}"/>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969AB584-BAFF-4253-A1DD-DDCB27369306}"/>
    <cellStyle name="40% - Accent6 2 6 2 3" xfId="12210" xr:uid="{03DB6C9D-1493-4910-9195-E35478C1A5A9}"/>
    <cellStyle name="40% - Accent6 2 6 3" xfId="5833" xr:uid="{00000000-0005-0000-0000-00002A070000}"/>
    <cellStyle name="40% - Accent6 2 6 3 2" xfId="14283" xr:uid="{36BD43A1-ED32-4E27-99C0-F28DFEEFBB78}"/>
    <cellStyle name="40% - Accent6 2 6 4" xfId="10065" xr:uid="{17938989-F894-4DC3-9EFF-EC09A73F1D8D}"/>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F69CAB3E-DE5C-4FA3-85B5-7F1DC38A1B32}"/>
    <cellStyle name="40% - Accent6 2 7 2 3" xfId="12623" xr:uid="{2D1F84FE-25DD-4158-8C5C-8AA91D6DA4A7}"/>
    <cellStyle name="40% - Accent6 2 7 3" xfId="6246" xr:uid="{00000000-0005-0000-0000-00002E070000}"/>
    <cellStyle name="40% - Accent6 2 7 3 2" xfId="14696" xr:uid="{F714C3DD-2BFE-42A8-963E-62596C47A5E7}"/>
    <cellStyle name="40% - Accent6 2 7 4" xfId="10478" xr:uid="{555C3356-05CD-41A3-9C43-A4664A5C1AE3}"/>
    <cellStyle name="40% - Accent6 2 8" xfId="2353" xr:uid="{00000000-0005-0000-0000-00002F070000}"/>
    <cellStyle name="40% - Accent6 2 8 2" xfId="6659" xr:uid="{00000000-0005-0000-0000-000030070000}"/>
    <cellStyle name="40% - Accent6 2 8 2 2" xfId="15109" xr:uid="{2E812554-7CC3-4267-BA5A-F0A6A57B3524}"/>
    <cellStyle name="40% - Accent6 2 8 3" xfId="10891" xr:uid="{5A57BAB9-97C9-4286-ACB1-F790F831DB89}"/>
    <cellStyle name="40% - Accent6 2 9" xfId="4593" xr:uid="{00000000-0005-0000-0000-000031070000}"/>
    <cellStyle name="40% - Accent6 2 9 2" xfId="13043" xr:uid="{878D017F-249D-4938-BE91-BA451AE1DBB3}"/>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A69039D9-6F45-4FBB-B4F3-BE620CB4875D}"/>
    <cellStyle name="40% - Accent6 3 2 2 2 3" xfId="11389" xr:uid="{A17EBB6F-E3A4-415D-951A-69330E68D0BC}"/>
    <cellStyle name="40% - Accent6 3 2 2 3" xfId="5012" xr:uid="{00000000-0005-0000-0000-000037070000}"/>
    <cellStyle name="40% - Accent6 3 2 2 3 2" xfId="13462" xr:uid="{59B2B6D4-69B1-475D-ADE8-C758BEB7806E}"/>
    <cellStyle name="40% - Accent6 3 2 2 4" xfId="9244" xr:uid="{5E892AF8-B571-4D13-86C5-4347DF0A6FE5}"/>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BA5671B7-D701-444C-9C5E-E6B55373BE86}"/>
    <cellStyle name="40% - Accent6 3 2 3 2 3" xfId="11802" xr:uid="{41DE1946-07C2-4839-8101-26092586EBB0}"/>
    <cellStyle name="40% - Accent6 3 2 3 3" xfId="5425" xr:uid="{00000000-0005-0000-0000-00003B070000}"/>
    <cellStyle name="40% - Accent6 3 2 3 3 2" xfId="13875" xr:uid="{6A52DCAA-3FFE-46A5-8616-3A9E5A220DFC}"/>
    <cellStyle name="40% - Accent6 3 2 3 4" xfId="9657" xr:uid="{6711DACE-C482-444D-82DF-EC75540C29FE}"/>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75A5BAEF-CB79-4C14-A7D1-BB4D3C6AD4CF}"/>
    <cellStyle name="40% - Accent6 3 2 4 2 3" xfId="12215" xr:uid="{1C5E17B8-29D2-4686-B502-944484DE310A}"/>
    <cellStyle name="40% - Accent6 3 2 4 3" xfId="5838" xr:uid="{00000000-0005-0000-0000-00003F070000}"/>
    <cellStyle name="40% - Accent6 3 2 4 3 2" xfId="14288" xr:uid="{28F549D5-B212-44A9-99AE-B1558F94547B}"/>
    <cellStyle name="40% - Accent6 3 2 4 4" xfId="10070" xr:uid="{9C7EC26F-835D-4CC2-8703-1461230BE9F7}"/>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1889B36C-4B05-4178-81C8-19B37E4FBE76}"/>
    <cellStyle name="40% - Accent6 3 2 5 2 3" xfId="12628" xr:uid="{43604AAB-3111-4B68-AD98-6CC8BE6C78BC}"/>
    <cellStyle name="40% - Accent6 3 2 5 3" xfId="6251" xr:uid="{00000000-0005-0000-0000-000043070000}"/>
    <cellStyle name="40% - Accent6 3 2 5 3 2" xfId="14701" xr:uid="{0427F951-B39B-46A6-BE43-483D0A9B3918}"/>
    <cellStyle name="40% - Accent6 3 2 5 4" xfId="10483" xr:uid="{44FCA714-B28F-4754-BFD8-E7537DE5E965}"/>
    <cellStyle name="40% - Accent6 3 2 6" xfId="2358" xr:uid="{00000000-0005-0000-0000-000044070000}"/>
    <cellStyle name="40% - Accent6 3 2 6 2" xfId="6664" xr:uid="{00000000-0005-0000-0000-000045070000}"/>
    <cellStyle name="40% - Accent6 3 2 6 2 2" xfId="15114" xr:uid="{978E5B08-7B17-4D9D-8B1A-E1778F4CE1B7}"/>
    <cellStyle name="40% - Accent6 3 2 6 3" xfId="10896" xr:uid="{1AC53C10-1B19-4DF3-8D43-BD901B23B113}"/>
    <cellStyle name="40% - Accent6 3 2 7" xfId="4598" xr:uid="{00000000-0005-0000-0000-000046070000}"/>
    <cellStyle name="40% - Accent6 3 2 7 2" xfId="13048" xr:uid="{BA4957AD-4D0D-4A45-B643-A26E5248F099}"/>
    <cellStyle name="40% - Accent6 3 2 8" xfId="8830" xr:uid="{B202F23B-366D-4F1B-A9BE-69E102C6722E}"/>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1FE7F57C-FE33-43FE-96D5-EF04DC26B1DD}"/>
    <cellStyle name="40% - Accent6 3 3 2 3" xfId="11388" xr:uid="{A98F5154-BCB7-4572-B236-EBA2D39AB3F6}"/>
    <cellStyle name="40% - Accent6 3 3 3" xfId="5011" xr:uid="{00000000-0005-0000-0000-00004A070000}"/>
    <cellStyle name="40% - Accent6 3 3 3 2" xfId="13461" xr:uid="{DB32ECA5-E7CA-4B96-B224-C4DC66805DE7}"/>
    <cellStyle name="40% - Accent6 3 3 4" xfId="9243" xr:uid="{B84C506F-48D9-493F-820F-DB67773E790E}"/>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057F5F09-D805-4010-BFE3-603DBBBFEFDA}"/>
    <cellStyle name="40% - Accent6 3 4 2 3" xfId="11801" xr:uid="{7C256241-5372-47F9-BC67-5A5F2A0B1CCA}"/>
    <cellStyle name="40% - Accent6 3 4 3" xfId="5424" xr:uid="{00000000-0005-0000-0000-00004E070000}"/>
    <cellStyle name="40% - Accent6 3 4 3 2" xfId="13874" xr:uid="{D735A9FD-1FF5-42DE-AA61-2683134616E5}"/>
    <cellStyle name="40% - Accent6 3 4 4" xfId="9656" xr:uid="{84ADE8A4-367F-4119-AD5E-62702DD561C7}"/>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959B0A90-3063-471E-AF82-6884000C5B10}"/>
    <cellStyle name="40% - Accent6 3 5 2 3" xfId="12214" xr:uid="{4A36EE44-F84C-48B8-BE70-E2B73411B3F3}"/>
    <cellStyle name="40% - Accent6 3 5 3" xfId="5837" xr:uid="{00000000-0005-0000-0000-000052070000}"/>
    <cellStyle name="40% - Accent6 3 5 3 2" xfId="14287" xr:uid="{4F5A8700-559A-4984-BCD0-54AE00F14637}"/>
    <cellStyle name="40% - Accent6 3 5 4" xfId="10069" xr:uid="{46A55958-8E64-42A1-8BFA-9A6380903648}"/>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3EA4AF40-5BC7-481D-839D-961A14F9CF0F}"/>
    <cellStyle name="40% - Accent6 3 6 2 3" xfId="12627" xr:uid="{7C52F836-414C-4D24-BFEA-5DEC5AEC05C7}"/>
    <cellStyle name="40% - Accent6 3 6 3" xfId="6250" xr:uid="{00000000-0005-0000-0000-000056070000}"/>
    <cellStyle name="40% - Accent6 3 6 3 2" xfId="14700" xr:uid="{65ACD8CE-7E13-44A1-B665-FB255E628EF4}"/>
    <cellStyle name="40% - Accent6 3 6 4" xfId="10482" xr:uid="{29FC98DF-5D8B-48EB-89E5-523C2D6EEB12}"/>
    <cellStyle name="40% - Accent6 3 7" xfId="2357" xr:uid="{00000000-0005-0000-0000-000057070000}"/>
    <cellStyle name="40% - Accent6 3 7 2" xfId="6663" xr:uid="{00000000-0005-0000-0000-000058070000}"/>
    <cellStyle name="40% - Accent6 3 7 2 2" xfId="15113" xr:uid="{B23D6B25-A82D-4A94-B735-0AEA11A121A2}"/>
    <cellStyle name="40% - Accent6 3 7 3" xfId="10895" xr:uid="{92319625-F9DB-49EF-BBBA-FF52D9097D4B}"/>
    <cellStyle name="40% - Accent6 3 8" xfId="4597" xr:uid="{00000000-0005-0000-0000-000059070000}"/>
    <cellStyle name="40% - Accent6 3 8 2" xfId="13047" xr:uid="{6E1186D4-48EC-4637-AAF6-4168A5C6F8E8}"/>
    <cellStyle name="40% - Accent6 3 9" xfId="8829" xr:uid="{A10DF975-5D16-4BD9-ACA7-8ECC0F51EBCE}"/>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16BF88FB-C9E7-46EB-9B83-38BC2B48D262}"/>
    <cellStyle name="40% - Accent6 4 2 2 3" xfId="11390" xr:uid="{0F47074B-87A6-453B-96EB-D28034A4CC55}"/>
    <cellStyle name="40% - Accent6 4 2 3" xfId="5013" xr:uid="{00000000-0005-0000-0000-00005E070000}"/>
    <cellStyle name="40% - Accent6 4 2 3 2" xfId="13463" xr:uid="{EBBD8303-376D-4207-AEA4-EF4B1849594F}"/>
    <cellStyle name="40% - Accent6 4 2 4" xfId="9245" xr:uid="{A025C215-3B41-422B-BAD6-06C7CAD1C9F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23794810-84C8-4B21-93A3-779A1C096C11}"/>
    <cellStyle name="40% - Accent6 4 3 2 3" xfId="11803" xr:uid="{8673D234-0758-43B4-B7A2-6C830389EA24}"/>
    <cellStyle name="40% - Accent6 4 3 3" xfId="5426" xr:uid="{00000000-0005-0000-0000-000062070000}"/>
    <cellStyle name="40% - Accent6 4 3 3 2" xfId="13876" xr:uid="{5DDD651C-9150-4BC5-B015-0F0B14A2E7F2}"/>
    <cellStyle name="40% - Accent6 4 3 4" xfId="9658" xr:uid="{8B032F44-36C3-469E-B0AE-024CA33866DB}"/>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BA9EE4F0-CEA3-4F9C-8804-42E3D67211BA}"/>
    <cellStyle name="40% - Accent6 4 4 2 3" xfId="12216" xr:uid="{723A3F9F-E626-4854-9F27-2F831AF92D44}"/>
    <cellStyle name="40% - Accent6 4 4 3" xfId="5839" xr:uid="{00000000-0005-0000-0000-000066070000}"/>
    <cellStyle name="40% - Accent6 4 4 3 2" xfId="14289" xr:uid="{FB2C7A6B-39A8-4DE5-9A66-3A595FAC9524}"/>
    <cellStyle name="40% - Accent6 4 4 4" xfId="10071" xr:uid="{F36EDB63-BAB7-4386-9469-21D79EE449B7}"/>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6FDB9D59-4724-4846-97F6-7BF29DB832CD}"/>
    <cellStyle name="40% - Accent6 4 5 2 3" xfId="12629" xr:uid="{421F0129-F097-4758-AE5E-E8CBEFB8996C}"/>
    <cellStyle name="40% - Accent6 4 5 3" xfId="6252" xr:uid="{00000000-0005-0000-0000-00006A070000}"/>
    <cellStyle name="40% - Accent6 4 5 3 2" xfId="14702" xr:uid="{5DFA08C4-20B1-4610-AA45-E14A5218DB9E}"/>
    <cellStyle name="40% - Accent6 4 5 4" xfId="10484" xr:uid="{1AF867CE-222C-4093-A357-892E29F32235}"/>
    <cellStyle name="40% - Accent6 4 6" xfId="2359" xr:uid="{00000000-0005-0000-0000-00006B070000}"/>
    <cellStyle name="40% - Accent6 4 6 2" xfId="6665" xr:uid="{00000000-0005-0000-0000-00006C070000}"/>
    <cellStyle name="40% - Accent6 4 6 2 2" xfId="15115" xr:uid="{3386ED41-041C-45F3-B5AE-673602BBD616}"/>
    <cellStyle name="40% - Accent6 4 6 3" xfId="10897" xr:uid="{A34ED811-DB18-41C0-A6BA-BAE3D2F8F2DA}"/>
    <cellStyle name="40% - Accent6 4 7" xfId="4599" xr:uid="{00000000-0005-0000-0000-00006D070000}"/>
    <cellStyle name="40% - Accent6 4 7 2" xfId="13049" xr:uid="{B3BA8589-0260-4833-B2C2-F1EF8CAA6EFD}"/>
    <cellStyle name="40% - Accent6 4 8" xfId="8831" xr:uid="{44288083-4E01-49E1-80EB-6A0436CBDF5B}"/>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9AAFE65B-A84F-4A7D-A06D-E9696776C73A}"/>
    <cellStyle name="40% - Accent6 5 2 3" xfId="11383" xr:uid="{FC35536F-46F3-4072-A6BF-A3464A70EA15}"/>
    <cellStyle name="40% - Accent6 5 3" xfId="5006" xr:uid="{00000000-0005-0000-0000-000071070000}"/>
    <cellStyle name="40% - Accent6 5 3 2" xfId="13456" xr:uid="{701CD7A0-8ACA-4F3C-B250-4CCD82196035}"/>
    <cellStyle name="40% - Accent6 5 4" xfId="9238" xr:uid="{2D946897-1091-4015-ABD7-2DDEE7116EE0}"/>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ED6EAF60-0147-46EB-B39C-931D91B0B8BD}"/>
    <cellStyle name="40% - Accent6 6 2 3" xfId="11796" xr:uid="{225BFD92-D0F5-4111-8210-22122C0E2E6B}"/>
    <cellStyle name="40% - Accent6 6 3" xfId="5419" xr:uid="{00000000-0005-0000-0000-000075070000}"/>
    <cellStyle name="40% - Accent6 6 3 2" xfId="13869" xr:uid="{51547FE4-171A-4C57-9DDE-500C0200F76C}"/>
    <cellStyle name="40% - Accent6 6 4" xfId="9651" xr:uid="{A79C0641-55CE-4899-8B6B-F18B443F9BE2}"/>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0B1C3503-68B0-4049-B4DC-51DA52C72790}"/>
    <cellStyle name="40% - Accent6 7 2 3" xfId="12209" xr:uid="{883FDD55-422C-4C44-88D2-315CF257DFE9}"/>
    <cellStyle name="40% - Accent6 7 3" xfId="5832" xr:uid="{00000000-0005-0000-0000-000079070000}"/>
    <cellStyle name="40% - Accent6 7 3 2" xfId="14282" xr:uid="{4A4D4465-EFF4-4BFD-991E-F0FC57669942}"/>
    <cellStyle name="40% - Accent6 7 4" xfId="10064" xr:uid="{DE64E89E-E01F-410E-B7E8-DBA48ACC1F20}"/>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F226B2E2-24EE-4B8C-B1AA-8F8B230EBF7D}"/>
    <cellStyle name="40% - Accent6 8 2 3" xfId="12622" xr:uid="{16F87299-42CF-4850-8DC2-AADC0701D77C}"/>
    <cellStyle name="40% - Accent6 8 3" xfId="6245" xr:uid="{00000000-0005-0000-0000-00007D070000}"/>
    <cellStyle name="40% - Accent6 8 3 2" xfId="14695" xr:uid="{30B4693C-6681-423E-9B81-F27416526C16}"/>
    <cellStyle name="40% - Accent6 8 4" xfId="10477" xr:uid="{6CDFD886-E0CC-4E61-914D-1C01656ACAD4}"/>
    <cellStyle name="40% - Accent6 9" xfId="2352" xr:uid="{00000000-0005-0000-0000-00007E070000}"/>
    <cellStyle name="40% - Accent6 9 2" xfId="6658" xr:uid="{00000000-0005-0000-0000-00007F070000}"/>
    <cellStyle name="40% - Accent6 9 2 2" xfId="15108" xr:uid="{72FB6447-DAB3-4CCB-8432-4AF2DFAFC330}"/>
    <cellStyle name="40% - Accent6 9 3" xfId="10890" xr:uid="{080BDA87-36A3-4F74-A097-958E91019099}"/>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DF0A20DB-3580-4E68-B001-B607A1CE8D1C}"/>
    <cellStyle name="Comma 4 2 2 2 10 3" xfId="11215" xr:uid="{D29D4C1D-A8BD-4B7D-A3CA-248BC39E096B}"/>
    <cellStyle name="Comma 4 2 2 2 11" xfId="4600" xr:uid="{00000000-0005-0000-0000-0000A3070000}"/>
    <cellStyle name="Comma 4 2 2 2 11 2" xfId="13050" xr:uid="{01EB0D8A-44F1-4E54-A8E7-AC564041D168}"/>
    <cellStyle name="Comma 4 2 2 2 12" xfId="8832" xr:uid="{180045A5-118F-4190-A67E-B6D7613ADB08}"/>
    <cellStyle name="Comma 4 2 2 2 2" xfId="129" xr:uid="{00000000-0005-0000-0000-0000A4070000}"/>
    <cellStyle name="Comma 4 2 2 2 2 10" xfId="4601" xr:uid="{00000000-0005-0000-0000-0000A5070000}"/>
    <cellStyle name="Comma 4 2 2 2 2 10 2" xfId="13051" xr:uid="{FF76646E-DFED-4087-9F8B-3D1C9BAFFF43}"/>
    <cellStyle name="Comma 4 2 2 2 2 11" xfId="8833" xr:uid="{CFE33CDB-D88E-4A47-8F94-67E3192C6DA1}"/>
    <cellStyle name="Comma 4 2 2 2 2 2" xfId="130" xr:uid="{00000000-0005-0000-0000-0000A6070000}"/>
    <cellStyle name="Comma 4 2 2 2 2 2 10" xfId="8834" xr:uid="{419FCAAC-CF0C-44B0-A750-E99477370EB2}"/>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AC4181A9-B0DB-4889-BD1B-CF6169AEE47C}"/>
    <cellStyle name="Comma 4 2 2 2 2 2 2 2 3" xfId="11393" xr:uid="{D2AB5E4E-CFF7-421D-8BCE-36A26366E989}"/>
    <cellStyle name="Comma 4 2 2 2 2 2 2 3" xfId="5016" xr:uid="{00000000-0005-0000-0000-0000AA070000}"/>
    <cellStyle name="Comma 4 2 2 2 2 2 2 3 2" xfId="13466" xr:uid="{259D61E4-5210-4443-B317-68F9A0326A67}"/>
    <cellStyle name="Comma 4 2 2 2 2 2 2 4" xfId="9248" xr:uid="{8D4162B6-1000-48FC-BC00-531765D6BFE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62AE0777-B744-4341-91EB-ECCAA4487149}"/>
    <cellStyle name="Comma 4 2 2 2 2 2 3 2 3" xfId="11806" xr:uid="{D49D8C07-ED7B-44A9-BE1C-98A6B28FB990}"/>
    <cellStyle name="Comma 4 2 2 2 2 2 3 3" xfId="5429" xr:uid="{00000000-0005-0000-0000-0000AE070000}"/>
    <cellStyle name="Comma 4 2 2 2 2 2 3 3 2" xfId="13879" xr:uid="{A230E9AF-789B-444E-A8FE-3AA83DAFAF2F}"/>
    <cellStyle name="Comma 4 2 2 2 2 2 3 4" xfId="9661" xr:uid="{5F3C1F5E-5ABF-467F-A49B-226C3FB7D88E}"/>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481DD505-11D9-4A51-A5D1-448F663E2F75}"/>
    <cellStyle name="Comma 4 2 2 2 2 2 4 2 3" xfId="12219" xr:uid="{8B33B259-1A83-4022-B4C0-B276151183E3}"/>
    <cellStyle name="Comma 4 2 2 2 2 2 4 3" xfId="5842" xr:uid="{00000000-0005-0000-0000-0000B2070000}"/>
    <cellStyle name="Comma 4 2 2 2 2 2 4 3 2" xfId="14292" xr:uid="{A96509EF-5358-4A3D-A833-69BB7EC22D12}"/>
    <cellStyle name="Comma 4 2 2 2 2 2 4 4" xfId="10074" xr:uid="{12A4E93E-EA2D-4139-AA10-5D8EC09D518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B35743CC-89E8-4181-88AB-BDC74BE641DC}"/>
    <cellStyle name="Comma 4 2 2 2 2 2 5 2 3" xfId="12632" xr:uid="{7D8F893B-0B2C-4150-965C-6909BC3C3A79}"/>
    <cellStyle name="Comma 4 2 2 2 2 2 5 3" xfId="6255" xr:uid="{00000000-0005-0000-0000-0000B6070000}"/>
    <cellStyle name="Comma 4 2 2 2 2 2 5 3 2" xfId="14705" xr:uid="{AEA2EAD5-2354-4741-ABE1-6F6C7357674E}"/>
    <cellStyle name="Comma 4 2 2 2 2 2 5 4" xfId="10487" xr:uid="{3CA7662B-9EF6-42E9-A27F-24959AB618CC}"/>
    <cellStyle name="Comma 4 2 2 2 2 2 6" xfId="2384" xr:uid="{00000000-0005-0000-0000-0000B7070000}"/>
    <cellStyle name="Comma 4 2 2 2 2 2 6 2" xfId="6668" xr:uid="{00000000-0005-0000-0000-0000B8070000}"/>
    <cellStyle name="Comma 4 2 2 2 2 2 6 2 2" xfId="15118" xr:uid="{B42270C1-1DB6-43B5-B73B-67C9E38DFF09}"/>
    <cellStyle name="Comma 4 2 2 2 2 2 6 3" xfId="10900" xr:uid="{2ED97AE0-0D65-4A9F-B572-AF1B442EFC9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C20FA9B9-06C4-47AE-88E9-836AD3699851}"/>
    <cellStyle name="Comma 4 2 2 2 2 2 8 3" xfId="11217" xr:uid="{4C0BEED5-9420-49B7-90CE-B7D3BDB40922}"/>
    <cellStyle name="Comma 4 2 2 2 2 2 9" xfId="4602" xr:uid="{00000000-0005-0000-0000-0000BC070000}"/>
    <cellStyle name="Comma 4 2 2 2 2 2 9 2" xfId="13052" xr:uid="{3BB74BF8-E19A-4062-90D3-CCBAD56824CF}"/>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664CF183-3CF5-4064-B89E-C08B4DD8AEA5}"/>
    <cellStyle name="Comma 4 2 2 2 2 3 2 3" xfId="11392" xr:uid="{8F44F7EC-13DF-43B4-8D41-C898AFD2B5C2}"/>
    <cellStyle name="Comma 4 2 2 2 2 3 3" xfId="5015" xr:uid="{00000000-0005-0000-0000-0000C0070000}"/>
    <cellStyle name="Comma 4 2 2 2 2 3 3 2" xfId="13465" xr:uid="{DDB3BFAC-845E-402C-9D84-FF3B74A539AD}"/>
    <cellStyle name="Comma 4 2 2 2 2 3 4" xfId="9247" xr:uid="{A12D5514-A146-4A1F-A59A-4F27899F6E0B}"/>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7553869E-912A-4720-BE44-2CA8ACF9FCB0}"/>
    <cellStyle name="Comma 4 2 2 2 2 4 2 3" xfId="11805" xr:uid="{555D31B4-34F9-4D43-8806-AB8E72A6791B}"/>
    <cellStyle name="Comma 4 2 2 2 2 4 3" xfId="5428" xr:uid="{00000000-0005-0000-0000-0000C4070000}"/>
    <cellStyle name="Comma 4 2 2 2 2 4 3 2" xfId="13878" xr:uid="{CFBE9E57-4564-4CF4-BD27-86E7C658C19D}"/>
    <cellStyle name="Comma 4 2 2 2 2 4 4" xfId="9660" xr:uid="{32F8B72D-51F4-4577-BA09-06D2C8B6890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A6A59336-E7B9-4CB0-B64F-67F5EB448675}"/>
    <cellStyle name="Comma 4 2 2 2 2 5 2 3" xfId="12218" xr:uid="{DD0A8FF8-4F6A-43E5-B85B-536ADE4C28BD}"/>
    <cellStyle name="Comma 4 2 2 2 2 5 3" xfId="5841" xr:uid="{00000000-0005-0000-0000-0000C8070000}"/>
    <cellStyle name="Comma 4 2 2 2 2 5 3 2" xfId="14291" xr:uid="{616DA245-ED28-4E50-A25C-DB1029F593AD}"/>
    <cellStyle name="Comma 4 2 2 2 2 5 4" xfId="10073" xr:uid="{84985815-B29F-4B64-BBB1-E0869E8769DC}"/>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95837AFD-CFF4-43DB-8792-2D30DA7BB9A4}"/>
    <cellStyle name="Comma 4 2 2 2 2 6 2 3" xfId="12631" xr:uid="{6843EE0B-9F78-4AD0-98F1-D80FD0AB0C28}"/>
    <cellStyle name="Comma 4 2 2 2 2 6 3" xfId="6254" xr:uid="{00000000-0005-0000-0000-0000CC070000}"/>
    <cellStyle name="Comma 4 2 2 2 2 6 3 2" xfId="14704" xr:uid="{52BCD6AE-7BB2-4FE4-B4AA-EB6F7D267384}"/>
    <cellStyle name="Comma 4 2 2 2 2 6 4" xfId="10486" xr:uid="{91F6047E-7B19-43E9-803E-6A79962050C7}"/>
    <cellStyle name="Comma 4 2 2 2 2 7" xfId="2383" xr:uid="{00000000-0005-0000-0000-0000CD070000}"/>
    <cellStyle name="Comma 4 2 2 2 2 7 2" xfId="6667" xr:uid="{00000000-0005-0000-0000-0000CE070000}"/>
    <cellStyle name="Comma 4 2 2 2 2 7 2 2" xfId="15117" xr:uid="{5D0A314A-0DEB-41A2-8D11-965789062D3E}"/>
    <cellStyle name="Comma 4 2 2 2 2 7 3" xfId="10899" xr:uid="{58A1B9A6-1ECB-41B5-8F9A-AE9D164BA19B}"/>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05549B7B-81A4-41C3-BE84-ADE4EF40C26B}"/>
    <cellStyle name="Comma 4 2 2 2 2 9 3" xfId="11216" xr:uid="{F477940B-2218-4F3C-A4F4-B15C5FD6A8A7}"/>
    <cellStyle name="Comma 4 2 2 2 3" xfId="131" xr:uid="{00000000-0005-0000-0000-0000D2070000}"/>
    <cellStyle name="Comma 4 2 2 2 3 10" xfId="8835" xr:uid="{289404F7-1E26-438B-B1D4-EE3FDB06D8A8}"/>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122C9733-BC52-4A73-AC79-310BC7DD9758}"/>
    <cellStyle name="Comma 4 2 2 2 3 2 2 3" xfId="11394" xr:uid="{CAD7120A-37A5-4E8B-BDF0-6730320E62F6}"/>
    <cellStyle name="Comma 4 2 2 2 3 2 3" xfId="5017" xr:uid="{00000000-0005-0000-0000-0000D6070000}"/>
    <cellStyle name="Comma 4 2 2 2 3 2 3 2" xfId="13467" xr:uid="{978AEB5F-F174-41D5-A133-48E79B9C6590}"/>
    <cellStyle name="Comma 4 2 2 2 3 2 4" xfId="9249" xr:uid="{B07A7877-B7EB-4943-8224-4B1560AD329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7189F678-C102-46CA-8261-5BD213152030}"/>
    <cellStyle name="Comma 4 2 2 2 3 3 2 3" xfId="11807" xr:uid="{A3B83709-663E-4B9C-87A3-1BCC9D8B55E4}"/>
    <cellStyle name="Comma 4 2 2 2 3 3 3" xfId="5430" xr:uid="{00000000-0005-0000-0000-0000DA070000}"/>
    <cellStyle name="Comma 4 2 2 2 3 3 3 2" xfId="13880" xr:uid="{5D55EF2F-5EC7-494C-B9C9-322AEEFB186F}"/>
    <cellStyle name="Comma 4 2 2 2 3 3 4" xfId="9662" xr:uid="{2DE353C9-4872-4B44-B3F6-2C41A6A1A676}"/>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3666762C-C7F2-447B-8762-F0866C0399E7}"/>
    <cellStyle name="Comma 4 2 2 2 3 4 2 3" xfId="12220" xr:uid="{D3EF98F5-78A9-4265-AFAA-9AAEBFA11B59}"/>
    <cellStyle name="Comma 4 2 2 2 3 4 3" xfId="5843" xr:uid="{00000000-0005-0000-0000-0000DE070000}"/>
    <cellStyle name="Comma 4 2 2 2 3 4 3 2" xfId="14293" xr:uid="{8DA77B7A-4DC0-49F6-AAE3-DAD50072DB4D}"/>
    <cellStyle name="Comma 4 2 2 2 3 4 4" xfId="10075" xr:uid="{A1746DBB-3E5E-41E8-BDE5-E8D6571B7829}"/>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D9DC1A2D-098A-42C2-879D-87082268075E}"/>
    <cellStyle name="Comma 4 2 2 2 3 5 2 3" xfId="12633" xr:uid="{7E0E809B-E7FF-4738-A167-4302478A890C}"/>
    <cellStyle name="Comma 4 2 2 2 3 5 3" xfId="6256" xr:uid="{00000000-0005-0000-0000-0000E2070000}"/>
    <cellStyle name="Comma 4 2 2 2 3 5 3 2" xfId="14706" xr:uid="{C261EAB5-351F-47B3-AE02-37816BB3DD05}"/>
    <cellStyle name="Comma 4 2 2 2 3 5 4" xfId="10488" xr:uid="{AD446FB9-9333-4577-9D62-C164EBD0A17D}"/>
    <cellStyle name="Comma 4 2 2 2 3 6" xfId="2385" xr:uid="{00000000-0005-0000-0000-0000E3070000}"/>
    <cellStyle name="Comma 4 2 2 2 3 6 2" xfId="6669" xr:uid="{00000000-0005-0000-0000-0000E4070000}"/>
    <cellStyle name="Comma 4 2 2 2 3 6 2 2" xfId="15119" xr:uid="{2282CD40-CD57-4EEE-95F8-422DC281850B}"/>
    <cellStyle name="Comma 4 2 2 2 3 6 3" xfId="10901" xr:uid="{BBD4D431-EDDB-4B90-A88E-5790239B8D54}"/>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BE382591-8067-4F01-AF70-36D4E0C6FDF7}"/>
    <cellStyle name="Comma 4 2 2 2 3 8 3" xfId="11218" xr:uid="{7C049710-8D12-4C7E-8475-ABD6F32E247E}"/>
    <cellStyle name="Comma 4 2 2 2 3 9" xfId="4603" xr:uid="{00000000-0005-0000-0000-0000E8070000}"/>
    <cellStyle name="Comma 4 2 2 2 3 9 2" xfId="13053" xr:uid="{9A409886-98F4-48CC-96F7-B1E1A16AD043}"/>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C77778D2-1F38-4246-9A83-EE88655185B6}"/>
    <cellStyle name="Comma 4 2 2 2 4 2 3" xfId="11391" xr:uid="{37AC40B1-7088-4679-A25A-BFCAEC9CC432}"/>
    <cellStyle name="Comma 4 2 2 2 4 3" xfId="5014" xr:uid="{00000000-0005-0000-0000-0000EC070000}"/>
    <cellStyle name="Comma 4 2 2 2 4 3 2" xfId="13464" xr:uid="{67C74858-EB44-42B8-B0C5-E018C5A174ED}"/>
    <cellStyle name="Comma 4 2 2 2 4 4" xfId="9246" xr:uid="{F2C771E9-18D7-4484-88E0-6C24F2A4CF79}"/>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7F88C349-22CD-45A6-957C-2AD024CB59D4}"/>
    <cellStyle name="Comma 4 2 2 2 5 2 3" xfId="11804" xr:uid="{779E7419-8288-4A74-BD7E-984592388BD7}"/>
    <cellStyle name="Comma 4 2 2 2 5 3" xfId="5427" xr:uid="{00000000-0005-0000-0000-0000F0070000}"/>
    <cellStyle name="Comma 4 2 2 2 5 3 2" xfId="13877" xr:uid="{C5CCDBBC-2FF1-4C67-92FD-868286C28E31}"/>
    <cellStyle name="Comma 4 2 2 2 5 4" xfId="9659" xr:uid="{DCE304FF-0513-40DA-8219-6E66680CB8AE}"/>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EB731B45-D8E1-4B54-BD14-B75187732F3B}"/>
    <cellStyle name="Comma 4 2 2 2 6 2 3" xfId="12217" xr:uid="{A1CB9990-ED30-48CC-A41B-EA49D757ED02}"/>
    <cellStyle name="Comma 4 2 2 2 6 3" xfId="5840" xr:uid="{00000000-0005-0000-0000-0000F4070000}"/>
    <cellStyle name="Comma 4 2 2 2 6 3 2" xfId="14290" xr:uid="{9955550E-8855-4F2C-B551-BF8506B247CF}"/>
    <cellStyle name="Comma 4 2 2 2 6 4" xfId="10072" xr:uid="{C2A8B3FB-EF4C-494F-9A35-8873F21B1462}"/>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A940CADB-DE59-4928-95B3-ADF09E083BD7}"/>
    <cellStyle name="Comma 4 2 2 2 7 2 3" xfId="12630" xr:uid="{54306F18-0ADC-44DE-A437-1B438F1BFBD7}"/>
    <cellStyle name="Comma 4 2 2 2 7 3" xfId="6253" xr:uid="{00000000-0005-0000-0000-0000F8070000}"/>
    <cellStyle name="Comma 4 2 2 2 7 3 2" xfId="14703" xr:uid="{65B92806-0577-45BD-9706-784571E3DB19}"/>
    <cellStyle name="Comma 4 2 2 2 7 4" xfId="10485" xr:uid="{D4B9A410-74EC-4B64-9539-DA66FAABFE73}"/>
    <cellStyle name="Comma 4 2 2 2 8" xfId="2382" xr:uid="{00000000-0005-0000-0000-0000F9070000}"/>
    <cellStyle name="Comma 4 2 2 2 8 2" xfId="6666" xr:uid="{00000000-0005-0000-0000-0000FA070000}"/>
    <cellStyle name="Comma 4 2 2 2 8 2 2" xfId="15116" xr:uid="{00818FBD-E618-433B-89DC-2417EF813830}"/>
    <cellStyle name="Comma 4 2 2 2 8 3" xfId="10898" xr:uid="{D05E5A72-84B0-4EE8-BCC7-9757AC18CD35}"/>
    <cellStyle name="Comma 4 2 2 2 9" xfId="2381" xr:uid="{00000000-0005-0000-0000-0000FB070000}"/>
    <cellStyle name="Comma 4 2 2 3" xfId="132" xr:uid="{00000000-0005-0000-0000-0000FC070000}"/>
    <cellStyle name="Comma 4 2 2 3 10" xfId="4604" xr:uid="{00000000-0005-0000-0000-0000FD070000}"/>
    <cellStyle name="Comma 4 2 2 3 10 2" xfId="13054" xr:uid="{1006121C-007D-43F1-9A95-D58FD72BA48B}"/>
    <cellStyle name="Comma 4 2 2 3 11" xfId="8836" xr:uid="{D0734497-3DAE-4570-BC4B-694B6840B60C}"/>
    <cellStyle name="Comma 4 2 2 3 2" xfId="133" xr:uid="{00000000-0005-0000-0000-0000FE070000}"/>
    <cellStyle name="Comma 4 2 2 3 2 10" xfId="8837" xr:uid="{EB7E8981-197B-46B5-B695-386E7ED8826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21354D92-E197-42AC-A9AD-6141552BF38B}"/>
    <cellStyle name="Comma 4 2 2 3 2 2 2 3" xfId="11396" xr:uid="{E4857B81-F422-4579-B314-327371DA65CB}"/>
    <cellStyle name="Comma 4 2 2 3 2 2 3" xfId="5019" xr:uid="{00000000-0005-0000-0000-000002080000}"/>
    <cellStyle name="Comma 4 2 2 3 2 2 3 2" xfId="13469" xr:uid="{3EAC3E0A-4712-41A8-9F70-DE90561902AB}"/>
    <cellStyle name="Comma 4 2 2 3 2 2 4" xfId="9251" xr:uid="{15F1A367-DD8C-46D2-B108-C3374098A945}"/>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7ADEBD7B-25C8-485B-9F8C-2D125B61EC5F}"/>
    <cellStyle name="Comma 4 2 2 3 2 3 2 3" xfId="11809" xr:uid="{47A42CD2-A334-49D2-95EA-5A9A029DBBF5}"/>
    <cellStyle name="Comma 4 2 2 3 2 3 3" xfId="5432" xr:uid="{00000000-0005-0000-0000-000006080000}"/>
    <cellStyle name="Comma 4 2 2 3 2 3 3 2" xfId="13882" xr:uid="{CE0E2A07-D301-4E6D-93E1-360C5531AE17}"/>
    <cellStyle name="Comma 4 2 2 3 2 3 4" xfId="9664" xr:uid="{3320F3AF-1434-497B-BB1C-6C4C8F6323E7}"/>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7F76E911-32BA-4540-8D2E-AE845EDDE75E}"/>
    <cellStyle name="Comma 4 2 2 3 2 4 2 3" xfId="12222" xr:uid="{69B68596-3EE8-490D-8933-DFD5937EFAF9}"/>
    <cellStyle name="Comma 4 2 2 3 2 4 3" xfId="5845" xr:uid="{00000000-0005-0000-0000-00000A080000}"/>
    <cellStyle name="Comma 4 2 2 3 2 4 3 2" xfId="14295" xr:uid="{C660D715-45B1-4FAD-B0A0-71F954F2781E}"/>
    <cellStyle name="Comma 4 2 2 3 2 4 4" xfId="10077" xr:uid="{07678B9D-A8D3-43CF-8758-91B75AE0216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863BC084-F611-470A-A86E-7E802BDCE33B}"/>
    <cellStyle name="Comma 4 2 2 3 2 5 2 3" xfId="12635" xr:uid="{CB0ED961-438E-47E1-A94C-4F8E5A7ED8AD}"/>
    <cellStyle name="Comma 4 2 2 3 2 5 3" xfId="6258" xr:uid="{00000000-0005-0000-0000-00000E080000}"/>
    <cellStyle name="Comma 4 2 2 3 2 5 3 2" xfId="14708" xr:uid="{9356006F-D5DB-41D5-84FF-6EC86F6D8DCC}"/>
    <cellStyle name="Comma 4 2 2 3 2 5 4" xfId="10490" xr:uid="{A6F02E2B-8F71-4C3A-B803-0F4DB9A02A1C}"/>
    <cellStyle name="Comma 4 2 2 3 2 6" xfId="2387" xr:uid="{00000000-0005-0000-0000-00000F080000}"/>
    <cellStyle name="Comma 4 2 2 3 2 6 2" xfId="6671" xr:uid="{00000000-0005-0000-0000-000010080000}"/>
    <cellStyle name="Comma 4 2 2 3 2 6 2 2" xfId="15121" xr:uid="{8E0399B4-7062-414E-B68F-B6540E7BA03C}"/>
    <cellStyle name="Comma 4 2 2 3 2 6 3" xfId="10903" xr:uid="{D4ACAE4F-D4A9-449D-9378-FA5A2566EEEA}"/>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C573EFF1-FB71-4254-A3AE-A3352FB392A1}"/>
    <cellStyle name="Comma 4 2 2 3 2 8 3" xfId="11220" xr:uid="{F42FDF26-67B6-4A08-9282-BC6615B32848}"/>
    <cellStyle name="Comma 4 2 2 3 2 9" xfId="4605" xr:uid="{00000000-0005-0000-0000-000014080000}"/>
    <cellStyle name="Comma 4 2 2 3 2 9 2" xfId="13055" xr:uid="{EDD4F2AB-9310-40DD-B533-1B69C62596F4}"/>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1BFB171E-06B9-474F-8004-A1A5879290DE}"/>
    <cellStyle name="Comma 4 2 2 3 3 2 3" xfId="11395" xr:uid="{67312B75-1483-4D27-B9ED-8833D54B9A36}"/>
    <cellStyle name="Comma 4 2 2 3 3 3" xfId="5018" xr:uid="{00000000-0005-0000-0000-000018080000}"/>
    <cellStyle name="Comma 4 2 2 3 3 3 2" xfId="13468" xr:uid="{F15E814F-DF66-4670-8558-8068E1B56210}"/>
    <cellStyle name="Comma 4 2 2 3 3 4" xfId="9250" xr:uid="{B37CB5F3-3C9B-4496-8CC7-426AD698EBBF}"/>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E8E2750E-96BC-4C6A-890E-310C6B77AD63}"/>
    <cellStyle name="Comma 4 2 2 3 4 2 3" xfId="11808" xr:uid="{C3EF2C5A-9F50-4DD7-8606-0DB1A37B907B}"/>
    <cellStyle name="Comma 4 2 2 3 4 3" xfId="5431" xr:uid="{00000000-0005-0000-0000-00001C080000}"/>
    <cellStyle name="Comma 4 2 2 3 4 3 2" xfId="13881" xr:uid="{B89027CB-A002-46C1-8E66-C3357AC3A974}"/>
    <cellStyle name="Comma 4 2 2 3 4 4" xfId="9663" xr:uid="{9530A91A-245D-416B-9F06-DA6D2D66AD89}"/>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B5C155C7-225E-4E8D-BF7A-EBB2F1A715E4}"/>
    <cellStyle name="Comma 4 2 2 3 5 2 3" xfId="12221" xr:uid="{17B6C6AB-D422-4E6E-861E-4188B2B01D23}"/>
    <cellStyle name="Comma 4 2 2 3 5 3" xfId="5844" xr:uid="{00000000-0005-0000-0000-000020080000}"/>
    <cellStyle name="Comma 4 2 2 3 5 3 2" xfId="14294" xr:uid="{C09C98BA-3AEB-4B91-A793-948CF5D5C903}"/>
    <cellStyle name="Comma 4 2 2 3 5 4" xfId="10076" xr:uid="{09737B0A-7AB3-46DB-8C6B-B6F480E9C969}"/>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207DDC4E-F87F-4FB9-8F53-61EB435FF5E4}"/>
    <cellStyle name="Comma 4 2 2 3 6 2 3" xfId="12634" xr:uid="{14301E12-DCCE-475A-A5C3-9FD9EF0A075D}"/>
    <cellStyle name="Comma 4 2 2 3 6 3" xfId="6257" xr:uid="{00000000-0005-0000-0000-000024080000}"/>
    <cellStyle name="Comma 4 2 2 3 6 3 2" xfId="14707" xr:uid="{76A6FB43-1D16-44B8-B294-E8C73139B05C}"/>
    <cellStyle name="Comma 4 2 2 3 6 4" xfId="10489" xr:uid="{75FC2B4B-12CA-4ED4-869E-3BECE4722241}"/>
    <cellStyle name="Comma 4 2 2 3 7" xfId="2386" xr:uid="{00000000-0005-0000-0000-000025080000}"/>
    <cellStyle name="Comma 4 2 2 3 7 2" xfId="6670" xr:uid="{00000000-0005-0000-0000-000026080000}"/>
    <cellStyle name="Comma 4 2 2 3 7 2 2" xfId="15120" xr:uid="{C76FAFA8-5328-497D-B1EC-29EEF01F294F}"/>
    <cellStyle name="Comma 4 2 2 3 7 3" xfId="10902" xr:uid="{498B8EE4-416F-4CA7-97A4-84C1BC6A50C1}"/>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4FD19D51-A227-4FBF-A356-0D15567CB5B3}"/>
    <cellStyle name="Comma 4 2 2 3 9 3" xfId="11219" xr:uid="{D4415087-FB48-4522-9D51-12EEEBA22328}"/>
    <cellStyle name="Comma 4 2 2 4" xfId="134" xr:uid="{00000000-0005-0000-0000-00002A080000}"/>
    <cellStyle name="Comma 4 2 2 4 10" xfId="8838" xr:uid="{FC745843-E240-49F9-9C78-5945A487A5BC}"/>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88D494A8-C76A-4967-8721-F629B606BB55}"/>
    <cellStyle name="Comma 4 2 2 4 2 2 3" xfId="11397" xr:uid="{4D6602DF-ED5F-413F-BD64-BCFE5908A1CE}"/>
    <cellStyle name="Comma 4 2 2 4 2 3" xfId="5020" xr:uid="{00000000-0005-0000-0000-00002E080000}"/>
    <cellStyle name="Comma 4 2 2 4 2 3 2" xfId="13470" xr:uid="{81A363A5-4E39-42CE-B48C-C652DD3C71BA}"/>
    <cellStyle name="Comma 4 2 2 4 2 4" xfId="9252" xr:uid="{5BC602FF-1C12-4E1D-AE53-AE5CE4C58B98}"/>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190C4F9A-315D-4DFD-9CB0-BE635B9AE7B5}"/>
    <cellStyle name="Comma 4 2 2 4 3 2 3" xfId="11810" xr:uid="{0600AA1A-55ED-463F-A4FF-2A020F034298}"/>
    <cellStyle name="Comma 4 2 2 4 3 3" xfId="5433" xr:uid="{00000000-0005-0000-0000-000032080000}"/>
    <cellStyle name="Comma 4 2 2 4 3 3 2" xfId="13883" xr:uid="{CD2C2B2C-1BFA-42CD-B54E-90ED3A37932D}"/>
    <cellStyle name="Comma 4 2 2 4 3 4" xfId="9665" xr:uid="{04FD85C8-C943-4CD9-BCE8-8317CBB2932B}"/>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51B13D9C-A911-46D4-A103-F97A4D7D71E7}"/>
    <cellStyle name="Comma 4 2 2 4 4 2 3" xfId="12223" xr:uid="{309E3709-A171-4F9A-A889-5B828142348B}"/>
    <cellStyle name="Comma 4 2 2 4 4 3" xfId="5846" xr:uid="{00000000-0005-0000-0000-000036080000}"/>
    <cellStyle name="Comma 4 2 2 4 4 3 2" xfId="14296" xr:uid="{9681ADA8-E73E-4204-9ED7-35DE8ABBFB3C}"/>
    <cellStyle name="Comma 4 2 2 4 4 4" xfId="10078" xr:uid="{84AFD6A8-D796-4CA3-AC09-178EBAA7C36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733300F9-4EB5-4402-9DEA-2031B64091E7}"/>
    <cellStyle name="Comma 4 2 2 4 5 2 3" xfId="12636" xr:uid="{D8BCD3F2-AC05-43EB-932A-77C0CD4A576B}"/>
    <cellStyle name="Comma 4 2 2 4 5 3" xfId="6259" xr:uid="{00000000-0005-0000-0000-00003A080000}"/>
    <cellStyle name="Comma 4 2 2 4 5 3 2" xfId="14709" xr:uid="{B740761E-C3CF-4475-ADA2-E9C9C29F9EC0}"/>
    <cellStyle name="Comma 4 2 2 4 5 4" xfId="10491" xr:uid="{69685B51-AABC-4EEB-8FB0-600D33E0610E}"/>
    <cellStyle name="Comma 4 2 2 4 6" xfId="2388" xr:uid="{00000000-0005-0000-0000-00003B080000}"/>
    <cellStyle name="Comma 4 2 2 4 6 2" xfId="6672" xr:uid="{00000000-0005-0000-0000-00003C080000}"/>
    <cellStyle name="Comma 4 2 2 4 6 2 2" xfId="15122" xr:uid="{BDBCBF02-42AA-460B-AD27-9656E552BDCF}"/>
    <cellStyle name="Comma 4 2 2 4 6 3" xfId="10904" xr:uid="{370DE01F-188C-46E8-AE5B-592B8DAB6571}"/>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9456001D-B365-42ED-A85E-055D3CB2301E}"/>
    <cellStyle name="Comma 4 2 2 4 8 3" xfId="11221" xr:uid="{B2585D8D-7D92-446F-AFE9-76B1ABA5F5AC}"/>
    <cellStyle name="Comma 4 2 2 4 9" xfId="4606" xr:uid="{00000000-0005-0000-0000-000040080000}"/>
    <cellStyle name="Comma 4 2 2 4 9 2" xfId="13056" xr:uid="{9C7FBC5A-9823-4BB0-B317-6DC50D3F9B1D}"/>
    <cellStyle name="Comma 4 2 2 5" xfId="135" xr:uid="{00000000-0005-0000-0000-000041080000}"/>
    <cellStyle name="Comma 4 2 2 5 10" xfId="8839" xr:uid="{0DD89247-E15E-442D-8FE4-FC36ED17E17D}"/>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1858B065-111D-44AA-8A35-7F2F212FD9C7}"/>
    <cellStyle name="Comma 4 2 2 5 2 2 3" xfId="11398" xr:uid="{211E1256-CFBA-4676-969F-7DF56F90F7A3}"/>
    <cellStyle name="Comma 4 2 2 5 2 3" xfId="5021" xr:uid="{00000000-0005-0000-0000-000045080000}"/>
    <cellStyle name="Comma 4 2 2 5 2 3 2" xfId="13471" xr:uid="{97616DB3-26A7-4EFE-9423-5BC4EBB011FD}"/>
    <cellStyle name="Comma 4 2 2 5 2 4" xfId="9253" xr:uid="{1F21EE4D-1041-4F9A-AEC7-CD14F970EF1C}"/>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F99C3FAE-D602-4AF7-AFB3-E79DBF4F4FCE}"/>
    <cellStyle name="Comma 4 2 2 5 3 2 3" xfId="11811" xr:uid="{BD067C28-B3E3-4DC6-A7F4-9E876DAF8844}"/>
    <cellStyle name="Comma 4 2 2 5 3 3" xfId="5434" xr:uid="{00000000-0005-0000-0000-000049080000}"/>
    <cellStyle name="Comma 4 2 2 5 3 3 2" xfId="13884" xr:uid="{ABBF9871-5ED1-43C7-AD3E-79EEA791817B}"/>
    <cellStyle name="Comma 4 2 2 5 3 4" xfId="9666" xr:uid="{D06C16DB-6B10-4FAB-9C97-F4F9921BFB4E}"/>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2275EBD0-2605-4AE8-A565-2F18052BDBE0}"/>
    <cellStyle name="Comma 4 2 2 5 4 2 3" xfId="12224" xr:uid="{25B7EDC6-A9D1-4573-BD53-5C80AF8170D8}"/>
    <cellStyle name="Comma 4 2 2 5 4 3" xfId="5847" xr:uid="{00000000-0005-0000-0000-00004D080000}"/>
    <cellStyle name="Comma 4 2 2 5 4 3 2" xfId="14297" xr:uid="{EAF374CC-E10A-4F9E-8F89-0E055CBC4A7F}"/>
    <cellStyle name="Comma 4 2 2 5 4 4" xfId="10079" xr:uid="{F6D6D518-B8E5-4713-8294-FB5CE0B8CCFC}"/>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D4110F20-4D03-4AC3-943D-EA5682083A96}"/>
    <cellStyle name="Comma 4 2 2 5 5 2 3" xfId="12637" xr:uid="{23875578-07B4-4C70-8DE2-1B61EACC2E25}"/>
    <cellStyle name="Comma 4 2 2 5 5 3" xfId="6260" xr:uid="{00000000-0005-0000-0000-000051080000}"/>
    <cellStyle name="Comma 4 2 2 5 5 3 2" xfId="14710" xr:uid="{2ED55F85-2CC9-438C-8444-10991253CBB8}"/>
    <cellStyle name="Comma 4 2 2 5 5 4" xfId="10492" xr:uid="{0FBEAC3C-F488-45EE-8B5E-155DBC39F313}"/>
    <cellStyle name="Comma 4 2 2 5 6" xfId="2389" xr:uid="{00000000-0005-0000-0000-000052080000}"/>
    <cellStyle name="Comma 4 2 2 5 6 2" xfId="6673" xr:uid="{00000000-0005-0000-0000-000053080000}"/>
    <cellStyle name="Comma 4 2 2 5 6 2 2" xfId="15123" xr:uid="{5F3F25E9-6020-45B8-A7A7-41E7557FBD23}"/>
    <cellStyle name="Comma 4 2 2 5 6 3" xfId="10905" xr:uid="{0675D871-3F0E-43A4-911C-24F3F406E778}"/>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A4744DB5-54DD-44F1-80FA-4167AE5D3A32}"/>
    <cellStyle name="Comma 4 2 2 5 8 3" xfId="11222" xr:uid="{9ED350F4-521A-4A7D-8C43-CC4C8BD69B5A}"/>
    <cellStyle name="Comma 4 2 2 5 9" xfId="4607" xr:uid="{00000000-0005-0000-0000-000057080000}"/>
    <cellStyle name="Comma 4 2 2 5 9 2" xfId="13057" xr:uid="{E69496C1-928F-459E-9DAE-8650B4B36E9F}"/>
    <cellStyle name="Comma 4 2 3" xfId="136" xr:uid="{00000000-0005-0000-0000-000058080000}"/>
    <cellStyle name="Comma 4 2 3 10" xfId="2768" xr:uid="{00000000-0005-0000-0000-000059080000}"/>
    <cellStyle name="Comma 4 2 3 10 2" xfId="6991" xr:uid="{00000000-0005-0000-0000-00005A080000}"/>
    <cellStyle name="Comma 4 2 3 10 2 2" xfId="15441" xr:uid="{5B669E2B-29AF-49FE-9493-BC0FA50FD0D0}"/>
    <cellStyle name="Comma 4 2 3 10 3" xfId="11223" xr:uid="{27375760-5E7E-4F6F-AA33-8E4A66D0D529}"/>
    <cellStyle name="Comma 4 2 3 11" xfId="4608" xr:uid="{00000000-0005-0000-0000-00005B080000}"/>
    <cellStyle name="Comma 4 2 3 11 2" xfId="13058" xr:uid="{5E1899AA-55AD-4055-A855-BF0B0F7D5842}"/>
    <cellStyle name="Comma 4 2 3 12" xfId="8840" xr:uid="{B5F118CA-E565-43E7-98B0-DDCB2C039DD0}"/>
    <cellStyle name="Comma 4 2 3 2" xfId="137" xr:uid="{00000000-0005-0000-0000-00005C080000}"/>
    <cellStyle name="Comma 4 2 3 2 10" xfId="4609" xr:uid="{00000000-0005-0000-0000-00005D080000}"/>
    <cellStyle name="Comma 4 2 3 2 10 2" xfId="13059" xr:uid="{8A1D0874-9CCE-4B53-A9DB-401E68E72F37}"/>
    <cellStyle name="Comma 4 2 3 2 11" xfId="8841" xr:uid="{839A5E68-BC6F-4296-96CE-D0A85BC6A6E2}"/>
    <cellStyle name="Comma 4 2 3 2 2" xfId="138" xr:uid="{00000000-0005-0000-0000-00005E080000}"/>
    <cellStyle name="Comma 4 2 3 2 2 10" xfId="8842" xr:uid="{36A77D7E-F64B-4241-B666-3EFD43D5AF6A}"/>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A6B2C4CF-8002-4E9A-87E9-0E2787B3A68E}"/>
    <cellStyle name="Comma 4 2 3 2 2 2 2 3" xfId="11401" xr:uid="{8294B8BA-3BBA-403F-A02D-ADC0E167DF09}"/>
    <cellStyle name="Comma 4 2 3 2 2 2 3" xfId="5024" xr:uid="{00000000-0005-0000-0000-000062080000}"/>
    <cellStyle name="Comma 4 2 3 2 2 2 3 2" xfId="13474" xr:uid="{8F73759E-DD0E-4D20-AB2A-923201446E0B}"/>
    <cellStyle name="Comma 4 2 3 2 2 2 4" xfId="9256" xr:uid="{F79884C6-C41F-4658-8598-8E975F29B40B}"/>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DA2768FC-6EFE-4F2D-A21D-54F00BA1A2FC}"/>
    <cellStyle name="Comma 4 2 3 2 2 3 2 3" xfId="11814" xr:uid="{E701A1AF-64B4-466E-870D-691EE021B9A9}"/>
    <cellStyle name="Comma 4 2 3 2 2 3 3" xfId="5437" xr:uid="{00000000-0005-0000-0000-000066080000}"/>
    <cellStyle name="Comma 4 2 3 2 2 3 3 2" xfId="13887" xr:uid="{77E70AD2-EDB8-47AC-AE1E-5D3B267EB7FC}"/>
    <cellStyle name="Comma 4 2 3 2 2 3 4" xfId="9669" xr:uid="{515242D1-738D-4E1E-88B9-18D998F83B85}"/>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9F182436-1177-4AED-91A1-22298D89CA9B}"/>
    <cellStyle name="Comma 4 2 3 2 2 4 2 3" xfId="12227" xr:uid="{5A2D205A-C5D4-4294-AB96-EA6170EA421E}"/>
    <cellStyle name="Comma 4 2 3 2 2 4 3" xfId="5850" xr:uid="{00000000-0005-0000-0000-00006A080000}"/>
    <cellStyle name="Comma 4 2 3 2 2 4 3 2" xfId="14300" xr:uid="{D690DEE9-3BEF-4243-93B9-9CC88AC605DF}"/>
    <cellStyle name="Comma 4 2 3 2 2 4 4" xfId="10082" xr:uid="{086EA78F-E4D2-447A-BD38-E895BB73A0DD}"/>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559F21E0-42DE-4D92-A18F-2C4096EDDE27}"/>
    <cellStyle name="Comma 4 2 3 2 2 5 2 3" xfId="12640" xr:uid="{4587548C-123F-421F-990D-31756DA57497}"/>
    <cellStyle name="Comma 4 2 3 2 2 5 3" xfId="6263" xr:uid="{00000000-0005-0000-0000-00006E080000}"/>
    <cellStyle name="Comma 4 2 3 2 2 5 3 2" xfId="14713" xr:uid="{FC21E604-EDBC-40A3-A09F-8FEC61F176F0}"/>
    <cellStyle name="Comma 4 2 3 2 2 5 4" xfId="10495" xr:uid="{4C01445B-427F-41AD-8715-F48186A7D9E9}"/>
    <cellStyle name="Comma 4 2 3 2 2 6" xfId="2392" xr:uid="{00000000-0005-0000-0000-00006F080000}"/>
    <cellStyle name="Comma 4 2 3 2 2 6 2" xfId="6676" xr:uid="{00000000-0005-0000-0000-000070080000}"/>
    <cellStyle name="Comma 4 2 3 2 2 6 2 2" xfId="15126" xr:uid="{4725292C-3249-4843-8697-74C448DF2BFC}"/>
    <cellStyle name="Comma 4 2 3 2 2 6 3" xfId="10908" xr:uid="{9775422A-4CF0-4C3A-8651-E17B87BC3758}"/>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6155BC9D-8C04-40D7-BF82-AD5DB53D51B7}"/>
    <cellStyle name="Comma 4 2 3 2 2 8 3" xfId="11225" xr:uid="{10B45A05-C3CB-441B-A70A-E4EC88CFACBA}"/>
    <cellStyle name="Comma 4 2 3 2 2 9" xfId="4610" xr:uid="{00000000-0005-0000-0000-000074080000}"/>
    <cellStyle name="Comma 4 2 3 2 2 9 2" xfId="13060" xr:uid="{A7A7C62B-254C-46FC-B68B-C0B4114BEBC1}"/>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C28CCA3B-C027-41AF-B7F7-30B9A2D6BFC4}"/>
    <cellStyle name="Comma 4 2 3 2 3 2 3" xfId="11400" xr:uid="{BF373495-5D95-4363-A811-7D37F7E79152}"/>
    <cellStyle name="Comma 4 2 3 2 3 3" xfId="5023" xr:uid="{00000000-0005-0000-0000-000078080000}"/>
    <cellStyle name="Comma 4 2 3 2 3 3 2" xfId="13473" xr:uid="{41C8004B-9B9E-4CCE-903E-555962904134}"/>
    <cellStyle name="Comma 4 2 3 2 3 4" xfId="9255" xr:uid="{14D762DA-54AB-4FFB-AFCA-7E433E2FFF6E}"/>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F10684DD-CADC-48D1-A5ED-A58A1298B1D5}"/>
    <cellStyle name="Comma 4 2 3 2 4 2 3" xfId="11813" xr:uid="{51CAC0C9-CBF7-445C-B5D6-779C6A7D61D7}"/>
    <cellStyle name="Comma 4 2 3 2 4 3" xfId="5436" xr:uid="{00000000-0005-0000-0000-00007C080000}"/>
    <cellStyle name="Comma 4 2 3 2 4 3 2" xfId="13886" xr:uid="{25A8D05A-EF1A-4E53-94DE-1E72F4498121}"/>
    <cellStyle name="Comma 4 2 3 2 4 4" xfId="9668" xr:uid="{CC907824-FB0E-4F39-B0B7-3A17E28B4918}"/>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B8095DAF-CDAE-474A-B5D9-E3C26E8A6A5F}"/>
    <cellStyle name="Comma 4 2 3 2 5 2 3" xfId="12226" xr:uid="{7187B51C-F313-47FB-A3D0-1AE337E45917}"/>
    <cellStyle name="Comma 4 2 3 2 5 3" xfId="5849" xr:uid="{00000000-0005-0000-0000-000080080000}"/>
    <cellStyle name="Comma 4 2 3 2 5 3 2" xfId="14299" xr:uid="{36A1D13C-3C37-4DF0-A36B-18FBB8458525}"/>
    <cellStyle name="Comma 4 2 3 2 5 4" xfId="10081" xr:uid="{2B70985D-B633-4F09-A54D-892E85734D2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B25A4529-1D7F-45D5-ADD2-43091B07D201}"/>
    <cellStyle name="Comma 4 2 3 2 6 2 3" xfId="12639" xr:uid="{14CC7FB6-5E7D-41A4-B5F1-9893B9FAC0A7}"/>
    <cellStyle name="Comma 4 2 3 2 6 3" xfId="6262" xr:uid="{00000000-0005-0000-0000-000084080000}"/>
    <cellStyle name="Comma 4 2 3 2 6 3 2" xfId="14712" xr:uid="{D8CF88C8-24BC-46B2-B595-407D0440F392}"/>
    <cellStyle name="Comma 4 2 3 2 6 4" xfId="10494" xr:uid="{09858E97-F1D7-4B3A-8670-1769776315F0}"/>
    <cellStyle name="Comma 4 2 3 2 7" xfId="2391" xr:uid="{00000000-0005-0000-0000-000085080000}"/>
    <cellStyle name="Comma 4 2 3 2 7 2" xfId="6675" xr:uid="{00000000-0005-0000-0000-000086080000}"/>
    <cellStyle name="Comma 4 2 3 2 7 2 2" xfId="15125" xr:uid="{EFC16562-A1DB-43BF-AFEF-DD5AADB3C31A}"/>
    <cellStyle name="Comma 4 2 3 2 7 3" xfId="10907" xr:uid="{C278BC30-C003-4E8C-BE34-3ECA9C5FAE7D}"/>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11236E56-8655-457F-A6B6-5343F53D261B}"/>
    <cellStyle name="Comma 4 2 3 2 9 3" xfId="11224" xr:uid="{E2C8B65D-82A1-427C-A215-8EDBA2130A63}"/>
    <cellStyle name="Comma 4 2 3 3" xfId="139" xr:uid="{00000000-0005-0000-0000-00008A080000}"/>
    <cellStyle name="Comma 4 2 3 3 10" xfId="8843" xr:uid="{D39585DF-269C-4FF7-B4CD-100D402C6F6E}"/>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C78D51D7-09FF-4F7D-BB29-03048D1BD7BC}"/>
    <cellStyle name="Comma 4 2 3 3 2 2 3" xfId="11402" xr:uid="{0756D78B-4E03-44AC-9045-282AB531195B}"/>
    <cellStyle name="Comma 4 2 3 3 2 3" xfId="5025" xr:uid="{00000000-0005-0000-0000-00008E080000}"/>
    <cellStyle name="Comma 4 2 3 3 2 3 2" xfId="13475" xr:uid="{500E35FF-125E-4349-8A2D-55BB94E6BE82}"/>
    <cellStyle name="Comma 4 2 3 3 2 4" xfId="9257" xr:uid="{D71BD683-CF21-47E5-ACF4-3EFB6DF04BCF}"/>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CCC671C3-8902-4345-BF50-F91F9A569A86}"/>
    <cellStyle name="Comma 4 2 3 3 3 2 3" xfId="11815" xr:uid="{139A9470-668E-4A5E-97BE-8B16D56B67C0}"/>
    <cellStyle name="Comma 4 2 3 3 3 3" xfId="5438" xr:uid="{00000000-0005-0000-0000-000092080000}"/>
    <cellStyle name="Comma 4 2 3 3 3 3 2" xfId="13888" xr:uid="{88A307B6-B669-45D5-9295-C48F63DC70AB}"/>
    <cellStyle name="Comma 4 2 3 3 3 4" xfId="9670" xr:uid="{6B568B5C-2B46-4A95-8A0B-7A7690D7E27D}"/>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4577FA08-CB19-46E1-8F46-BB62B55C96C1}"/>
    <cellStyle name="Comma 4 2 3 3 4 2 3" xfId="12228" xr:uid="{E233FA76-93A0-4478-AB94-E31F2C6D38F8}"/>
    <cellStyle name="Comma 4 2 3 3 4 3" xfId="5851" xr:uid="{00000000-0005-0000-0000-000096080000}"/>
    <cellStyle name="Comma 4 2 3 3 4 3 2" xfId="14301" xr:uid="{1F0B5D2D-728F-47A1-9435-F45B1F80D6FF}"/>
    <cellStyle name="Comma 4 2 3 3 4 4" xfId="10083" xr:uid="{30188C62-0602-41C0-99F5-41ABC70E3F31}"/>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41AA27A1-F065-46C7-A112-7D5407180542}"/>
    <cellStyle name="Comma 4 2 3 3 5 2 3" xfId="12641" xr:uid="{4DD94C9F-D35C-4DD6-929D-0027AB11CDBB}"/>
    <cellStyle name="Comma 4 2 3 3 5 3" xfId="6264" xr:uid="{00000000-0005-0000-0000-00009A080000}"/>
    <cellStyle name="Comma 4 2 3 3 5 3 2" xfId="14714" xr:uid="{67B75DCA-98D3-4DB2-B343-EE959B16DD45}"/>
    <cellStyle name="Comma 4 2 3 3 5 4" xfId="10496" xr:uid="{15A1D040-B6FB-4548-9F7D-E1DD25454DAC}"/>
    <cellStyle name="Comma 4 2 3 3 6" xfId="2393" xr:uid="{00000000-0005-0000-0000-00009B080000}"/>
    <cellStyle name="Comma 4 2 3 3 6 2" xfId="6677" xr:uid="{00000000-0005-0000-0000-00009C080000}"/>
    <cellStyle name="Comma 4 2 3 3 6 2 2" xfId="15127" xr:uid="{DCE5B202-22F7-473C-8070-9BBE4D844617}"/>
    <cellStyle name="Comma 4 2 3 3 6 3" xfId="10909" xr:uid="{F52ABE9C-3335-437E-9543-75C94C2FFCAC}"/>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7283812B-67F6-4A94-B44A-45972AF81F07}"/>
    <cellStyle name="Comma 4 2 3 3 8 3" xfId="11226" xr:uid="{9682DFE6-3D6A-43C1-A56A-ABC5E53488AB}"/>
    <cellStyle name="Comma 4 2 3 3 9" xfId="4611" xr:uid="{00000000-0005-0000-0000-0000A0080000}"/>
    <cellStyle name="Comma 4 2 3 3 9 2" xfId="13061" xr:uid="{1A130F3A-C354-448D-A00F-424A9D56E000}"/>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E67FB011-9795-4729-99AB-B9ABA20C2713}"/>
    <cellStyle name="Comma 4 2 3 4 2 3" xfId="11399" xr:uid="{B082C4FD-4D6D-4DB9-88B7-4958A06919C9}"/>
    <cellStyle name="Comma 4 2 3 4 3" xfId="5022" xr:uid="{00000000-0005-0000-0000-0000A4080000}"/>
    <cellStyle name="Comma 4 2 3 4 3 2" xfId="13472" xr:uid="{C21A5B16-1D31-44E9-9A2D-4CAA8AB6D01F}"/>
    <cellStyle name="Comma 4 2 3 4 4" xfId="9254" xr:uid="{23FDC64E-1A9E-46B7-88AD-75BF72F03D8F}"/>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C4CEEE23-1F2B-4C08-A73B-8E0057127790}"/>
    <cellStyle name="Comma 4 2 3 5 2 3" xfId="11812" xr:uid="{B71E6429-0006-498C-A74B-B5F3803DA823}"/>
    <cellStyle name="Comma 4 2 3 5 3" xfId="5435" xr:uid="{00000000-0005-0000-0000-0000A8080000}"/>
    <cellStyle name="Comma 4 2 3 5 3 2" xfId="13885" xr:uid="{DBB211AB-8B06-451A-A275-22BCDAF118FC}"/>
    <cellStyle name="Comma 4 2 3 5 4" xfId="9667" xr:uid="{41C62FE8-1E6C-4A45-A61C-72682B83F6CF}"/>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EC49384E-54EB-46B6-B78F-24912A636DA9}"/>
    <cellStyle name="Comma 4 2 3 6 2 3" xfId="12225" xr:uid="{0B87BB6D-0050-4194-8E5C-3D92216A6B2C}"/>
    <cellStyle name="Comma 4 2 3 6 3" xfId="5848" xr:uid="{00000000-0005-0000-0000-0000AC080000}"/>
    <cellStyle name="Comma 4 2 3 6 3 2" xfId="14298" xr:uid="{4A59E7D0-CD73-4E0A-9230-4559C3C47F73}"/>
    <cellStyle name="Comma 4 2 3 6 4" xfId="10080" xr:uid="{6CFB08C5-86B9-4EF2-A018-F3C0EBCA47ED}"/>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E8CBD174-C374-49A0-B780-E19CB5188569}"/>
    <cellStyle name="Comma 4 2 3 7 2 3" xfId="12638" xr:uid="{3D3CD5F2-9CB2-499A-98E8-E4B2B30FFC86}"/>
    <cellStyle name="Comma 4 2 3 7 3" xfId="6261" xr:uid="{00000000-0005-0000-0000-0000B0080000}"/>
    <cellStyle name="Comma 4 2 3 7 3 2" xfId="14711" xr:uid="{B571E788-A576-41E8-909C-DFBE8352671F}"/>
    <cellStyle name="Comma 4 2 3 7 4" xfId="10493" xr:uid="{6E086FD2-6ADC-491D-80B6-E0310C8E0EA9}"/>
    <cellStyle name="Comma 4 2 3 8" xfId="2390" xr:uid="{00000000-0005-0000-0000-0000B1080000}"/>
    <cellStyle name="Comma 4 2 3 8 2" xfId="6674" xr:uid="{00000000-0005-0000-0000-0000B2080000}"/>
    <cellStyle name="Comma 4 2 3 8 2 2" xfId="15124" xr:uid="{D560FD8A-B4B6-4CE2-A62F-9F928496B56E}"/>
    <cellStyle name="Comma 4 2 3 8 3" xfId="10906" xr:uid="{8873C069-E4B6-4063-96E6-1CAF018E7667}"/>
    <cellStyle name="Comma 4 2 3 9" xfId="2373" xr:uid="{00000000-0005-0000-0000-0000B3080000}"/>
    <cellStyle name="Comma 4 2 4" xfId="140" xr:uid="{00000000-0005-0000-0000-0000B4080000}"/>
    <cellStyle name="Comma 4 2 4 10" xfId="4612" xr:uid="{00000000-0005-0000-0000-0000B5080000}"/>
    <cellStyle name="Comma 4 2 4 10 2" xfId="13062" xr:uid="{89386860-83FC-4030-94D6-92D9477ADDCF}"/>
    <cellStyle name="Comma 4 2 4 11" xfId="8844" xr:uid="{20B614FE-47DD-49F0-9B69-11382806E69E}"/>
    <cellStyle name="Comma 4 2 4 2" xfId="141" xr:uid="{00000000-0005-0000-0000-0000B6080000}"/>
    <cellStyle name="Comma 4 2 4 2 10" xfId="8845" xr:uid="{4ACE181E-205C-460B-9736-7905E03D14E4}"/>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5BCE3E75-F753-4D60-97F0-D20EFFED98D9}"/>
    <cellStyle name="Comma 4 2 4 2 2 2 3" xfId="11404" xr:uid="{1C787903-2CEC-4E3A-B97C-FED682D4017E}"/>
    <cellStyle name="Comma 4 2 4 2 2 3" xfId="5027" xr:uid="{00000000-0005-0000-0000-0000BA080000}"/>
    <cellStyle name="Comma 4 2 4 2 2 3 2" xfId="13477" xr:uid="{DA3ECB0A-4594-47A4-B36C-FEF714C61035}"/>
    <cellStyle name="Comma 4 2 4 2 2 4" xfId="9259" xr:uid="{CB5D302B-4805-4657-A930-0AEE74B7A596}"/>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C3607D8E-F33B-4ADE-BD6A-59EE6A230717}"/>
    <cellStyle name="Comma 4 2 4 2 3 2 3" xfId="11817" xr:uid="{8E8CACA8-1AD2-4957-AF75-F88019C6BF50}"/>
    <cellStyle name="Comma 4 2 4 2 3 3" xfId="5440" xr:uid="{00000000-0005-0000-0000-0000BE080000}"/>
    <cellStyle name="Comma 4 2 4 2 3 3 2" xfId="13890" xr:uid="{CFA36520-F1CF-45A4-8B59-B01E8009CA92}"/>
    <cellStyle name="Comma 4 2 4 2 3 4" xfId="9672" xr:uid="{0B0BE4D6-AC95-4C46-9B57-852B33E8419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07329497-C7D3-4888-AC68-06E55DB2ED8A}"/>
    <cellStyle name="Comma 4 2 4 2 4 2 3" xfId="12230" xr:uid="{BA643A00-40F1-4B16-AA8B-F0A3FA6E7A83}"/>
    <cellStyle name="Comma 4 2 4 2 4 3" xfId="5853" xr:uid="{00000000-0005-0000-0000-0000C2080000}"/>
    <cellStyle name="Comma 4 2 4 2 4 3 2" xfId="14303" xr:uid="{BCDE76A7-36C9-4136-91B3-06B3A856C789}"/>
    <cellStyle name="Comma 4 2 4 2 4 4" xfId="10085" xr:uid="{226085DC-FCAB-4EC3-B7A2-D27191B9B340}"/>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E9C841C0-49EF-4895-B373-35B1EC23F7B8}"/>
    <cellStyle name="Comma 4 2 4 2 5 2 3" xfId="12643" xr:uid="{D1BF5C77-9B91-44F9-8E32-493CAD5D840A}"/>
    <cellStyle name="Comma 4 2 4 2 5 3" xfId="6266" xr:uid="{00000000-0005-0000-0000-0000C6080000}"/>
    <cellStyle name="Comma 4 2 4 2 5 3 2" xfId="14716" xr:uid="{EF50773E-8914-40C4-A710-F9BFBCA99109}"/>
    <cellStyle name="Comma 4 2 4 2 5 4" xfId="10498" xr:uid="{CA37969A-4BE1-4D29-AC0D-EDA15A1FC686}"/>
    <cellStyle name="Comma 4 2 4 2 6" xfId="2395" xr:uid="{00000000-0005-0000-0000-0000C7080000}"/>
    <cellStyle name="Comma 4 2 4 2 6 2" xfId="6679" xr:uid="{00000000-0005-0000-0000-0000C8080000}"/>
    <cellStyle name="Comma 4 2 4 2 6 2 2" xfId="15129" xr:uid="{1FB6777A-C66E-4484-AB46-ADD89C97D33C}"/>
    <cellStyle name="Comma 4 2 4 2 6 3" xfId="10911" xr:uid="{D2654495-0E83-48C4-9582-D30703A39619}"/>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7FACF79E-642D-409A-A9B6-097227E43223}"/>
    <cellStyle name="Comma 4 2 4 2 8 3" xfId="11228" xr:uid="{2A3BD069-241A-44D7-AB58-BA8E73AEE3CE}"/>
    <cellStyle name="Comma 4 2 4 2 9" xfId="4613" xr:uid="{00000000-0005-0000-0000-0000CC080000}"/>
    <cellStyle name="Comma 4 2 4 2 9 2" xfId="13063" xr:uid="{82B16EA3-CE0B-4171-BDF9-E144D9344E23}"/>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3C60A427-71D5-4268-B6AA-674D82D8CEB1}"/>
    <cellStyle name="Comma 4 2 4 3 2 3" xfId="11403" xr:uid="{5B7213F7-0F12-4AAC-8F16-0EFD1D903A90}"/>
    <cellStyle name="Comma 4 2 4 3 3" xfId="5026" xr:uid="{00000000-0005-0000-0000-0000D0080000}"/>
    <cellStyle name="Comma 4 2 4 3 3 2" xfId="13476" xr:uid="{51180F42-5600-4E75-BCE4-286560ADE139}"/>
    <cellStyle name="Comma 4 2 4 3 4" xfId="9258" xr:uid="{0E14571B-8258-40E4-A468-E24C899BD933}"/>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85613FA8-F98A-45F2-AF5A-0EFBEAF39194}"/>
    <cellStyle name="Comma 4 2 4 4 2 3" xfId="11816" xr:uid="{F48F8995-9115-4517-BADA-C99C5C5121C5}"/>
    <cellStyle name="Comma 4 2 4 4 3" xfId="5439" xr:uid="{00000000-0005-0000-0000-0000D4080000}"/>
    <cellStyle name="Comma 4 2 4 4 3 2" xfId="13889" xr:uid="{63FE9E2B-B512-4282-819D-A6ACC6313800}"/>
    <cellStyle name="Comma 4 2 4 4 4" xfId="9671" xr:uid="{92F2EA68-BBA5-4E94-B324-457006678222}"/>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3CCF8260-419D-4745-9811-F265F8901EAA}"/>
    <cellStyle name="Comma 4 2 4 5 2 3" xfId="12229" xr:uid="{51DF4457-1971-480A-97E6-C8EECDB1867F}"/>
    <cellStyle name="Comma 4 2 4 5 3" xfId="5852" xr:uid="{00000000-0005-0000-0000-0000D8080000}"/>
    <cellStyle name="Comma 4 2 4 5 3 2" xfId="14302" xr:uid="{6CFE7320-0984-4EDA-9E4B-403DF05FC81F}"/>
    <cellStyle name="Comma 4 2 4 5 4" xfId="10084" xr:uid="{5D2A183E-CA1B-4676-BF8B-6B095BEF8B51}"/>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C6E32BFE-11FA-45D5-8DFE-D2D4C17BFDC2}"/>
    <cellStyle name="Comma 4 2 4 6 2 3" xfId="12642" xr:uid="{1B7FE4CA-2164-490A-8E8D-A27F08BE2F93}"/>
    <cellStyle name="Comma 4 2 4 6 3" xfId="6265" xr:uid="{00000000-0005-0000-0000-0000DC080000}"/>
    <cellStyle name="Comma 4 2 4 6 3 2" xfId="14715" xr:uid="{6BC3F8F9-0922-49A2-9352-CE85DE096EA4}"/>
    <cellStyle name="Comma 4 2 4 6 4" xfId="10497" xr:uid="{1CCF1F16-C641-4F04-B534-0A35AA336C7D}"/>
    <cellStyle name="Comma 4 2 4 7" xfId="2394" xr:uid="{00000000-0005-0000-0000-0000DD080000}"/>
    <cellStyle name="Comma 4 2 4 7 2" xfId="6678" xr:uid="{00000000-0005-0000-0000-0000DE080000}"/>
    <cellStyle name="Comma 4 2 4 7 2 2" xfId="15128" xr:uid="{5D35DF42-656E-4B49-80C4-3376F2165A69}"/>
    <cellStyle name="Comma 4 2 4 7 3" xfId="10910" xr:uid="{874D251C-21CA-4165-85F0-1467CF897E79}"/>
    <cellStyle name="Comma 4 2 4 8" xfId="2369" xr:uid="{00000000-0005-0000-0000-0000DF080000}"/>
    <cellStyle name="Comma 4 2 4 9" xfId="2772" xr:uid="{00000000-0005-0000-0000-0000E0080000}"/>
    <cellStyle name="Comma 4 2 4 9 2" xfId="6995" xr:uid="{00000000-0005-0000-0000-0000E1080000}"/>
    <cellStyle name="Comma 4 2 4 9 2 2" xfId="15445" xr:uid="{58906E8A-B5BA-4B55-A9C9-A8903F1849FC}"/>
    <cellStyle name="Comma 4 2 4 9 3" xfId="11227" xr:uid="{633A7B8A-BE3C-420E-B2CD-350DB4C04ABA}"/>
    <cellStyle name="Comma 4 2 5" xfId="142" xr:uid="{00000000-0005-0000-0000-0000E2080000}"/>
    <cellStyle name="Comma 4 2 5 10" xfId="8846" xr:uid="{5F08C2C3-067B-44D0-A522-5C2F25358486}"/>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E1F705D1-8FFE-4AD8-885D-DF3BB833B7D5}"/>
    <cellStyle name="Comma 4 2 5 2 2 3" xfId="11405" xr:uid="{86B1593E-26AD-490D-B5C9-4EE071D2F3E6}"/>
    <cellStyle name="Comma 4 2 5 2 3" xfId="5028" xr:uid="{00000000-0005-0000-0000-0000E6080000}"/>
    <cellStyle name="Comma 4 2 5 2 3 2" xfId="13478" xr:uid="{695276ED-BF8D-40E3-8435-D108AF006C96}"/>
    <cellStyle name="Comma 4 2 5 2 4" xfId="9260" xr:uid="{2CA7650D-9A51-417C-904D-F5360C873D42}"/>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075C6341-4F11-45AA-8D11-3221B04AEEC5}"/>
    <cellStyle name="Comma 4 2 5 3 2 3" xfId="11818" xr:uid="{F9D1609A-3FE3-42D1-BA59-8E9CBE869D75}"/>
    <cellStyle name="Comma 4 2 5 3 3" xfId="5441" xr:uid="{00000000-0005-0000-0000-0000EA080000}"/>
    <cellStyle name="Comma 4 2 5 3 3 2" xfId="13891" xr:uid="{B2E54B97-76A9-4950-A577-9E76AFB76876}"/>
    <cellStyle name="Comma 4 2 5 3 4" xfId="9673" xr:uid="{A778A493-43A2-4952-8E42-1682C03966CC}"/>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66DA4456-FFB9-4A72-ABB4-F4C28DAEC4BB}"/>
    <cellStyle name="Comma 4 2 5 4 2 3" xfId="12231" xr:uid="{981B1EE3-2542-4767-A06E-CC0540E00EA0}"/>
    <cellStyle name="Comma 4 2 5 4 3" xfId="5854" xr:uid="{00000000-0005-0000-0000-0000EE080000}"/>
    <cellStyle name="Comma 4 2 5 4 3 2" xfId="14304" xr:uid="{AE8AA9EC-370C-424B-88A4-7F8A6641ECBB}"/>
    <cellStyle name="Comma 4 2 5 4 4" xfId="10086" xr:uid="{01672DBA-03D1-49F3-80B6-6BAF94CC416F}"/>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E1B1A7B5-0554-4FBE-950C-AD3A4886C2B8}"/>
    <cellStyle name="Comma 4 2 5 5 2 3" xfId="12644" xr:uid="{28A3D7DD-1D5B-4723-9FAD-CADDAB77DE04}"/>
    <cellStyle name="Comma 4 2 5 5 3" xfId="6267" xr:uid="{00000000-0005-0000-0000-0000F2080000}"/>
    <cellStyle name="Comma 4 2 5 5 3 2" xfId="14717" xr:uid="{E50294DD-C10D-4128-A7B8-4E5781FA847A}"/>
    <cellStyle name="Comma 4 2 5 5 4" xfId="10499" xr:uid="{EB381884-11F8-44A3-AD0D-DDF912D1D013}"/>
    <cellStyle name="Comma 4 2 5 6" xfId="2396" xr:uid="{00000000-0005-0000-0000-0000F3080000}"/>
    <cellStyle name="Comma 4 2 5 6 2" xfId="6680" xr:uid="{00000000-0005-0000-0000-0000F4080000}"/>
    <cellStyle name="Comma 4 2 5 6 2 2" xfId="15130" xr:uid="{BDB3EBDF-8BD1-4596-AF3A-6169757D834B}"/>
    <cellStyle name="Comma 4 2 5 6 3" xfId="10912" xr:uid="{293EB9EF-7666-4927-BAED-C609D47C7595}"/>
    <cellStyle name="Comma 4 2 5 7" xfId="2367" xr:uid="{00000000-0005-0000-0000-0000F5080000}"/>
    <cellStyle name="Comma 4 2 5 8" xfId="2774" xr:uid="{00000000-0005-0000-0000-0000F6080000}"/>
    <cellStyle name="Comma 4 2 5 8 2" xfId="6997" xr:uid="{00000000-0005-0000-0000-0000F7080000}"/>
    <cellStyle name="Comma 4 2 5 8 2 2" xfId="15447" xr:uid="{9622DABC-EAEC-43D7-B642-5744253B67DE}"/>
    <cellStyle name="Comma 4 2 5 8 3" xfId="11229" xr:uid="{10977E4E-E203-43CB-8A44-755DDFDB44E6}"/>
    <cellStyle name="Comma 4 2 5 9" xfId="4614" xr:uid="{00000000-0005-0000-0000-0000F8080000}"/>
    <cellStyle name="Comma 4 2 5 9 2" xfId="13064" xr:uid="{0D14C960-820A-4B75-BDF6-84AB1D103959}"/>
    <cellStyle name="Comma 4 2 6" xfId="143" xr:uid="{00000000-0005-0000-0000-0000F9080000}"/>
    <cellStyle name="Comma 4 2 6 10" xfId="8847" xr:uid="{FC202659-01F9-4549-B859-D59F1ECAE15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9ACA88F3-DA3C-4DA4-84CD-D234BFABDEDC}"/>
    <cellStyle name="Comma 4 2 6 2 2 3" xfId="11406" xr:uid="{AA638443-26D8-4CE9-BB32-5495DB4104EC}"/>
    <cellStyle name="Comma 4 2 6 2 3" xfId="5029" xr:uid="{00000000-0005-0000-0000-0000FD080000}"/>
    <cellStyle name="Comma 4 2 6 2 3 2" xfId="13479" xr:uid="{6C5BAAD3-5B27-44D8-82C2-A696A26C7864}"/>
    <cellStyle name="Comma 4 2 6 2 4" xfId="9261" xr:uid="{BA997CDC-226E-4415-A2C7-3CAD54AC0271}"/>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6AED1033-3F88-4C5F-9C3D-612526B51918}"/>
    <cellStyle name="Comma 4 2 6 3 2 3" xfId="11819" xr:uid="{467228EA-1A35-4B0E-AB97-238EBF4DE20F}"/>
    <cellStyle name="Comma 4 2 6 3 3" xfId="5442" xr:uid="{00000000-0005-0000-0000-000001090000}"/>
    <cellStyle name="Comma 4 2 6 3 3 2" xfId="13892" xr:uid="{7AE1090D-8DD2-4E2C-B153-7537344006FB}"/>
    <cellStyle name="Comma 4 2 6 3 4" xfId="9674" xr:uid="{57CCF686-8D82-40B4-8EA2-BDA43C03B09B}"/>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812A5B2B-0489-433A-8FF7-23E424F46CC1}"/>
    <cellStyle name="Comma 4 2 6 4 2 3" xfId="12232" xr:uid="{F20C1F29-9C32-4626-B3CD-B1EA25616FB3}"/>
    <cellStyle name="Comma 4 2 6 4 3" xfId="5855" xr:uid="{00000000-0005-0000-0000-000005090000}"/>
    <cellStyle name="Comma 4 2 6 4 3 2" xfId="14305" xr:uid="{9A568C70-89E0-4290-A873-933831376C46}"/>
    <cellStyle name="Comma 4 2 6 4 4" xfId="10087" xr:uid="{F3982483-CA18-43A4-B1DF-855E0126DE89}"/>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2A2BEE0A-1155-4461-9C4E-8BAFE10470C6}"/>
    <cellStyle name="Comma 4 2 6 5 2 3" xfId="12645" xr:uid="{B9AA2DAF-6E5E-4D32-B9BD-630E1A27632F}"/>
    <cellStyle name="Comma 4 2 6 5 3" xfId="6268" xr:uid="{00000000-0005-0000-0000-000009090000}"/>
    <cellStyle name="Comma 4 2 6 5 3 2" xfId="14718" xr:uid="{A4173061-A98A-4F50-A399-73ECE3BCCD8D}"/>
    <cellStyle name="Comma 4 2 6 5 4" xfId="10500" xr:uid="{845FAD21-F2C9-4E12-A49B-CB6CB78A23A2}"/>
    <cellStyle name="Comma 4 2 6 6" xfId="2397" xr:uid="{00000000-0005-0000-0000-00000A090000}"/>
    <cellStyle name="Comma 4 2 6 6 2" xfId="6681" xr:uid="{00000000-0005-0000-0000-00000B090000}"/>
    <cellStyle name="Comma 4 2 6 6 2 2" xfId="15131" xr:uid="{1389F69F-624D-4D54-8736-694962ABEB6D}"/>
    <cellStyle name="Comma 4 2 6 6 3" xfId="10913" xr:uid="{1BFE1C8D-AB19-47AA-86DA-33C6A6A9A7E5}"/>
    <cellStyle name="Comma 4 2 6 7" xfId="2366" xr:uid="{00000000-0005-0000-0000-00000C090000}"/>
    <cellStyle name="Comma 4 2 6 8" xfId="2775" xr:uid="{00000000-0005-0000-0000-00000D090000}"/>
    <cellStyle name="Comma 4 2 6 8 2" xfId="6998" xr:uid="{00000000-0005-0000-0000-00000E090000}"/>
    <cellStyle name="Comma 4 2 6 8 2 2" xfId="15448" xr:uid="{3A34E962-B93B-4620-A6E5-DEB831829473}"/>
    <cellStyle name="Comma 4 2 6 8 3" xfId="11230" xr:uid="{4B706044-23FD-4234-BEF5-5488363C2DDB}"/>
    <cellStyle name="Comma 4 2 6 9" xfId="4615" xr:uid="{00000000-0005-0000-0000-00000F090000}"/>
    <cellStyle name="Comma 4 2 6 9 2" xfId="13065" xr:uid="{32BB3F73-70CC-469E-9D63-D1F6DDE3F71C}"/>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7DB5EEA4-9767-400F-936F-525C0BB9B48B}"/>
    <cellStyle name="Comma 4 3 2 10 3" xfId="11231" xr:uid="{D09C842E-C57D-438D-AC72-E1A66534C133}"/>
    <cellStyle name="Comma 4 3 2 11" xfId="4616" xr:uid="{00000000-0005-0000-0000-000014090000}"/>
    <cellStyle name="Comma 4 3 2 11 2" xfId="13066" xr:uid="{69E273DD-43DB-46E3-97E9-7EB5322DD736}"/>
    <cellStyle name="Comma 4 3 2 12" xfId="8848" xr:uid="{D7F87094-2EAC-4334-9941-C4570B7E347F}"/>
    <cellStyle name="Comma 4 3 2 2" xfId="146" xr:uid="{00000000-0005-0000-0000-000015090000}"/>
    <cellStyle name="Comma 4 3 2 2 10" xfId="4617" xr:uid="{00000000-0005-0000-0000-000016090000}"/>
    <cellStyle name="Comma 4 3 2 2 10 2" xfId="13067" xr:uid="{EC2FCD18-3556-4F2C-B450-7787A1023D96}"/>
    <cellStyle name="Comma 4 3 2 2 11" xfId="8849" xr:uid="{D68DB777-965B-42F7-8B6F-EEEB5F04420B}"/>
    <cellStyle name="Comma 4 3 2 2 2" xfId="147" xr:uid="{00000000-0005-0000-0000-000017090000}"/>
    <cellStyle name="Comma 4 3 2 2 2 10" xfId="8850" xr:uid="{A6A134CE-1C6B-4AED-BFF4-37AA20D67717}"/>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748DCDEF-8759-4487-8EFD-1CBDE52952D2}"/>
    <cellStyle name="Comma 4 3 2 2 2 2 2 3" xfId="11409" xr:uid="{E7B19EC2-E65C-410C-9D62-7E1FCB5A3543}"/>
    <cellStyle name="Comma 4 3 2 2 2 2 3" xfId="5032" xr:uid="{00000000-0005-0000-0000-00001B090000}"/>
    <cellStyle name="Comma 4 3 2 2 2 2 3 2" xfId="13482" xr:uid="{4DD22249-F54A-4E20-9E9E-DCB954BB989A}"/>
    <cellStyle name="Comma 4 3 2 2 2 2 4" xfId="9264" xr:uid="{A065D9D6-EE1D-4116-BD85-66B6B9182B36}"/>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31A45534-7EEF-419E-B5DE-38E84B8FD22B}"/>
    <cellStyle name="Comma 4 3 2 2 2 3 2 3" xfId="11822" xr:uid="{E95A4A7D-197E-45E3-B3E3-DBCA9C4390A5}"/>
    <cellStyle name="Comma 4 3 2 2 2 3 3" xfId="5445" xr:uid="{00000000-0005-0000-0000-00001F090000}"/>
    <cellStyle name="Comma 4 3 2 2 2 3 3 2" xfId="13895" xr:uid="{F1869A76-A3C8-48AA-80E5-80F6A4A3F354}"/>
    <cellStyle name="Comma 4 3 2 2 2 3 4" xfId="9677" xr:uid="{6F4D889E-1488-48DE-9696-04916D6EC91C}"/>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68F48F7A-B509-42A2-9EB7-C60E8F8364A2}"/>
    <cellStyle name="Comma 4 3 2 2 2 4 2 3" xfId="12235" xr:uid="{C9C4E91C-D940-42BD-A491-DF9EA46C6D3D}"/>
    <cellStyle name="Comma 4 3 2 2 2 4 3" xfId="5858" xr:uid="{00000000-0005-0000-0000-000023090000}"/>
    <cellStyle name="Comma 4 3 2 2 2 4 3 2" xfId="14308" xr:uid="{4D920BCE-5338-4DF0-8CFE-1658F6E6E364}"/>
    <cellStyle name="Comma 4 3 2 2 2 4 4" xfId="10090" xr:uid="{35CDD678-F7F9-49C1-AFFF-3E2763F73619}"/>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4AF65957-B1D2-4831-9122-3417A909AA54}"/>
    <cellStyle name="Comma 4 3 2 2 2 5 2 3" xfId="12648" xr:uid="{3FAD69E6-CCED-4CAB-B99F-9C43BE645E6F}"/>
    <cellStyle name="Comma 4 3 2 2 2 5 3" xfId="6271" xr:uid="{00000000-0005-0000-0000-000027090000}"/>
    <cellStyle name="Comma 4 3 2 2 2 5 3 2" xfId="14721" xr:uid="{2034D54C-EB0E-4F2E-9FCD-4FB86EF23D04}"/>
    <cellStyle name="Comma 4 3 2 2 2 5 4" xfId="10503" xr:uid="{6D9DEBC1-86EE-4C38-B5A5-B729AD89F591}"/>
    <cellStyle name="Comma 4 3 2 2 2 6" xfId="2400" xr:uid="{00000000-0005-0000-0000-000028090000}"/>
    <cellStyle name="Comma 4 3 2 2 2 6 2" xfId="6684" xr:uid="{00000000-0005-0000-0000-000029090000}"/>
    <cellStyle name="Comma 4 3 2 2 2 6 2 2" xfId="15134" xr:uid="{8F7DCFD3-13C0-4122-9C86-058A97A7367E}"/>
    <cellStyle name="Comma 4 3 2 2 2 6 3" xfId="10916" xr:uid="{557B6247-6362-430B-8737-78BB1F787C8F}"/>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9554E95D-8EE3-4881-A574-34D8DF20F438}"/>
    <cellStyle name="Comma 4 3 2 2 2 8 3" xfId="11233" xr:uid="{3536EB15-1446-4168-8E9B-BF4440742938}"/>
    <cellStyle name="Comma 4 3 2 2 2 9" xfId="4618" xr:uid="{00000000-0005-0000-0000-00002D090000}"/>
    <cellStyle name="Comma 4 3 2 2 2 9 2" xfId="13068" xr:uid="{E2846C91-6FB8-49C6-BC88-F9B7138EEE45}"/>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C13BC754-C377-48CE-86D8-B646DAF7B76A}"/>
    <cellStyle name="Comma 4 3 2 2 3 2 3" xfId="11408" xr:uid="{CD53B9D5-154D-427B-9496-4018A79BB12D}"/>
    <cellStyle name="Comma 4 3 2 2 3 3" xfId="5031" xr:uid="{00000000-0005-0000-0000-000031090000}"/>
    <cellStyle name="Comma 4 3 2 2 3 3 2" xfId="13481" xr:uid="{B3C6724C-FE02-4EFD-B698-99816E0DB813}"/>
    <cellStyle name="Comma 4 3 2 2 3 4" xfId="9263" xr:uid="{8A5BFD07-331E-4DF3-B618-B82DCC2BF65A}"/>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A32FF11B-BD29-4C32-ADFF-BF92140BC44D}"/>
    <cellStyle name="Comma 4 3 2 2 4 2 3" xfId="11821" xr:uid="{22C92173-5C47-441C-BBE9-467E4ED7C365}"/>
    <cellStyle name="Comma 4 3 2 2 4 3" xfId="5444" xr:uid="{00000000-0005-0000-0000-000035090000}"/>
    <cellStyle name="Comma 4 3 2 2 4 3 2" xfId="13894" xr:uid="{4D62E6D6-0889-446D-8483-7BFCBA13D46B}"/>
    <cellStyle name="Comma 4 3 2 2 4 4" xfId="9676" xr:uid="{8DBEAD49-60AF-4EFB-B822-3A579DECCF43}"/>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15E24A1C-0E6D-449A-9782-A2F4837D732C}"/>
    <cellStyle name="Comma 4 3 2 2 5 2 3" xfId="12234" xr:uid="{99041452-4770-484C-AD92-95D02B81474C}"/>
    <cellStyle name="Comma 4 3 2 2 5 3" xfId="5857" xr:uid="{00000000-0005-0000-0000-000039090000}"/>
    <cellStyle name="Comma 4 3 2 2 5 3 2" xfId="14307" xr:uid="{064DE809-DE2A-47D9-8521-865558B3A000}"/>
    <cellStyle name="Comma 4 3 2 2 5 4" xfId="10089" xr:uid="{3F6D8627-0B22-47E5-A500-8D94417E8B11}"/>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842E34A9-DED2-4358-97D5-73E7967AC797}"/>
    <cellStyle name="Comma 4 3 2 2 6 2 3" xfId="12647" xr:uid="{25B04770-97CC-4380-85F4-4DD2AD10C61E}"/>
    <cellStyle name="Comma 4 3 2 2 6 3" xfId="6270" xr:uid="{00000000-0005-0000-0000-00003D090000}"/>
    <cellStyle name="Comma 4 3 2 2 6 3 2" xfId="14720" xr:uid="{81358253-F0A2-4FD7-96F2-20D74DF5FF91}"/>
    <cellStyle name="Comma 4 3 2 2 6 4" xfId="10502" xr:uid="{5FBE860F-535E-4212-973D-C04987249ED8}"/>
    <cellStyle name="Comma 4 3 2 2 7" xfId="2399" xr:uid="{00000000-0005-0000-0000-00003E090000}"/>
    <cellStyle name="Comma 4 3 2 2 7 2" xfId="6683" xr:uid="{00000000-0005-0000-0000-00003F090000}"/>
    <cellStyle name="Comma 4 3 2 2 7 2 2" xfId="15133" xr:uid="{301C92E0-4087-4088-A473-6CD8B1DABA47}"/>
    <cellStyle name="Comma 4 3 2 2 7 3" xfId="10915" xr:uid="{8A73A90E-DC9B-49D9-BE97-03B53E6917AE}"/>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44E34628-4F1F-4CCF-9B82-39FFD5E2E9C6}"/>
    <cellStyle name="Comma 4 3 2 2 9 3" xfId="11232" xr:uid="{EB44BE53-D221-498D-A948-F82598A63B55}"/>
    <cellStyle name="Comma 4 3 2 3" xfId="148" xr:uid="{00000000-0005-0000-0000-000043090000}"/>
    <cellStyle name="Comma 4 3 2 3 10" xfId="8851" xr:uid="{30AF41AB-B80F-4654-AC74-210DF645CA4D}"/>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F43E4F6A-1258-489D-9253-6892D51BA70B}"/>
    <cellStyle name="Comma 4 3 2 3 2 2 3" xfId="11410" xr:uid="{46E1E458-CAA8-48DA-A317-C3D03076AA41}"/>
    <cellStyle name="Comma 4 3 2 3 2 3" xfId="5033" xr:uid="{00000000-0005-0000-0000-000047090000}"/>
    <cellStyle name="Comma 4 3 2 3 2 3 2" xfId="13483" xr:uid="{C6249318-9A36-400A-A7EC-FE5FC73A0A8F}"/>
    <cellStyle name="Comma 4 3 2 3 2 4" xfId="9265" xr:uid="{B55A05D4-AA31-4B63-8F8E-DC13077DE8CB}"/>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FE1A6E4A-3FEF-486B-8720-F55A44DAB8F8}"/>
    <cellStyle name="Comma 4 3 2 3 3 2 3" xfId="11823" xr:uid="{E90AECCE-39A1-4EA7-A3D2-0DA0F1959AE8}"/>
    <cellStyle name="Comma 4 3 2 3 3 3" xfId="5446" xr:uid="{00000000-0005-0000-0000-00004B090000}"/>
    <cellStyle name="Comma 4 3 2 3 3 3 2" xfId="13896" xr:uid="{571C4435-F68C-4EBA-A178-03F61AB29916}"/>
    <cellStyle name="Comma 4 3 2 3 3 4" xfId="9678" xr:uid="{E2E4749B-3747-4647-8170-7A801C4C4C76}"/>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6DA1B7B0-C27E-4220-9C4A-79E27EA92C0D}"/>
    <cellStyle name="Comma 4 3 2 3 4 2 3" xfId="12236" xr:uid="{44D3B8E4-D1E2-405D-99C0-540BB058DB93}"/>
    <cellStyle name="Comma 4 3 2 3 4 3" xfId="5859" xr:uid="{00000000-0005-0000-0000-00004F090000}"/>
    <cellStyle name="Comma 4 3 2 3 4 3 2" xfId="14309" xr:uid="{4DF103F4-59F6-40C1-B6BD-079CC3F36B36}"/>
    <cellStyle name="Comma 4 3 2 3 4 4" xfId="10091" xr:uid="{4AA9B17C-D73A-43F2-A93F-7084318CE356}"/>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5986C51B-19FB-4150-BB7D-509A6A468C26}"/>
    <cellStyle name="Comma 4 3 2 3 5 2 3" xfId="12649" xr:uid="{BF6A8672-BCE1-422D-9339-4060B5FD8054}"/>
    <cellStyle name="Comma 4 3 2 3 5 3" xfId="6272" xr:uid="{00000000-0005-0000-0000-000053090000}"/>
    <cellStyle name="Comma 4 3 2 3 5 3 2" xfId="14722" xr:uid="{CD8D2DDA-8959-4742-B31C-02CA1FD1494E}"/>
    <cellStyle name="Comma 4 3 2 3 5 4" xfId="10504" xr:uid="{A5CEC7A6-492F-4D5F-A803-4315BA3111A9}"/>
    <cellStyle name="Comma 4 3 2 3 6" xfId="2401" xr:uid="{00000000-0005-0000-0000-000054090000}"/>
    <cellStyle name="Comma 4 3 2 3 6 2" xfId="6685" xr:uid="{00000000-0005-0000-0000-000055090000}"/>
    <cellStyle name="Comma 4 3 2 3 6 2 2" xfId="15135" xr:uid="{C48576BD-473B-4E3B-9A55-69D41E94E32B}"/>
    <cellStyle name="Comma 4 3 2 3 6 3" xfId="10917" xr:uid="{B533A613-A523-4518-9F95-2D579CE53D4C}"/>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66A9FF70-BA12-436B-9739-E0D8EACEE27A}"/>
    <cellStyle name="Comma 4 3 2 3 8 3" xfId="11234" xr:uid="{366197B0-F1EA-498C-8C5A-CD2A848765A2}"/>
    <cellStyle name="Comma 4 3 2 3 9" xfId="4619" xr:uid="{00000000-0005-0000-0000-000059090000}"/>
    <cellStyle name="Comma 4 3 2 3 9 2" xfId="13069" xr:uid="{5987106B-7DD1-4D1A-A566-2FCFEB1FF0B9}"/>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8397BB55-3209-4D2F-B9FE-C6B4F47C41BF}"/>
    <cellStyle name="Comma 4 3 2 4 2 3" xfId="11407" xr:uid="{090429BD-CD41-4F6B-A5C8-694FD7ACCCA1}"/>
    <cellStyle name="Comma 4 3 2 4 3" xfId="5030" xr:uid="{00000000-0005-0000-0000-00005D090000}"/>
    <cellStyle name="Comma 4 3 2 4 3 2" xfId="13480" xr:uid="{A369E238-A404-40E8-9005-0EC825D33B16}"/>
    <cellStyle name="Comma 4 3 2 4 4" xfId="9262" xr:uid="{B00B2D43-F591-429F-AAD6-06CDB5FDFABC}"/>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6D8F0B6F-AB1B-445E-93B4-36C5E2BA3D86}"/>
    <cellStyle name="Comma 4 3 2 5 2 3" xfId="11820" xr:uid="{50A31C35-FD6C-4C0D-8669-139612A12AE5}"/>
    <cellStyle name="Comma 4 3 2 5 3" xfId="5443" xr:uid="{00000000-0005-0000-0000-000061090000}"/>
    <cellStyle name="Comma 4 3 2 5 3 2" xfId="13893" xr:uid="{E6CC71C0-C476-4399-9265-4FC6408A066E}"/>
    <cellStyle name="Comma 4 3 2 5 4" xfId="9675" xr:uid="{E72A4BD7-13EA-46B1-B5F2-F52FA296AA74}"/>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4A0252A4-C98F-4651-94B9-72396C071C02}"/>
    <cellStyle name="Comma 4 3 2 6 2 3" xfId="12233" xr:uid="{1D3A6278-069E-4E08-B394-71851A640EC4}"/>
    <cellStyle name="Comma 4 3 2 6 3" xfId="5856" xr:uid="{00000000-0005-0000-0000-000065090000}"/>
    <cellStyle name="Comma 4 3 2 6 3 2" xfId="14306" xr:uid="{4270897B-3CCC-4569-9351-F54CCF6B9E7C}"/>
    <cellStyle name="Comma 4 3 2 6 4" xfId="10088" xr:uid="{035FA502-8D89-4D3F-9230-9FA67D1AF92C}"/>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5106E4E3-E407-4386-827F-CC48B8F8DEC7}"/>
    <cellStyle name="Comma 4 3 2 7 2 3" xfId="12646" xr:uid="{22654A09-060B-4364-B713-0D8D8CB7EAAF}"/>
    <cellStyle name="Comma 4 3 2 7 3" xfId="6269" xr:uid="{00000000-0005-0000-0000-000069090000}"/>
    <cellStyle name="Comma 4 3 2 7 3 2" xfId="14719" xr:uid="{ACF82B95-3B97-4420-AC30-E47077FD6566}"/>
    <cellStyle name="Comma 4 3 2 7 4" xfId="10501" xr:uid="{475F3BE6-7D3C-4632-BEC3-96D311BA5254}"/>
    <cellStyle name="Comma 4 3 2 8" xfId="2398" xr:uid="{00000000-0005-0000-0000-00006A090000}"/>
    <cellStyle name="Comma 4 3 2 8 2" xfId="6682" xr:uid="{00000000-0005-0000-0000-00006B090000}"/>
    <cellStyle name="Comma 4 3 2 8 2 2" xfId="15132" xr:uid="{39509F1C-7578-4271-920D-45C170184E91}"/>
    <cellStyle name="Comma 4 3 2 8 3" xfId="10914" xr:uid="{01F0EB51-77B8-4574-91EF-13A70898FB68}"/>
    <cellStyle name="Comma 4 3 2 9" xfId="2365" xr:uid="{00000000-0005-0000-0000-00006C090000}"/>
    <cellStyle name="Comma 4 3 3" xfId="149" xr:uid="{00000000-0005-0000-0000-00006D090000}"/>
    <cellStyle name="Comma 4 3 3 10" xfId="4620" xr:uid="{00000000-0005-0000-0000-00006E090000}"/>
    <cellStyle name="Comma 4 3 3 10 2" xfId="13070" xr:uid="{43756772-CEA8-4C0B-A99F-EBDF358C1195}"/>
    <cellStyle name="Comma 4 3 3 11" xfId="8852" xr:uid="{8EA383D7-2DA6-45D2-8F34-7A9C1C0AECA1}"/>
    <cellStyle name="Comma 4 3 3 2" xfId="150" xr:uid="{00000000-0005-0000-0000-00006F090000}"/>
    <cellStyle name="Comma 4 3 3 2 10" xfId="8853" xr:uid="{1FDDABF3-725D-4665-A757-E2109D971A20}"/>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AB835116-7CE6-44D3-84ED-AA678B7801E1}"/>
    <cellStyle name="Comma 4 3 3 2 2 2 3" xfId="11412" xr:uid="{083ED537-08CC-401C-AE2D-7CEFA291A19A}"/>
    <cellStyle name="Comma 4 3 3 2 2 3" xfId="5035" xr:uid="{00000000-0005-0000-0000-000073090000}"/>
    <cellStyle name="Comma 4 3 3 2 2 3 2" xfId="13485" xr:uid="{9E5F9602-1D62-44B8-8927-FBF40FF43159}"/>
    <cellStyle name="Comma 4 3 3 2 2 4" xfId="9267" xr:uid="{134E9F9A-4F9D-4428-B081-67B91C5A0EC4}"/>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F7FE686A-9743-4F63-A0D4-CE9D8D8CA9EB}"/>
    <cellStyle name="Comma 4 3 3 2 3 2 3" xfId="11825" xr:uid="{D5169C40-9B9C-4DEE-8119-EED844B8199C}"/>
    <cellStyle name="Comma 4 3 3 2 3 3" xfId="5448" xr:uid="{00000000-0005-0000-0000-000077090000}"/>
    <cellStyle name="Comma 4 3 3 2 3 3 2" xfId="13898" xr:uid="{6FC5A495-3E99-4AF0-9C84-BBB423556FD8}"/>
    <cellStyle name="Comma 4 3 3 2 3 4" xfId="9680" xr:uid="{149DB3D0-042B-4DF1-8BAA-FB547E2C8654}"/>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D0174DDC-B3E2-4DCB-B2E5-C4520793704E}"/>
    <cellStyle name="Comma 4 3 3 2 4 2 3" xfId="12238" xr:uid="{F7EBF18C-3555-417A-AE4E-9C6ED4E2A79B}"/>
    <cellStyle name="Comma 4 3 3 2 4 3" xfId="5861" xr:uid="{00000000-0005-0000-0000-00007B090000}"/>
    <cellStyle name="Comma 4 3 3 2 4 3 2" xfId="14311" xr:uid="{96B1742C-5A41-4DFF-ABCE-9E72A1E72759}"/>
    <cellStyle name="Comma 4 3 3 2 4 4" xfId="10093" xr:uid="{F247ADC7-B23F-47ED-AC14-E2E973CE167F}"/>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110DFE49-2202-428E-B50B-FFF27C3B96EA}"/>
    <cellStyle name="Comma 4 3 3 2 5 2 3" xfId="12651" xr:uid="{F1808A8C-FFEA-4B71-A4D6-B47C6390EAD0}"/>
    <cellStyle name="Comma 4 3 3 2 5 3" xfId="6274" xr:uid="{00000000-0005-0000-0000-00007F090000}"/>
    <cellStyle name="Comma 4 3 3 2 5 3 2" xfId="14724" xr:uid="{AA0E6C0E-2968-445A-8B3E-7802B0EB8D29}"/>
    <cellStyle name="Comma 4 3 3 2 5 4" xfId="10506" xr:uid="{412F2823-7EDA-4943-A0B0-2FFBF7AB9A2A}"/>
    <cellStyle name="Comma 4 3 3 2 6" xfId="2403" xr:uid="{00000000-0005-0000-0000-000080090000}"/>
    <cellStyle name="Comma 4 3 3 2 6 2" xfId="6687" xr:uid="{00000000-0005-0000-0000-000081090000}"/>
    <cellStyle name="Comma 4 3 3 2 6 2 2" xfId="15137" xr:uid="{CBE492CC-BB11-4106-8CF8-B1164CDAD1CA}"/>
    <cellStyle name="Comma 4 3 3 2 6 3" xfId="10919" xr:uid="{792C5411-08C0-4CE1-BE59-13EFE10580E7}"/>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8EB0219F-CD7E-4835-9DB0-0E381269DFAF}"/>
    <cellStyle name="Comma 4 3 3 2 8 3" xfId="11236" xr:uid="{D0466C47-AD06-4985-A7FD-AF3E0DF21CA5}"/>
    <cellStyle name="Comma 4 3 3 2 9" xfId="4621" xr:uid="{00000000-0005-0000-0000-000085090000}"/>
    <cellStyle name="Comma 4 3 3 2 9 2" xfId="13071" xr:uid="{C15AE5A1-B3ED-4244-9C67-D38600C3DC13}"/>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F1B0BA92-5F83-4A1E-96AC-2B5605CC77BB}"/>
    <cellStyle name="Comma 4 3 3 3 2 3" xfId="11411" xr:uid="{5A04B83E-3DF8-43B2-A7D6-2721C1F19318}"/>
    <cellStyle name="Comma 4 3 3 3 3" xfId="5034" xr:uid="{00000000-0005-0000-0000-000089090000}"/>
    <cellStyle name="Comma 4 3 3 3 3 2" xfId="13484" xr:uid="{2B30657B-D5D0-4AFE-A4FA-FEE682FE7B46}"/>
    <cellStyle name="Comma 4 3 3 3 4" xfId="9266" xr:uid="{28BDEFF9-41F3-4AA0-BCC5-4177A142A312}"/>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8CD60223-5227-49E4-98E7-6B107A1D01D6}"/>
    <cellStyle name="Comma 4 3 3 4 2 3" xfId="11824" xr:uid="{E36D82CF-629E-4CA6-98C9-9091810FB414}"/>
    <cellStyle name="Comma 4 3 3 4 3" xfId="5447" xr:uid="{00000000-0005-0000-0000-00008D090000}"/>
    <cellStyle name="Comma 4 3 3 4 3 2" xfId="13897" xr:uid="{915180A2-FB6F-46FB-A740-C49EE5DC0A08}"/>
    <cellStyle name="Comma 4 3 3 4 4" xfId="9679" xr:uid="{62FD6188-E773-4C1F-A681-3689A3FAA060}"/>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A6F0CC74-CD1B-49B6-A94A-5B0CE9F53D49}"/>
    <cellStyle name="Comma 4 3 3 5 2 3" xfId="12237" xr:uid="{8AFBAE6F-69A1-4E04-A713-EEF69AC56F41}"/>
    <cellStyle name="Comma 4 3 3 5 3" xfId="5860" xr:uid="{00000000-0005-0000-0000-000091090000}"/>
    <cellStyle name="Comma 4 3 3 5 3 2" xfId="14310" xr:uid="{0CB6B037-526F-4ACC-B0C9-0E1F1706F1AB}"/>
    <cellStyle name="Comma 4 3 3 5 4" xfId="10092" xr:uid="{16932868-42AB-4F93-A701-D8AC4D148946}"/>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95040FD6-83DD-442B-9A02-CF151335BB52}"/>
    <cellStyle name="Comma 4 3 3 6 2 3" xfId="12650" xr:uid="{CB406069-10B0-41EC-B3AE-4840D1394C0C}"/>
    <cellStyle name="Comma 4 3 3 6 3" xfId="6273" xr:uid="{00000000-0005-0000-0000-000095090000}"/>
    <cellStyle name="Comma 4 3 3 6 3 2" xfId="14723" xr:uid="{DAB8FF4A-C63C-4BFD-87E7-B300ACA88987}"/>
    <cellStyle name="Comma 4 3 3 6 4" xfId="10505" xr:uid="{09010BF2-4E8D-4F70-AB0F-0514E59BBB8A}"/>
    <cellStyle name="Comma 4 3 3 7" xfId="2402" xr:uid="{00000000-0005-0000-0000-000096090000}"/>
    <cellStyle name="Comma 4 3 3 7 2" xfId="6686" xr:uid="{00000000-0005-0000-0000-000097090000}"/>
    <cellStyle name="Comma 4 3 3 7 2 2" xfId="15136" xr:uid="{7F366BE8-806C-449F-8EE3-158DB85A44D2}"/>
    <cellStyle name="Comma 4 3 3 7 3" xfId="10918" xr:uid="{F5D364F8-72DF-40F2-8A7F-DA45F77CD6AB}"/>
    <cellStyle name="Comma 4 3 3 8" xfId="2361" xr:uid="{00000000-0005-0000-0000-000098090000}"/>
    <cellStyle name="Comma 4 3 3 9" xfId="2780" xr:uid="{00000000-0005-0000-0000-000099090000}"/>
    <cellStyle name="Comma 4 3 3 9 2" xfId="7003" xr:uid="{00000000-0005-0000-0000-00009A090000}"/>
    <cellStyle name="Comma 4 3 3 9 2 2" xfId="15453" xr:uid="{4512F81F-3E64-453E-BA69-05A0FFEB0AAC}"/>
    <cellStyle name="Comma 4 3 3 9 3" xfId="11235" xr:uid="{C3A8B21C-F34F-4C96-AA28-D4D072B64220}"/>
    <cellStyle name="Comma 4 3 4" xfId="151" xr:uid="{00000000-0005-0000-0000-00009B090000}"/>
    <cellStyle name="Comma 4 3 4 10" xfId="8854" xr:uid="{419B1CD0-CB07-47EA-96B6-135BCF8B7786}"/>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C2362EAB-1598-4F1E-9D34-E8BD1B0A753F}"/>
    <cellStyle name="Comma 4 3 4 2 2 3" xfId="11413" xr:uid="{BFC7D4B7-1C5E-42DA-8BF7-55829EAEE7E0}"/>
    <cellStyle name="Comma 4 3 4 2 3" xfId="5036" xr:uid="{00000000-0005-0000-0000-00009F090000}"/>
    <cellStyle name="Comma 4 3 4 2 3 2" xfId="13486" xr:uid="{BF8A52D6-CC04-4240-BC62-E3613BB81FEC}"/>
    <cellStyle name="Comma 4 3 4 2 4" xfId="9268" xr:uid="{901BE155-39C3-4F94-B873-E865C9620881}"/>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068B5CA1-3076-4071-8FB5-CAFDEEDA0EF6}"/>
    <cellStyle name="Comma 4 3 4 3 2 3" xfId="11826" xr:uid="{A260B081-79F5-4C13-B450-28B4895426AE}"/>
    <cellStyle name="Comma 4 3 4 3 3" xfId="5449" xr:uid="{00000000-0005-0000-0000-0000A3090000}"/>
    <cellStyle name="Comma 4 3 4 3 3 2" xfId="13899" xr:uid="{2DE5A53B-00F6-4421-870A-28068DB792DA}"/>
    <cellStyle name="Comma 4 3 4 3 4" xfId="9681" xr:uid="{DD05F39B-70FF-44CD-8335-F1AFC9BB95EF}"/>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AC5B0D58-FA93-47F2-817D-F228FB7C4F3A}"/>
    <cellStyle name="Comma 4 3 4 4 2 3" xfId="12239" xr:uid="{11C902C7-6FF9-4A93-862E-AB62EDD0B62A}"/>
    <cellStyle name="Comma 4 3 4 4 3" xfId="5862" xr:uid="{00000000-0005-0000-0000-0000A7090000}"/>
    <cellStyle name="Comma 4 3 4 4 3 2" xfId="14312" xr:uid="{8886C58E-CBC1-4C7C-A921-6131235171E4}"/>
    <cellStyle name="Comma 4 3 4 4 4" xfId="10094" xr:uid="{692D1725-B01A-4364-B93B-E9621A481606}"/>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5FDC09A0-3AC7-43D1-B5EB-FFC03686FC6C}"/>
    <cellStyle name="Comma 4 3 4 5 2 3" xfId="12652" xr:uid="{DCB020DE-145E-4BA2-A171-D77B4ABB3CB1}"/>
    <cellStyle name="Comma 4 3 4 5 3" xfId="6275" xr:uid="{00000000-0005-0000-0000-0000AB090000}"/>
    <cellStyle name="Comma 4 3 4 5 3 2" xfId="14725" xr:uid="{AC81DAC2-796D-40C4-805D-C8B04401A950}"/>
    <cellStyle name="Comma 4 3 4 5 4" xfId="10507" xr:uid="{4087C41E-A263-402E-A0E2-F13A1EEEEDA1}"/>
    <cellStyle name="Comma 4 3 4 6" xfId="2404" xr:uid="{00000000-0005-0000-0000-0000AC090000}"/>
    <cellStyle name="Comma 4 3 4 6 2" xfId="6688" xr:uid="{00000000-0005-0000-0000-0000AD090000}"/>
    <cellStyle name="Comma 4 3 4 6 2 2" xfId="15138" xr:uid="{C0CDD1D6-F6AE-41CA-B480-3872464EDB2A}"/>
    <cellStyle name="Comma 4 3 4 6 3" xfId="10920" xr:uid="{061F3B8B-0E86-4B1A-A044-9EAB5FC849AF}"/>
    <cellStyle name="Comma 4 3 4 7" xfId="2700" xr:uid="{00000000-0005-0000-0000-0000AE090000}"/>
    <cellStyle name="Comma 4 3 4 8" xfId="2782" xr:uid="{00000000-0005-0000-0000-0000AF090000}"/>
    <cellStyle name="Comma 4 3 4 8 2" xfId="7005" xr:uid="{00000000-0005-0000-0000-0000B0090000}"/>
    <cellStyle name="Comma 4 3 4 8 2 2" xfId="15455" xr:uid="{E3F7F6C9-8954-42E8-81B4-27A17F80FA2A}"/>
    <cellStyle name="Comma 4 3 4 8 3" xfId="11237" xr:uid="{072919E8-CB1C-47E2-8DC1-56DE693A6AA3}"/>
    <cellStyle name="Comma 4 3 4 9" xfId="4622" xr:uid="{00000000-0005-0000-0000-0000B1090000}"/>
    <cellStyle name="Comma 4 3 4 9 2" xfId="13072" xr:uid="{50EFB828-B73E-4CE5-A9B0-382ED5CD00CE}"/>
    <cellStyle name="Comma 4 3 5" xfId="152" xr:uid="{00000000-0005-0000-0000-0000B2090000}"/>
    <cellStyle name="Comma 4 3 5 10" xfId="8855" xr:uid="{29540907-78E8-491F-95A2-9BDC7E142FE2}"/>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8B10FA25-7457-47D0-BC6C-F6041E1881AC}"/>
    <cellStyle name="Comma 4 3 5 2 2 3" xfId="11414" xr:uid="{B67EBB65-70F2-4091-884C-04BAF7297EE7}"/>
    <cellStyle name="Comma 4 3 5 2 3" xfId="5037" xr:uid="{00000000-0005-0000-0000-0000B6090000}"/>
    <cellStyle name="Comma 4 3 5 2 3 2" xfId="13487" xr:uid="{1CD59746-C4BA-418A-9B67-331C6B293981}"/>
    <cellStyle name="Comma 4 3 5 2 4" xfId="9269" xr:uid="{C5182E0E-D491-4B4D-BD78-F5B621A6C407}"/>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0C9E411A-857A-43D8-B1FF-218F0663DC1B}"/>
    <cellStyle name="Comma 4 3 5 3 2 3" xfId="11827" xr:uid="{FA74469D-A070-4D2E-A1C0-365F1C0B5046}"/>
    <cellStyle name="Comma 4 3 5 3 3" xfId="5450" xr:uid="{00000000-0005-0000-0000-0000BA090000}"/>
    <cellStyle name="Comma 4 3 5 3 3 2" xfId="13900" xr:uid="{F16C43E5-FB63-4509-954F-DFFDCE929518}"/>
    <cellStyle name="Comma 4 3 5 3 4" xfId="9682" xr:uid="{5B8B0E44-EAED-410D-8090-4640DF399996}"/>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0EDB1B8E-DE04-4A8A-984C-6294D6DF4782}"/>
    <cellStyle name="Comma 4 3 5 4 2 3" xfId="12240" xr:uid="{4134BA62-674E-42C9-AACA-01401E611F61}"/>
    <cellStyle name="Comma 4 3 5 4 3" xfId="5863" xr:uid="{00000000-0005-0000-0000-0000BE090000}"/>
    <cellStyle name="Comma 4 3 5 4 3 2" xfId="14313" xr:uid="{117B7692-CB2D-46DC-B516-51F02199CA1E}"/>
    <cellStyle name="Comma 4 3 5 4 4" xfId="10095" xr:uid="{9A538230-2B87-4E1F-8AC1-C02D65162341}"/>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C26C7C76-BA1A-4A87-AEEE-745359DCE1C2}"/>
    <cellStyle name="Comma 4 3 5 5 2 3" xfId="12653" xr:uid="{24F78239-4BA1-4E14-BCBB-3BF7E33D1BF0}"/>
    <cellStyle name="Comma 4 3 5 5 3" xfId="6276" xr:uid="{00000000-0005-0000-0000-0000C2090000}"/>
    <cellStyle name="Comma 4 3 5 5 3 2" xfId="14726" xr:uid="{89F60A35-C475-46E9-BA0F-A78ABA6CFD86}"/>
    <cellStyle name="Comma 4 3 5 5 4" xfId="10508" xr:uid="{755A9606-DEA4-4E27-AF43-C6E6A5245156}"/>
    <cellStyle name="Comma 4 3 5 6" xfId="2405" xr:uid="{00000000-0005-0000-0000-0000C3090000}"/>
    <cellStyle name="Comma 4 3 5 6 2" xfId="6689" xr:uid="{00000000-0005-0000-0000-0000C4090000}"/>
    <cellStyle name="Comma 4 3 5 6 2 2" xfId="15139" xr:uid="{BC49E638-FCE9-4AE2-968F-A222E0818E49}"/>
    <cellStyle name="Comma 4 3 5 6 3" xfId="10921" xr:uid="{9DD75B69-97B6-4C58-B9A7-95BF1266830E}"/>
    <cellStyle name="Comma 4 3 5 7" xfId="2701" xr:uid="{00000000-0005-0000-0000-0000C5090000}"/>
    <cellStyle name="Comma 4 3 5 8" xfId="2783" xr:uid="{00000000-0005-0000-0000-0000C6090000}"/>
    <cellStyle name="Comma 4 3 5 8 2" xfId="7006" xr:uid="{00000000-0005-0000-0000-0000C7090000}"/>
    <cellStyle name="Comma 4 3 5 8 2 2" xfId="15456" xr:uid="{FA5B4944-CBE3-4C58-8BAE-0BD7CF0A2318}"/>
    <cellStyle name="Comma 4 3 5 8 3" xfId="11238" xr:uid="{52FAE95F-FC54-4303-807F-DA0236FC8310}"/>
    <cellStyle name="Comma 4 3 5 9" xfId="4623" xr:uid="{00000000-0005-0000-0000-0000C8090000}"/>
    <cellStyle name="Comma 4 3 5 9 2" xfId="13073" xr:uid="{FCCF0464-C8AC-4990-A5D5-312591A03554}"/>
    <cellStyle name="Comma 4 4" xfId="153" xr:uid="{00000000-0005-0000-0000-0000C9090000}"/>
    <cellStyle name="Comma 4 4 10" xfId="2784" xr:uid="{00000000-0005-0000-0000-0000CA090000}"/>
    <cellStyle name="Comma 4 4 10 2" xfId="7007" xr:uid="{00000000-0005-0000-0000-0000CB090000}"/>
    <cellStyle name="Comma 4 4 10 2 2" xfId="15457" xr:uid="{C895F9B8-0D7B-4BBF-B8A3-ECA592AD2C27}"/>
    <cellStyle name="Comma 4 4 10 3" xfId="11239" xr:uid="{7E18F2CA-A0B9-4458-B22C-C7443182A931}"/>
    <cellStyle name="Comma 4 4 11" xfId="4624" xr:uid="{00000000-0005-0000-0000-0000CC090000}"/>
    <cellStyle name="Comma 4 4 11 2" xfId="13074" xr:uid="{115FBD4C-AC92-4DA7-A9B3-96A88A6D1C45}"/>
    <cellStyle name="Comma 4 4 12" xfId="8856" xr:uid="{836ACB3E-EF15-4216-B4E8-C2740A5BC702}"/>
    <cellStyle name="Comma 4 4 2" xfId="154" xr:uid="{00000000-0005-0000-0000-0000CD090000}"/>
    <cellStyle name="Comma 4 4 2 10" xfId="4625" xr:uid="{00000000-0005-0000-0000-0000CE090000}"/>
    <cellStyle name="Comma 4 4 2 10 2" xfId="13075" xr:uid="{E09CE13C-B631-4356-98A4-4B605533FE88}"/>
    <cellStyle name="Comma 4 4 2 11" xfId="8857" xr:uid="{27C2F913-ADC5-4E2A-8C5E-4DB508F10584}"/>
    <cellStyle name="Comma 4 4 2 2" xfId="155" xr:uid="{00000000-0005-0000-0000-0000CF090000}"/>
    <cellStyle name="Comma 4 4 2 2 10" xfId="8858" xr:uid="{E5C84B0E-A015-47E3-BD79-D85B3432BF55}"/>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3F8BAF3B-A69B-4061-A498-794F314B889C}"/>
    <cellStyle name="Comma 4 4 2 2 2 2 3" xfId="11417" xr:uid="{825B67DF-1A92-4958-ACF8-DDD752D15E13}"/>
    <cellStyle name="Comma 4 4 2 2 2 3" xfId="5040" xr:uid="{00000000-0005-0000-0000-0000D3090000}"/>
    <cellStyle name="Comma 4 4 2 2 2 3 2" xfId="13490" xr:uid="{55F20BE8-6EE0-40EF-8BCA-62066BBD13C7}"/>
    <cellStyle name="Comma 4 4 2 2 2 4" xfId="9272" xr:uid="{4387A786-BD8B-4E20-9FC2-D691FA55EA6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F86AAAA2-B010-442A-A9B1-1FDB9BCF172B}"/>
    <cellStyle name="Comma 4 4 2 2 3 2 3" xfId="11830" xr:uid="{43176DC9-A077-4934-88A3-357DAD3F4137}"/>
    <cellStyle name="Comma 4 4 2 2 3 3" xfId="5453" xr:uid="{00000000-0005-0000-0000-0000D7090000}"/>
    <cellStyle name="Comma 4 4 2 2 3 3 2" xfId="13903" xr:uid="{4850CA12-28E3-4133-9BB1-3C97514C4339}"/>
    <cellStyle name="Comma 4 4 2 2 3 4" xfId="9685" xr:uid="{BB5C9D3B-B5EA-43E1-9B7E-62FE8BD4757C}"/>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607AE7F9-4A0A-4519-970A-17E6F94A5C0D}"/>
    <cellStyle name="Comma 4 4 2 2 4 2 3" xfId="12243" xr:uid="{09851011-6C10-49AF-91EF-E1C234DD92E7}"/>
    <cellStyle name="Comma 4 4 2 2 4 3" xfId="5866" xr:uid="{00000000-0005-0000-0000-0000DB090000}"/>
    <cellStyle name="Comma 4 4 2 2 4 3 2" xfId="14316" xr:uid="{7737C94F-C28B-4679-B463-DE633388EBEE}"/>
    <cellStyle name="Comma 4 4 2 2 4 4" xfId="10098" xr:uid="{0E42A3D6-116F-4590-9277-E07E60CBD471}"/>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C04FF84E-8F2D-4818-B0F1-3DE4D2D84A1A}"/>
    <cellStyle name="Comma 4 4 2 2 5 2 3" xfId="12656" xr:uid="{6A1693B3-7355-4A8F-BC29-94D51C62007C}"/>
    <cellStyle name="Comma 4 4 2 2 5 3" xfId="6279" xr:uid="{00000000-0005-0000-0000-0000DF090000}"/>
    <cellStyle name="Comma 4 4 2 2 5 3 2" xfId="14729" xr:uid="{C9358FE5-E85C-4D1D-B635-067FC2F653FF}"/>
    <cellStyle name="Comma 4 4 2 2 5 4" xfId="10511" xr:uid="{AB822D43-DBA9-4BEF-9B3C-6B452AD15901}"/>
    <cellStyle name="Comma 4 4 2 2 6" xfId="2408" xr:uid="{00000000-0005-0000-0000-0000E0090000}"/>
    <cellStyle name="Comma 4 4 2 2 6 2" xfId="6692" xr:uid="{00000000-0005-0000-0000-0000E1090000}"/>
    <cellStyle name="Comma 4 4 2 2 6 2 2" xfId="15142" xr:uid="{EF589350-3356-4B5F-981B-949034FFF1C2}"/>
    <cellStyle name="Comma 4 4 2 2 6 3" xfId="10924" xr:uid="{B9A76394-C2CD-4688-BC2C-6922A1FB8C14}"/>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7C6CDF0C-53C5-40AF-8293-FEBAD9F051BD}"/>
    <cellStyle name="Comma 4 4 2 2 8 3" xfId="11241" xr:uid="{AB93D11F-2C03-4A0D-9D0F-86C07D6A3D23}"/>
    <cellStyle name="Comma 4 4 2 2 9" xfId="4626" xr:uid="{00000000-0005-0000-0000-0000E5090000}"/>
    <cellStyle name="Comma 4 4 2 2 9 2" xfId="13076" xr:uid="{0469CCD1-9F52-490A-9BD9-5E1777D69102}"/>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0F72BB0D-6621-4926-BBE4-085BEDC4AB93}"/>
    <cellStyle name="Comma 4 4 2 3 2 3" xfId="11416" xr:uid="{BB8CEB92-E51F-4497-854C-2880C4309D16}"/>
    <cellStyle name="Comma 4 4 2 3 3" xfId="5039" xr:uid="{00000000-0005-0000-0000-0000E9090000}"/>
    <cellStyle name="Comma 4 4 2 3 3 2" xfId="13489" xr:uid="{30518F14-6D48-4377-BA3F-D1B87368E475}"/>
    <cellStyle name="Comma 4 4 2 3 4" xfId="9271" xr:uid="{5A164A34-7E5D-4169-B62F-D00E8739A274}"/>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714AD9A1-F27A-4550-874E-FE7972FF86F5}"/>
    <cellStyle name="Comma 4 4 2 4 2 3" xfId="11829" xr:uid="{151C52C1-4B54-4BDB-BF49-E2C0CC4D297F}"/>
    <cellStyle name="Comma 4 4 2 4 3" xfId="5452" xr:uid="{00000000-0005-0000-0000-0000ED090000}"/>
    <cellStyle name="Comma 4 4 2 4 3 2" xfId="13902" xr:uid="{68F5C934-FB4A-42A3-B990-FA71CA8AC4DB}"/>
    <cellStyle name="Comma 4 4 2 4 4" xfId="9684" xr:uid="{99FC2497-3E20-45DF-B286-FFE9267402C0}"/>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363B6909-70D3-43B5-9EDA-98A26BEEFB56}"/>
    <cellStyle name="Comma 4 4 2 5 2 3" xfId="12242" xr:uid="{CA4C7203-11FC-4C5C-B543-1354941A8F9D}"/>
    <cellStyle name="Comma 4 4 2 5 3" xfId="5865" xr:uid="{00000000-0005-0000-0000-0000F1090000}"/>
    <cellStyle name="Comma 4 4 2 5 3 2" xfId="14315" xr:uid="{A72A8314-ADA3-4B1F-9DA7-287B1F0F5083}"/>
    <cellStyle name="Comma 4 4 2 5 4" xfId="10097" xr:uid="{98FAE4CE-DF7A-4ED0-BEEE-F4F0A7F57FF3}"/>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0B960FB3-8B38-48D2-8FF8-A71E9A837EC9}"/>
    <cellStyle name="Comma 4 4 2 6 2 3" xfId="12655" xr:uid="{834995B2-C202-4CCA-A86C-F56B7CEA21F7}"/>
    <cellStyle name="Comma 4 4 2 6 3" xfId="6278" xr:uid="{00000000-0005-0000-0000-0000F5090000}"/>
    <cellStyle name="Comma 4 4 2 6 3 2" xfId="14728" xr:uid="{3702FE26-E96E-48A0-AFD0-E0EEFBF8353C}"/>
    <cellStyle name="Comma 4 4 2 6 4" xfId="10510" xr:uid="{3C6092BA-F8D9-467D-9C73-A5B03F317A22}"/>
    <cellStyle name="Comma 4 4 2 7" xfId="2407" xr:uid="{00000000-0005-0000-0000-0000F6090000}"/>
    <cellStyle name="Comma 4 4 2 7 2" xfId="6691" xr:uid="{00000000-0005-0000-0000-0000F7090000}"/>
    <cellStyle name="Comma 4 4 2 7 2 2" xfId="15141" xr:uid="{D4F15110-E960-4598-9AB8-188B603AC6C7}"/>
    <cellStyle name="Comma 4 4 2 7 3" xfId="10923" xr:uid="{92DCED55-47A1-447E-BE86-7CC57DEE6D75}"/>
    <cellStyle name="Comma 4 4 2 8" xfId="2703" xr:uid="{00000000-0005-0000-0000-0000F8090000}"/>
    <cellStyle name="Comma 4 4 2 9" xfId="2785" xr:uid="{00000000-0005-0000-0000-0000F9090000}"/>
    <cellStyle name="Comma 4 4 2 9 2" xfId="7008" xr:uid="{00000000-0005-0000-0000-0000FA090000}"/>
    <cellStyle name="Comma 4 4 2 9 2 2" xfId="15458" xr:uid="{183B533E-F539-47EB-92F3-15BF5BFECBA7}"/>
    <cellStyle name="Comma 4 4 2 9 3" xfId="11240" xr:uid="{1D86D1A8-B1EE-4F90-99BA-6DB5A87EAF13}"/>
    <cellStyle name="Comma 4 4 3" xfId="156" xr:uid="{00000000-0005-0000-0000-0000FB090000}"/>
    <cellStyle name="Comma 4 4 3 10" xfId="8859" xr:uid="{8C08CAFA-ECA4-4C2C-905F-364C6C91B0AD}"/>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49EA0891-3C29-4DCE-9FED-AA86004EF5F1}"/>
    <cellStyle name="Comma 4 4 3 2 2 3" xfId="11418" xr:uid="{07E6F55C-64A2-4B2D-BB81-2B88AB7CEECC}"/>
    <cellStyle name="Comma 4 4 3 2 3" xfId="5041" xr:uid="{00000000-0005-0000-0000-0000FF090000}"/>
    <cellStyle name="Comma 4 4 3 2 3 2" xfId="13491" xr:uid="{BCADD7F2-A691-488A-B448-604805D5DA99}"/>
    <cellStyle name="Comma 4 4 3 2 4" xfId="9273" xr:uid="{F64D89FE-878C-47BB-B181-A4FD3A037993}"/>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49492423-B12A-49BB-97FF-C43AB39C633B}"/>
    <cellStyle name="Comma 4 4 3 3 2 3" xfId="11831" xr:uid="{2BDDDA1E-B639-4D01-9FE2-97CD7C78723B}"/>
    <cellStyle name="Comma 4 4 3 3 3" xfId="5454" xr:uid="{00000000-0005-0000-0000-0000030A0000}"/>
    <cellStyle name="Comma 4 4 3 3 3 2" xfId="13904" xr:uid="{57697DBC-C0EB-485B-A97F-E5285F97BCC8}"/>
    <cellStyle name="Comma 4 4 3 3 4" xfId="9686" xr:uid="{3AD87ECE-F7FA-4E89-B0BB-ACC7665147BD}"/>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534BADC4-8833-4C37-8F85-6A687AE6BAA0}"/>
    <cellStyle name="Comma 4 4 3 4 2 3" xfId="12244" xr:uid="{F0B54F94-C21B-4DB0-8ADC-8A307F9457F9}"/>
    <cellStyle name="Comma 4 4 3 4 3" xfId="5867" xr:uid="{00000000-0005-0000-0000-0000070A0000}"/>
    <cellStyle name="Comma 4 4 3 4 3 2" xfId="14317" xr:uid="{53B0E9D5-E8FF-4937-B30B-F8EA57F3FF0C}"/>
    <cellStyle name="Comma 4 4 3 4 4" xfId="10099" xr:uid="{17F26428-A259-4CFE-9C79-711E5FB5E29C}"/>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3DC51E20-F41A-4ABF-9D86-3C007013D26E}"/>
    <cellStyle name="Comma 4 4 3 5 2 3" xfId="12657" xr:uid="{D51A3D97-D7F2-4DE0-A9BA-AF4057DAF922}"/>
    <cellStyle name="Comma 4 4 3 5 3" xfId="6280" xr:uid="{00000000-0005-0000-0000-00000B0A0000}"/>
    <cellStyle name="Comma 4 4 3 5 3 2" xfId="14730" xr:uid="{DC11D874-34EA-489C-AACF-DEF12F73271D}"/>
    <cellStyle name="Comma 4 4 3 5 4" xfId="10512" xr:uid="{E92AFFE0-DBA4-4C4B-9B2B-E583F9C07099}"/>
    <cellStyle name="Comma 4 4 3 6" xfId="2409" xr:uid="{00000000-0005-0000-0000-00000C0A0000}"/>
    <cellStyle name="Comma 4 4 3 6 2" xfId="6693" xr:uid="{00000000-0005-0000-0000-00000D0A0000}"/>
    <cellStyle name="Comma 4 4 3 6 2 2" xfId="15143" xr:uid="{A6485659-E4E0-43DA-80C8-5EADB42ED961}"/>
    <cellStyle name="Comma 4 4 3 6 3" xfId="10925" xr:uid="{99A5E95C-9A9D-4238-9310-1B19222B69C6}"/>
    <cellStyle name="Comma 4 4 3 7" xfId="2705" xr:uid="{00000000-0005-0000-0000-00000E0A0000}"/>
    <cellStyle name="Comma 4 4 3 8" xfId="2787" xr:uid="{00000000-0005-0000-0000-00000F0A0000}"/>
    <cellStyle name="Comma 4 4 3 8 2" xfId="7010" xr:uid="{00000000-0005-0000-0000-0000100A0000}"/>
    <cellStyle name="Comma 4 4 3 8 2 2" xfId="15460" xr:uid="{C1163EA1-57B3-43F7-B22A-8945F49B7B1A}"/>
    <cellStyle name="Comma 4 4 3 8 3" xfId="11242" xr:uid="{B34C35A5-3E19-4AAB-B1BC-10BBC50C94B3}"/>
    <cellStyle name="Comma 4 4 3 9" xfId="4627" xr:uid="{00000000-0005-0000-0000-0000110A0000}"/>
    <cellStyle name="Comma 4 4 3 9 2" xfId="13077" xr:uid="{50EAB27C-B72B-46F8-BFFA-59514C9A49C4}"/>
    <cellStyle name="Comma 4 4 4" xfId="690" xr:uid="{00000000-0005-0000-0000-0000120A0000}"/>
    <cellStyle name="Comma 4 4 4 2" xfId="2961" xr:uid="{00000000-0005-0000-0000-0000130A0000}"/>
    <cellStyle name="Comma 4 4 4 2 2" xfId="7183" xr:uid="{00000000-0005-0000-0000-0000140A0000}"/>
    <cellStyle name="Comma 4 4 4 2 2 2" xfId="15633" xr:uid="{500B4389-8C74-40E3-A598-2D68447A8156}"/>
    <cellStyle name="Comma 4 4 4 2 3" xfId="11415" xr:uid="{69381122-7987-434D-B3F2-45C607363B83}"/>
    <cellStyle name="Comma 4 4 4 3" xfId="5038" xr:uid="{00000000-0005-0000-0000-0000150A0000}"/>
    <cellStyle name="Comma 4 4 4 3 2" xfId="13488" xr:uid="{2876DCDA-6A6C-469B-8BBD-A07572931941}"/>
    <cellStyle name="Comma 4 4 4 4" xfId="9270" xr:uid="{FD43A10C-710D-4DA0-94C3-2CF19120C329}"/>
    <cellStyle name="Comma 4 4 5" xfId="1143" xr:uid="{00000000-0005-0000-0000-0000160A0000}"/>
    <cellStyle name="Comma 4 4 5 2" xfId="3374" xr:uid="{00000000-0005-0000-0000-0000170A0000}"/>
    <cellStyle name="Comma 4 4 5 2 2" xfId="7596" xr:uid="{00000000-0005-0000-0000-0000180A0000}"/>
    <cellStyle name="Comma 4 4 5 2 2 2" xfId="16046" xr:uid="{67D6D809-1200-4DE5-8E3A-9F85829FCDAB}"/>
    <cellStyle name="Comma 4 4 5 2 3" xfId="11828" xr:uid="{8F3DE44A-9002-4700-BBA0-8F673D302F1F}"/>
    <cellStyle name="Comma 4 4 5 3" xfId="5451" xr:uid="{00000000-0005-0000-0000-0000190A0000}"/>
    <cellStyle name="Comma 4 4 5 3 2" xfId="13901" xr:uid="{51570981-0B3A-4C25-A5E2-95A8935A2568}"/>
    <cellStyle name="Comma 4 4 5 4" xfId="9683" xr:uid="{5B73C5F5-484A-42F5-B959-ED7FE897F3CD}"/>
    <cellStyle name="Comma 4 4 6" xfId="1557" xr:uid="{00000000-0005-0000-0000-00001A0A0000}"/>
    <cellStyle name="Comma 4 4 6 2" xfId="3787" xr:uid="{00000000-0005-0000-0000-00001B0A0000}"/>
    <cellStyle name="Comma 4 4 6 2 2" xfId="8009" xr:uid="{00000000-0005-0000-0000-00001C0A0000}"/>
    <cellStyle name="Comma 4 4 6 2 2 2" xfId="16459" xr:uid="{AEAB5AF4-3A56-4AF8-B006-EDF62395F7A0}"/>
    <cellStyle name="Comma 4 4 6 2 3" xfId="12241" xr:uid="{2DFE8912-7C77-4404-A53A-D86F3758EF2F}"/>
    <cellStyle name="Comma 4 4 6 3" xfId="5864" xr:uid="{00000000-0005-0000-0000-00001D0A0000}"/>
    <cellStyle name="Comma 4 4 6 3 2" xfId="14314" xr:uid="{4BB6759A-EF24-44AA-A373-706861DA8F27}"/>
    <cellStyle name="Comma 4 4 6 4" xfId="10096" xr:uid="{34BD0327-EC20-4D83-9A9D-4BC057D9BC31}"/>
    <cellStyle name="Comma 4 4 7" xfId="1971" xr:uid="{00000000-0005-0000-0000-00001E0A0000}"/>
    <cellStyle name="Comma 4 4 7 2" xfId="4200" xr:uid="{00000000-0005-0000-0000-00001F0A0000}"/>
    <cellStyle name="Comma 4 4 7 2 2" xfId="8422" xr:uid="{00000000-0005-0000-0000-0000200A0000}"/>
    <cellStyle name="Comma 4 4 7 2 2 2" xfId="16872" xr:uid="{4E42A347-8F31-4392-814B-1D82AADBD9E6}"/>
    <cellStyle name="Comma 4 4 7 2 3" xfId="12654" xr:uid="{43DFE710-173A-4268-A5B2-D02825E099A0}"/>
    <cellStyle name="Comma 4 4 7 3" xfId="6277" xr:uid="{00000000-0005-0000-0000-0000210A0000}"/>
    <cellStyle name="Comma 4 4 7 3 2" xfId="14727" xr:uid="{ABAB0A9B-BBB2-4C6C-BAD9-644E7B7F550A}"/>
    <cellStyle name="Comma 4 4 7 4" xfId="10509" xr:uid="{5E8561E4-3EF9-46EA-BEE7-0E4290BF1643}"/>
    <cellStyle name="Comma 4 4 8" xfId="2406" xr:uid="{00000000-0005-0000-0000-0000220A0000}"/>
    <cellStyle name="Comma 4 4 8 2" xfId="6690" xr:uid="{00000000-0005-0000-0000-0000230A0000}"/>
    <cellStyle name="Comma 4 4 8 2 2" xfId="15140" xr:uid="{DE31F2B4-C65B-4827-B5A1-472B8DE86120}"/>
    <cellStyle name="Comma 4 4 8 3" xfId="10922" xr:uid="{9D650917-D816-4322-BA52-1D9CA3FD2E46}"/>
    <cellStyle name="Comma 4 4 9" xfId="2702" xr:uid="{00000000-0005-0000-0000-0000240A0000}"/>
    <cellStyle name="Comma 4 5" xfId="157" xr:uid="{00000000-0005-0000-0000-0000250A0000}"/>
    <cellStyle name="Comma 4 5 10" xfId="4628" xr:uid="{00000000-0005-0000-0000-0000260A0000}"/>
    <cellStyle name="Comma 4 5 10 2" xfId="13078" xr:uid="{F46E3760-7956-47A2-91F9-3F260CA2488D}"/>
    <cellStyle name="Comma 4 5 11" xfId="8860" xr:uid="{BE470BA5-4053-4BB9-94D6-46F9B9BEC6F0}"/>
    <cellStyle name="Comma 4 5 2" xfId="158" xr:uid="{00000000-0005-0000-0000-0000270A0000}"/>
    <cellStyle name="Comma 4 5 2 10" xfId="8861" xr:uid="{BCBE7B2E-D20B-4D48-A7B4-69E2048EA68C}"/>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98E15619-692B-42FC-86E3-5F50D650280C}"/>
    <cellStyle name="Comma 4 5 2 2 2 3" xfId="11420" xr:uid="{85F2A5A0-4108-4DBF-BAAE-4E9537356923}"/>
    <cellStyle name="Comma 4 5 2 2 3" xfId="5043" xr:uid="{00000000-0005-0000-0000-00002B0A0000}"/>
    <cellStyle name="Comma 4 5 2 2 3 2" xfId="13493" xr:uid="{7FACBC35-AFE8-4A4D-8C48-3FAC5FD6D428}"/>
    <cellStyle name="Comma 4 5 2 2 4" xfId="9275" xr:uid="{9A9A2BC9-567E-4109-8F84-F2F0F79ED22A}"/>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7D5E6B1A-C641-4EBF-93CB-D0C324E9E7AF}"/>
    <cellStyle name="Comma 4 5 2 3 2 3" xfId="11833" xr:uid="{5D661529-5D08-4343-BB1B-EC36FDFD9338}"/>
    <cellStyle name="Comma 4 5 2 3 3" xfId="5456" xr:uid="{00000000-0005-0000-0000-00002F0A0000}"/>
    <cellStyle name="Comma 4 5 2 3 3 2" xfId="13906" xr:uid="{CE59A859-8E45-4FE5-A388-EB8FE054DDE6}"/>
    <cellStyle name="Comma 4 5 2 3 4" xfId="9688" xr:uid="{40644586-031D-4E95-BA09-851F06518DC1}"/>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31B5E238-885E-4A94-9064-C55997EB37C3}"/>
    <cellStyle name="Comma 4 5 2 4 2 3" xfId="12246" xr:uid="{9B68D9DC-ABA8-4D1A-8E71-A69922C19F73}"/>
    <cellStyle name="Comma 4 5 2 4 3" xfId="5869" xr:uid="{00000000-0005-0000-0000-0000330A0000}"/>
    <cellStyle name="Comma 4 5 2 4 3 2" xfId="14319" xr:uid="{CED8112A-8ABB-4573-9F39-CDBFF91C7984}"/>
    <cellStyle name="Comma 4 5 2 4 4" xfId="10101" xr:uid="{C37473A0-0027-45FB-B21B-CD942627CFC6}"/>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2C0E8BB2-4D01-4D16-A9FB-D82B33D4D230}"/>
    <cellStyle name="Comma 4 5 2 5 2 3" xfId="12659" xr:uid="{D4A08487-6E2E-455F-97E0-AE3DF6947348}"/>
    <cellStyle name="Comma 4 5 2 5 3" xfId="6282" xr:uid="{00000000-0005-0000-0000-0000370A0000}"/>
    <cellStyle name="Comma 4 5 2 5 3 2" xfId="14732" xr:uid="{018B4BCD-5A2C-4B70-BA27-3B9D39E1FD9D}"/>
    <cellStyle name="Comma 4 5 2 5 4" xfId="10514" xr:uid="{39988B25-FA73-4C1B-B9D0-F2822B82B378}"/>
    <cellStyle name="Comma 4 5 2 6" xfId="2411" xr:uid="{00000000-0005-0000-0000-0000380A0000}"/>
    <cellStyle name="Comma 4 5 2 6 2" xfId="6695" xr:uid="{00000000-0005-0000-0000-0000390A0000}"/>
    <cellStyle name="Comma 4 5 2 6 2 2" xfId="15145" xr:uid="{B1384AF6-89BE-449B-9BCE-7FBDA1A7C952}"/>
    <cellStyle name="Comma 4 5 2 6 3" xfId="10927" xr:uid="{FCDDD4C5-9F02-4F56-BA74-985CC76F5698}"/>
    <cellStyle name="Comma 4 5 2 7" xfId="2707" xr:uid="{00000000-0005-0000-0000-00003A0A0000}"/>
    <cellStyle name="Comma 4 5 2 8" xfId="2789" xr:uid="{00000000-0005-0000-0000-00003B0A0000}"/>
    <cellStyle name="Comma 4 5 2 8 2" xfId="7012" xr:uid="{00000000-0005-0000-0000-00003C0A0000}"/>
    <cellStyle name="Comma 4 5 2 8 2 2" xfId="15462" xr:uid="{90EDA016-39E6-4F36-9E16-C21D2CAA67A6}"/>
    <cellStyle name="Comma 4 5 2 8 3" xfId="11244" xr:uid="{5B077DC7-0006-480C-8B8E-A0F7CF0D67C8}"/>
    <cellStyle name="Comma 4 5 2 9" xfId="4629" xr:uid="{00000000-0005-0000-0000-00003D0A0000}"/>
    <cellStyle name="Comma 4 5 2 9 2" xfId="13079" xr:uid="{8945DD6B-6C27-4025-A890-878626E66D0A}"/>
    <cellStyle name="Comma 4 5 3" xfId="694" xr:uid="{00000000-0005-0000-0000-00003E0A0000}"/>
    <cellStyle name="Comma 4 5 3 2" xfId="2965" xr:uid="{00000000-0005-0000-0000-00003F0A0000}"/>
    <cellStyle name="Comma 4 5 3 2 2" xfId="7187" xr:uid="{00000000-0005-0000-0000-0000400A0000}"/>
    <cellStyle name="Comma 4 5 3 2 2 2" xfId="15637" xr:uid="{8082EA15-DCEF-46D7-B0DC-3EB81075CD58}"/>
    <cellStyle name="Comma 4 5 3 2 3" xfId="11419" xr:uid="{806434E6-04DD-4F96-A27B-51A818A8DDE2}"/>
    <cellStyle name="Comma 4 5 3 3" xfId="5042" xr:uid="{00000000-0005-0000-0000-0000410A0000}"/>
    <cellStyle name="Comma 4 5 3 3 2" xfId="13492" xr:uid="{B8542082-5E84-4CD8-BC94-5BE994460CB1}"/>
    <cellStyle name="Comma 4 5 3 4" xfId="9274" xr:uid="{10E2EFCF-F28C-4551-B484-DD92B64D5AC3}"/>
    <cellStyle name="Comma 4 5 4" xfId="1147" xr:uid="{00000000-0005-0000-0000-0000420A0000}"/>
    <cellStyle name="Comma 4 5 4 2" xfId="3378" xr:uid="{00000000-0005-0000-0000-0000430A0000}"/>
    <cellStyle name="Comma 4 5 4 2 2" xfId="7600" xr:uid="{00000000-0005-0000-0000-0000440A0000}"/>
    <cellStyle name="Comma 4 5 4 2 2 2" xfId="16050" xr:uid="{8B55FF9C-6671-436C-9180-3934F49B9720}"/>
    <cellStyle name="Comma 4 5 4 2 3" xfId="11832" xr:uid="{BBB5DD9C-2C3C-4FF5-930A-6CC432E5ACE5}"/>
    <cellStyle name="Comma 4 5 4 3" xfId="5455" xr:uid="{00000000-0005-0000-0000-0000450A0000}"/>
    <cellStyle name="Comma 4 5 4 3 2" xfId="13905" xr:uid="{B7DAB6A1-0886-4B9C-B015-8D5D76063858}"/>
    <cellStyle name="Comma 4 5 4 4" xfId="9687" xr:uid="{65230E31-7E1E-48A4-8148-FC61C3F5CBED}"/>
    <cellStyle name="Comma 4 5 5" xfId="1561" xr:uid="{00000000-0005-0000-0000-0000460A0000}"/>
    <cellStyle name="Comma 4 5 5 2" xfId="3791" xr:uid="{00000000-0005-0000-0000-0000470A0000}"/>
    <cellStyle name="Comma 4 5 5 2 2" xfId="8013" xr:uid="{00000000-0005-0000-0000-0000480A0000}"/>
    <cellStyle name="Comma 4 5 5 2 2 2" xfId="16463" xr:uid="{D61AE7F9-3F60-4147-8BF3-9A77A3C28F64}"/>
    <cellStyle name="Comma 4 5 5 2 3" xfId="12245" xr:uid="{4919E1C1-0254-4B00-9C48-58518959C82C}"/>
    <cellStyle name="Comma 4 5 5 3" xfId="5868" xr:uid="{00000000-0005-0000-0000-0000490A0000}"/>
    <cellStyle name="Comma 4 5 5 3 2" xfId="14318" xr:uid="{2E636EC1-DC81-4B79-A45D-53FA64EDDB8E}"/>
    <cellStyle name="Comma 4 5 5 4" xfId="10100" xr:uid="{44EB757B-86BC-4A6E-9F49-A52A956E79EB}"/>
    <cellStyle name="Comma 4 5 6" xfId="1975" xr:uid="{00000000-0005-0000-0000-00004A0A0000}"/>
    <cellStyle name="Comma 4 5 6 2" xfId="4204" xr:uid="{00000000-0005-0000-0000-00004B0A0000}"/>
    <cellStyle name="Comma 4 5 6 2 2" xfId="8426" xr:uid="{00000000-0005-0000-0000-00004C0A0000}"/>
    <cellStyle name="Comma 4 5 6 2 2 2" xfId="16876" xr:uid="{A606350B-7821-4BFD-8FB0-427207B6AAB5}"/>
    <cellStyle name="Comma 4 5 6 2 3" xfId="12658" xr:uid="{3E15D434-E123-4F87-9438-B1C801C8791E}"/>
    <cellStyle name="Comma 4 5 6 3" xfId="6281" xr:uid="{00000000-0005-0000-0000-00004D0A0000}"/>
    <cellStyle name="Comma 4 5 6 3 2" xfId="14731" xr:uid="{F72D7EF6-B81D-46D3-867B-7B1D92CF6513}"/>
    <cellStyle name="Comma 4 5 6 4" xfId="10513" xr:uid="{B46C4D5E-0C7A-4821-B9EF-AF024CE2DF71}"/>
    <cellStyle name="Comma 4 5 7" xfId="2410" xr:uid="{00000000-0005-0000-0000-00004E0A0000}"/>
    <cellStyle name="Comma 4 5 7 2" xfId="6694" xr:uid="{00000000-0005-0000-0000-00004F0A0000}"/>
    <cellStyle name="Comma 4 5 7 2 2" xfId="15144" xr:uid="{259458C3-CE0D-42EB-827F-8193FD01C865}"/>
    <cellStyle name="Comma 4 5 7 3" xfId="10926" xr:uid="{8B0E3D4E-277E-410F-9ED4-111BFC474BDC}"/>
    <cellStyle name="Comma 4 5 8" xfId="2706" xr:uid="{00000000-0005-0000-0000-0000500A0000}"/>
    <cellStyle name="Comma 4 5 9" xfId="2788" xr:uid="{00000000-0005-0000-0000-0000510A0000}"/>
    <cellStyle name="Comma 4 5 9 2" xfId="7011" xr:uid="{00000000-0005-0000-0000-0000520A0000}"/>
    <cellStyle name="Comma 4 5 9 2 2" xfId="15461" xr:uid="{09A68A0B-A249-4BD3-AF04-D535B8E72DC5}"/>
    <cellStyle name="Comma 4 5 9 3" xfId="11243" xr:uid="{BE91E781-CFB9-4C6B-9E32-F22236EE230F}"/>
    <cellStyle name="Comma 4 6" xfId="159" xr:uid="{00000000-0005-0000-0000-0000530A0000}"/>
    <cellStyle name="Comma 4 6 10" xfId="8862" xr:uid="{54C50E75-B365-424C-AB13-D548CA20138F}"/>
    <cellStyle name="Comma 4 6 2" xfId="696" xr:uid="{00000000-0005-0000-0000-0000540A0000}"/>
    <cellStyle name="Comma 4 6 2 2" xfId="2967" xr:uid="{00000000-0005-0000-0000-0000550A0000}"/>
    <cellStyle name="Comma 4 6 2 2 2" xfId="7189" xr:uid="{00000000-0005-0000-0000-0000560A0000}"/>
    <cellStyle name="Comma 4 6 2 2 2 2" xfId="15639" xr:uid="{6E984BC5-47FC-4649-99F9-31893A0A2AC8}"/>
    <cellStyle name="Comma 4 6 2 2 3" xfId="11421" xr:uid="{2A7A4A63-F286-40E5-90FD-853BEA4629BA}"/>
    <cellStyle name="Comma 4 6 2 3" xfId="5044" xr:uid="{00000000-0005-0000-0000-0000570A0000}"/>
    <cellStyle name="Comma 4 6 2 3 2" xfId="13494" xr:uid="{2BDC75D4-4F88-4393-BADE-7956A3A99451}"/>
    <cellStyle name="Comma 4 6 2 4" xfId="9276" xr:uid="{7BFABD11-5928-43C0-AE69-6EADAE83251B}"/>
    <cellStyle name="Comma 4 6 3" xfId="1149" xr:uid="{00000000-0005-0000-0000-0000580A0000}"/>
    <cellStyle name="Comma 4 6 3 2" xfId="3380" xr:uid="{00000000-0005-0000-0000-0000590A0000}"/>
    <cellStyle name="Comma 4 6 3 2 2" xfId="7602" xr:uid="{00000000-0005-0000-0000-00005A0A0000}"/>
    <cellStyle name="Comma 4 6 3 2 2 2" xfId="16052" xr:uid="{68F67BC3-59BB-45F3-A171-BD5FAFC4E505}"/>
    <cellStyle name="Comma 4 6 3 2 3" xfId="11834" xr:uid="{72530354-F4AC-4DB3-B981-77D6D15C0FF5}"/>
    <cellStyle name="Comma 4 6 3 3" xfId="5457" xr:uid="{00000000-0005-0000-0000-00005B0A0000}"/>
    <cellStyle name="Comma 4 6 3 3 2" xfId="13907" xr:uid="{7151FDD1-275E-4AF1-B80B-CAB41F9B9308}"/>
    <cellStyle name="Comma 4 6 3 4" xfId="9689" xr:uid="{749742E6-4A82-48D9-ADE4-50CA406F3B91}"/>
    <cellStyle name="Comma 4 6 4" xfId="1563" xr:uid="{00000000-0005-0000-0000-00005C0A0000}"/>
    <cellStyle name="Comma 4 6 4 2" xfId="3793" xr:uid="{00000000-0005-0000-0000-00005D0A0000}"/>
    <cellStyle name="Comma 4 6 4 2 2" xfId="8015" xr:uid="{00000000-0005-0000-0000-00005E0A0000}"/>
    <cellStyle name="Comma 4 6 4 2 2 2" xfId="16465" xr:uid="{40A22123-37C6-4A24-A5DD-2415D7D0CD38}"/>
    <cellStyle name="Comma 4 6 4 2 3" xfId="12247" xr:uid="{3A297DBD-300B-4AC7-8D97-D13487F28D03}"/>
    <cellStyle name="Comma 4 6 4 3" xfId="5870" xr:uid="{00000000-0005-0000-0000-00005F0A0000}"/>
    <cellStyle name="Comma 4 6 4 3 2" xfId="14320" xr:uid="{3C7C137B-F725-4676-BEF8-50F9E65F9D4D}"/>
    <cellStyle name="Comma 4 6 4 4" xfId="10102" xr:uid="{30908331-8AC7-4FB4-9096-83A3D6CA62E3}"/>
    <cellStyle name="Comma 4 6 5" xfId="1977" xr:uid="{00000000-0005-0000-0000-0000600A0000}"/>
    <cellStyle name="Comma 4 6 5 2" xfId="4206" xr:uid="{00000000-0005-0000-0000-0000610A0000}"/>
    <cellStyle name="Comma 4 6 5 2 2" xfId="8428" xr:uid="{00000000-0005-0000-0000-0000620A0000}"/>
    <cellStyle name="Comma 4 6 5 2 2 2" xfId="16878" xr:uid="{9B395A82-B8C4-4893-B1F0-845340D39FA2}"/>
    <cellStyle name="Comma 4 6 5 2 3" xfId="12660" xr:uid="{CC780F2F-DCC9-4709-9D1F-7C12C5ABC0E9}"/>
    <cellStyle name="Comma 4 6 5 3" xfId="6283" xr:uid="{00000000-0005-0000-0000-0000630A0000}"/>
    <cellStyle name="Comma 4 6 5 3 2" xfId="14733" xr:uid="{DCBC6D96-70B3-4AE7-9A4B-83BB28A80C67}"/>
    <cellStyle name="Comma 4 6 5 4" xfId="10515" xr:uid="{251AF9FE-2D54-48D0-9C9A-FCF52E9A39B8}"/>
    <cellStyle name="Comma 4 6 6" xfId="2412" xr:uid="{00000000-0005-0000-0000-0000640A0000}"/>
    <cellStyle name="Comma 4 6 6 2" xfId="6696" xr:uid="{00000000-0005-0000-0000-0000650A0000}"/>
    <cellStyle name="Comma 4 6 6 2 2" xfId="15146" xr:uid="{F1C66F75-0B3A-46EC-90A1-8A2CC4C451A4}"/>
    <cellStyle name="Comma 4 6 6 3" xfId="10928" xr:uid="{55DE34FF-0EFB-4D4C-815D-5F5B0209E6C8}"/>
    <cellStyle name="Comma 4 6 7" xfId="2708" xr:uid="{00000000-0005-0000-0000-0000660A0000}"/>
    <cellStyle name="Comma 4 6 8" xfId="2790" xr:uid="{00000000-0005-0000-0000-0000670A0000}"/>
    <cellStyle name="Comma 4 6 8 2" xfId="7013" xr:uid="{00000000-0005-0000-0000-0000680A0000}"/>
    <cellStyle name="Comma 4 6 8 2 2" xfId="15463" xr:uid="{1E847FAB-F477-45BC-91A5-4DAB33673653}"/>
    <cellStyle name="Comma 4 6 8 3" xfId="11245" xr:uid="{9BC49A97-5719-474C-B990-2FF3395D6781}"/>
    <cellStyle name="Comma 4 6 9" xfId="4630" xr:uid="{00000000-0005-0000-0000-0000690A0000}"/>
    <cellStyle name="Comma 4 6 9 2" xfId="13080" xr:uid="{FD5E48F5-2D9C-4DFE-867B-0105B996631D}"/>
    <cellStyle name="Comma 4 7" xfId="160" xr:uid="{00000000-0005-0000-0000-00006A0A0000}"/>
    <cellStyle name="Comma 4 7 10" xfId="8863" xr:uid="{DA88B187-3FDC-43C5-8DB9-A35B76E34D11}"/>
    <cellStyle name="Comma 4 7 2" xfId="697" xr:uid="{00000000-0005-0000-0000-00006B0A0000}"/>
    <cellStyle name="Comma 4 7 2 2" xfId="2968" xr:uid="{00000000-0005-0000-0000-00006C0A0000}"/>
    <cellStyle name="Comma 4 7 2 2 2" xfId="7190" xr:uid="{00000000-0005-0000-0000-00006D0A0000}"/>
    <cellStyle name="Comma 4 7 2 2 2 2" xfId="15640" xr:uid="{4C32DAE7-DF6F-4D16-850D-71FA2972B6C3}"/>
    <cellStyle name="Comma 4 7 2 2 3" xfId="11422" xr:uid="{29849E12-0204-49A7-8010-15EBF0C6FD43}"/>
    <cellStyle name="Comma 4 7 2 3" xfId="5045" xr:uid="{00000000-0005-0000-0000-00006E0A0000}"/>
    <cellStyle name="Comma 4 7 2 3 2" xfId="13495" xr:uid="{CE92B3D1-A858-4504-ADFF-5A1E61B472F9}"/>
    <cellStyle name="Comma 4 7 2 4" xfId="9277" xr:uid="{68F740E9-7D06-4486-93EC-7F3248C7DFE8}"/>
    <cellStyle name="Comma 4 7 3" xfId="1150" xr:uid="{00000000-0005-0000-0000-00006F0A0000}"/>
    <cellStyle name="Comma 4 7 3 2" xfId="3381" xr:uid="{00000000-0005-0000-0000-0000700A0000}"/>
    <cellStyle name="Comma 4 7 3 2 2" xfId="7603" xr:uid="{00000000-0005-0000-0000-0000710A0000}"/>
    <cellStyle name="Comma 4 7 3 2 2 2" xfId="16053" xr:uid="{24DF6E86-3841-4E54-A052-0B18AA22EFC1}"/>
    <cellStyle name="Comma 4 7 3 2 3" xfId="11835" xr:uid="{593704A7-4E80-4A9C-BC9B-14FA0A8E1EF5}"/>
    <cellStyle name="Comma 4 7 3 3" xfId="5458" xr:uid="{00000000-0005-0000-0000-0000720A0000}"/>
    <cellStyle name="Comma 4 7 3 3 2" xfId="13908" xr:uid="{DBBCC1F9-33D9-46CF-926D-8C5F743AC7FC}"/>
    <cellStyle name="Comma 4 7 3 4" xfId="9690" xr:uid="{2A4A8ADC-E269-45CB-B235-548085FA64AE}"/>
    <cellStyle name="Comma 4 7 4" xfId="1564" xr:uid="{00000000-0005-0000-0000-0000730A0000}"/>
    <cellStyle name="Comma 4 7 4 2" xfId="3794" xr:uid="{00000000-0005-0000-0000-0000740A0000}"/>
    <cellStyle name="Comma 4 7 4 2 2" xfId="8016" xr:uid="{00000000-0005-0000-0000-0000750A0000}"/>
    <cellStyle name="Comma 4 7 4 2 2 2" xfId="16466" xr:uid="{257A4CBB-6EB5-40CC-AC28-422914B8A369}"/>
    <cellStyle name="Comma 4 7 4 2 3" xfId="12248" xr:uid="{AB5F409C-53EA-429E-BB42-B674E2525F01}"/>
    <cellStyle name="Comma 4 7 4 3" xfId="5871" xr:uid="{00000000-0005-0000-0000-0000760A0000}"/>
    <cellStyle name="Comma 4 7 4 3 2" xfId="14321" xr:uid="{8559523B-6914-46B6-8B17-D26EA8AD2D32}"/>
    <cellStyle name="Comma 4 7 4 4" xfId="10103" xr:uid="{CE1A15F5-3A50-45B9-ABF8-D455F27087A1}"/>
    <cellStyle name="Comma 4 7 5" xfId="1978" xr:uid="{00000000-0005-0000-0000-0000770A0000}"/>
    <cellStyle name="Comma 4 7 5 2" xfId="4207" xr:uid="{00000000-0005-0000-0000-0000780A0000}"/>
    <cellStyle name="Comma 4 7 5 2 2" xfId="8429" xr:uid="{00000000-0005-0000-0000-0000790A0000}"/>
    <cellStyle name="Comma 4 7 5 2 2 2" xfId="16879" xr:uid="{B38166E0-C239-4FA4-B712-6AC2F2BF4CEF}"/>
    <cellStyle name="Comma 4 7 5 2 3" xfId="12661" xr:uid="{3F43D876-4D57-4F08-B45F-CB4880FD4BEB}"/>
    <cellStyle name="Comma 4 7 5 3" xfId="6284" xr:uid="{00000000-0005-0000-0000-00007A0A0000}"/>
    <cellStyle name="Comma 4 7 5 3 2" xfId="14734" xr:uid="{5623ECB5-F678-43F5-BCD8-1F5B12D7680C}"/>
    <cellStyle name="Comma 4 7 5 4" xfId="10516" xr:uid="{1DFA0B1C-859D-417C-90FB-760FE4CB03D9}"/>
    <cellStyle name="Comma 4 7 6" xfId="2413" xr:uid="{00000000-0005-0000-0000-00007B0A0000}"/>
    <cellStyle name="Comma 4 7 6 2" xfId="6697" xr:uid="{00000000-0005-0000-0000-00007C0A0000}"/>
    <cellStyle name="Comma 4 7 6 2 2" xfId="15147" xr:uid="{6AEEDC1D-8D2C-4E27-9F0F-852A9B56FDDC}"/>
    <cellStyle name="Comma 4 7 6 3" xfId="10929" xr:uid="{A06ABA90-5629-4668-8D2B-00BDA8056702}"/>
    <cellStyle name="Comma 4 7 7" xfId="2709" xr:uid="{00000000-0005-0000-0000-00007D0A0000}"/>
    <cellStyle name="Comma 4 7 8" xfId="2791" xr:uid="{00000000-0005-0000-0000-00007E0A0000}"/>
    <cellStyle name="Comma 4 7 8 2" xfId="7014" xr:uid="{00000000-0005-0000-0000-00007F0A0000}"/>
    <cellStyle name="Comma 4 7 8 2 2" xfId="15464" xr:uid="{EBCF5074-8898-409C-8630-F9B46BBBA16C}"/>
    <cellStyle name="Comma 4 7 8 3" xfId="11246" xr:uid="{6359B472-DF76-475D-9208-8A230EACADE0}"/>
    <cellStyle name="Comma 4 7 9" xfId="4631" xr:uid="{00000000-0005-0000-0000-0000800A0000}"/>
    <cellStyle name="Comma 4 7 9 2" xfId="13081" xr:uid="{F609CE3C-6559-4877-8CB1-EA8437EECCE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9AD86784-0BF6-4213-8D03-988D2B93CAC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DE9052F8-644E-4807-A0BF-EA63721B5DD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1FE2873F-35C7-41CE-9EDE-EF025B811D1F}"/>
    <cellStyle name="Currency 14 3 2 2 2 3" xfId="17179" xr:uid="{12B916A7-F420-43B4-83A8-EE2267AEC525}"/>
    <cellStyle name="Currency 14 3 2 2 3" xfId="17175" xr:uid="{FDFDC4F8-576F-43ED-8A94-1261D7B71129}"/>
    <cellStyle name="Currency 14 3 2 3" xfId="17172" xr:uid="{19C2815F-985E-44D6-A812-2F1F2440DF51}"/>
    <cellStyle name="Currency 14 3 3" xfId="17169" xr:uid="{5418CAEC-9F8A-457E-B327-120B3528A1F9}"/>
    <cellStyle name="Currency 14 4" xfId="12952" xr:uid="{52DFC4A6-D76D-4770-AF71-044A4F9813A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16DA2383-0D39-459E-8B6C-52DAFDCE1A7E}"/>
    <cellStyle name="Currency 3 2 2 10 3" xfId="11247" xr:uid="{1BE5FC85-3AE8-4F27-A1D4-4BCA5395EE49}"/>
    <cellStyle name="Currency 3 2 2 11" xfId="4632" xr:uid="{00000000-0005-0000-0000-0000A50A0000}"/>
    <cellStyle name="Currency 3 2 2 11 2" xfId="13082" xr:uid="{84726108-F512-46D5-8A84-6651F4EE58BA}"/>
    <cellStyle name="Currency 3 2 2 12" xfId="8864" xr:uid="{F23B93EF-3AE3-4318-AC8F-E0480509D796}"/>
    <cellStyle name="Currency 3 2 2 2" xfId="179" xr:uid="{00000000-0005-0000-0000-0000A60A0000}"/>
    <cellStyle name="Currency 3 2 2 2 10" xfId="4633" xr:uid="{00000000-0005-0000-0000-0000A70A0000}"/>
    <cellStyle name="Currency 3 2 2 2 10 2" xfId="13083" xr:uid="{E6CB9292-AF58-4500-A723-CF8B76F4E5D5}"/>
    <cellStyle name="Currency 3 2 2 2 11" xfId="8865" xr:uid="{ED24B2C8-8164-4977-BD28-FF80C5BD415F}"/>
    <cellStyle name="Currency 3 2 2 2 2" xfId="180" xr:uid="{00000000-0005-0000-0000-0000A80A0000}"/>
    <cellStyle name="Currency 3 2 2 2 2 10" xfId="8866" xr:uid="{B87E5EC3-2786-455D-A9FA-1587F58EF6D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F2CE1C2F-316D-4080-B87C-F813AD7B1A6E}"/>
    <cellStyle name="Currency 3 2 2 2 2 2 2 3" xfId="11425" xr:uid="{5A07E9C0-FEAB-461B-B846-BE90E9383741}"/>
    <cellStyle name="Currency 3 2 2 2 2 2 3" xfId="5048" xr:uid="{00000000-0005-0000-0000-0000AC0A0000}"/>
    <cellStyle name="Currency 3 2 2 2 2 2 3 2" xfId="13498" xr:uid="{EE4C2444-E423-44BA-B25B-366F1C46FC8C}"/>
    <cellStyle name="Currency 3 2 2 2 2 2 4" xfId="9280" xr:uid="{14502AE1-3112-44FB-9EDC-07F4064BFDF2}"/>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0EB429DD-E49F-4FF2-A1F7-ACFCBF659D48}"/>
    <cellStyle name="Currency 3 2 2 2 2 3 2 3" xfId="11838" xr:uid="{C76ADF4A-2264-40EE-AD33-79E4DCFDA662}"/>
    <cellStyle name="Currency 3 2 2 2 2 3 3" xfId="5461" xr:uid="{00000000-0005-0000-0000-0000B00A0000}"/>
    <cellStyle name="Currency 3 2 2 2 2 3 3 2" xfId="13911" xr:uid="{1A3DC5C8-5B81-4561-9993-6169F5CD2DB8}"/>
    <cellStyle name="Currency 3 2 2 2 2 3 4" xfId="9693" xr:uid="{B6599386-C1E5-4572-920B-68880CDF51CF}"/>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D69CFF8E-09EE-4F21-BDE7-875A7A304624}"/>
    <cellStyle name="Currency 3 2 2 2 2 4 2 3" xfId="12251" xr:uid="{23B58A9C-ACED-44BB-9CC5-511865CEC804}"/>
    <cellStyle name="Currency 3 2 2 2 2 4 3" xfId="5874" xr:uid="{00000000-0005-0000-0000-0000B40A0000}"/>
    <cellStyle name="Currency 3 2 2 2 2 4 3 2" xfId="14324" xr:uid="{30F7F4F7-AE6C-42DD-BFFE-97DFA8CBD95A}"/>
    <cellStyle name="Currency 3 2 2 2 2 4 4" xfId="10106" xr:uid="{EC1035BD-390E-438A-839E-1B8207DEA3C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FB7DE466-E0DC-4E49-9853-E1A5ACEE4831}"/>
    <cellStyle name="Currency 3 2 2 2 2 5 2 3" xfId="12664" xr:uid="{24F2F318-2310-496F-B087-5854E7AB5ACA}"/>
    <cellStyle name="Currency 3 2 2 2 2 5 3" xfId="6287" xr:uid="{00000000-0005-0000-0000-0000B80A0000}"/>
    <cellStyle name="Currency 3 2 2 2 2 5 3 2" xfId="14737" xr:uid="{B22D26C5-7463-4102-9BB7-9F8C391CB495}"/>
    <cellStyle name="Currency 3 2 2 2 2 5 4" xfId="10519" xr:uid="{8656DB10-7925-4D7C-9434-E90DECB5BC33}"/>
    <cellStyle name="Currency 3 2 2 2 2 6" xfId="2416" xr:uid="{00000000-0005-0000-0000-0000B90A0000}"/>
    <cellStyle name="Currency 3 2 2 2 2 6 2" xfId="6700" xr:uid="{00000000-0005-0000-0000-0000BA0A0000}"/>
    <cellStyle name="Currency 3 2 2 2 2 6 2 2" xfId="15150" xr:uid="{E1F7290B-7317-427D-8280-BA771C70A80E}"/>
    <cellStyle name="Currency 3 2 2 2 2 6 3" xfId="10932" xr:uid="{51A066DF-79CA-44C3-B59E-F659970C46E8}"/>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C18B9475-B198-4027-9EA0-E72A8975ECDE}"/>
    <cellStyle name="Currency 3 2 2 2 2 8 3" xfId="11249" xr:uid="{5016B2A1-B092-404B-8AAB-DBF5FE92B082}"/>
    <cellStyle name="Currency 3 2 2 2 2 9" xfId="4634" xr:uid="{00000000-0005-0000-0000-0000BE0A0000}"/>
    <cellStyle name="Currency 3 2 2 2 2 9 2" xfId="13084" xr:uid="{E2EDDF68-5326-4D8F-BDC6-58706BE59286}"/>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5B6A4E8F-20E5-4DFF-A5BA-6B5F47D52798}"/>
    <cellStyle name="Currency 3 2 2 2 3 2 3" xfId="11424" xr:uid="{F958A1AB-33A8-4B47-8A40-6CAE89A575E6}"/>
    <cellStyle name="Currency 3 2 2 2 3 3" xfId="5047" xr:uid="{00000000-0005-0000-0000-0000C20A0000}"/>
    <cellStyle name="Currency 3 2 2 2 3 3 2" xfId="13497" xr:uid="{F38595BD-18B5-4858-8AD3-7F88E46D0EE5}"/>
    <cellStyle name="Currency 3 2 2 2 3 4" xfId="9279" xr:uid="{4F045473-ED0E-4FA2-B6E1-52A215EB4C3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A2DCEC7D-B8E4-49C2-A7FB-4FEAA5E1C79B}"/>
    <cellStyle name="Currency 3 2 2 2 4 2 3" xfId="11837" xr:uid="{CEBAA7F5-C552-4A87-AD96-C27AB07A27FC}"/>
    <cellStyle name="Currency 3 2 2 2 4 3" xfId="5460" xr:uid="{00000000-0005-0000-0000-0000C60A0000}"/>
    <cellStyle name="Currency 3 2 2 2 4 3 2" xfId="13910" xr:uid="{EB68684D-0B94-4A60-9AD5-2AAA2AE1DE91}"/>
    <cellStyle name="Currency 3 2 2 2 4 4" xfId="9692" xr:uid="{C5C6FE96-2ADA-4F49-985D-DCF99330620B}"/>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70EAA15B-F819-44C2-A347-1CB175398C2F}"/>
    <cellStyle name="Currency 3 2 2 2 5 2 3" xfId="12250" xr:uid="{4B32DE68-CCB7-44F1-AED7-BAE6D418528D}"/>
    <cellStyle name="Currency 3 2 2 2 5 3" xfId="5873" xr:uid="{00000000-0005-0000-0000-0000CA0A0000}"/>
    <cellStyle name="Currency 3 2 2 2 5 3 2" xfId="14323" xr:uid="{A7CD62CB-BD1D-43BF-9A4A-F55357C43E59}"/>
    <cellStyle name="Currency 3 2 2 2 5 4" xfId="10105" xr:uid="{36871209-617F-4C60-9B28-EB4AE8E639C5}"/>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F8C3C42E-537C-4BC3-8857-C33CF09B6BD7}"/>
    <cellStyle name="Currency 3 2 2 2 6 2 3" xfId="12663" xr:uid="{5F30B80A-BC1A-40D8-A6A0-CCB6A2FB0595}"/>
    <cellStyle name="Currency 3 2 2 2 6 3" xfId="6286" xr:uid="{00000000-0005-0000-0000-0000CE0A0000}"/>
    <cellStyle name="Currency 3 2 2 2 6 3 2" xfId="14736" xr:uid="{C2CB7325-AE00-4B8A-B597-E4E14C9C1182}"/>
    <cellStyle name="Currency 3 2 2 2 6 4" xfId="10518" xr:uid="{54D590D5-EF90-4174-A5BB-43C0EDBADFE8}"/>
    <cellStyle name="Currency 3 2 2 2 7" xfId="2415" xr:uid="{00000000-0005-0000-0000-0000CF0A0000}"/>
    <cellStyle name="Currency 3 2 2 2 7 2" xfId="6699" xr:uid="{00000000-0005-0000-0000-0000D00A0000}"/>
    <cellStyle name="Currency 3 2 2 2 7 2 2" xfId="15149" xr:uid="{5F0C486D-ACC5-463D-85CA-9229ED46078D}"/>
    <cellStyle name="Currency 3 2 2 2 7 3" xfId="10931" xr:uid="{BAAA342E-A1D1-4EFA-9029-7052097C8C3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F9FE5B50-AA39-4E7F-B7DB-1D468EF3DCB9}"/>
    <cellStyle name="Currency 3 2 2 2 9 3" xfId="11248" xr:uid="{D3135749-6C15-4904-B2C5-C20A4750EE91}"/>
    <cellStyle name="Currency 3 2 2 3" xfId="181" xr:uid="{00000000-0005-0000-0000-0000D40A0000}"/>
    <cellStyle name="Currency 3 2 2 3 10" xfId="8867" xr:uid="{824C2E4D-9FD5-4BEE-B673-BD422F5C5346}"/>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D97AC110-0C02-4A53-8DAE-F028916992D6}"/>
    <cellStyle name="Currency 3 2 2 3 2 2 3" xfId="11426" xr:uid="{5BB786C3-A7BC-4F5B-9F8A-9A5DCA555F9D}"/>
    <cellStyle name="Currency 3 2 2 3 2 3" xfId="5049" xr:uid="{00000000-0005-0000-0000-0000D80A0000}"/>
    <cellStyle name="Currency 3 2 2 3 2 3 2" xfId="13499" xr:uid="{A2B7D0F6-3AB9-4177-B5D3-30CA9714F233}"/>
    <cellStyle name="Currency 3 2 2 3 2 4" xfId="9281" xr:uid="{69EF96DD-9D47-401E-9584-AF2B6A4C841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61E23D07-A85E-4B54-8EB4-B80ADE2961EA}"/>
    <cellStyle name="Currency 3 2 2 3 3 2 3" xfId="11839" xr:uid="{B00208F2-24B4-4949-A815-8948EC3E7970}"/>
    <cellStyle name="Currency 3 2 2 3 3 3" xfId="5462" xr:uid="{00000000-0005-0000-0000-0000DC0A0000}"/>
    <cellStyle name="Currency 3 2 2 3 3 3 2" xfId="13912" xr:uid="{110FB5CF-07A6-4305-8DC9-AF6178ABB4F5}"/>
    <cellStyle name="Currency 3 2 2 3 3 4" xfId="9694" xr:uid="{6FE1DC53-B97F-4091-AB92-6355BDE9C3AE}"/>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83D8CF3B-9852-4D44-A871-9656982F173F}"/>
    <cellStyle name="Currency 3 2 2 3 4 2 3" xfId="12252" xr:uid="{F5A30B3C-1BE8-404D-82FF-9838742FFD0C}"/>
    <cellStyle name="Currency 3 2 2 3 4 3" xfId="5875" xr:uid="{00000000-0005-0000-0000-0000E00A0000}"/>
    <cellStyle name="Currency 3 2 2 3 4 3 2" xfId="14325" xr:uid="{DA77C773-4B33-454B-8D72-9BD9A9C5850A}"/>
    <cellStyle name="Currency 3 2 2 3 4 4" xfId="10107" xr:uid="{9F61D584-4E56-44CB-8CF9-170B81B94E27}"/>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85D8D095-4125-4E6A-BA74-824F2D83798C}"/>
    <cellStyle name="Currency 3 2 2 3 5 2 3" xfId="12665" xr:uid="{A4734ACA-07B1-4A36-B4A7-C69877202045}"/>
    <cellStyle name="Currency 3 2 2 3 5 3" xfId="6288" xr:uid="{00000000-0005-0000-0000-0000E40A0000}"/>
    <cellStyle name="Currency 3 2 2 3 5 3 2" xfId="14738" xr:uid="{BE230A26-D8D5-490A-9D3E-665F1CD0ACEA}"/>
    <cellStyle name="Currency 3 2 2 3 5 4" xfId="10520" xr:uid="{EA41FB61-BF86-4062-AFD9-0EF6D8692B1F}"/>
    <cellStyle name="Currency 3 2 2 3 6" xfId="2417" xr:uid="{00000000-0005-0000-0000-0000E50A0000}"/>
    <cellStyle name="Currency 3 2 2 3 6 2" xfId="6701" xr:uid="{00000000-0005-0000-0000-0000E60A0000}"/>
    <cellStyle name="Currency 3 2 2 3 6 2 2" xfId="15151" xr:uid="{DD82932D-8FB8-49A2-A279-0F91E3885BE9}"/>
    <cellStyle name="Currency 3 2 2 3 6 3" xfId="10933" xr:uid="{1F46C363-44C6-40D7-97FC-56B57875D5A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861BA1A9-D676-46EA-9FAC-C078DE25BF4E}"/>
    <cellStyle name="Currency 3 2 2 3 8 3" xfId="11250" xr:uid="{6C8C8BDF-6C25-4218-808C-BB9BC5A628C0}"/>
    <cellStyle name="Currency 3 2 2 3 9" xfId="4635" xr:uid="{00000000-0005-0000-0000-0000EA0A0000}"/>
    <cellStyle name="Currency 3 2 2 3 9 2" xfId="13085" xr:uid="{AA1E6F85-9C25-4978-A30B-0E44DD66560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00C8DD06-A222-457D-AACD-AF1FF4260432}"/>
    <cellStyle name="Currency 3 2 2 4 2 3" xfId="11423" xr:uid="{BF436B32-75BE-43CE-BF44-10123C115990}"/>
    <cellStyle name="Currency 3 2 2 4 3" xfId="5046" xr:uid="{00000000-0005-0000-0000-0000EE0A0000}"/>
    <cellStyle name="Currency 3 2 2 4 3 2" xfId="13496" xr:uid="{0046F5A1-EF2A-4DA4-95B6-776733FF28A8}"/>
    <cellStyle name="Currency 3 2 2 4 4" xfId="9278" xr:uid="{869EE477-FD92-4B98-AD41-C1E44DBF43E9}"/>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E86EC053-C347-46A3-8D4D-69DB5A75FF13}"/>
    <cellStyle name="Currency 3 2 2 5 2 3" xfId="11836" xr:uid="{5A0D5E04-2711-46F4-91EA-AE60D263E162}"/>
    <cellStyle name="Currency 3 2 2 5 3" xfId="5459" xr:uid="{00000000-0005-0000-0000-0000F20A0000}"/>
    <cellStyle name="Currency 3 2 2 5 3 2" xfId="13909" xr:uid="{E32166DB-74C3-4EFF-A174-A5BCC38D5A90}"/>
    <cellStyle name="Currency 3 2 2 5 4" xfId="9691" xr:uid="{2746C2CB-8D86-4545-AB3E-9A143BCE54E7}"/>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AA844155-963F-4B17-828D-2C0DA4C11910}"/>
    <cellStyle name="Currency 3 2 2 6 2 3" xfId="12249" xr:uid="{5D6645B6-74C9-4362-A533-266BDF195304}"/>
    <cellStyle name="Currency 3 2 2 6 3" xfId="5872" xr:uid="{00000000-0005-0000-0000-0000F60A0000}"/>
    <cellStyle name="Currency 3 2 2 6 3 2" xfId="14322" xr:uid="{625C813F-485F-4E28-A1E7-36DA27A92FD8}"/>
    <cellStyle name="Currency 3 2 2 6 4" xfId="10104" xr:uid="{3061CD3A-C4A2-43C8-80E1-C463110C565D}"/>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3F8CE3A0-714C-4A93-951F-C41A24D54764}"/>
    <cellStyle name="Currency 3 2 2 7 2 3" xfId="12662" xr:uid="{A854C901-C356-460B-9261-7BCA5FA78FDD}"/>
    <cellStyle name="Currency 3 2 2 7 3" xfId="6285" xr:uid="{00000000-0005-0000-0000-0000FA0A0000}"/>
    <cellStyle name="Currency 3 2 2 7 3 2" xfId="14735" xr:uid="{4063A08D-3382-4B5C-A01B-33778E86833A}"/>
    <cellStyle name="Currency 3 2 2 7 4" xfId="10517" xr:uid="{A1E37D88-81FA-4FFB-B5A4-C591B13CC042}"/>
    <cellStyle name="Currency 3 2 2 8" xfId="2414" xr:uid="{00000000-0005-0000-0000-0000FB0A0000}"/>
    <cellStyle name="Currency 3 2 2 8 2" xfId="6698" xr:uid="{00000000-0005-0000-0000-0000FC0A0000}"/>
    <cellStyle name="Currency 3 2 2 8 2 2" xfId="15148" xr:uid="{6AC86E3D-5CA1-404E-A14C-9FE45837148E}"/>
    <cellStyle name="Currency 3 2 2 8 3" xfId="10930" xr:uid="{BC975DAE-33F6-4CB7-8E47-05D03681AD67}"/>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D8C1CF89-A668-4AD1-96F4-CB17C11B9AA2}"/>
    <cellStyle name="Currency 3 2 3 11" xfId="8868" xr:uid="{A4A69973-1897-471C-8F20-D970B6F3BFD1}"/>
    <cellStyle name="Currency 3 2 3 2" xfId="183" xr:uid="{00000000-0005-0000-0000-0000000B0000}"/>
    <cellStyle name="Currency 3 2 3 2 10" xfId="8869" xr:uid="{97444D80-9A91-4B7F-AC86-6D09590A9216}"/>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F377A4DE-3DB6-4E94-81B1-4FD42ACCEEC4}"/>
    <cellStyle name="Currency 3 2 3 2 2 2 3" xfId="11428" xr:uid="{9B955BF2-0A7A-4017-9C6B-4867A2A46401}"/>
    <cellStyle name="Currency 3 2 3 2 2 3" xfId="5051" xr:uid="{00000000-0005-0000-0000-0000040B0000}"/>
    <cellStyle name="Currency 3 2 3 2 2 3 2" xfId="13501" xr:uid="{E6D49B8D-D80A-4A88-9251-0DA5EABFB662}"/>
    <cellStyle name="Currency 3 2 3 2 2 4" xfId="9283" xr:uid="{97179075-5659-44FA-9394-69F8CD0D4E18}"/>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94C8C4A7-CBA5-4F87-AA02-70CD972255C6}"/>
    <cellStyle name="Currency 3 2 3 2 3 2 3" xfId="11841" xr:uid="{6CDD10CE-FC73-423F-83D6-E6225D0E32C7}"/>
    <cellStyle name="Currency 3 2 3 2 3 3" xfId="5464" xr:uid="{00000000-0005-0000-0000-0000080B0000}"/>
    <cellStyle name="Currency 3 2 3 2 3 3 2" xfId="13914" xr:uid="{C875E77D-BBCD-487A-A804-215265F83307}"/>
    <cellStyle name="Currency 3 2 3 2 3 4" xfId="9696" xr:uid="{01BD4C96-FE7E-4703-A870-C32DA3D5FA86}"/>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D199CA70-8AF8-45BF-8EC5-C5E390ED309A}"/>
    <cellStyle name="Currency 3 2 3 2 4 2 3" xfId="12254" xr:uid="{1F0B18CD-161B-4F02-B10B-A25C9E66206F}"/>
    <cellStyle name="Currency 3 2 3 2 4 3" xfId="5877" xr:uid="{00000000-0005-0000-0000-00000C0B0000}"/>
    <cellStyle name="Currency 3 2 3 2 4 3 2" xfId="14327" xr:uid="{7DB4D2DD-0222-419E-9AC6-42FFFE0AABFD}"/>
    <cellStyle name="Currency 3 2 3 2 4 4" xfId="10109" xr:uid="{1A1D2A85-FDB7-48D4-B995-D5A3DBC15304}"/>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51AC023A-9BA5-4EFD-B5D7-98E34F643721}"/>
    <cellStyle name="Currency 3 2 3 2 5 2 3" xfId="12667" xr:uid="{1B6778CA-E0A7-4F06-A337-72F18DD6F189}"/>
    <cellStyle name="Currency 3 2 3 2 5 3" xfId="6290" xr:uid="{00000000-0005-0000-0000-0000100B0000}"/>
    <cellStyle name="Currency 3 2 3 2 5 3 2" xfId="14740" xr:uid="{3A3093D3-F2DD-4160-8760-3073F9B690CA}"/>
    <cellStyle name="Currency 3 2 3 2 5 4" xfId="10522" xr:uid="{394D8026-4BC1-4084-BEE8-37A1FF3D66CD}"/>
    <cellStyle name="Currency 3 2 3 2 6" xfId="2419" xr:uid="{00000000-0005-0000-0000-0000110B0000}"/>
    <cellStyle name="Currency 3 2 3 2 6 2" xfId="6703" xr:uid="{00000000-0005-0000-0000-0000120B0000}"/>
    <cellStyle name="Currency 3 2 3 2 6 2 2" xfId="15153" xr:uid="{11C54C6D-32C7-49ED-8BAD-2911B6574BC5}"/>
    <cellStyle name="Currency 3 2 3 2 6 3" xfId="10935" xr:uid="{BB00E235-8AF3-4FA3-8433-C675EE2C0DFF}"/>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D4897EB5-23EE-436A-AD5F-71A42539A1EB}"/>
    <cellStyle name="Currency 3 2 3 2 8 3" xfId="11252" xr:uid="{DD9D8CFD-64FE-4B06-8052-EA1EA11DF45A}"/>
    <cellStyle name="Currency 3 2 3 2 9" xfId="4637" xr:uid="{00000000-0005-0000-0000-0000160B0000}"/>
    <cellStyle name="Currency 3 2 3 2 9 2" xfId="13087" xr:uid="{AE0BAEF2-2FBE-4ADD-B272-104C89C9F468}"/>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F0C4DE5F-0040-4EB4-B337-31E85578EAAF}"/>
    <cellStyle name="Currency 3 2 3 3 2 3" xfId="11427" xr:uid="{2CEAB41E-0D95-4EFD-A226-049DD050A387}"/>
    <cellStyle name="Currency 3 2 3 3 3" xfId="5050" xr:uid="{00000000-0005-0000-0000-00001A0B0000}"/>
    <cellStyle name="Currency 3 2 3 3 3 2" xfId="13500" xr:uid="{2B9330B2-113A-4F00-9FA7-2CB488574DAC}"/>
    <cellStyle name="Currency 3 2 3 3 4" xfId="9282" xr:uid="{9D53AF08-2ECA-409E-92EA-63330F0A6BE5}"/>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FEDEF5A6-23A4-4514-AC7E-E3D1C115634E}"/>
    <cellStyle name="Currency 3 2 3 4 2 3" xfId="11840" xr:uid="{F3BD1195-E7F9-46D2-8B5F-0B0FB8F75066}"/>
    <cellStyle name="Currency 3 2 3 4 3" xfId="5463" xr:uid="{00000000-0005-0000-0000-00001E0B0000}"/>
    <cellStyle name="Currency 3 2 3 4 3 2" xfId="13913" xr:uid="{B5ADFAC1-CD29-4CA3-9B54-AFBA2CE04A61}"/>
    <cellStyle name="Currency 3 2 3 4 4" xfId="9695" xr:uid="{80278201-1294-43A9-A00B-DF03AA427438}"/>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DB5A8617-660B-4E8F-BCBB-CB19DD763E7C}"/>
    <cellStyle name="Currency 3 2 3 5 2 3" xfId="12253" xr:uid="{EF99A985-369F-4B58-A65D-343CBEA2F161}"/>
    <cellStyle name="Currency 3 2 3 5 3" xfId="5876" xr:uid="{00000000-0005-0000-0000-0000220B0000}"/>
    <cellStyle name="Currency 3 2 3 5 3 2" xfId="14326" xr:uid="{24A29E4F-657D-4EE1-B535-F32D8DF7D611}"/>
    <cellStyle name="Currency 3 2 3 5 4" xfId="10108" xr:uid="{89F1446F-BE47-4DDE-AB08-2B13E6B6AA8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C814ED31-D1FC-4199-9CCE-37DA61B7F03A}"/>
    <cellStyle name="Currency 3 2 3 6 2 3" xfId="12666" xr:uid="{BB0553E4-2CC5-4116-9859-45CDD4D138A1}"/>
    <cellStyle name="Currency 3 2 3 6 3" xfId="6289" xr:uid="{00000000-0005-0000-0000-0000260B0000}"/>
    <cellStyle name="Currency 3 2 3 6 3 2" xfId="14739" xr:uid="{C18DFAE8-42C2-4216-8FB2-90D91ECD7681}"/>
    <cellStyle name="Currency 3 2 3 6 4" xfId="10521" xr:uid="{7D044C19-52EF-4CFD-A383-66FF879DFFFF}"/>
    <cellStyle name="Currency 3 2 3 7" xfId="2418" xr:uid="{00000000-0005-0000-0000-0000270B0000}"/>
    <cellStyle name="Currency 3 2 3 7 2" xfId="6702" xr:uid="{00000000-0005-0000-0000-0000280B0000}"/>
    <cellStyle name="Currency 3 2 3 7 2 2" xfId="15152" xr:uid="{06004B21-DE24-4D8D-B8B6-FCEF844FE61F}"/>
    <cellStyle name="Currency 3 2 3 7 3" xfId="10934" xr:uid="{F1B6429A-E52B-4C44-934D-F50E71BF61AD}"/>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60E0BB43-BC9A-450E-AFEC-F552B0C268DC}"/>
    <cellStyle name="Currency 3 2 3 9 3" xfId="11251" xr:uid="{F16C1CD8-07D2-405C-9259-5E58A53A847C}"/>
    <cellStyle name="Currency 3 2 4" xfId="184" xr:uid="{00000000-0005-0000-0000-00002C0B0000}"/>
    <cellStyle name="Currency 3 2 4 10" xfId="8870" xr:uid="{CEA5CDC8-6670-4638-9B14-948CC48448C3}"/>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ADF63F7A-43F4-4731-9C43-8A31AAD3F696}"/>
    <cellStyle name="Currency 3 2 4 2 2 3" xfId="11429" xr:uid="{79B1C7D5-7CE4-4BEC-A2F1-614FE7142262}"/>
    <cellStyle name="Currency 3 2 4 2 3" xfId="5052" xr:uid="{00000000-0005-0000-0000-0000300B0000}"/>
    <cellStyle name="Currency 3 2 4 2 3 2" xfId="13502" xr:uid="{F8B21E32-6932-4F89-8332-290CEDAE1F51}"/>
    <cellStyle name="Currency 3 2 4 2 4" xfId="9284" xr:uid="{6408D303-682D-457B-ADEA-D2A8361A35C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96A03284-F141-4561-8EF6-4F387FA7F2FA}"/>
    <cellStyle name="Currency 3 2 4 3 2 3" xfId="11842" xr:uid="{309FF8D5-D919-4542-AFDB-F7882C7FC136}"/>
    <cellStyle name="Currency 3 2 4 3 3" xfId="5465" xr:uid="{00000000-0005-0000-0000-0000340B0000}"/>
    <cellStyle name="Currency 3 2 4 3 3 2" xfId="13915" xr:uid="{D986A0A9-92A3-4D96-927D-5D80FB65C8FD}"/>
    <cellStyle name="Currency 3 2 4 3 4" xfId="9697" xr:uid="{A427FC91-2DA6-4F31-8090-41AF89B22E1A}"/>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91624FF9-D9F3-49AD-9498-BE699FA18B10}"/>
    <cellStyle name="Currency 3 2 4 4 2 3" xfId="12255" xr:uid="{4381EE0A-5133-4AEC-AE22-6871CCBE1A17}"/>
    <cellStyle name="Currency 3 2 4 4 3" xfId="5878" xr:uid="{00000000-0005-0000-0000-0000380B0000}"/>
    <cellStyle name="Currency 3 2 4 4 3 2" xfId="14328" xr:uid="{DEEA2EAC-4DEE-422D-A8FE-159C833EB171}"/>
    <cellStyle name="Currency 3 2 4 4 4" xfId="10110" xr:uid="{E71CA20A-5DA6-478C-9434-C96A2C080A5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11D42BAF-1D49-4313-8B55-14C275B304E0}"/>
    <cellStyle name="Currency 3 2 4 5 2 3" xfId="12668" xr:uid="{471AB3AB-C538-4F4B-9EA7-BE8884E35129}"/>
    <cellStyle name="Currency 3 2 4 5 3" xfId="6291" xr:uid="{00000000-0005-0000-0000-00003C0B0000}"/>
    <cellStyle name="Currency 3 2 4 5 3 2" xfId="14741" xr:uid="{E31E0360-03B4-45D8-99CC-FAAAF7EF0116}"/>
    <cellStyle name="Currency 3 2 4 5 4" xfId="10523" xr:uid="{6A7E8AB4-0DCF-4838-A79A-F317132D3154}"/>
    <cellStyle name="Currency 3 2 4 6" xfId="2420" xr:uid="{00000000-0005-0000-0000-00003D0B0000}"/>
    <cellStyle name="Currency 3 2 4 6 2" xfId="6704" xr:uid="{00000000-0005-0000-0000-00003E0B0000}"/>
    <cellStyle name="Currency 3 2 4 6 2 2" xfId="15154" xr:uid="{70E3536E-6EAA-44BB-B3B2-B2543BFB7ED7}"/>
    <cellStyle name="Currency 3 2 4 6 3" xfId="10936" xr:uid="{F4618609-EE6B-474F-9A04-08F31846CEA7}"/>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7F7AFB4C-6C0B-4232-A33F-25466DEAAC59}"/>
    <cellStyle name="Currency 3 2 4 8 3" xfId="11253" xr:uid="{CEF044BF-F919-4729-8D44-96E486EE83AB}"/>
    <cellStyle name="Currency 3 2 4 9" xfId="4638" xr:uid="{00000000-0005-0000-0000-0000420B0000}"/>
    <cellStyle name="Currency 3 2 4 9 2" xfId="13088" xr:uid="{0C9F0F40-B7E8-4D95-8916-A36944CF923E}"/>
    <cellStyle name="Currency 3 2 5" xfId="185" xr:uid="{00000000-0005-0000-0000-0000430B0000}"/>
    <cellStyle name="Currency 3 2 5 10" xfId="8871" xr:uid="{A672B69D-3207-48B3-B06D-F6017BF7E57E}"/>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1985207A-8498-453C-AC37-022276E68180}"/>
    <cellStyle name="Currency 3 2 5 2 2 3" xfId="11430" xr:uid="{70AE4252-A065-4BDA-87BF-BE08A8C791A6}"/>
    <cellStyle name="Currency 3 2 5 2 3" xfId="5053" xr:uid="{00000000-0005-0000-0000-0000470B0000}"/>
    <cellStyle name="Currency 3 2 5 2 3 2" xfId="13503" xr:uid="{CE2A554F-6323-40C2-80FC-C9D7C8881EAC}"/>
    <cellStyle name="Currency 3 2 5 2 4" xfId="9285" xr:uid="{52370C31-4E33-4EF3-A3C2-5ACF0ACAB996}"/>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7E32A77F-B1A1-43CD-9716-B8971A157950}"/>
    <cellStyle name="Currency 3 2 5 3 2 3" xfId="11843" xr:uid="{7914BEE6-84FB-4246-82F8-2550C51F99FB}"/>
    <cellStyle name="Currency 3 2 5 3 3" xfId="5466" xr:uid="{00000000-0005-0000-0000-00004B0B0000}"/>
    <cellStyle name="Currency 3 2 5 3 3 2" xfId="13916" xr:uid="{936EB242-71F0-4011-AC23-D6AEFFC668FF}"/>
    <cellStyle name="Currency 3 2 5 3 4" xfId="9698" xr:uid="{4FD353D9-8CEC-403B-8D6E-26A0753CBB68}"/>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8335ABBC-5224-4EF8-B982-3A84B819FC43}"/>
    <cellStyle name="Currency 3 2 5 4 2 3" xfId="12256" xr:uid="{4AF727D0-C1FB-4A5E-A98F-2F66F3FD06BF}"/>
    <cellStyle name="Currency 3 2 5 4 3" xfId="5879" xr:uid="{00000000-0005-0000-0000-00004F0B0000}"/>
    <cellStyle name="Currency 3 2 5 4 3 2" xfId="14329" xr:uid="{091ACE7C-32EB-4616-B3E7-1D9E282F707E}"/>
    <cellStyle name="Currency 3 2 5 4 4" xfId="10111" xr:uid="{99599866-6320-4E3F-8982-74B4DDD42011}"/>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8393363F-CDAE-46AE-99A9-B248DC169A08}"/>
    <cellStyle name="Currency 3 2 5 5 2 3" xfId="12669" xr:uid="{CF8816B3-80DB-4B99-B41D-5165238137FC}"/>
    <cellStyle name="Currency 3 2 5 5 3" xfId="6292" xr:uid="{00000000-0005-0000-0000-0000530B0000}"/>
    <cellStyle name="Currency 3 2 5 5 3 2" xfId="14742" xr:uid="{A1DE5AC0-C926-482A-99A7-5006CAF667F8}"/>
    <cellStyle name="Currency 3 2 5 5 4" xfId="10524" xr:uid="{EF4C8927-08E5-4623-92B7-70C8FFC0A7A0}"/>
    <cellStyle name="Currency 3 2 5 6" xfId="2421" xr:uid="{00000000-0005-0000-0000-0000540B0000}"/>
    <cellStyle name="Currency 3 2 5 6 2" xfId="6705" xr:uid="{00000000-0005-0000-0000-0000550B0000}"/>
    <cellStyle name="Currency 3 2 5 6 2 2" xfId="15155" xr:uid="{BF414CF8-5A3F-4240-A654-4D1D46FB613A}"/>
    <cellStyle name="Currency 3 2 5 6 3" xfId="10937" xr:uid="{24008B83-00AE-415E-9672-E701A3F341A2}"/>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5D38352E-932D-49B3-96B9-17A01D8DFADB}"/>
    <cellStyle name="Currency 3 2 5 8 3" xfId="11254" xr:uid="{3A4913A4-5CF8-4E3A-AAA2-2BA5B52091C4}"/>
    <cellStyle name="Currency 3 2 5 9" xfId="4639" xr:uid="{00000000-0005-0000-0000-0000590B0000}"/>
    <cellStyle name="Currency 3 2 5 9 2" xfId="13089" xr:uid="{FA5666B2-85F9-46AC-8FA0-82F549CC3DFF}"/>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1E88FC58-75F2-4080-B1E7-A3C1B427F95B}"/>
    <cellStyle name="Currency 5 2 2 2 10 3" xfId="11255" xr:uid="{85416BF5-A450-4653-B19A-DA89423448D6}"/>
    <cellStyle name="Currency 5 2 2 2 11" xfId="4640" xr:uid="{00000000-0005-0000-0000-00006C0B0000}"/>
    <cellStyle name="Currency 5 2 2 2 11 2" xfId="13090" xr:uid="{6A170523-0FDA-4962-BF23-4428027B6E6F}"/>
    <cellStyle name="Currency 5 2 2 2 12" xfId="8872" xr:uid="{1804B651-A7AC-41A7-80F6-1944F1077248}"/>
    <cellStyle name="Currency 5 2 2 2 2" xfId="197" xr:uid="{00000000-0005-0000-0000-00006D0B0000}"/>
    <cellStyle name="Currency 5 2 2 2 2 10" xfId="4641" xr:uid="{00000000-0005-0000-0000-00006E0B0000}"/>
    <cellStyle name="Currency 5 2 2 2 2 10 2" xfId="13091" xr:uid="{30A102B4-7D56-42B5-9F66-6048E26D8957}"/>
    <cellStyle name="Currency 5 2 2 2 2 11" xfId="8873" xr:uid="{DF1F2239-4107-4083-BA28-D52721EC9E1A}"/>
    <cellStyle name="Currency 5 2 2 2 2 2" xfId="198" xr:uid="{00000000-0005-0000-0000-00006F0B0000}"/>
    <cellStyle name="Currency 5 2 2 2 2 2 10" xfId="8874" xr:uid="{CBBC252A-962A-4C19-B247-53A6ABBA81B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16D1660E-0836-4750-929C-47F896A521A4}"/>
    <cellStyle name="Currency 5 2 2 2 2 2 2 2 3" xfId="11433" xr:uid="{470D9A6B-E814-44A3-AA70-6B421AA7D5F7}"/>
    <cellStyle name="Currency 5 2 2 2 2 2 2 3" xfId="5056" xr:uid="{00000000-0005-0000-0000-0000730B0000}"/>
    <cellStyle name="Currency 5 2 2 2 2 2 2 3 2" xfId="13506" xr:uid="{ABE85138-4BF6-46DF-9CD5-4CDF85D6D293}"/>
    <cellStyle name="Currency 5 2 2 2 2 2 2 4" xfId="9288" xr:uid="{19095D56-C531-48FD-A870-70AE7B1A586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03919826-4A6E-40BC-9D54-677F593FC340}"/>
    <cellStyle name="Currency 5 2 2 2 2 2 3 2 3" xfId="11846" xr:uid="{185606EF-BF0E-4BFC-94A0-3AC8EF53EE39}"/>
    <cellStyle name="Currency 5 2 2 2 2 2 3 3" xfId="5469" xr:uid="{00000000-0005-0000-0000-0000770B0000}"/>
    <cellStyle name="Currency 5 2 2 2 2 2 3 3 2" xfId="13919" xr:uid="{5C5FC86C-9DD0-4B07-9020-EC92A7847B62}"/>
    <cellStyle name="Currency 5 2 2 2 2 2 3 4" xfId="9701" xr:uid="{9C999F20-1FC5-4D96-938C-6C9CF562241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BCE41987-B90D-4AD1-8ED2-D3CA62182342}"/>
    <cellStyle name="Currency 5 2 2 2 2 2 4 2 3" xfId="12259" xr:uid="{DFA90467-953E-4D09-87F5-A31A87B73019}"/>
    <cellStyle name="Currency 5 2 2 2 2 2 4 3" xfId="5882" xr:uid="{00000000-0005-0000-0000-00007B0B0000}"/>
    <cellStyle name="Currency 5 2 2 2 2 2 4 3 2" xfId="14332" xr:uid="{21E377AB-C622-4F8B-9687-A456DDEEE05D}"/>
    <cellStyle name="Currency 5 2 2 2 2 2 4 4" xfId="10114" xr:uid="{F21B5A8A-49DC-4323-954B-2FD3300BC61F}"/>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E183AE91-8693-4023-B76F-4BE0131B0163}"/>
    <cellStyle name="Currency 5 2 2 2 2 2 5 2 3" xfId="12672" xr:uid="{720CE3FB-F7D9-4323-BEA4-35FB4F17D984}"/>
    <cellStyle name="Currency 5 2 2 2 2 2 5 3" xfId="6295" xr:uid="{00000000-0005-0000-0000-00007F0B0000}"/>
    <cellStyle name="Currency 5 2 2 2 2 2 5 3 2" xfId="14745" xr:uid="{8054AD09-6A08-4174-A1CD-98AFB2E6FA89}"/>
    <cellStyle name="Currency 5 2 2 2 2 2 5 4" xfId="10527" xr:uid="{AE40B796-D993-4F6F-A579-FD4CC2A56488}"/>
    <cellStyle name="Currency 5 2 2 2 2 2 6" xfId="2424" xr:uid="{00000000-0005-0000-0000-0000800B0000}"/>
    <cellStyle name="Currency 5 2 2 2 2 2 6 2" xfId="6708" xr:uid="{00000000-0005-0000-0000-0000810B0000}"/>
    <cellStyle name="Currency 5 2 2 2 2 2 6 2 2" xfId="15158" xr:uid="{F786031E-8EDE-471B-AC79-B2E8779687B3}"/>
    <cellStyle name="Currency 5 2 2 2 2 2 6 3" xfId="10940" xr:uid="{B1A85AC7-8AC7-44A1-8F56-AEDF6F6F717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44137864-C3BF-4291-A9C3-39C10519C2E3}"/>
    <cellStyle name="Currency 5 2 2 2 2 2 8 3" xfId="11257" xr:uid="{78233A8E-D9EB-4684-B154-657C759B68FF}"/>
    <cellStyle name="Currency 5 2 2 2 2 2 9" xfId="4642" xr:uid="{00000000-0005-0000-0000-0000850B0000}"/>
    <cellStyle name="Currency 5 2 2 2 2 2 9 2" xfId="13092" xr:uid="{0620E1AD-FF07-4017-9FB9-678E0AD40BE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3EA3AD69-C5D0-4D9D-A8E8-0BEA038ECF02}"/>
    <cellStyle name="Currency 5 2 2 2 2 3 2 3" xfId="11432" xr:uid="{CBF0E26B-C244-40F4-A676-B066E404687B}"/>
    <cellStyle name="Currency 5 2 2 2 2 3 3" xfId="5055" xr:uid="{00000000-0005-0000-0000-0000890B0000}"/>
    <cellStyle name="Currency 5 2 2 2 2 3 3 2" xfId="13505" xr:uid="{09E452A3-CA4A-44C8-B37C-1BEDE7392A45}"/>
    <cellStyle name="Currency 5 2 2 2 2 3 4" xfId="9287" xr:uid="{3643D87C-5775-4366-AEC2-833157CFBCE9}"/>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0DB4FCD5-C278-4C5A-9BB0-CF0D740227CC}"/>
    <cellStyle name="Currency 5 2 2 2 2 4 2 3" xfId="11845" xr:uid="{7CC0A596-E631-421E-B0A1-AE819507DD1A}"/>
    <cellStyle name="Currency 5 2 2 2 2 4 3" xfId="5468" xr:uid="{00000000-0005-0000-0000-00008D0B0000}"/>
    <cellStyle name="Currency 5 2 2 2 2 4 3 2" xfId="13918" xr:uid="{7A971449-88A0-4DAA-A4E1-9FE430A90B18}"/>
    <cellStyle name="Currency 5 2 2 2 2 4 4" xfId="9700" xr:uid="{20FD7D49-E0A7-46F7-BC97-E49FEEAE2F6C}"/>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1C223BCB-9DA7-4F35-B9BC-B953714AA9BF}"/>
    <cellStyle name="Currency 5 2 2 2 2 5 2 3" xfId="12258" xr:uid="{C914B858-51CE-4A48-B558-1B53002A4F49}"/>
    <cellStyle name="Currency 5 2 2 2 2 5 3" xfId="5881" xr:uid="{00000000-0005-0000-0000-0000910B0000}"/>
    <cellStyle name="Currency 5 2 2 2 2 5 3 2" xfId="14331" xr:uid="{492D5C7D-889A-49E1-B7C2-B8F0CD88DC63}"/>
    <cellStyle name="Currency 5 2 2 2 2 5 4" xfId="10113" xr:uid="{111B530D-F268-46A9-8175-1A40E3A0E24A}"/>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00864838-401B-43D8-91CF-65EA2A50D305}"/>
    <cellStyle name="Currency 5 2 2 2 2 6 2 3" xfId="12671" xr:uid="{54006A79-1E2A-4B90-AD6E-795E3C520143}"/>
    <cellStyle name="Currency 5 2 2 2 2 6 3" xfId="6294" xr:uid="{00000000-0005-0000-0000-0000950B0000}"/>
    <cellStyle name="Currency 5 2 2 2 2 6 3 2" xfId="14744" xr:uid="{5A5124B2-FCE2-489F-9764-BA8119329419}"/>
    <cellStyle name="Currency 5 2 2 2 2 6 4" xfId="10526" xr:uid="{70F8EA51-5E3F-4D65-A97E-D4535DE296D3}"/>
    <cellStyle name="Currency 5 2 2 2 2 7" xfId="2423" xr:uid="{00000000-0005-0000-0000-0000960B0000}"/>
    <cellStyle name="Currency 5 2 2 2 2 7 2" xfId="6707" xr:uid="{00000000-0005-0000-0000-0000970B0000}"/>
    <cellStyle name="Currency 5 2 2 2 2 7 2 2" xfId="15157" xr:uid="{7CDEEE8B-4D67-462F-A457-CE4C7354D0FB}"/>
    <cellStyle name="Currency 5 2 2 2 2 7 3" xfId="10939" xr:uid="{1B947378-62F7-424E-84BF-AD092B55947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0ED39E88-F272-4A42-8B27-50936D4A7424}"/>
    <cellStyle name="Currency 5 2 2 2 2 9 3" xfId="11256" xr:uid="{B0275960-8B6D-42FB-8474-7706DD89548D}"/>
    <cellStyle name="Currency 5 2 2 2 3" xfId="199" xr:uid="{00000000-0005-0000-0000-00009B0B0000}"/>
    <cellStyle name="Currency 5 2 2 2 3 10" xfId="8875" xr:uid="{D4EB6C3D-87CD-4003-90B7-B4B31F8FFD6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ACA2E900-0A2F-4876-8DF9-B0B554E2738C}"/>
    <cellStyle name="Currency 5 2 2 2 3 2 2 3" xfId="11434" xr:uid="{581B170A-041A-42EA-8897-73B127ABCBCE}"/>
    <cellStyle name="Currency 5 2 2 2 3 2 3" xfId="5057" xr:uid="{00000000-0005-0000-0000-00009F0B0000}"/>
    <cellStyle name="Currency 5 2 2 2 3 2 3 2" xfId="13507" xr:uid="{F9CEA770-BAC2-4C8B-8AE6-A2C48CA22ABD}"/>
    <cellStyle name="Currency 5 2 2 2 3 2 4" xfId="9289" xr:uid="{5B3DF205-CA19-4CD5-8A36-01E5298C94C3}"/>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09005B62-89C6-4AB4-B336-5BCAC51F9F4C}"/>
    <cellStyle name="Currency 5 2 2 2 3 3 2 3" xfId="11847" xr:uid="{4BA593A7-2A18-490F-8004-02EBC7F9B017}"/>
    <cellStyle name="Currency 5 2 2 2 3 3 3" xfId="5470" xr:uid="{00000000-0005-0000-0000-0000A30B0000}"/>
    <cellStyle name="Currency 5 2 2 2 3 3 3 2" xfId="13920" xr:uid="{3063EB93-14A9-4574-9F0C-030A484FCFCE}"/>
    <cellStyle name="Currency 5 2 2 2 3 3 4" xfId="9702" xr:uid="{D2A758B1-063C-4690-9CA9-C6CBF30EA70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FAC83B02-D0FC-4AA7-B564-04F93B1F1855}"/>
    <cellStyle name="Currency 5 2 2 2 3 4 2 3" xfId="12260" xr:uid="{3D5ADC83-B3C3-4C66-AD03-B71DF85DEC01}"/>
    <cellStyle name="Currency 5 2 2 2 3 4 3" xfId="5883" xr:uid="{00000000-0005-0000-0000-0000A70B0000}"/>
    <cellStyle name="Currency 5 2 2 2 3 4 3 2" xfId="14333" xr:uid="{D5F952A9-2623-458F-A23D-2CEB99AD9CF2}"/>
    <cellStyle name="Currency 5 2 2 2 3 4 4" xfId="10115" xr:uid="{10D58586-12E2-4884-A85E-A33EC604A5C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ECBA65CA-DCAE-402B-9231-74B1D5208292}"/>
    <cellStyle name="Currency 5 2 2 2 3 5 2 3" xfId="12673" xr:uid="{AF1B773B-91C0-4F7D-9FEB-A8BCBF4BBB02}"/>
    <cellStyle name="Currency 5 2 2 2 3 5 3" xfId="6296" xr:uid="{00000000-0005-0000-0000-0000AB0B0000}"/>
    <cellStyle name="Currency 5 2 2 2 3 5 3 2" xfId="14746" xr:uid="{195C8F4E-B6F5-42C4-B7DC-9BA0CBD08BF2}"/>
    <cellStyle name="Currency 5 2 2 2 3 5 4" xfId="10528" xr:uid="{8FFBCF89-8CCA-4906-924E-C879B0872A27}"/>
    <cellStyle name="Currency 5 2 2 2 3 6" xfId="2425" xr:uid="{00000000-0005-0000-0000-0000AC0B0000}"/>
    <cellStyle name="Currency 5 2 2 2 3 6 2" xfId="6709" xr:uid="{00000000-0005-0000-0000-0000AD0B0000}"/>
    <cellStyle name="Currency 5 2 2 2 3 6 2 2" xfId="15159" xr:uid="{FBB2EE0D-0E24-4CF8-B3FF-35341B5ABD2F}"/>
    <cellStyle name="Currency 5 2 2 2 3 6 3" xfId="10941" xr:uid="{F5D4C0F6-7EB4-48B0-BC90-5124B4EF7B1A}"/>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30B4FD3-9CC2-4D1C-B971-5E398B25A4A3}"/>
    <cellStyle name="Currency 5 2 2 2 3 8 3" xfId="11258" xr:uid="{2B280D44-37FE-4C99-B293-A5D65559BF9A}"/>
    <cellStyle name="Currency 5 2 2 2 3 9" xfId="4643" xr:uid="{00000000-0005-0000-0000-0000B10B0000}"/>
    <cellStyle name="Currency 5 2 2 2 3 9 2" xfId="13093" xr:uid="{BB0ED0BB-916F-45F6-8450-33DCFA21766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CF4B0F16-5020-4DB9-87E5-10C66A85EF0D}"/>
    <cellStyle name="Currency 5 2 2 2 4 2 3" xfId="11431" xr:uid="{801CD2D8-113C-4FDC-88D5-F782AB4C97C1}"/>
    <cellStyle name="Currency 5 2 2 2 4 3" xfId="5054" xr:uid="{00000000-0005-0000-0000-0000B50B0000}"/>
    <cellStyle name="Currency 5 2 2 2 4 3 2" xfId="13504" xr:uid="{05BB5647-0EF8-44CB-B888-914E255A515B}"/>
    <cellStyle name="Currency 5 2 2 2 4 4" xfId="9286" xr:uid="{0BCDCBED-4D54-4470-886C-CFDE718AF1B7}"/>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26F386FF-43AC-4B87-B5BC-77C996E9AD15}"/>
    <cellStyle name="Currency 5 2 2 2 5 2 3" xfId="11844" xr:uid="{92FE25DB-F52E-4A5A-8063-8F539EB7E39B}"/>
    <cellStyle name="Currency 5 2 2 2 5 3" xfId="5467" xr:uid="{00000000-0005-0000-0000-0000B90B0000}"/>
    <cellStyle name="Currency 5 2 2 2 5 3 2" xfId="13917" xr:uid="{AFB9CCE4-DEA4-4BEF-B7E7-EE92743F53A4}"/>
    <cellStyle name="Currency 5 2 2 2 5 4" xfId="9699" xr:uid="{0A1F537F-7703-4B95-8734-9CFC0B65CAC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49AEB86B-B297-47FE-98F0-004E7A51EE1B}"/>
    <cellStyle name="Currency 5 2 2 2 6 2 3" xfId="12257" xr:uid="{C8A54E90-AA78-4B75-BB2D-73187E04F5D9}"/>
    <cellStyle name="Currency 5 2 2 2 6 3" xfId="5880" xr:uid="{00000000-0005-0000-0000-0000BD0B0000}"/>
    <cellStyle name="Currency 5 2 2 2 6 3 2" xfId="14330" xr:uid="{A41A7DB2-263C-4375-A58F-DDAD1A215A39}"/>
    <cellStyle name="Currency 5 2 2 2 6 4" xfId="10112" xr:uid="{2A437E96-40F8-4A60-851F-A1CAE5569EA2}"/>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7A0E76B8-5E3B-42F2-99AE-D57D3ED7F80A}"/>
    <cellStyle name="Currency 5 2 2 2 7 2 3" xfId="12670" xr:uid="{82940797-74FE-48A3-95BE-58CEB4A6C6C6}"/>
    <cellStyle name="Currency 5 2 2 2 7 3" xfId="6293" xr:uid="{00000000-0005-0000-0000-0000C10B0000}"/>
    <cellStyle name="Currency 5 2 2 2 7 3 2" xfId="14743" xr:uid="{B6CF52E3-C969-477D-9B8D-62560D899501}"/>
    <cellStyle name="Currency 5 2 2 2 7 4" xfId="10525" xr:uid="{739CE9D9-2BC4-4420-9535-4299320718D1}"/>
    <cellStyle name="Currency 5 2 2 2 8" xfId="2422" xr:uid="{00000000-0005-0000-0000-0000C20B0000}"/>
    <cellStyle name="Currency 5 2 2 2 8 2" xfId="6706" xr:uid="{00000000-0005-0000-0000-0000C30B0000}"/>
    <cellStyle name="Currency 5 2 2 2 8 2 2" xfId="15156" xr:uid="{53BDD501-07E0-4C0E-9895-6420A589E7E7}"/>
    <cellStyle name="Currency 5 2 2 2 8 3" xfId="10938" xr:uid="{AD02B965-F81F-4E64-B803-093FB9144CD8}"/>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ADD4D0C9-DBCF-4533-955E-751921923498}"/>
    <cellStyle name="Currency 5 2 2 3 11" xfId="8876" xr:uid="{BC9D8F0D-BADD-4F5D-B407-A2C2D0B7501B}"/>
    <cellStyle name="Currency 5 2 2 3 2" xfId="201" xr:uid="{00000000-0005-0000-0000-0000C70B0000}"/>
    <cellStyle name="Currency 5 2 2 3 2 10" xfId="8877" xr:uid="{42654BF0-3E6C-493D-BBA5-B4E0E5A4F63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AED5CF1F-A1E0-49D3-ABDA-F4013CF77A4D}"/>
    <cellStyle name="Currency 5 2 2 3 2 2 2 3" xfId="11436" xr:uid="{1B03B717-E5DD-4BAE-99DF-AE5B8A528E75}"/>
    <cellStyle name="Currency 5 2 2 3 2 2 3" xfId="5059" xr:uid="{00000000-0005-0000-0000-0000CB0B0000}"/>
    <cellStyle name="Currency 5 2 2 3 2 2 3 2" xfId="13509" xr:uid="{3381B1DB-2C4F-41E4-AAEB-47248E488FFF}"/>
    <cellStyle name="Currency 5 2 2 3 2 2 4" xfId="9291" xr:uid="{A84DBE9F-5265-4066-8F9E-9E67CBD56229}"/>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F70F3F56-248F-4696-9021-A79348038DC1}"/>
    <cellStyle name="Currency 5 2 2 3 2 3 2 3" xfId="11849" xr:uid="{D17C8AF2-3F51-4C87-B6F6-F8FBD9E72095}"/>
    <cellStyle name="Currency 5 2 2 3 2 3 3" xfId="5472" xr:uid="{00000000-0005-0000-0000-0000CF0B0000}"/>
    <cellStyle name="Currency 5 2 2 3 2 3 3 2" xfId="13922" xr:uid="{4B672BF6-89EF-4E71-B161-A15A44848A65}"/>
    <cellStyle name="Currency 5 2 2 3 2 3 4" xfId="9704" xr:uid="{895D0E08-2087-4B4A-A8EC-0D532B0215A4}"/>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DD4FAA8F-C804-431C-AC31-60AAAA26B474}"/>
    <cellStyle name="Currency 5 2 2 3 2 4 2 3" xfId="12262" xr:uid="{296EF50B-381A-4BB4-ABCD-60E79999FD44}"/>
    <cellStyle name="Currency 5 2 2 3 2 4 3" xfId="5885" xr:uid="{00000000-0005-0000-0000-0000D30B0000}"/>
    <cellStyle name="Currency 5 2 2 3 2 4 3 2" xfId="14335" xr:uid="{B04E6DD9-23A1-4D95-8576-F705D57F699A}"/>
    <cellStyle name="Currency 5 2 2 3 2 4 4" xfId="10117" xr:uid="{9AE73226-DF0C-4588-AD77-57723163868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E8B0F126-EDF1-452D-9E70-4D8C06FDD51A}"/>
    <cellStyle name="Currency 5 2 2 3 2 5 2 3" xfId="12675" xr:uid="{22B5CDE6-41B3-457C-B214-C55DD91FB1AE}"/>
    <cellStyle name="Currency 5 2 2 3 2 5 3" xfId="6298" xr:uid="{00000000-0005-0000-0000-0000D70B0000}"/>
    <cellStyle name="Currency 5 2 2 3 2 5 3 2" xfId="14748" xr:uid="{44D2BFF7-0E87-4E3D-B1CD-20E252ED35F5}"/>
    <cellStyle name="Currency 5 2 2 3 2 5 4" xfId="10530" xr:uid="{36444AC1-34BA-48DD-855C-73F076A7B9B4}"/>
    <cellStyle name="Currency 5 2 2 3 2 6" xfId="2427" xr:uid="{00000000-0005-0000-0000-0000D80B0000}"/>
    <cellStyle name="Currency 5 2 2 3 2 6 2" xfId="6711" xr:uid="{00000000-0005-0000-0000-0000D90B0000}"/>
    <cellStyle name="Currency 5 2 2 3 2 6 2 2" xfId="15161" xr:uid="{B1BB80B4-83FC-4C96-B51D-3750344DB6F0}"/>
    <cellStyle name="Currency 5 2 2 3 2 6 3" xfId="10943" xr:uid="{8E8034DF-D73F-4A7E-8441-7AD7BBAD9D2D}"/>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182B7F89-CFEF-47EB-8E2C-52B3D29B4100}"/>
    <cellStyle name="Currency 5 2 2 3 2 8 3" xfId="11260" xr:uid="{7FE8543F-37CB-4128-A02A-2F790122ABC5}"/>
    <cellStyle name="Currency 5 2 2 3 2 9" xfId="4645" xr:uid="{00000000-0005-0000-0000-0000DD0B0000}"/>
    <cellStyle name="Currency 5 2 2 3 2 9 2" xfId="13095" xr:uid="{011CD19C-865C-4D2C-9CE8-5AB4C32F099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42683673-A086-44D6-A2F1-6B926D84F3DC}"/>
    <cellStyle name="Currency 5 2 2 3 3 2 3" xfId="11435" xr:uid="{0856552C-B16A-418B-883F-C6434A593F3F}"/>
    <cellStyle name="Currency 5 2 2 3 3 3" xfId="5058" xr:uid="{00000000-0005-0000-0000-0000E10B0000}"/>
    <cellStyle name="Currency 5 2 2 3 3 3 2" xfId="13508" xr:uid="{DEA38DE9-6490-4BBE-B82A-694163BA3BBD}"/>
    <cellStyle name="Currency 5 2 2 3 3 4" xfId="9290" xr:uid="{7903EDD7-1750-4D5F-B70B-3815FA7C98E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E1F71783-E4DF-4FB1-94A3-F93E58B0AD84}"/>
    <cellStyle name="Currency 5 2 2 3 4 2 3" xfId="11848" xr:uid="{920247A9-DE3A-4136-AC85-1437F8602AEE}"/>
    <cellStyle name="Currency 5 2 2 3 4 3" xfId="5471" xr:uid="{00000000-0005-0000-0000-0000E50B0000}"/>
    <cellStyle name="Currency 5 2 2 3 4 3 2" xfId="13921" xr:uid="{E9E8C3D1-EEBE-44B7-9343-B7A2C20B3AC0}"/>
    <cellStyle name="Currency 5 2 2 3 4 4" xfId="9703" xr:uid="{50FFD893-9FE4-4570-817B-E95DDB99DE31}"/>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F83BA746-AE48-40AE-93D8-4AF9461D6EBA}"/>
    <cellStyle name="Currency 5 2 2 3 5 2 3" xfId="12261" xr:uid="{FCDCB602-E1B3-4FA6-9DDB-03CE05FF3EEF}"/>
    <cellStyle name="Currency 5 2 2 3 5 3" xfId="5884" xr:uid="{00000000-0005-0000-0000-0000E90B0000}"/>
    <cellStyle name="Currency 5 2 2 3 5 3 2" xfId="14334" xr:uid="{1B4E5FF7-0F9B-44FF-B18E-1538D83B96D4}"/>
    <cellStyle name="Currency 5 2 2 3 5 4" xfId="10116" xr:uid="{860096AD-6331-4BE1-9FA8-5B557E2CB36F}"/>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70041C99-7C9C-46C0-994E-98EF56C96938}"/>
    <cellStyle name="Currency 5 2 2 3 6 2 3" xfId="12674" xr:uid="{59A302D4-5338-4F34-A1D9-38F49EE90C5B}"/>
    <cellStyle name="Currency 5 2 2 3 6 3" xfId="6297" xr:uid="{00000000-0005-0000-0000-0000ED0B0000}"/>
    <cellStyle name="Currency 5 2 2 3 6 3 2" xfId="14747" xr:uid="{13645662-7755-4923-8907-1457A0F0AC27}"/>
    <cellStyle name="Currency 5 2 2 3 6 4" xfId="10529" xr:uid="{86F5994B-FA3B-4FC0-B9D3-153822A8D4F6}"/>
    <cellStyle name="Currency 5 2 2 3 7" xfId="2426" xr:uid="{00000000-0005-0000-0000-0000EE0B0000}"/>
    <cellStyle name="Currency 5 2 2 3 7 2" xfId="6710" xr:uid="{00000000-0005-0000-0000-0000EF0B0000}"/>
    <cellStyle name="Currency 5 2 2 3 7 2 2" xfId="15160" xr:uid="{CFEF271A-AECB-4BDC-9043-7D4817014642}"/>
    <cellStyle name="Currency 5 2 2 3 7 3" xfId="10942" xr:uid="{2B8AE43A-61F2-4FA8-B023-D45FDB7E964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0820E504-5F8C-4447-8687-A5261404A3E3}"/>
    <cellStyle name="Currency 5 2 2 3 9 3" xfId="11259" xr:uid="{15DBC17F-E6C4-4343-806C-C8A3E45456AF}"/>
    <cellStyle name="Currency 5 2 2 4" xfId="202" xr:uid="{00000000-0005-0000-0000-0000F30B0000}"/>
    <cellStyle name="Currency 5 2 2 4 10" xfId="8878" xr:uid="{96779139-B8AD-4C8A-8005-B07AA1F36A3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E19DC81D-AB16-4B26-81F8-8A856B96D1EE}"/>
    <cellStyle name="Currency 5 2 2 4 2 2 3" xfId="11437" xr:uid="{73A36945-1615-42EE-BD06-5D16A61264A2}"/>
    <cellStyle name="Currency 5 2 2 4 2 3" xfId="5060" xr:uid="{00000000-0005-0000-0000-0000F70B0000}"/>
    <cellStyle name="Currency 5 2 2 4 2 3 2" xfId="13510" xr:uid="{C1C166A7-464E-4126-BFA0-034EB7866F59}"/>
    <cellStyle name="Currency 5 2 2 4 2 4" xfId="9292" xr:uid="{B905BADC-8393-48CC-AE16-68F51D4B1EA9}"/>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0D1E7464-602D-458E-859F-F9D8E5326644}"/>
    <cellStyle name="Currency 5 2 2 4 3 2 3" xfId="11850" xr:uid="{2CEC0975-F919-4D15-BE73-0EAECAF55E51}"/>
    <cellStyle name="Currency 5 2 2 4 3 3" xfId="5473" xr:uid="{00000000-0005-0000-0000-0000FB0B0000}"/>
    <cellStyle name="Currency 5 2 2 4 3 3 2" xfId="13923" xr:uid="{862C3348-632D-479D-97AE-F9FDDD644966}"/>
    <cellStyle name="Currency 5 2 2 4 3 4" xfId="9705" xr:uid="{2F9C9377-E2B2-44F1-A609-BAF64ACB4251}"/>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E0021AD7-781D-4C27-B06A-40A54272D332}"/>
    <cellStyle name="Currency 5 2 2 4 4 2 3" xfId="12263" xr:uid="{32CA6EBF-A035-49A3-A157-FAB90E002527}"/>
    <cellStyle name="Currency 5 2 2 4 4 3" xfId="5886" xr:uid="{00000000-0005-0000-0000-0000FF0B0000}"/>
    <cellStyle name="Currency 5 2 2 4 4 3 2" xfId="14336" xr:uid="{3955D94D-3939-45C1-B4AE-33A37234F843}"/>
    <cellStyle name="Currency 5 2 2 4 4 4" xfId="10118" xr:uid="{5AC04355-D8D3-41D6-8F85-8A68E5440278}"/>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76E467BC-29DF-45A3-B6A1-1577895F9876}"/>
    <cellStyle name="Currency 5 2 2 4 5 2 3" xfId="12676" xr:uid="{CC89AB05-2605-49D9-94A8-2B0D87ED8F1F}"/>
    <cellStyle name="Currency 5 2 2 4 5 3" xfId="6299" xr:uid="{00000000-0005-0000-0000-0000030C0000}"/>
    <cellStyle name="Currency 5 2 2 4 5 3 2" xfId="14749" xr:uid="{004106CF-ECBD-4445-97BF-CC8498EB7DE3}"/>
    <cellStyle name="Currency 5 2 2 4 5 4" xfId="10531" xr:uid="{5B5437CE-0E6B-4F81-8493-D99C7BEF7E0C}"/>
    <cellStyle name="Currency 5 2 2 4 6" xfId="2428" xr:uid="{00000000-0005-0000-0000-0000040C0000}"/>
    <cellStyle name="Currency 5 2 2 4 6 2" xfId="6712" xr:uid="{00000000-0005-0000-0000-0000050C0000}"/>
    <cellStyle name="Currency 5 2 2 4 6 2 2" xfId="15162" xr:uid="{60772EB3-9D25-4915-A39D-140E98E0103A}"/>
    <cellStyle name="Currency 5 2 2 4 6 3" xfId="10944" xr:uid="{8A4600BA-457E-46B8-A74B-7E7EED1D310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AC0A9A6F-E795-46DE-89E5-44A1594CFA9A}"/>
    <cellStyle name="Currency 5 2 2 4 8 3" xfId="11261" xr:uid="{E52E377A-E255-4FFA-8F47-E1B32243072A}"/>
    <cellStyle name="Currency 5 2 2 4 9" xfId="4646" xr:uid="{00000000-0005-0000-0000-0000090C0000}"/>
    <cellStyle name="Currency 5 2 2 4 9 2" xfId="13096" xr:uid="{31694FDE-3AB6-4347-BE85-CE1C4F2C2732}"/>
    <cellStyle name="Currency 5 2 2 5" xfId="203" xr:uid="{00000000-0005-0000-0000-00000A0C0000}"/>
    <cellStyle name="Currency 5 2 2 5 10" xfId="8879" xr:uid="{B8A29E41-E5A3-46BB-A1F8-EA935C1CB3FF}"/>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46D842C6-C72A-4D74-9BF1-09360E29F23D}"/>
    <cellStyle name="Currency 5 2 2 5 2 2 3" xfId="11438" xr:uid="{29D5FF40-57B6-472A-AFC5-443F869D79F6}"/>
    <cellStyle name="Currency 5 2 2 5 2 3" xfId="5061" xr:uid="{00000000-0005-0000-0000-00000E0C0000}"/>
    <cellStyle name="Currency 5 2 2 5 2 3 2" xfId="13511" xr:uid="{FBF95AF9-4BBF-4912-9B5E-9DFD2EF9C6DF}"/>
    <cellStyle name="Currency 5 2 2 5 2 4" xfId="9293" xr:uid="{78420CBF-263B-4F96-BBAD-716DB0A15563}"/>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5D64F551-0561-4FC8-B767-B08E768F2517}"/>
    <cellStyle name="Currency 5 2 2 5 3 2 3" xfId="11851" xr:uid="{EE6727B0-3546-4DC0-8FDD-1618254F139B}"/>
    <cellStyle name="Currency 5 2 2 5 3 3" xfId="5474" xr:uid="{00000000-0005-0000-0000-0000120C0000}"/>
    <cellStyle name="Currency 5 2 2 5 3 3 2" xfId="13924" xr:uid="{CB81CDE8-6F62-4DA7-B53F-55AD34666D81}"/>
    <cellStyle name="Currency 5 2 2 5 3 4" xfId="9706" xr:uid="{70A55C28-207A-4BC0-B661-ACC02B2FA90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B2C4D7F6-6E5C-4332-99BC-0A42A2D4A3EF}"/>
    <cellStyle name="Currency 5 2 2 5 4 2 3" xfId="12264" xr:uid="{782AB577-6C7A-4363-837A-8E6D20FB2943}"/>
    <cellStyle name="Currency 5 2 2 5 4 3" xfId="5887" xr:uid="{00000000-0005-0000-0000-0000160C0000}"/>
    <cellStyle name="Currency 5 2 2 5 4 3 2" xfId="14337" xr:uid="{5FF7B3F8-5084-4BF7-931B-81F02466BC9B}"/>
    <cellStyle name="Currency 5 2 2 5 4 4" xfId="10119" xr:uid="{E4FD4F55-F58F-4C1F-BB80-C839A21B4AC6}"/>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D35DDB8F-3E37-4220-9B4D-6F07A7D1B072}"/>
    <cellStyle name="Currency 5 2 2 5 5 2 3" xfId="12677" xr:uid="{FBCE6AA7-8381-4389-B6C1-38E69BC98932}"/>
    <cellStyle name="Currency 5 2 2 5 5 3" xfId="6300" xr:uid="{00000000-0005-0000-0000-00001A0C0000}"/>
    <cellStyle name="Currency 5 2 2 5 5 3 2" xfId="14750" xr:uid="{70BA4586-323A-4336-B20C-07246D72B22C}"/>
    <cellStyle name="Currency 5 2 2 5 5 4" xfId="10532" xr:uid="{205E4423-2A5A-4C6A-AB32-648E2C6F3471}"/>
    <cellStyle name="Currency 5 2 2 5 6" xfId="2429" xr:uid="{00000000-0005-0000-0000-00001B0C0000}"/>
    <cellStyle name="Currency 5 2 2 5 6 2" xfId="6713" xr:uid="{00000000-0005-0000-0000-00001C0C0000}"/>
    <cellStyle name="Currency 5 2 2 5 6 2 2" xfId="15163" xr:uid="{698FD95D-FC05-4291-AD26-357DBF7BCFFB}"/>
    <cellStyle name="Currency 5 2 2 5 6 3" xfId="10945" xr:uid="{D18D1D7D-3022-4F55-8F62-BBA2047F536A}"/>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BE32ED09-608D-428B-9B87-A46A8D554D66}"/>
    <cellStyle name="Currency 5 2 2 5 8 3" xfId="11262" xr:uid="{161FB381-4834-4668-8668-A27D3A256F0B}"/>
    <cellStyle name="Currency 5 2 2 5 9" xfId="4647" xr:uid="{00000000-0005-0000-0000-0000200C0000}"/>
    <cellStyle name="Currency 5 2 2 5 9 2" xfId="13097" xr:uid="{75268BDE-B045-497D-A492-4B6B09C15332}"/>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E4D618AD-F6EB-47D0-A77E-D2A2B7013E82}"/>
    <cellStyle name="Currency 5 2 4 11" xfId="8880" xr:uid="{00B5AF4A-8A60-4899-BFF4-82CC750A0664}"/>
    <cellStyle name="Currency 5 2 4 2" xfId="206" xr:uid="{00000000-0005-0000-0000-0000250C0000}"/>
    <cellStyle name="Currency 5 2 4 2 10" xfId="8881" xr:uid="{A72F0394-8B34-4401-81D9-23A036501D7F}"/>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40C728A1-ED37-4621-9E42-E97CEBA3F709}"/>
    <cellStyle name="Currency 5 2 4 2 2 2 3" xfId="11440" xr:uid="{8F306C26-353F-4F10-BD35-AE19A6122162}"/>
    <cellStyle name="Currency 5 2 4 2 2 3" xfId="5063" xr:uid="{00000000-0005-0000-0000-0000290C0000}"/>
    <cellStyle name="Currency 5 2 4 2 2 3 2" xfId="13513" xr:uid="{45E72439-15F6-4EC1-9BB7-44B1D22E13A5}"/>
    <cellStyle name="Currency 5 2 4 2 2 4" xfId="9295" xr:uid="{41332F73-EA52-46AB-B80D-BD3322F0C0C8}"/>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D56DE246-7DBD-4BD5-9F38-825D79EFEB2C}"/>
    <cellStyle name="Currency 5 2 4 2 3 2 3" xfId="11853" xr:uid="{F50FD678-66B5-45B5-AC6B-6557B7826E77}"/>
    <cellStyle name="Currency 5 2 4 2 3 3" xfId="5476" xr:uid="{00000000-0005-0000-0000-00002D0C0000}"/>
    <cellStyle name="Currency 5 2 4 2 3 3 2" xfId="13926" xr:uid="{E75F6692-07A8-4805-8547-1BF5B564D815}"/>
    <cellStyle name="Currency 5 2 4 2 3 4" xfId="9708" xr:uid="{CEEA56E1-4061-4B4C-BCDB-928ABCBFE1FE}"/>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82A81F47-1159-460F-AB95-9A666060F44A}"/>
    <cellStyle name="Currency 5 2 4 2 4 2 3" xfId="12266" xr:uid="{4648A163-7A35-4778-8930-4E24643F1DDD}"/>
    <cellStyle name="Currency 5 2 4 2 4 3" xfId="5889" xr:uid="{00000000-0005-0000-0000-0000310C0000}"/>
    <cellStyle name="Currency 5 2 4 2 4 3 2" xfId="14339" xr:uid="{2DB9E516-ECD8-44D3-81E6-AFE12B99E8FC}"/>
    <cellStyle name="Currency 5 2 4 2 4 4" xfId="10121" xr:uid="{4F19DD7E-A82A-4FB5-9ADA-F2335EAD188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AE223AC1-7AFC-4DF0-8F7B-5CC1A411D66B}"/>
    <cellStyle name="Currency 5 2 4 2 5 2 3" xfId="12679" xr:uid="{6A8A4F88-BCDC-4E4C-B520-34CE91DBCEDC}"/>
    <cellStyle name="Currency 5 2 4 2 5 3" xfId="6302" xr:uid="{00000000-0005-0000-0000-0000350C0000}"/>
    <cellStyle name="Currency 5 2 4 2 5 3 2" xfId="14752" xr:uid="{B800416B-D784-4E3F-BF8F-42E5728E5B87}"/>
    <cellStyle name="Currency 5 2 4 2 5 4" xfId="10534" xr:uid="{EC7A358E-0498-4F53-894A-9E7950FD2D15}"/>
    <cellStyle name="Currency 5 2 4 2 6" xfId="2431" xr:uid="{00000000-0005-0000-0000-0000360C0000}"/>
    <cellStyle name="Currency 5 2 4 2 6 2" xfId="6715" xr:uid="{00000000-0005-0000-0000-0000370C0000}"/>
    <cellStyle name="Currency 5 2 4 2 6 2 2" xfId="15165" xr:uid="{247CD967-3F59-464B-813E-2EBA619EBA15}"/>
    <cellStyle name="Currency 5 2 4 2 6 3" xfId="10947" xr:uid="{1B0EAEB8-6073-47BA-9543-0DC714D31697}"/>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9B5F37C9-9958-4444-A7A8-6EA6038D7C82}"/>
    <cellStyle name="Currency 5 2 4 2 8 3" xfId="11264" xr:uid="{D84C97D7-20EB-43F0-A5E4-3AAEA730186D}"/>
    <cellStyle name="Currency 5 2 4 2 9" xfId="4649" xr:uid="{00000000-0005-0000-0000-00003B0C0000}"/>
    <cellStyle name="Currency 5 2 4 2 9 2" xfId="13099" xr:uid="{B4999DEE-BB99-4081-BBB6-AA6ABA9C20B3}"/>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AE0A00F2-D82A-4C29-B29C-C9876508711B}"/>
    <cellStyle name="Currency 5 2 4 3 2 3" xfId="11439" xr:uid="{B25A3E08-A9B3-41B1-8DBB-307C18CFB87A}"/>
    <cellStyle name="Currency 5 2 4 3 3" xfId="5062" xr:uid="{00000000-0005-0000-0000-00003F0C0000}"/>
    <cellStyle name="Currency 5 2 4 3 3 2" xfId="13512" xr:uid="{F3E572BD-8F61-4F7D-8C42-7EB90FB19175}"/>
    <cellStyle name="Currency 5 2 4 3 4" xfId="9294" xr:uid="{42B4B40C-7210-447A-9488-0F49E41E3C00}"/>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E30F28EB-0967-44AC-BE77-CB37C957B205}"/>
    <cellStyle name="Currency 5 2 4 4 2 3" xfId="11852" xr:uid="{CD740E2A-B187-49AE-A95F-81CE83F32D08}"/>
    <cellStyle name="Currency 5 2 4 4 3" xfId="5475" xr:uid="{00000000-0005-0000-0000-0000430C0000}"/>
    <cellStyle name="Currency 5 2 4 4 3 2" xfId="13925" xr:uid="{9DDB19BD-0A2F-4FE7-AFB3-1CF0DA38A6F9}"/>
    <cellStyle name="Currency 5 2 4 4 4" xfId="9707" xr:uid="{4054A1FA-6E0E-4582-93EB-7F41158EECDD}"/>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E96C61C3-4407-47BB-A403-7BEB14F9A7D7}"/>
    <cellStyle name="Currency 5 2 4 5 2 3" xfId="12265" xr:uid="{A7B0FDE2-612A-49E5-A0AF-E624719201C7}"/>
    <cellStyle name="Currency 5 2 4 5 3" xfId="5888" xr:uid="{00000000-0005-0000-0000-0000470C0000}"/>
    <cellStyle name="Currency 5 2 4 5 3 2" xfId="14338" xr:uid="{34E1D1AA-3BF8-4135-93D7-EDC7036F97D1}"/>
    <cellStyle name="Currency 5 2 4 5 4" xfId="10120" xr:uid="{73EFDE24-90DF-4051-A907-5D11A627012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B137BBF4-D570-4EF9-BA11-6E8F3F78A264}"/>
    <cellStyle name="Currency 5 2 4 6 2 3" xfId="12678" xr:uid="{5064A151-86CB-4BEE-8488-BB5CEEFE2CA0}"/>
    <cellStyle name="Currency 5 2 4 6 3" xfId="6301" xr:uid="{00000000-0005-0000-0000-00004B0C0000}"/>
    <cellStyle name="Currency 5 2 4 6 3 2" xfId="14751" xr:uid="{210A6468-2CF1-4DD3-B855-E3D44402DE71}"/>
    <cellStyle name="Currency 5 2 4 6 4" xfId="10533" xr:uid="{E2CB66AD-E437-43D1-9E5E-39708BB1AD4D}"/>
    <cellStyle name="Currency 5 2 4 7" xfId="2430" xr:uid="{00000000-0005-0000-0000-00004C0C0000}"/>
    <cellStyle name="Currency 5 2 4 7 2" xfId="6714" xr:uid="{00000000-0005-0000-0000-00004D0C0000}"/>
    <cellStyle name="Currency 5 2 4 7 2 2" xfId="15164" xr:uid="{2C34D765-FEDA-4609-A4FF-60F5BBA22C1C}"/>
    <cellStyle name="Currency 5 2 4 7 3" xfId="10946" xr:uid="{9FC19467-642D-4A94-8557-CCEE7572120A}"/>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409AD879-A244-44B3-8C2D-781BB7558AD6}"/>
    <cellStyle name="Currency 5 2 4 9 3" xfId="11263" xr:uid="{6E0A6CC7-28D8-4544-9986-215811A1978E}"/>
    <cellStyle name="Currency 5 2 5" xfId="207" xr:uid="{00000000-0005-0000-0000-0000510C0000}"/>
    <cellStyle name="Currency 5 2 5 10" xfId="8882" xr:uid="{D72975B1-B851-4429-9DE1-FC4C4D3E397C}"/>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45021F00-9C81-47DF-ACCC-E70071465EF3}"/>
    <cellStyle name="Currency 5 2 5 2 2 3" xfId="11441" xr:uid="{6A3C2554-896E-4A32-8914-DB0FD7A0D8EA}"/>
    <cellStyle name="Currency 5 2 5 2 3" xfId="5064" xr:uid="{00000000-0005-0000-0000-0000550C0000}"/>
    <cellStyle name="Currency 5 2 5 2 3 2" xfId="13514" xr:uid="{0E6433E9-99F2-4D0B-BF35-C280015EF87D}"/>
    <cellStyle name="Currency 5 2 5 2 4" xfId="9296" xr:uid="{0442F242-D8B2-4E51-A96C-506CB7B9AFA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7346CFB4-D6F3-4B50-9BAB-AEC9C2FA6CEF}"/>
    <cellStyle name="Currency 5 2 5 3 2 3" xfId="11854" xr:uid="{0F4039B5-6D37-4F68-981F-C2B783DF003D}"/>
    <cellStyle name="Currency 5 2 5 3 3" xfId="5477" xr:uid="{00000000-0005-0000-0000-0000590C0000}"/>
    <cellStyle name="Currency 5 2 5 3 3 2" xfId="13927" xr:uid="{921F13FD-B9FF-4510-9E16-4DBA229BBBAE}"/>
    <cellStyle name="Currency 5 2 5 3 4" xfId="9709" xr:uid="{F4CCEDE0-A66E-47DE-B310-633ABF5EB1E5}"/>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3F67A9AD-774E-41AD-9154-B97E5E77FDD0}"/>
    <cellStyle name="Currency 5 2 5 4 2 3" xfId="12267" xr:uid="{0D484C38-8D03-41A7-B7C7-B36B02573B2F}"/>
    <cellStyle name="Currency 5 2 5 4 3" xfId="5890" xr:uid="{00000000-0005-0000-0000-00005D0C0000}"/>
    <cellStyle name="Currency 5 2 5 4 3 2" xfId="14340" xr:uid="{CB0E7C72-4931-4798-8E3F-B11546B16D48}"/>
    <cellStyle name="Currency 5 2 5 4 4" xfId="10122" xr:uid="{248157FF-D4C5-48C2-8D2B-26979A0A827C}"/>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6C54B1FE-A9F3-441D-9624-284B7172A76A}"/>
    <cellStyle name="Currency 5 2 5 5 2 3" xfId="12680" xr:uid="{030E6C02-8179-4CA4-A0C4-D7CA339B0474}"/>
    <cellStyle name="Currency 5 2 5 5 3" xfId="6303" xr:uid="{00000000-0005-0000-0000-0000610C0000}"/>
    <cellStyle name="Currency 5 2 5 5 3 2" xfId="14753" xr:uid="{6C860926-8CBC-4B2C-8407-66E2F4E7EC7D}"/>
    <cellStyle name="Currency 5 2 5 5 4" xfId="10535" xr:uid="{A22D72AE-C17C-4AC2-AC9C-5B097261E34A}"/>
    <cellStyle name="Currency 5 2 5 6" xfId="2432" xr:uid="{00000000-0005-0000-0000-0000620C0000}"/>
    <cellStyle name="Currency 5 2 5 6 2" xfId="6716" xr:uid="{00000000-0005-0000-0000-0000630C0000}"/>
    <cellStyle name="Currency 5 2 5 6 2 2" xfId="15166" xr:uid="{255AB924-2853-4090-AB29-0A16695FF8BF}"/>
    <cellStyle name="Currency 5 2 5 6 3" xfId="10948" xr:uid="{025C6E90-9714-4036-947C-4B3C1E2C5915}"/>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A31CA6A8-73B2-404B-85AD-209DD4FBEFF9}"/>
    <cellStyle name="Currency 5 2 5 8 3" xfId="11265" xr:uid="{94DD88B8-A02C-43BB-A5C4-419656542D8C}"/>
    <cellStyle name="Currency 5 2 5 9" xfId="4650" xr:uid="{00000000-0005-0000-0000-0000670C0000}"/>
    <cellStyle name="Currency 5 2 5 9 2" xfId="13100" xr:uid="{934805AF-A151-40BA-B317-586843370C89}"/>
    <cellStyle name="Currency 5 2 6" xfId="208" xr:uid="{00000000-0005-0000-0000-0000680C0000}"/>
    <cellStyle name="Currency 5 2 6 10" xfId="8883" xr:uid="{F20F1B19-DA44-440C-B4C6-0C93BCB8356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D829F4E1-DB58-4C1C-9B82-A2F60A30FD40}"/>
    <cellStyle name="Currency 5 2 6 2 2 3" xfId="11442" xr:uid="{94E2683D-19D6-4058-A391-9E7B973620FD}"/>
    <cellStyle name="Currency 5 2 6 2 3" xfId="5065" xr:uid="{00000000-0005-0000-0000-00006C0C0000}"/>
    <cellStyle name="Currency 5 2 6 2 3 2" xfId="13515" xr:uid="{8338A0A8-397B-47C7-A666-4A918E083FA6}"/>
    <cellStyle name="Currency 5 2 6 2 4" xfId="9297" xr:uid="{45A3BDB0-4D8B-4963-9DE2-9EC834234CEF}"/>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9D38A9CE-40BE-4B2A-82D0-259F85224862}"/>
    <cellStyle name="Currency 5 2 6 3 2 3" xfId="11855" xr:uid="{3434308E-790C-4418-9C73-47C718819485}"/>
    <cellStyle name="Currency 5 2 6 3 3" xfId="5478" xr:uid="{00000000-0005-0000-0000-0000700C0000}"/>
    <cellStyle name="Currency 5 2 6 3 3 2" xfId="13928" xr:uid="{7F50671E-392D-4B3B-95E1-04F82AF97DB0}"/>
    <cellStyle name="Currency 5 2 6 3 4" xfId="9710" xr:uid="{6E09363C-B404-46D3-816C-7166025BA783}"/>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85B8B065-AA57-4079-B145-C5492ABDD317}"/>
    <cellStyle name="Currency 5 2 6 4 2 3" xfId="12268" xr:uid="{90E50CE6-78D2-4321-A06A-D8895DF976C3}"/>
    <cellStyle name="Currency 5 2 6 4 3" xfId="5891" xr:uid="{00000000-0005-0000-0000-0000740C0000}"/>
    <cellStyle name="Currency 5 2 6 4 3 2" xfId="14341" xr:uid="{150BAEA1-0B5B-4A09-B002-3E13605325F8}"/>
    <cellStyle name="Currency 5 2 6 4 4" xfId="10123" xr:uid="{A7E72A4A-13C1-4D31-8A7C-95F3F8F49A8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DF5CD517-E039-4B71-95DB-5968F9B8867B}"/>
    <cellStyle name="Currency 5 2 6 5 2 3" xfId="12681" xr:uid="{BAB4C8EC-8666-4740-AE41-B316EC61C04A}"/>
    <cellStyle name="Currency 5 2 6 5 3" xfId="6304" xr:uid="{00000000-0005-0000-0000-0000780C0000}"/>
    <cellStyle name="Currency 5 2 6 5 3 2" xfId="14754" xr:uid="{D4656FD6-FB83-47D2-A20B-0B269A0000EC}"/>
    <cellStyle name="Currency 5 2 6 5 4" xfId="10536" xr:uid="{E1FDD53E-A52E-4911-8907-D9A7C1749352}"/>
    <cellStyle name="Currency 5 2 6 6" xfId="2433" xr:uid="{00000000-0005-0000-0000-0000790C0000}"/>
    <cellStyle name="Currency 5 2 6 6 2" xfId="6717" xr:uid="{00000000-0005-0000-0000-00007A0C0000}"/>
    <cellStyle name="Currency 5 2 6 6 2 2" xfId="15167" xr:uid="{28580970-6AAE-4FF2-BAE5-6DDF45E79529}"/>
    <cellStyle name="Currency 5 2 6 6 3" xfId="10949" xr:uid="{C0B8AD01-B3FA-4CC9-9BD9-4932F112F563}"/>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C14DBAF1-737C-4E78-B4B6-A869EAA497F9}"/>
    <cellStyle name="Currency 5 2 6 8 3" xfId="11266" xr:uid="{702C966C-525A-4382-8DCA-6B41BFD355EC}"/>
    <cellStyle name="Currency 5 2 6 9" xfId="4651" xr:uid="{00000000-0005-0000-0000-00007E0C0000}"/>
    <cellStyle name="Currency 5 2 6 9 2" xfId="13101" xr:uid="{9D8D0C8A-BE4D-4071-AD05-1A7D469F946E}"/>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4A162D26-646B-475C-A5A1-7387942B758A}"/>
    <cellStyle name="Currency 5 3 2 10 3" xfId="11267" xr:uid="{722596EC-078A-4A0D-B4C9-DE39C7DC3D1E}"/>
    <cellStyle name="Currency 5 3 2 11" xfId="4652" xr:uid="{00000000-0005-0000-0000-0000840C0000}"/>
    <cellStyle name="Currency 5 3 2 11 2" xfId="13102" xr:uid="{072100D8-F70D-4CF1-BF7A-EACEDCB3D504}"/>
    <cellStyle name="Currency 5 3 2 12" xfId="8884" xr:uid="{4278182A-D53B-4791-81B8-E7DD9194A0AF}"/>
    <cellStyle name="Currency 5 3 2 2" xfId="211" xr:uid="{00000000-0005-0000-0000-0000850C0000}"/>
    <cellStyle name="Currency 5 3 2 2 10" xfId="4653" xr:uid="{00000000-0005-0000-0000-0000860C0000}"/>
    <cellStyle name="Currency 5 3 2 2 10 2" xfId="13103" xr:uid="{1D28F51F-9954-484B-A391-0E05C69CEAA1}"/>
    <cellStyle name="Currency 5 3 2 2 11" xfId="8885" xr:uid="{2B30994D-21DF-47D7-A8EC-3DCB62DACDBF}"/>
    <cellStyle name="Currency 5 3 2 2 2" xfId="212" xr:uid="{00000000-0005-0000-0000-0000870C0000}"/>
    <cellStyle name="Currency 5 3 2 2 2 10" xfId="8886" xr:uid="{2768E82E-08FD-4930-B841-79F307BF5DDD}"/>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AF75FB8F-6BEF-4DEA-846F-5E3E75B003AA}"/>
    <cellStyle name="Currency 5 3 2 2 2 2 2 3" xfId="11445" xr:uid="{ED0F2364-2424-4B19-93C0-D18380F615A0}"/>
    <cellStyle name="Currency 5 3 2 2 2 2 3" xfId="5068" xr:uid="{00000000-0005-0000-0000-00008B0C0000}"/>
    <cellStyle name="Currency 5 3 2 2 2 2 3 2" xfId="13518" xr:uid="{9E845DF0-4795-43B0-9315-EFA120580C6F}"/>
    <cellStyle name="Currency 5 3 2 2 2 2 4" xfId="9300" xr:uid="{E4650097-1B6E-4988-B420-F304949F031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F6AF5265-D065-4B2B-A6A6-F4335E467B97}"/>
    <cellStyle name="Currency 5 3 2 2 2 3 2 3" xfId="11858" xr:uid="{F4FD8E53-56B1-44FC-9C7D-82627322E3E6}"/>
    <cellStyle name="Currency 5 3 2 2 2 3 3" xfId="5481" xr:uid="{00000000-0005-0000-0000-00008F0C0000}"/>
    <cellStyle name="Currency 5 3 2 2 2 3 3 2" xfId="13931" xr:uid="{985BEC2F-C3FC-4AC3-8FB5-85EB32310DAB}"/>
    <cellStyle name="Currency 5 3 2 2 2 3 4" xfId="9713" xr:uid="{30F45A21-AD19-44A4-8856-986B4B38C5AC}"/>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C6EC7C95-A24C-4333-A435-3B40A332A1E1}"/>
    <cellStyle name="Currency 5 3 2 2 2 4 2 3" xfId="12271" xr:uid="{2813D1D0-297A-473F-8F53-3CA2D2763D09}"/>
    <cellStyle name="Currency 5 3 2 2 2 4 3" xfId="5894" xr:uid="{00000000-0005-0000-0000-0000930C0000}"/>
    <cellStyle name="Currency 5 3 2 2 2 4 3 2" xfId="14344" xr:uid="{75D64F3A-98DB-4BD6-BFE0-503899C18ADF}"/>
    <cellStyle name="Currency 5 3 2 2 2 4 4" xfId="10126" xr:uid="{C68CB91F-303D-432E-B008-8A6321B946C3}"/>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848222BC-CD70-412A-8374-EBBBFBEC3F20}"/>
    <cellStyle name="Currency 5 3 2 2 2 5 2 3" xfId="12684" xr:uid="{3C7F7865-5251-43F3-8351-52001FE2736A}"/>
    <cellStyle name="Currency 5 3 2 2 2 5 3" xfId="6307" xr:uid="{00000000-0005-0000-0000-0000970C0000}"/>
    <cellStyle name="Currency 5 3 2 2 2 5 3 2" xfId="14757" xr:uid="{2BFD4314-9A90-4C11-B9F6-254661415F2F}"/>
    <cellStyle name="Currency 5 3 2 2 2 5 4" xfId="10539" xr:uid="{F577716C-A9E6-4E35-BBB3-AA6A0CBCF765}"/>
    <cellStyle name="Currency 5 3 2 2 2 6" xfId="2436" xr:uid="{00000000-0005-0000-0000-0000980C0000}"/>
    <cellStyle name="Currency 5 3 2 2 2 6 2" xfId="6720" xr:uid="{00000000-0005-0000-0000-0000990C0000}"/>
    <cellStyle name="Currency 5 3 2 2 2 6 2 2" xfId="15170" xr:uid="{A225CE51-F793-40AD-B125-35221A0FD201}"/>
    <cellStyle name="Currency 5 3 2 2 2 6 3" xfId="10952" xr:uid="{1BAF0A3B-A472-48DF-9DB5-809254BB09CA}"/>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FE218E62-B090-4822-A323-F18607A0DDC4}"/>
    <cellStyle name="Currency 5 3 2 2 2 8 3" xfId="11269" xr:uid="{B732C18A-66FB-4A89-A0BE-DE6EBC508D4E}"/>
    <cellStyle name="Currency 5 3 2 2 2 9" xfId="4654" xr:uid="{00000000-0005-0000-0000-00009D0C0000}"/>
    <cellStyle name="Currency 5 3 2 2 2 9 2" xfId="13104" xr:uid="{E1EA21CB-1E92-4D13-A0B9-7B032C0D565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93A2E2A4-627C-41D7-A9C2-0A58675649C1}"/>
    <cellStyle name="Currency 5 3 2 2 3 2 3" xfId="11444" xr:uid="{1A17728B-0021-4DA2-9185-D391B8EDD98C}"/>
    <cellStyle name="Currency 5 3 2 2 3 3" xfId="5067" xr:uid="{00000000-0005-0000-0000-0000A10C0000}"/>
    <cellStyle name="Currency 5 3 2 2 3 3 2" xfId="13517" xr:uid="{4C376FE0-B8AC-4864-B790-46F0357737EE}"/>
    <cellStyle name="Currency 5 3 2 2 3 4" xfId="9299" xr:uid="{9960C1A3-F016-4E65-B7D9-EEAEACD8DFEC}"/>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CEC58659-EF0C-4B17-9EF2-F6ECD0F259BC}"/>
    <cellStyle name="Currency 5 3 2 2 4 2 3" xfId="11857" xr:uid="{3C28267B-9940-434C-8EED-31DF63114A6A}"/>
    <cellStyle name="Currency 5 3 2 2 4 3" xfId="5480" xr:uid="{00000000-0005-0000-0000-0000A50C0000}"/>
    <cellStyle name="Currency 5 3 2 2 4 3 2" xfId="13930" xr:uid="{FDDD9E82-CC47-40B7-99ED-FD2DCBBBE502}"/>
    <cellStyle name="Currency 5 3 2 2 4 4" xfId="9712" xr:uid="{FE184D18-5BB3-4B03-954D-86C3650DF51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C7FB7CD3-280E-4FFA-9F00-0A7350A97B17}"/>
    <cellStyle name="Currency 5 3 2 2 5 2 3" xfId="12270" xr:uid="{51653887-9E30-42DA-936C-15CC6FF5D1E1}"/>
    <cellStyle name="Currency 5 3 2 2 5 3" xfId="5893" xr:uid="{00000000-0005-0000-0000-0000A90C0000}"/>
    <cellStyle name="Currency 5 3 2 2 5 3 2" xfId="14343" xr:uid="{FF44E767-A597-42FC-8A56-A03B99619D18}"/>
    <cellStyle name="Currency 5 3 2 2 5 4" xfId="10125" xr:uid="{911AAF4A-A947-4F64-A1A9-25671005B1A8}"/>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C1DC0C9D-CC97-4C85-AC0E-144227D5DE68}"/>
    <cellStyle name="Currency 5 3 2 2 6 2 3" xfId="12683" xr:uid="{9EA97C92-DC72-419A-8EB5-93D96C86BAA9}"/>
    <cellStyle name="Currency 5 3 2 2 6 3" xfId="6306" xr:uid="{00000000-0005-0000-0000-0000AD0C0000}"/>
    <cellStyle name="Currency 5 3 2 2 6 3 2" xfId="14756" xr:uid="{56759227-BC8D-496C-8BBE-0D406EF1B190}"/>
    <cellStyle name="Currency 5 3 2 2 6 4" xfId="10538" xr:uid="{C038AEEE-BB3E-48BA-96B7-25417EB85F43}"/>
    <cellStyle name="Currency 5 3 2 2 7" xfId="2435" xr:uid="{00000000-0005-0000-0000-0000AE0C0000}"/>
    <cellStyle name="Currency 5 3 2 2 7 2" xfId="6719" xr:uid="{00000000-0005-0000-0000-0000AF0C0000}"/>
    <cellStyle name="Currency 5 3 2 2 7 2 2" xfId="15169" xr:uid="{08D7A9CE-03B7-48EB-ABBD-0D818D69C05F}"/>
    <cellStyle name="Currency 5 3 2 2 7 3" xfId="10951" xr:uid="{92275139-959D-4255-AA3B-C3F2A415026E}"/>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307EF420-5182-4010-851D-8A28AEAB4292}"/>
    <cellStyle name="Currency 5 3 2 2 9 3" xfId="11268" xr:uid="{194C994E-80D4-450C-A1B2-83FBB201A7AC}"/>
    <cellStyle name="Currency 5 3 2 3" xfId="213" xr:uid="{00000000-0005-0000-0000-0000B30C0000}"/>
    <cellStyle name="Currency 5 3 2 3 10" xfId="8887" xr:uid="{00B1B809-291F-4049-B129-5FA77850D702}"/>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2516CCF1-E6F8-458D-97C4-57B39B005825}"/>
    <cellStyle name="Currency 5 3 2 3 2 2 3" xfId="11446" xr:uid="{52CD23CB-48B2-4ACC-8294-E0EE356A839E}"/>
    <cellStyle name="Currency 5 3 2 3 2 3" xfId="5069" xr:uid="{00000000-0005-0000-0000-0000B70C0000}"/>
    <cellStyle name="Currency 5 3 2 3 2 3 2" xfId="13519" xr:uid="{DF32E4EE-9F57-429E-8436-757C67D2F7C8}"/>
    <cellStyle name="Currency 5 3 2 3 2 4" xfId="9301" xr:uid="{93199EBF-32B3-4C9C-AF13-ACC744869D8F}"/>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FCB6B444-2C95-46A4-B429-04839A1D70FB}"/>
    <cellStyle name="Currency 5 3 2 3 3 2 3" xfId="11859" xr:uid="{29D433E6-3AB7-4A9C-A889-F18CBD426E07}"/>
    <cellStyle name="Currency 5 3 2 3 3 3" xfId="5482" xr:uid="{00000000-0005-0000-0000-0000BB0C0000}"/>
    <cellStyle name="Currency 5 3 2 3 3 3 2" xfId="13932" xr:uid="{4B148727-7522-4E6D-9C26-0D15CC5BDAD2}"/>
    <cellStyle name="Currency 5 3 2 3 3 4" xfId="9714" xr:uid="{4111D444-1FD3-4F3B-AC8E-A9B0191FF47F}"/>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852CC04E-519A-4878-9C19-0BCCCFCE7136}"/>
    <cellStyle name="Currency 5 3 2 3 4 2 3" xfId="12272" xr:uid="{7176FDE2-37F7-4E9B-88AB-BC99D8E4EFE0}"/>
    <cellStyle name="Currency 5 3 2 3 4 3" xfId="5895" xr:uid="{00000000-0005-0000-0000-0000BF0C0000}"/>
    <cellStyle name="Currency 5 3 2 3 4 3 2" xfId="14345" xr:uid="{82360C88-64C8-4A8D-8613-6A9FF20F6C4C}"/>
    <cellStyle name="Currency 5 3 2 3 4 4" xfId="10127" xr:uid="{15CAE927-425C-46B5-9ACE-E622AC4F54A9}"/>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F58439E7-A5AD-4F04-B3E2-C3CAB5419F69}"/>
    <cellStyle name="Currency 5 3 2 3 5 2 3" xfId="12685" xr:uid="{08544239-63A6-4783-A8A9-7243000249A0}"/>
    <cellStyle name="Currency 5 3 2 3 5 3" xfId="6308" xr:uid="{00000000-0005-0000-0000-0000C30C0000}"/>
    <cellStyle name="Currency 5 3 2 3 5 3 2" xfId="14758" xr:uid="{DF8BD264-3DF5-4FCE-ADB6-71A69A1972A9}"/>
    <cellStyle name="Currency 5 3 2 3 5 4" xfId="10540" xr:uid="{00A4F7D1-E92D-4915-B729-EA918ED6D594}"/>
    <cellStyle name="Currency 5 3 2 3 6" xfId="2437" xr:uid="{00000000-0005-0000-0000-0000C40C0000}"/>
    <cellStyle name="Currency 5 3 2 3 6 2" xfId="6721" xr:uid="{00000000-0005-0000-0000-0000C50C0000}"/>
    <cellStyle name="Currency 5 3 2 3 6 2 2" xfId="15171" xr:uid="{DE1BD6E0-3B8B-4851-A124-7695B5E24922}"/>
    <cellStyle name="Currency 5 3 2 3 6 3" xfId="10953" xr:uid="{79269308-C803-4E66-B9E1-E1679B5A7C20}"/>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032D343A-1BE4-44CD-A2E3-14D8AA6E57DB}"/>
    <cellStyle name="Currency 5 3 2 3 8 3" xfId="11270" xr:uid="{578E4488-845A-4327-A3D2-C127EE7F86A7}"/>
    <cellStyle name="Currency 5 3 2 3 9" xfId="4655" xr:uid="{00000000-0005-0000-0000-0000C90C0000}"/>
    <cellStyle name="Currency 5 3 2 3 9 2" xfId="13105" xr:uid="{DCD31003-0CBD-446A-B7D0-C0C9F2B6DC2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0CD2141F-F72A-4C47-A5A4-97D699A7CF89}"/>
    <cellStyle name="Currency 5 3 2 4 2 3" xfId="11443" xr:uid="{B1743AE6-2493-4F4F-9212-BA24344D42A5}"/>
    <cellStyle name="Currency 5 3 2 4 3" xfId="5066" xr:uid="{00000000-0005-0000-0000-0000CD0C0000}"/>
    <cellStyle name="Currency 5 3 2 4 3 2" xfId="13516" xr:uid="{81BD24DA-012C-4057-8323-8F2F900CC8D0}"/>
    <cellStyle name="Currency 5 3 2 4 4" xfId="9298" xr:uid="{A7FC52DF-DF1D-4F18-A528-E241D06AA991}"/>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F256B384-3CC1-4F30-BD02-5AB92C9C7295}"/>
    <cellStyle name="Currency 5 3 2 5 2 3" xfId="11856" xr:uid="{AED91A11-E45B-445D-AF03-902665E9B78A}"/>
    <cellStyle name="Currency 5 3 2 5 3" xfId="5479" xr:uid="{00000000-0005-0000-0000-0000D10C0000}"/>
    <cellStyle name="Currency 5 3 2 5 3 2" xfId="13929" xr:uid="{F0E65682-D457-485A-B28A-55FFD4264DBD}"/>
    <cellStyle name="Currency 5 3 2 5 4" xfId="9711" xr:uid="{07C1BB09-F995-4BD9-BD75-CFEA6E3C0A41}"/>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88CC9E29-F08A-46A0-86E2-7204FA105F02}"/>
    <cellStyle name="Currency 5 3 2 6 2 3" xfId="12269" xr:uid="{521CB666-3A68-4BF7-8D0C-D6B5023F3B2C}"/>
    <cellStyle name="Currency 5 3 2 6 3" xfId="5892" xr:uid="{00000000-0005-0000-0000-0000D50C0000}"/>
    <cellStyle name="Currency 5 3 2 6 3 2" xfId="14342" xr:uid="{B52A16B6-F673-4E1A-8527-CA1412784A72}"/>
    <cellStyle name="Currency 5 3 2 6 4" xfId="10124" xr:uid="{DA78E8F9-67C8-46CA-A828-A19FB2C6ABE2}"/>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0A4F3493-2544-4D87-A330-50F9C5E77659}"/>
    <cellStyle name="Currency 5 3 2 7 2 3" xfId="12682" xr:uid="{57C804C3-95AC-44CD-9183-F7FCAADD9A46}"/>
    <cellStyle name="Currency 5 3 2 7 3" xfId="6305" xr:uid="{00000000-0005-0000-0000-0000D90C0000}"/>
    <cellStyle name="Currency 5 3 2 7 3 2" xfId="14755" xr:uid="{AA1629AE-4515-4466-ABE8-75043B67096D}"/>
    <cellStyle name="Currency 5 3 2 7 4" xfId="10537" xr:uid="{7008CCE0-05C1-43E9-AE6B-878CEE505FAC}"/>
    <cellStyle name="Currency 5 3 2 8" xfId="2434" xr:uid="{00000000-0005-0000-0000-0000DA0C0000}"/>
    <cellStyle name="Currency 5 3 2 8 2" xfId="6718" xr:uid="{00000000-0005-0000-0000-0000DB0C0000}"/>
    <cellStyle name="Currency 5 3 2 8 2 2" xfId="15168" xr:uid="{84365968-F619-4025-B67E-EAC7B0B9CAC8}"/>
    <cellStyle name="Currency 5 3 2 8 3" xfId="10950" xr:uid="{FF71EE19-45CC-41B8-AC9B-2524595DFA67}"/>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60B7C5F2-12CC-4DD2-84EA-1BC86D2068E2}"/>
    <cellStyle name="Currency 5 3 3 11" xfId="8888" xr:uid="{53BF50C0-84CF-4592-AD81-BC685056F9F4}"/>
    <cellStyle name="Currency 5 3 3 2" xfId="215" xr:uid="{00000000-0005-0000-0000-0000DF0C0000}"/>
    <cellStyle name="Currency 5 3 3 2 10" xfId="8889" xr:uid="{C37D5C58-3359-4CAF-AB2C-FBD9A71DAB94}"/>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E8DA577C-0EE8-44D2-A91C-9CAC5932558F}"/>
    <cellStyle name="Currency 5 3 3 2 2 2 3" xfId="11448" xr:uid="{796AECDE-AE7E-49DE-987F-2B63D67BE85C}"/>
    <cellStyle name="Currency 5 3 3 2 2 3" xfId="5071" xr:uid="{00000000-0005-0000-0000-0000E30C0000}"/>
    <cellStyle name="Currency 5 3 3 2 2 3 2" xfId="13521" xr:uid="{A35727D2-F96F-4281-BCBE-B474A6E1A002}"/>
    <cellStyle name="Currency 5 3 3 2 2 4" xfId="9303" xr:uid="{DE7A2072-3021-48AD-9987-58AD89B1D62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06309A63-E33C-43EA-B7CF-167106D3D5DF}"/>
    <cellStyle name="Currency 5 3 3 2 3 2 3" xfId="11861" xr:uid="{69F384BA-A3F7-4DC1-BD66-B339706A1A94}"/>
    <cellStyle name="Currency 5 3 3 2 3 3" xfId="5484" xr:uid="{00000000-0005-0000-0000-0000E70C0000}"/>
    <cellStyle name="Currency 5 3 3 2 3 3 2" xfId="13934" xr:uid="{C16A79D1-4262-40AD-8F69-37D4ECFA7E66}"/>
    <cellStyle name="Currency 5 3 3 2 3 4" xfId="9716" xr:uid="{A0ECFF57-3DAE-4BD4-924B-5031E2D35361}"/>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0D323A26-CB76-4098-AE50-1FE30E8C94FC}"/>
    <cellStyle name="Currency 5 3 3 2 4 2 3" xfId="12274" xr:uid="{FE420C87-3734-4437-9CCB-B9AC7A4EB276}"/>
    <cellStyle name="Currency 5 3 3 2 4 3" xfId="5897" xr:uid="{00000000-0005-0000-0000-0000EB0C0000}"/>
    <cellStyle name="Currency 5 3 3 2 4 3 2" xfId="14347" xr:uid="{73F4B570-1218-4A12-ABD9-A963C9108AF8}"/>
    <cellStyle name="Currency 5 3 3 2 4 4" xfId="10129" xr:uid="{A3850F65-8B7B-48A9-A53A-EB85FF58D301}"/>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46BA45B6-517B-4689-8F55-80A71D742CF8}"/>
    <cellStyle name="Currency 5 3 3 2 5 2 3" xfId="12687" xr:uid="{9AE68E89-1526-4214-B870-09A3DDC094CA}"/>
    <cellStyle name="Currency 5 3 3 2 5 3" xfId="6310" xr:uid="{00000000-0005-0000-0000-0000EF0C0000}"/>
    <cellStyle name="Currency 5 3 3 2 5 3 2" xfId="14760" xr:uid="{268FC7C3-EA5A-42BA-BA3E-26DF29FBD08C}"/>
    <cellStyle name="Currency 5 3 3 2 5 4" xfId="10542" xr:uid="{C453F851-7064-4E5C-939F-A4D1BAB07247}"/>
    <cellStyle name="Currency 5 3 3 2 6" xfId="2439" xr:uid="{00000000-0005-0000-0000-0000F00C0000}"/>
    <cellStyle name="Currency 5 3 3 2 6 2" xfId="6723" xr:uid="{00000000-0005-0000-0000-0000F10C0000}"/>
    <cellStyle name="Currency 5 3 3 2 6 2 2" xfId="15173" xr:uid="{13EEA5B1-FEE5-40F9-81D6-5468722728CA}"/>
    <cellStyle name="Currency 5 3 3 2 6 3" xfId="10955" xr:uid="{E0FA46D6-5BF7-4974-84C9-FF9C02A93D68}"/>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A6F4CEC1-62E6-46AE-B2D1-028384AAD948}"/>
    <cellStyle name="Currency 5 3 3 2 8 3" xfId="11272" xr:uid="{95F35B16-C21D-4939-9200-1A5200AD6044}"/>
    <cellStyle name="Currency 5 3 3 2 9" xfId="4657" xr:uid="{00000000-0005-0000-0000-0000F50C0000}"/>
    <cellStyle name="Currency 5 3 3 2 9 2" xfId="13107" xr:uid="{EE69219B-D33F-4402-8E1D-C680B7036A5D}"/>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31611BC1-7C2F-474E-BD7C-5F82C9CA2827}"/>
    <cellStyle name="Currency 5 3 3 3 2 3" xfId="11447" xr:uid="{09B1D4F5-75A4-41FD-AFC0-27E554A59F64}"/>
    <cellStyle name="Currency 5 3 3 3 3" xfId="5070" xr:uid="{00000000-0005-0000-0000-0000F90C0000}"/>
    <cellStyle name="Currency 5 3 3 3 3 2" xfId="13520" xr:uid="{28C0F885-0367-466B-B559-98A20F657F04}"/>
    <cellStyle name="Currency 5 3 3 3 4" xfId="9302" xr:uid="{4569D0A2-18C1-4B64-B477-55F94268B3BB}"/>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E7D65BF5-2812-4B1D-8073-2A81557C4B2F}"/>
    <cellStyle name="Currency 5 3 3 4 2 3" xfId="11860" xr:uid="{315EBDBA-0DBF-4F9E-9934-DCE8FD7A36FF}"/>
    <cellStyle name="Currency 5 3 3 4 3" xfId="5483" xr:uid="{00000000-0005-0000-0000-0000FD0C0000}"/>
    <cellStyle name="Currency 5 3 3 4 3 2" xfId="13933" xr:uid="{796F68D1-FC99-4914-88D0-C1042BA18DA9}"/>
    <cellStyle name="Currency 5 3 3 4 4" xfId="9715" xr:uid="{DDD70835-C299-45F6-A2A5-EE336520FF9D}"/>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129FB4BB-2041-4564-A27B-AA71D4039523}"/>
    <cellStyle name="Currency 5 3 3 5 2 3" xfId="12273" xr:uid="{CD00F5D9-2E46-43D8-8D36-313460FD318C}"/>
    <cellStyle name="Currency 5 3 3 5 3" xfId="5896" xr:uid="{00000000-0005-0000-0000-0000010D0000}"/>
    <cellStyle name="Currency 5 3 3 5 3 2" xfId="14346" xr:uid="{1F2B1C63-1D05-44DE-9DB1-CA50A28AA804}"/>
    <cellStyle name="Currency 5 3 3 5 4" xfId="10128" xr:uid="{B603CA74-0980-4F22-8EF5-C04832FD9623}"/>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90B462BB-1FF5-4DDA-B95D-DCD783F51006}"/>
    <cellStyle name="Currency 5 3 3 6 2 3" xfId="12686" xr:uid="{D3BDCF2E-734F-4EDD-99E4-D207DA1A6476}"/>
    <cellStyle name="Currency 5 3 3 6 3" xfId="6309" xr:uid="{00000000-0005-0000-0000-0000050D0000}"/>
    <cellStyle name="Currency 5 3 3 6 3 2" xfId="14759" xr:uid="{1F89816C-56C2-4E62-AA09-8385E32BED5B}"/>
    <cellStyle name="Currency 5 3 3 6 4" xfId="10541" xr:uid="{FA0BB8EA-3ABE-4FA8-9751-1F5B6CAA4260}"/>
    <cellStyle name="Currency 5 3 3 7" xfId="2438" xr:uid="{00000000-0005-0000-0000-0000060D0000}"/>
    <cellStyle name="Currency 5 3 3 7 2" xfId="6722" xr:uid="{00000000-0005-0000-0000-0000070D0000}"/>
    <cellStyle name="Currency 5 3 3 7 2 2" xfId="15172" xr:uid="{C1D734C3-FC00-4A64-AB8C-B1AE5ED00969}"/>
    <cellStyle name="Currency 5 3 3 7 3" xfId="10954" xr:uid="{CA1E24CF-E1DC-4FD9-AE5C-350F27C070B3}"/>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49092051-1785-4D08-8320-93248C63617D}"/>
    <cellStyle name="Currency 5 3 3 9 3" xfId="11271" xr:uid="{12B7A9FB-FB28-4B50-A01F-59DE6D6C73E4}"/>
    <cellStyle name="Currency 5 3 4" xfId="216" xr:uid="{00000000-0005-0000-0000-00000B0D0000}"/>
    <cellStyle name="Currency 5 3 4 10" xfId="8890" xr:uid="{C48F67D8-3F88-4DDE-9613-AD11850D88F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E5652D33-732F-4015-B6D5-D3881EDF3B15}"/>
    <cellStyle name="Currency 5 3 4 2 2 3" xfId="11449" xr:uid="{013FAFCE-3110-48FE-81E1-18C59A2BFA1D}"/>
    <cellStyle name="Currency 5 3 4 2 3" xfId="5072" xr:uid="{00000000-0005-0000-0000-00000F0D0000}"/>
    <cellStyle name="Currency 5 3 4 2 3 2" xfId="13522" xr:uid="{507FC6C4-1FF0-4BAA-A156-3B31C5D7F69D}"/>
    <cellStyle name="Currency 5 3 4 2 4" xfId="9304" xr:uid="{CD493F56-A043-478E-81C3-76F36116729D}"/>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1F8756FE-532C-48D7-8F78-AEBF7D381BC2}"/>
    <cellStyle name="Currency 5 3 4 3 2 3" xfId="11862" xr:uid="{ED238B2C-D102-4B65-8ED9-761A5CE1F9F0}"/>
    <cellStyle name="Currency 5 3 4 3 3" xfId="5485" xr:uid="{00000000-0005-0000-0000-0000130D0000}"/>
    <cellStyle name="Currency 5 3 4 3 3 2" xfId="13935" xr:uid="{EEA801DE-1BDF-4162-8778-29C05FC2A748}"/>
    <cellStyle name="Currency 5 3 4 3 4" xfId="9717" xr:uid="{81001150-DEC2-4DED-B2B2-6D7E85147ABE}"/>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1D4A79B7-C987-4F42-B72C-29E2571FB0E3}"/>
    <cellStyle name="Currency 5 3 4 4 2 3" xfId="12275" xr:uid="{A710E73F-651E-4905-A6F7-C96BA71C1322}"/>
    <cellStyle name="Currency 5 3 4 4 3" xfId="5898" xr:uid="{00000000-0005-0000-0000-0000170D0000}"/>
    <cellStyle name="Currency 5 3 4 4 3 2" xfId="14348" xr:uid="{1F202B80-C957-4CCF-BB00-10D47E5DD903}"/>
    <cellStyle name="Currency 5 3 4 4 4" xfId="10130" xr:uid="{48ED4E13-0DBF-4BF2-9A1E-0F0C584192B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6DE79FAB-1CF3-43D1-9C3D-2043FF2CCAF3}"/>
    <cellStyle name="Currency 5 3 4 5 2 3" xfId="12688" xr:uid="{DB581ACF-052C-494C-A8D7-13FE48540800}"/>
    <cellStyle name="Currency 5 3 4 5 3" xfId="6311" xr:uid="{00000000-0005-0000-0000-00001B0D0000}"/>
    <cellStyle name="Currency 5 3 4 5 3 2" xfId="14761" xr:uid="{8CA11A9F-AAD7-4DEF-BB57-FB8694DB4C45}"/>
    <cellStyle name="Currency 5 3 4 5 4" xfId="10543" xr:uid="{DE389FAD-6272-4FDF-8C85-EFC88EAB4635}"/>
    <cellStyle name="Currency 5 3 4 6" xfId="2440" xr:uid="{00000000-0005-0000-0000-00001C0D0000}"/>
    <cellStyle name="Currency 5 3 4 6 2" xfId="6724" xr:uid="{00000000-0005-0000-0000-00001D0D0000}"/>
    <cellStyle name="Currency 5 3 4 6 2 2" xfId="15174" xr:uid="{27A4132E-3609-4578-972F-4C4D6BB1AFFE}"/>
    <cellStyle name="Currency 5 3 4 6 3" xfId="10956" xr:uid="{77A9C0EE-07DE-4381-8A2D-0306C1C5246D}"/>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205352AA-9912-489B-B081-2837A965088F}"/>
    <cellStyle name="Currency 5 3 4 8 3" xfId="11273" xr:uid="{08F50AB1-5784-427C-A15D-813EF13919FC}"/>
    <cellStyle name="Currency 5 3 4 9" xfId="4658" xr:uid="{00000000-0005-0000-0000-0000210D0000}"/>
    <cellStyle name="Currency 5 3 4 9 2" xfId="13108" xr:uid="{C6F5E30E-BD4E-4029-9BE7-AEF65E9EEE88}"/>
    <cellStyle name="Currency 5 3 5" xfId="217" xr:uid="{00000000-0005-0000-0000-0000220D0000}"/>
    <cellStyle name="Currency 5 3 5 10" xfId="8891" xr:uid="{9876AAFE-F90F-4BF2-96F4-B8204553B8FB}"/>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71F3BE72-882C-432D-B4E4-B635F0DB6224}"/>
    <cellStyle name="Currency 5 3 5 2 2 3" xfId="11450" xr:uid="{970DAF88-1964-48DF-857C-C3F903DF8432}"/>
    <cellStyle name="Currency 5 3 5 2 3" xfId="5073" xr:uid="{00000000-0005-0000-0000-0000260D0000}"/>
    <cellStyle name="Currency 5 3 5 2 3 2" xfId="13523" xr:uid="{B0DB5BDF-930A-4F58-B0D1-94A770E96FFD}"/>
    <cellStyle name="Currency 5 3 5 2 4" xfId="9305" xr:uid="{1D7BC0DB-E391-473D-B320-268CDFB42552}"/>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CFB29ED0-1DCF-47C4-B317-4906F1AF0282}"/>
    <cellStyle name="Currency 5 3 5 3 2 3" xfId="11863" xr:uid="{882E9A8B-F211-4676-A8DF-AC5E75A9CB53}"/>
    <cellStyle name="Currency 5 3 5 3 3" xfId="5486" xr:uid="{00000000-0005-0000-0000-00002A0D0000}"/>
    <cellStyle name="Currency 5 3 5 3 3 2" xfId="13936" xr:uid="{E9CC65B2-F0CC-4F64-AB53-5CB0C1A43C2C}"/>
    <cellStyle name="Currency 5 3 5 3 4" xfId="9718" xr:uid="{9C762DC7-95D5-425E-A5DB-3392FB333499}"/>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A36D0FB5-566A-47D5-9F3B-2F5B67B7F138}"/>
    <cellStyle name="Currency 5 3 5 4 2 3" xfId="12276" xr:uid="{785CE953-D92E-4CFB-BF59-A6A00816E0EE}"/>
    <cellStyle name="Currency 5 3 5 4 3" xfId="5899" xr:uid="{00000000-0005-0000-0000-00002E0D0000}"/>
    <cellStyle name="Currency 5 3 5 4 3 2" xfId="14349" xr:uid="{04618818-DF2B-45C3-99AA-C7CD8FF0D19A}"/>
    <cellStyle name="Currency 5 3 5 4 4" xfId="10131" xr:uid="{B8C06304-F442-4043-A9DD-A3F569A71835}"/>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DBB20FCF-8426-49AE-B900-D149858ED38B}"/>
    <cellStyle name="Currency 5 3 5 5 2 3" xfId="12689" xr:uid="{183CECC7-7865-4E5F-9233-4921D549BBC6}"/>
    <cellStyle name="Currency 5 3 5 5 3" xfId="6312" xr:uid="{00000000-0005-0000-0000-0000320D0000}"/>
    <cellStyle name="Currency 5 3 5 5 3 2" xfId="14762" xr:uid="{00DF3D27-0987-4AC0-94B5-AECB394C83E4}"/>
    <cellStyle name="Currency 5 3 5 5 4" xfId="10544" xr:uid="{808B24CF-9877-4BC2-A3DF-29C395AA1728}"/>
    <cellStyle name="Currency 5 3 5 6" xfId="2441" xr:uid="{00000000-0005-0000-0000-0000330D0000}"/>
    <cellStyle name="Currency 5 3 5 6 2" xfId="6725" xr:uid="{00000000-0005-0000-0000-0000340D0000}"/>
    <cellStyle name="Currency 5 3 5 6 2 2" xfId="15175" xr:uid="{66524919-CC55-419A-AE50-A92BB7BA03B9}"/>
    <cellStyle name="Currency 5 3 5 6 3" xfId="10957" xr:uid="{092F04CA-4530-4DB2-A23B-86EB8F598C6D}"/>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6DCA5D26-3320-4863-ACBF-06816D2153EE}"/>
    <cellStyle name="Currency 5 3 5 8 3" xfId="11274" xr:uid="{DAF732C0-053D-4E92-9B40-C48329C905E9}"/>
    <cellStyle name="Currency 5 3 5 9" xfId="4659" xr:uid="{00000000-0005-0000-0000-0000380D0000}"/>
    <cellStyle name="Currency 5 3 5 9 2" xfId="13109" xr:uid="{2BC6CDEF-DF3C-4546-9F0D-3DEE632557A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33819E36-8159-4389-9F32-5C38E4C93488}"/>
    <cellStyle name="Currency 5 5 11" xfId="8892" xr:uid="{41E7DFCE-6245-43E8-A705-0EDBC567B153}"/>
    <cellStyle name="Currency 5 5 2" xfId="220" xr:uid="{00000000-0005-0000-0000-00003D0D0000}"/>
    <cellStyle name="Currency 5 5 2 10" xfId="8893" xr:uid="{48E1DA2F-2E79-41FD-9E11-C027EE62194B}"/>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7566CD85-CA45-4489-80AA-D282D10824B6}"/>
    <cellStyle name="Currency 5 5 2 2 2 3" xfId="11452" xr:uid="{9E7F1B6A-B9A7-41CC-B6A0-26E729B66BFD}"/>
    <cellStyle name="Currency 5 5 2 2 3" xfId="5075" xr:uid="{00000000-0005-0000-0000-0000410D0000}"/>
    <cellStyle name="Currency 5 5 2 2 3 2" xfId="13525" xr:uid="{5FF853FF-140E-46A6-AB2A-EB885F74A87C}"/>
    <cellStyle name="Currency 5 5 2 2 4" xfId="9307" xr:uid="{FBB2E08A-9B04-4211-A5B0-3148ADFC42FC}"/>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FA32B090-0C44-4D87-BD18-4831A3A9A4FD}"/>
    <cellStyle name="Currency 5 5 2 3 2 3" xfId="11865" xr:uid="{EC8BDDFE-534F-49BD-BE40-8B794E5CF50F}"/>
    <cellStyle name="Currency 5 5 2 3 3" xfId="5488" xr:uid="{00000000-0005-0000-0000-0000450D0000}"/>
    <cellStyle name="Currency 5 5 2 3 3 2" xfId="13938" xr:uid="{2E76378D-4E42-4B23-87C4-BB3A8643039B}"/>
    <cellStyle name="Currency 5 5 2 3 4" xfId="9720" xr:uid="{CE1469A0-95B5-4710-A036-D1A075727277}"/>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B4A3AC7D-E536-463A-B491-885F6E87394E}"/>
    <cellStyle name="Currency 5 5 2 4 2 3" xfId="12278" xr:uid="{D6098846-0DB7-4A17-AA84-F9AA928A1E4D}"/>
    <cellStyle name="Currency 5 5 2 4 3" xfId="5901" xr:uid="{00000000-0005-0000-0000-0000490D0000}"/>
    <cellStyle name="Currency 5 5 2 4 3 2" xfId="14351" xr:uid="{A1FCBB39-4383-4FC1-840B-8CA1E1AA9154}"/>
    <cellStyle name="Currency 5 5 2 4 4" xfId="10133" xr:uid="{28798D2E-AB82-4C08-83E1-A936DB5DC94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4A7E6BB2-3CCB-49B7-8D89-5E555F7F2B8D}"/>
    <cellStyle name="Currency 5 5 2 5 2 3" xfId="12691" xr:uid="{CBC7D805-A7EE-430D-89FF-F406EFD09896}"/>
    <cellStyle name="Currency 5 5 2 5 3" xfId="6314" xr:uid="{00000000-0005-0000-0000-00004D0D0000}"/>
    <cellStyle name="Currency 5 5 2 5 3 2" xfId="14764" xr:uid="{8E0D3C6A-C46B-49B5-A475-801EAF535689}"/>
    <cellStyle name="Currency 5 5 2 5 4" xfId="10546" xr:uid="{69462EB4-6C2F-47F3-BF4E-7D72EDAA23E5}"/>
    <cellStyle name="Currency 5 5 2 6" xfId="2443" xr:uid="{00000000-0005-0000-0000-00004E0D0000}"/>
    <cellStyle name="Currency 5 5 2 6 2" xfId="6727" xr:uid="{00000000-0005-0000-0000-00004F0D0000}"/>
    <cellStyle name="Currency 5 5 2 6 2 2" xfId="15177" xr:uid="{2908A3B4-9B5A-4D6F-B474-E4940AE66BFD}"/>
    <cellStyle name="Currency 5 5 2 6 3" xfId="10959" xr:uid="{3B71625E-160F-4A0C-9F98-A6DDB126A977}"/>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D6924B50-C3EC-42CC-A6CF-0ADDCC8E904D}"/>
    <cellStyle name="Currency 5 5 2 8 3" xfId="11276" xr:uid="{D5EB45CD-9666-409F-9CC3-1D07049B191C}"/>
    <cellStyle name="Currency 5 5 2 9" xfId="4661" xr:uid="{00000000-0005-0000-0000-0000530D0000}"/>
    <cellStyle name="Currency 5 5 2 9 2" xfId="13111" xr:uid="{0030F411-5197-4C64-A3AA-5751D597B966}"/>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B78FAC69-23F2-4184-8839-E84F58507572}"/>
    <cellStyle name="Currency 5 5 3 2 3" xfId="11451" xr:uid="{FAAA2400-DFAC-4AC2-80F1-3A227E3EA25E}"/>
    <cellStyle name="Currency 5 5 3 3" xfId="5074" xr:uid="{00000000-0005-0000-0000-0000570D0000}"/>
    <cellStyle name="Currency 5 5 3 3 2" xfId="13524" xr:uid="{DEA8B910-23E0-49B0-A655-EE7359005B89}"/>
    <cellStyle name="Currency 5 5 3 4" xfId="9306" xr:uid="{EC36D056-7019-42E5-B47B-BB24316240B8}"/>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D657D625-76A3-4D88-878A-55C3916DE967}"/>
    <cellStyle name="Currency 5 5 4 2 3" xfId="11864" xr:uid="{B6EB1C18-674F-4848-994C-279D485D14E1}"/>
    <cellStyle name="Currency 5 5 4 3" xfId="5487" xr:uid="{00000000-0005-0000-0000-00005B0D0000}"/>
    <cellStyle name="Currency 5 5 4 3 2" xfId="13937" xr:uid="{4CCA6238-BA33-4241-A885-C3530184225E}"/>
    <cellStyle name="Currency 5 5 4 4" xfId="9719" xr:uid="{219DF953-2DD8-4F63-8C55-D021FD3B5928}"/>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1FE01B90-15C7-4740-A575-7F95A9FC3426}"/>
    <cellStyle name="Currency 5 5 5 2 3" xfId="12277" xr:uid="{FAD32F66-0392-4A92-B0C0-405BEB3C9608}"/>
    <cellStyle name="Currency 5 5 5 3" xfId="5900" xr:uid="{00000000-0005-0000-0000-00005F0D0000}"/>
    <cellStyle name="Currency 5 5 5 3 2" xfId="14350" xr:uid="{5FB96F87-BDBC-4A0E-84B6-E96002C4807A}"/>
    <cellStyle name="Currency 5 5 5 4" xfId="10132" xr:uid="{70483CCC-0615-4735-87D9-223578160A20}"/>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6731BA77-1165-4CB8-A2F2-30805F06B9EB}"/>
    <cellStyle name="Currency 5 5 6 2 3" xfId="12690" xr:uid="{7ADCF0FF-80C9-4036-B7EF-BA731CCB474D}"/>
    <cellStyle name="Currency 5 5 6 3" xfId="6313" xr:uid="{00000000-0005-0000-0000-0000630D0000}"/>
    <cellStyle name="Currency 5 5 6 3 2" xfId="14763" xr:uid="{7D59D4EE-A2BF-4F1B-85BF-05909A823011}"/>
    <cellStyle name="Currency 5 5 6 4" xfId="10545" xr:uid="{3AC8FAB8-CD05-4CBB-B06B-4F49885BF819}"/>
    <cellStyle name="Currency 5 5 7" xfId="2442" xr:uid="{00000000-0005-0000-0000-0000640D0000}"/>
    <cellStyle name="Currency 5 5 7 2" xfId="6726" xr:uid="{00000000-0005-0000-0000-0000650D0000}"/>
    <cellStyle name="Currency 5 5 7 2 2" xfId="15176" xr:uid="{B0DF082A-316F-4939-832C-B848B8557A55}"/>
    <cellStyle name="Currency 5 5 7 3" xfId="10958" xr:uid="{447030EF-8614-4F5B-B414-773314F2904F}"/>
    <cellStyle name="Currency 5 5 8" xfId="2739" xr:uid="{00000000-0005-0000-0000-0000660D0000}"/>
    <cellStyle name="Currency 5 5 9" xfId="2820" xr:uid="{00000000-0005-0000-0000-0000670D0000}"/>
    <cellStyle name="Currency 5 5 9 2" xfId="7043" xr:uid="{00000000-0005-0000-0000-0000680D0000}"/>
    <cellStyle name="Currency 5 5 9 2 2" xfId="15493" xr:uid="{B64D90AF-46DA-4826-A7A3-DBF4AB8AE3A2}"/>
    <cellStyle name="Currency 5 5 9 3" xfId="11275" xr:uid="{39D50E41-F605-4FAB-A988-2950625D523B}"/>
    <cellStyle name="Currency 5 6" xfId="221" xr:uid="{00000000-0005-0000-0000-0000690D0000}"/>
    <cellStyle name="Currency 5 6 10" xfId="8894" xr:uid="{D3620823-98BF-4CFC-A67E-D64334CF3776}"/>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A2B6D7A8-2AB9-40AF-BFFE-805CF84C08A6}"/>
    <cellStyle name="Currency 5 6 2 2 3" xfId="11453" xr:uid="{664273F4-3A37-437F-91FC-AF33DB9476AD}"/>
    <cellStyle name="Currency 5 6 2 3" xfId="5076" xr:uid="{00000000-0005-0000-0000-00006D0D0000}"/>
    <cellStyle name="Currency 5 6 2 3 2" xfId="13526" xr:uid="{F3B0D4DB-2038-4E76-B62A-0A857E6B296F}"/>
    <cellStyle name="Currency 5 6 2 4" xfId="9308" xr:uid="{C45E41D6-B966-4188-AC4D-648AC5C7A299}"/>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9CBD4609-4D2D-4CE5-B7DD-B96E2F59BC62}"/>
    <cellStyle name="Currency 5 6 3 2 3" xfId="11866" xr:uid="{DEEB85F8-700E-4D4D-9C3E-D139E198DED3}"/>
    <cellStyle name="Currency 5 6 3 3" xfId="5489" xr:uid="{00000000-0005-0000-0000-0000710D0000}"/>
    <cellStyle name="Currency 5 6 3 3 2" xfId="13939" xr:uid="{DA41F20F-ABBA-465A-859B-B6929856ED6E}"/>
    <cellStyle name="Currency 5 6 3 4" xfId="9721" xr:uid="{8806AE1F-3E63-4E39-8643-D3B8E865AB5A}"/>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CDC35650-0B7E-4EE1-BF70-9778E6551949}"/>
    <cellStyle name="Currency 5 6 4 2 3" xfId="12279" xr:uid="{EFBA94AC-789A-4DC8-9881-2D74BD2D52B0}"/>
    <cellStyle name="Currency 5 6 4 3" xfId="5902" xr:uid="{00000000-0005-0000-0000-0000750D0000}"/>
    <cellStyle name="Currency 5 6 4 3 2" xfId="14352" xr:uid="{6E4E732F-0ADB-4828-B229-BFF7161BD7D7}"/>
    <cellStyle name="Currency 5 6 4 4" xfId="10134" xr:uid="{D35B4AC0-891B-4E67-8A6E-7A6E35C803C4}"/>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CFBA9E10-0AF1-4F96-B34B-A2DEC739C76F}"/>
    <cellStyle name="Currency 5 6 5 2 3" xfId="12692" xr:uid="{859DD01B-46ED-47D9-A7A7-D391EDB15839}"/>
    <cellStyle name="Currency 5 6 5 3" xfId="6315" xr:uid="{00000000-0005-0000-0000-0000790D0000}"/>
    <cellStyle name="Currency 5 6 5 3 2" xfId="14765" xr:uid="{639DAD36-4EFA-4495-8891-F892DACFABB2}"/>
    <cellStyle name="Currency 5 6 5 4" xfId="10547" xr:uid="{DF7EACE6-3F77-4E1E-8D66-DE70771FF65D}"/>
    <cellStyle name="Currency 5 6 6" xfId="2444" xr:uid="{00000000-0005-0000-0000-00007A0D0000}"/>
    <cellStyle name="Currency 5 6 6 2" xfId="6728" xr:uid="{00000000-0005-0000-0000-00007B0D0000}"/>
    <cellStyle name="Currency 5 6 6 2 2" xfId="15178" xr:uid="{26CF9893-1186-470D-95DF-E5A187FFE055}"/>
    <cellStyle name="Currency 5 6 6 3" xfId="10960" xr:uid="{A902973E-4985-4E41-8386-F4F2720DE68A}"/>
    <cellStyle name="Currency 5 6 7" xfId="2741" xr:uid="{00000000-0005-0000-0000-00007C0D0000}"/>
    <cellStyle name="Currency 5 6 8" xfId="2822" xr:uid="{00000000-0005-0000-0000-00007D0D0000}"/>
    <cellStyle name="Currency 5 6 8 2" xfId="7045" xr:uid="{00000000-0005-0000-0000-00007E0D0000}"/>
    <cellStyle name="Currency 5 6 8 2 2" xfId="15495" xr:uid="{9C181C40-E202-4C97-81B3-9C07D7CBC130}"/>
    <cellStyle name="Currency 5 6 8 3" xfId="11277" xr:uid="{9826F41A-2620-49D4-9CEA-E9B60C185B59}"/>
    <cellStyle name="Currency 5 6 9" xfId="4662" xr:uid="{00000000-0005-0000-0000-00007F0D0000}"/>
    <cellStyle name="Currency 5 6 9 2" xfId="13112" xr:uid="{65B987A7-2129-4652-BA0C-D254C5AFFBEB}"/>
    <cellStyle name="Currency 5 7" xfId="222" xr:uid="{00000000-0005-0000-0000-0000800D0000}"/>
    <cellStyle name="Currency 5 7 10" xfId="8895" xr:uid="{3D156131-7546-4B55-86A7-1F69A2358946}"/>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46B012A3-E518-40F3-B794-3D302A71F63F}"/>
    <cellStyle name="Currency 5 7 2 2 3" xfId="11454" xr:uid="{6CD3AF63-3EF2-4755-ABE9-E7FE676C8C67}"/>
    <cellStyle name="Currency 5 7 2 3" xfId="5077" xr:uid="{00000000-0005-0000-0000-0000840D0000}"/>
    <cellStyle name="Currency 5 7 2 3 2" xfId="13527" xr:uid="{BEAC1E8F-A5B2-4024-9CB8-ECF2A6D30236}"/>
    <cellStyle name="Currency 5 7 2 4" xfId="9309" xr:uid="{1D11CECD-D6D0-4190-A67E-A64963F163BC}"/>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EBAEDBA9-9281-4323-ADDA-FF58C165D521}"/>
    <cellStyle name="Currency 5 7 3 2 3" xfId="11867" xr:uid="{EBFF9898-D9C4-4131-8169-4F1F395AB8C5}"/>
    <cellStyle name="Currency 5 7 3 3" xfId="5490" xr:uid="{00000000-0005-0000-0000-0000880D0000}"/>
    <cellStyle name="Currency 5 7 3 3 2" xfId="13940" xr:uid="{C9168800-02EE-47BD-AF67-7C4B740C66F6}"/>
    <cellStyle name="Currency 5 7 3 4" xfId="9722" xr:uid="{4041919B-40F9-4595-BAE9-9CB96A010618}"/>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5534BDD5-6CBC-4CBA-A844-0D414387F422}"/>
    <cellStyle name="Currency 5 7 4 2 3" xfId="12280" xr:uid="{714EE86B-8D6E-4932-82DB-9BE91B1FCE49}"/>
    <cellStyle name="Currency 5 7 4 3" xfId="5903" xr:uid="{00000000-0005-0000-0000-00008C0D0000}"/>
    <cellStyle name="Currency 5 7 4 3 2" xfId="14353" xr:uid="{B2E98084-0447-4594-98F3-1E2EA331186A}"/>
    <cellStyle name="Currency 5 7 4 4" xfId="10135" xr:uid="{48FBD984-8396-4BA4-8846-1F6960A7E1DA}"/>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ADD4E2AB-4FEF-4695-AE7E-60097A6AB73A}"/>
    <cellStyle name="Currency 5 7 5 2 3" xfId="12693" xr:uid="{2809FFD0-F6BF-472F-BD3C-CF7453E52936}"/>
    <cellStyle name="Currency 5 7 5 3" xfId="6316" xr:uid="{00000000-0005-0000-0000-0000900D0000}"/>
    <cellStyle name="Currency 5 7 5 3 2" xfId="14766" xr:uid="{2132FB58-97F4-459C-A140-52355F0CFC40}"/>
    <cellStyle name="Currency 5 7 5 4" xfId="10548" xr:uid="{D491042D-5565-45F8-ACF6-B2EF633E756D}"/>
    <cellStyle name="Currency 5 7 6" xfId="2445" xr:uid="{00000000-0005-0000-0000-0000910D0000}"/>
    <cellStyle name="Currency 5 7 6 2" xfId="6729" xr:uid="{00000000-0005-0000-0000-0000920D0000}"/>
    <cellStyle name="Currency 5 7 6 2 2" xfId="15179" xr:uid="{C070C7ED-3863-4976-9418-28F5FC1D1FD2}"/>
    <cellStyle name="Currency 5 7 6 3" xfId="10961" xr:uid="{77608A93-8F96-4C78-B9EB-60A273C36785}"/>
    <cellStyle name="Currency 5 7 7" xfId="2742" xr:uid="{00000000-0005-0000-0000-0000930D0000}"/>
    <cellStyle name="Currency 5 7 8" xfId="2823" xr:uid="{00000000-0005-0000-0000-0000940D0000}"/>
    <cellStyle name="Currency 5 7 8 2" xfId="7046" xr:uid="{00000000-0005-0000-0000-0000950D0000}"/>
    <cellStyle name="Currency 5 7 8 2 2" xfId="15496" xr:uid="{B67F1326-AA2E-4FCF-980D-3D3B50A9AF70}"/>
    <cellStyle name="Currency 5 7 8 3" xfId="11278" xr:uid="{CDC03E3B-B904-4790-BE76-203DCBCCA2F8}"/>
    <cellStyle name="Currency 5 7 9" xfId="4663" xr:uid="{00000000-0005-0000-0000-0000960D0000}"/>
    <cellStyle name="Currency 5 7 9 2" xfId="13113" xr:uid="{50D35084-4750-48CF-A215-A0C6A29DB538}"/>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CF08E996-608D-41CE-9324-BDFFAA14C20E}"/>
    <cellStyle name="Normal 12 10 3" xfId="10962" xr:uid="{CEEDBC1E-2460-4C7B-8BC1-D828C6ACDDD9}"/>
    <cellStyle name="Normal 12 11" xfId="4664" xr:uid="{00000000-0005-0000-0000-0000CC0D0000}"/>
    <cellStyle name="Normal 12 11 2" xfId="13114" xr:uid="{91BBF877-CC50-48FE-A0A0-2FA27FBA0785}"/>
    <cellStyle name="Normal 12 12" xfId="8896" xr:uid="{7F2ED780-3B1F-46A8-B292-6DC57C47C412}"/>
    <cellStyle name="Normal 12 2" xfId="260" xr:uid="{00000000-0005-0000-0000-0000CD0D0000}"/>
    <cellStyle name="Normal 12 2 10" xfId="8897" xr:uid="{CE136BE6-2141-44C0-A7C5-688BBDBA6B28}"/>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1297CE3F-FD09-4970-9EA3-639FE053E725}"/>
    <cellStyle name="Normal 12 2 2 2 2 2 3" xfId="11458" xr:uid="{A61745F8-DA38-4BA8-9A89-44B3D7B566AB}"/>
    <cellStyle name="Normal 12 2 2 2 2 3" xfId="5081" xr:uid="{00000000-0005-0000-0000-0000D30D0000}"/>
    <cellStyle name="Normal 12 2 2 2 2 3 2" xfId="13531" xr:uid="{C90744A3-472E-41B3-B71D-E3F650444561}"/>
    <cellStyle name="Normal 12 2 2 2 2 4" xfId="9313" xr:uid="{381E716B-A737-4E15-B347-F46358A9DBEF}"/>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DAC79830-6196-4998-9646-6617188788F8}"/>
    <cellStyle name="Normal 12 2 2 2 3 2 3" xfId="11871" xr:uid="{0A7682EF-30DE-4214-A101-B58BB4A7CD65}"/>
    <cellStyle name="Normal 12 2 2 2 3 3" xfId="5494" xr:uid="{00000000-0005-0000-0000-0000D70D0000}"/>
    <cellStyle name="Normal 12 2 2 2 3 3 2" xfId="13944" xr:uid="{77205C3A-B333-40C9-B1D8-B7D67A88E021}"/>
    <cellStyle name="Normal 12 2 2 2 3 4" xfId="9726" xr:uid="{2F1DF64B-C05A-4017-8A24-B6DCDAF5913F}"/>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AC1948FF-DCFE-4B37-A645-E3BFBAC87FF7}"/>
    <cellStyle name="Normal 12 2 2 2 4 2 3" xfId="12284" xr:uid="{A1026368-A538-4BA4-BE22-C479A33AEBF0}"/>
    <cellStyle name="Normal 12 2 2 2 4 3" xfId="5907" xr:uid="{00000000-0005-0000-0000-0000DB0D0000}"/>
    <cellStyle name="Normal 12 2 2 2 4 3 2" xfId="14357" xr:uid="{110F6CF5-8EDC-42EC-A3EC-9A7559D99DAA}"/>
    <cellStyle name="Normal 12 2 2 2 4 4" xfId="10139" xr:uid="{F7A9769E-3CF2-4110-B2A0-0C3FF3BCB110}"/>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5FAF0B2E-ED53-43F9-B296-2E10EFCC6E52}"/>
    <cellStyle name="Normal 12 2 2 2 5 2 3" xfId="12697" xr:uid="{E62B49F9-119C-4C8A-BDC1-B11E456197B3}"/>
    <cellStyle name="Normal 12 2 2 2 5 3" xfId="6320" xr:uid="{00000000-0005-0000-0000-0000DF0D0000}"/>
    <cellStyle name="Normal 12 2 2 2 5 3 2" xfId="14770" xr:uid="{521D9A86-4EAF-41B0-8301-D75B907823B3}"/>
    <cellStyle name="Normal 12 2 2 2 5 4" xfId="10552" xr:uid="{A067A8EF-D9BF-481E-A345-6872E2CCA8C2}"/>
    <cellStyle name="Normal 12 2 2 2 6" xfId="2450" xr:uid="{00000000-0005-0000-0000-0000E00D0000}"/>
    <cellStyle name="Normal 12 2 2 2 6 2" xfId="6733" xr:uid="{00000000-0005-0000-0000-0000E10D0000}"/>
    <cellStyle name="Normal 12 2 2 2 6 2 2" xfId="15183" xr:uid="{0B3DBA9F-B594-4F38-8E01-A7A1FA6A5A85}"/>
    <cellStyle name="Normal 12 2 2 2 6 3" xfId="10965" xr:uid="{F7E5C754-9E2B-4821-8ED2-43DCA23FF527}"/>
    <cellStyle name="Normal 12 2 2 2 7" xfId="4667" xr:uid="{00000000-0005-0000-0000-0000E20D0000}"/>
    <cellStyle name="Normal 12 2 2 2 7 2" xfId="13117" xr:uid="{3C321496-5183-4F30-BAA7-0A4078C2958E}"/>
    <cellStyle name="Normal 12 2 2 2 8" xfId="8899" xr:uid="{1EF2FFAC-4105-417B-A220-F31C236A0F35}"/>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6043E34F-A86D-40AE-B5D7-CC92D9853209}"/>
    <cellStyle name="Normal 12 2 2 3 2 3" xfId="11457" xr:uid="{6669C1D0-3A61-4EAA-AC43-F50E3B6BC77F}"/>
    <cellStyle name="Normal 12 2 2 3 3" xfId="5080" xr:uid="{00000000-0005-0000-0000-0000E60D0000}"/>
    <cellStyle name="Normal 12 2 2 3 3 2" xfId="13530" xr:uid="{E9D837AB-CB58-485D-9C4D-B8397BEC0E64}"/>
    <cellStyle name="Normal 12 2 2 3 4" xfId="9312" xr:uid="{F9A7905D-9234-453A-99D4-B1CFBD696B45}"/>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75184678-E493-481F-9CC4-99059463D9FF}"/>
    <cellStyle name="Normal 12 2 2 4 2 3" xfId="11870" xr:uid="{C99E020C-EAFF-43E3-923D-994E54D27DF2}"/>
    <cellStyle name="Normal 12 2 2 4 3" xfId="5493" xr:uid="{00000000-0005-0000-0000-0000EA0D0000}"/>
    <cellStyle name="Normal 12 2 2 4 3 2" xfId="13943" xr:uid="{BE35FE5D-0188-4031-B44A-97EC6DD11C46}"/>
    <cellStyle name="Normal 12 2 2 4 4" xfId="9725" xr:uid="{A467A963-7E5F-45C7-ACC6-B6B42814577D}"/>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368DC14B-D654-4141-8023-557EC4A6FF74}"/>
    <cellStyle name="Normal 12 2 2 5 2 3" xfId="12283" xr:uid="{A327280D-33F0-4B9B-A216-044AEE88CA2E}"/>
    <cellStyle name="Normal 12 2 2 5 3" xfId="5906" xr:uid="{00000000-0005-0000-0000-0000EE0D0000}"/>
    <cellStyle name="Normal 12 2 2 5 3 2" xfId="14356" xr:uid="{19B35081-E2C6-4901-B9DA-EEDE18630DC2}"/>
    <cellStyle name="Normal 12 2 2 5 4" xfId="10138" xr:uid="{211E31E5-DF7A-46D9-B0C3-84919E2F201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E8D6C994-B8A5-4F65-A6C7-4570484EF547}"/>
    <cellStyle name="Normal 12 2 2 6 2 3" xfId="12696" xr:uid="{3C52AB6E-40AB-4E0B-B0DE-9BED14CA153C}"/>
    <cellStyle name="Normal 12 2 2 6 3" xfId="6319" xr:uid="{00000000-0005-0000-0000-0000F20D0000}"/>
    <cellStyle name="Normal 12 2 2 6 3 2" xfId="14769" xr:uid="{048483BA-B08B-4C45-9E88-8779C48ACF89}"/>
    <cellStyle name="Normal 12 2 2 6 4" xfId="10551" xr:uid="{87DF991B-036A-4904-B9C8-5E73614951C3}"/>
    <cellStyle name="Normal 12 2 2 7" xfId="2449" xr:uid="{00000000-0005-0000-0000-0000F30D0000}"/>
    <cellStyle name="Normal 12 2 2 7 2" xfId="6732" xr:uid="{00000000-0005-0000-0000-0000F40D0000}"/>
    <cellStyle name="Normal 12 2 2 7 2 2" xfId="15182" xr:uid="{9309CD47-1266-4E60-A62A-DF82A340685C}"/>
    <cellStyle name="Normal 12 2 2 7 3" xfId="10964" xr:uid="{A13D4923-BC2E-4270-9EF3-4005A575F497}"/>
    <cellStyle name="Normal 12 2 2 8" xfId="4666" xr:uid="{00000000-0005-0000-0000-0000F50D0000}"/>
    <cellStyle name="Normal 12 2 2 8 2" xfId="13116" xr:uid="{730AAA54-761E-4110-BD8D-ADB8A6DBDBCB}"/>
    <cellStyle name="Normal 12 2 2 9" xfId="8898" xr:uid="{C76F849E-2F89-47BC-B32B-85E4C355B195}"/>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E0E17809-88B8-4E7A-B6BF-AA86FF57D273}"/>
    <cellStyle name="Normal 12 2 3 2 2 3" xfId="11459" xr:uid="{C27B2A44-7DDC-4E45-ABAA-585008BFED61}"/>
    <cellStyle name="Normal 12 2 3 2 3" xfId="5082" xr:uid="{00000000-0005-0000-0000-0000FA0D0000}"/>
    <cellStyle name="Normal 12 2 3 2 3 2" xfId="13532" xr:uid="{64FC0E94-3F04-4A81-98F9-945A47752654}"/>
    <cellStyle name="Normal 12 2 3 2 4" xfId="9314" xr:uid="{CCD05D49-69C4-4131-B526-0A22C4989B95}"/>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008DAA65-A941-47F2-9F83-74606DA8E2FB}"/>
    <cellStyle name="Normal 12 2 3 3 2 3" xfId="11872" xr:uid="{51D75830-A62B-4AE9-91A1-0DE76E4F0D88}"/>
    <cellStyle name="Normal 12 2 3 3 3" xfId="5495" xr:uid="{00000000-0005-0000-0000-0000FE0D0000}"/>
    <cellStyle name="Normal 12 2 3 3 3 2" xfId="13945" xr:uid="{28FAFD7F-50BF-4DA9-84E4-FF56614D47FD}"/>
    <cellStyle name="Normal 12 2 3 3 4" xfId="9727" xr:uid="{9850234B-F7A6-4D5B-9F09-849FF3B4AE94}"/>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8C13E0D3-C3D1-46E6-A923-3E45B563380C}"/>
    <cellStyle name="Normal 12 2 3 4 2 3" xfId="12285" xr:uid="{60F310E5-8758-4284-AD99-E19C280AC15E}"/>
    <cellStyle name="Normal 12 2 3 4 3" xfId="5908" xr:uid="{00000000-0005-0000-0000-0000020E0000}"/>
    <cellStyle name="Normal 12 2 3 4 3 2" xfId="14358" xr:uid="{4BB4AB6D-BAA5-4AFA-AC3D-D635DEA244C5}"/>
    <cellStyle name="Normal 12 2 3 4 4" xfId="10140" xr:uid="{869B831D-066F-4316-B334-3AFFE3D79E9F}"/>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A7F8DE31-64FD-48E4-BC3A-1172BEA58DF5}"/>
    <cellStyle name="Normal 12 2 3 5 2 3" xfId="12698" xr:uid="{B9069733-D332-4A47-BE8E-5B5CA7E97637}"/>
    <cellStyle name="Normal 12 2 3 5 3" xfId="6321" xr:uid="{00000000-0005-0000-0000-0000060E0000}"/>
    <cellStyle name="Normal 12 2 3 5 3 2" xfId="14771" xr:uid="{B25DF73C-D3EF-45E8-BF31-54AA67E81CC2}"/>
    <cellStyle name="Normal 12 2 3 5 4" xfId="10553" xr:uid="{CC0A822F-7612-42C0-BB12-D9FD24E4A704}"/>
    <cellStyle name="Normal 12 2 3 6" xfId="2451" xr:uid="{00000000-0005-0000-0000-0000070E0000}"/>
    <cellStyle name="Normal 12 2 3 6 2" xfId="6734" xr:uid="{00000000-0005-0000-0000-0000080E0000}"/>
    <cellStyle name="Normal 12 2 3 6 2 2" xfId="15184" xr:uid="{AA50D5EB-00B6-4C5F-B5E8-29151F9DDE21}"/>
    <cellStyle name="Normal 12 2 3 6 3" xfId="10966" xr:uid="{D9742F25-C052-4081-8A19-66E29C985FA3}"/>
    <cellStyle name="Normal 12 2 3 7" xfId="4668" xr:uid="{00000000-0005-0000-0000-0000090E0000}"/>
    <cellStyle name="Normal 12 2 3 7 2" xfId="13118" xr:uid="{E36DB939-3F4F-43DA-ABF5-F870FED8B59F}"/>
    <cellStyle name="Normal 12 2 3 8" xfId="8900" xr:uid="{293A8B16-5587-4DEA-9608-BAE79CC6AE7C}"/>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868A198C-D0A0-4B25-BC3E-0F2BDDB1EACE}"/>
    <cellStyle name="Normal 12 2 4 2 3" xfId="11456" xr:uid="{8EA6FF30-9B2A-4FFD-8FEA-5E3F851D93D6}"/>
    <cellStyle name="Normal 12 2 4 3" xfId="5079" xr:uid="{00000000-0005-0000-0000-00000D0E0000}"/>
    <cellStyle name="Normal 12 2 4 3 2" xfId="13529" xr:uid="{4700C009-BC92-495F-BA6E-D506B4C07598}"/>
    <cellStyle name="Normal 12 2 4 4" xfId="9311" xr:uid="{22A3D736-476B-499E-B078-578E563EBF8B}"/>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327CF124-7C9A-4D16-B3CD-DE449F41E855}"/>
    <cellStyle name="Normal 12 2 5 2 3" xfId="11869" xr:uid="{6793205C-75CD-438D-8530-6623DFE8FA62}"/>
    <cellStyle name="Normal 12 2 5 3" xfId="5492" xr:uid="{00000000-0005-0000-0000-0000110E0000}"/>
    <cellStyle name="Normal 12 2 5 3 2" xfId="13942" xr:uid="{E8372DC5-9540-4BF0-B27E-B21037730905}"/>
    <cellStyle name="Normal 12 2 5 4" xfId="9724" xr:uid="{B5A3CBAA-D7CE-42D3-8588-8B6BF8608768}"/>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C258CFBC-724B-44EF-8A9B-A7D9C82E2FE3}"/>
    <cellStyle name="Normal 12 2 6 2 3" xfId="12282" xr:uid="{EAD647CE-7BE7-4AAF-BAAA-C121893884FF}"/>
    <cellStyle name="Normal 12 2 6 3" xfId="5905" xr:uid="{00000000-0005-0000-0000-0000150E0000}"/>
    <cellStyle name="Normal 12 2 6 3 2" xfId="14355" xr:uid="{14EB0B16-A87E-4D11-9101-B186501BA992}"/>
    <cellStyle name="Normal 12 2 6 4" xfId="10137" xr:uid="{0403CE5E-3FC6-4386-815B-4A6F2658478A}"/>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FA253147-C130-44A1-86C8-93BFA1B51AC6}"/>
    <cellStyle name="Normal 12 2 7 2 3" xfId="12695" xr:uid="{CE0961E3-FE81-4CE1-AB5B-D6D044CAF294}"/>
    <cellStyle name="Normal 12 2 7 3" xfId="6318" xr:uid="{00000000-0005-0000-0000-0000190E0000}"/>
    <cellStyle name="Normal 12 2 7 3 2" xfId="14768" xr:uid="{1E1EC46C-BBC0-42A3-9A42-F051FF8C25F5}"/>
    <cellStyle name="Normal 12 2 7 4" xfId="10550" xr:uid="{B0524C81-4738-4137-9451-3CF3CDC558E6}"/>
    <cellStyle name="Normal 12 2 8" xfId="2448" xr:uid="{00000000-0005-0000-0000-00001A0E0000}"/>
    <cellStyle name="Normal 12 2 8 2" xfId="6731" xr:uid="{00000000-0005-0000-0000-00001B0E0000}"/>
    <cellStyle name="Normal 12 2 8 2 2" xfId="15181" xr:uid="{B5F89B7E-840E-4958-BAD7-4039F3E65986}"/>
    <cellStyle name="Normal 12 2 8 3" xfId="10963" xr:uid="{6FC995B9-9D74-43CB-AC7F-702250C466D5}"/>
    <cellStyle name="Normal 12 2 9" xfId="4665" xr:uid="{00000000-0005-0000-0000-00001C0E0000}"/>
    <cellStyle name="Normal 12 2 9 2" xfId="13115" xr:uid="{42BA9ADF-2F5D-415B-BF41-89C5160424F7}"/>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C71EB993-0FA5-450A-8324-A6A9ECE8FB55}"/>
    <cellStyle name="Normal 12 3 2 2 2 3" xfId="11461" xr:uid="{6890FACC-DC1F-455C-8E71-7F0FA4ADD747}"/>
    <cellStyle name="Normal 12 3 2 2 3" xfId="5084" xr:uid="{00000000-0005-0000-0000-0000220E0000}"/>
    <cellStyle name="Normal 12 3 2 2 3 2" xfId="13534" xr:uid="{A3A36501-2F3A-4199-9845-04C72CC6E163}"/>
    <cellStyle name="Normal 12 3 2 2 4" xfId="9316" xr:uid="{7EB1A1CB-2582-40B0-871B-4C4B798415A7}"/>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0FA39E2F-C66D-429F-9C9C-C0F47A88FC89}"/>
    <cellStyle name="Normal 12 3 2 3 2 3" xfId="11874" xr:uid="{D54CAC7A-8BB1-4E2F-AD70-7124113792BC}"/>
    <cellStyle name="Normal 12 3 2 3 3" xfId="5497" xr:uid="{00000000-0005-0000-0000-0000260E0000}"/>
    <cellStyle name="Normal 12 3 2 3 3 2" xfId="13947" xr:uid="{6F34E615-1F7B-46C6-B7A3-DDF932B2415C}"/>
    <cellStyle name="Normal 12 3 2 3 4" xfId="9729" xr:uid="{5B79996B-6452-4D1E-B069-301B355C2B8A}"/>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FB92BF6C-B892-4084-9721-446ACB8D5C50}"/>
    <cellStyle name="Normal 12 3 2 4 2 3" xfId="12287" xr:uid="{4E8479F4-7E6A-4F06-B315-F2D68362B141}"/>
    <cellStyle name="Normal 12 3 2 4 3" xfId="5910" xr:uid="{00000000-0005-0000-0000-00002A0E0000}"/>
    <cellStyle name="Normal 12 3 2 4 3 2" xfId="14360" xr:uid="{E4EE004F-1091-473F-AF1F-0AA172B8A2E7}"/>
    <cellStyle name="Normal 12 3 2 4 4" xfId="10142" xr:uid="{92CE1C2F-65B6-47BA-A342-B38634ABD73E}"/>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35B740FE-AB42-4BFE-9BB2-014F20B3470F}"/>
    <cellStyle name="Normal 12 3 2 5 2 3" xfId="12700" xr:uid="{2134FC92-C174-4AE3-8941-B0FF64E130DD}"/>
    <cellStyle name="Normal 12 3 2 5 3" xfId="6323" xr:uid="{00000000-0005-0000-0000-00002E0E0000}"/>
    <cellStyle name="Normal 12 3 2 5 3 2" xfId="14773" xr:uid="{AE3FE0F9-D34E-488A-A719-4E33B134F105}"/>
    <cellStyle name="Normal 12 3 2 5 4" xfId="10555" xr:uid="{4F18A2D1-003A-45F3-82C8-07B56C78B055}"/>
    <cellStyle name="Normal 12 3 2 6" xfId="2453" xr:uid="{00000000-0005-0000-0000-00002F0E0000}"/>
    <cellStyle name="Normal 12 3 2 6 2" xfId="6736" xr:uid="{00000000-0005-0000-0000-0000300E0000}"/>
    <cellStyle name="Normal 12 3 2 6 2 2" xfId="15186" xr:uid="{1C4D6717-4574-4EC9-8167-499564DD43E0}"/>
    <cellStyle name="Normal 12 3 2 6 3" xfId="10968" xr:uid="{BF1B395E-F3F6-49F4-9A46-96DAC241570A}"/>
    <cellStyle name="Normal 12 3 2 7" xfId="4670" xr:uid="{00000000-0005-0000-0000-0000310E0000}"/>
    <cellStyle name="Normal 12 3 2 7 2" xfId="13120" xr:uid="{94A33512-7977-4B92-94D1-156708A74AA3}"/>
    <cellStyle name="Normal 12 3 2 8" xfId="8902" xr:uid="{B58ED173-025A-4DCA-8C77-A37C9AE271B9}"/>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09EC8DB4-528D-4A26-BC30-CADBF31172B8}"/>
    <cellStyle name="Normal 12 3 3 2 3" xfId="11460" xr:uid="{0356C925-5F62-4E9D-828A-44974A045978}"/>
    <cellStyle name="Normal 12 3 3 3" xfId="5083" xr:uid="{00000000-0005-0000-0000-0000350E0000}"/>
    <cellStyle name="Normal 12 3 3 3 2" xfId="13533" xr:uid="{79E4EE73-7FCB-4F62-9284-B3EF62FBA59F}"/>
    <cellStyle name="Normal 12 3 3 4" xfId="9315" xr:uid="{6B915636-2C9B-4B37-AD10-B7C07C99D158}"/>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28C1FBBD-F403-406B-A743-CEA19835035C}"/>
    <cellStyle name="Normal 12 3 4 2 3" xfId="11873" xr:uid="{673BEC77-4760-4410-BC6D-7F5C950C6D3E}"/>
    <cellStyle name="Normal 12 3 4 3" xfId="5496" xr:uid="{00000000-0005-0000-0000-0000390E0000}"/>
    <cellStyle name="Normal 12 3 4 3 2" xfId="13946" xr:uid="{3D93225D-E861-4A08-B373-6D8563078C57}"/>
    <cellStyle name="Normal 12 3 4 4" xfId="9728" xr:uid="{7E374F23-AB78-4D70-AC9F-B35C60765334}"/>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487AA6F4-B7E6-4B92-B348-35D4C9C9FA2F}"/>
    <cellStyle name="Normal 12 3 5 2 3" xfId="12286" xr:uid="{61A2ED3C-BBE9-46A9-BADC-712764207EC3}"/>
    <cellStyle name="Normal 12 3 5 3" xfId="5909" xr:uid="{00000000-0005-0000-0000-00003D0E0000}"/>
    <cellStyle name="Normal 12 3 5 3 2" xfId="14359" xr:uid="{1DAC544E-4230-41AA-9880-70E1D480E483}"/>
    <cellStyle name="Normal 12 3 5 4" xfId="10141" xr:uid="{810C1D85-9BEF-45F8-80BA-2EACD24CCE98}"/>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340156E1-830E-4D8D-8C09-6F6641B686C1}"/>
    <cellStyle name="Normal 12 3 6 2 3" xfId="12699" xr:uid="{7A8FFF94-1953-4F80-95C4-5B1D75EF79BD}"/>
    <cellStyle name="Normal 12 3 6 3" xfId="6322" xr:uid="{00000000-0005-0000-0000-0000410E0000}"/>
    <cellStyle name="Normal 12 3 6 3 2" xfId="14772" xr:uid="{A3CFED4A-9658-4C51-8194-0D1E6227FA86}"/>
    <cellStyle name="Normal 12 3 6 4" xfId="10554" xr:uid="{5217881A-0A1E-427F-9965-FB292FB633E3}"/>
    <cellStyle name="Normal 12 3 7" xfId="2452" xr:uid="{00000000-0005-0000-0000-0000420E0000}"/>
    <cellStyle name="Normal 12 3 7 2" xfId="6735" xr:uid="{00000000-0005-0000-0000-0000430E0000}"/>
    <cellStyle name="Normal 12 3 7 2 2" xfId="15185" xr:uid="{0366613F-EB72-4996-ABAA-4AADE898508F}"/>
    <cellStyle name="Normal 12 3 7 3" xfId="10967" xr:uid="{2296C051-3D61-4C5C-A9E1-0B719EAC3A07}"/>
    <cellStyle name="Normal 12 3 8" xfId="4669" xr:uid="{00000000-0005-0000-0000-0000440E0000}"/>
    <cellStyle name="Normal 12 3 8 2" xfId="13119" xr:uid="{D92A57DA-A257-4597-BA4C-2681AE8D835F}"/>
    <cellStyle name="Normal 12 3 9" xfId="8901" xr:uid="{0EFDA25E-848A-4A18-817C-E5EB3F9323E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6F0C418A-714D-4CDF-8934-02B8D0D68B1E}"/>
    <cellStyle name="Normal 12 4 2 2 3" xfId="11462" xr:uid="{F1A74DFA-63B0-4CC4-A9DA-A7A0D17646C7}"/>
    <cellStyle name="Normal 12 4 2 3" xfId="5085" xr:uid="{00000000-0005-0000-0000-0000490E0000}"/>
    <cellStyle name="Normal 12 4 2 3 2" xfId="13535" xr:uid="{E92EA980-57F1-4B70-9678-7BB9AC7162C0}"/>
    <cellStyle name="Normal 12 4 2 4" xfId="9317" xr:uid="{9C716B65-1AA0-45AB-A639-F5AC8890F5CA}"/>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74BD614D-8E8D-4793-8941-433A7ED91EE1}"/>
    <cellStyle name="Normal 12 4 3 2 3" xfId="11875" xr:uid="{C2CF2835-5968-4E37-8BD5-87905A9AD522}"/>
    <cellStyle name="Normal 12 4 3 3" xfId="5498" xr:uid="{00000000-0005-0000-0000-00004D0E0000}"/>
    <cellStyle name="Normal 12 4 3 3 2" xfId="13948" xr:uid="{A41FD81D-EF88-4EA9-81FF-5ECD3AA4A24D}"/>
    <cellStyle name="Normal 12 4 3 4" xfId="9730" xr:uid="{5593B496-811F-4A0A-A9B3-2D55BE4A433F}"/>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4FD15FF5-7BB0-40B0-B500-7F3DE33B5A67}"/>
    <cellStyle name="Normal 12 4 4 2 3" xfId="12288" xr:uid="{FD1D06E4-8214-4DE0-95DD-83BDB478024C}"/>
    <cellStyle name="Normal 12 4 4 3" xfId="5911" xr:uid="{00000000-0005-0000-0000-0000510E0000}"/>
    <cellStyle name="Normal 12 4 4 3 2" xfId="14361" xr:uid="{E57E505B-14FB-4E09-9D0F-5A3ECC26D530}"/>
    <cellStyle name="Normal 12 4 4 4" xfId="10143" xr:uid="{17D033E3-BDD0-4A64-883A-0A18C50B6504}"/>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54D7A95B-0A72-4B1C-8DC7-CA9BFA85193C}"/>
    <cellStyle name="Normal 12 4 5 2 3" xfId="12701" xr:uid="{B27A9467-0F49-4149-A728-487374C0D645}"/>
    <cellStyle name="Normal 12 4 5 3" xfId="6324" xr:uid="{00000000-0005-0000-0000-0000550E0000}"/>
    <cellStyle name="Normal 12 4 5 3 2" xfId="14774" xr:uid="{6D08E33A-16DB-4D04-9008-8FB58C6AB6F4}"/>
    <cellStyle name="Normal 12 4 5 4" xfId="10556" xr:uid="{15138BFF-4606-4683-B0E3-A09D6D7129BE}"/>
    <cellStyle name="Normal 12 4 6" xfId="2454" xr:uid="{00000000-0005-0000-0000-0000560E0000}"/>
    <cellStyle name="Normal 12 4 6 2" xfId="6737" xr:uid="{00000000-0005-0000-0000-0000570E0000}"/>
    <cellStyle name="Normal 12 4 6 2 2" xfId="15187" xr:uid="{C9E362FA-D55D-48B9-9585-D47FEEB359E0}"/>
    <cellStyle name="Normal 12 4 6 3" xfId="10969" xr:uid="{50EE1071-C12D-48D2-B06D-CC635D5B450D}"/>
    <cellStyle name="Normal 12 4 7" xfId="4671" xr:uid="{00000000-0005-0000-0000-0000580E0000}"/>
    <cellStyle name="Normal 12 4 7 2" xfId="13121" xr:uid="{9D69040C-F3DA-41A4-BD7D-FC9338200982}"/>
    <cellStyle name="Normal 12 4 8" xfId="8903" xr:uid="{8D12EFBA-E597-442A-BBF9-A53CF89C2F2C}"/>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01BFC5EF-185C-4E31-81E8-656491F95E5C}"/>
    <cellStyle name="Normal 12 6 2 3" xfId="11455" xr:uid="{7CBCB704-C8D7-4565-9A87-4D2F0FEB4C1E}"/>
    <cellStyle name="Normal 12 6 3" xfId="5078" xr:uid="{00000000-0005-0000-0000-00005D0E0000}"/>
    <cellStyle name="Normal 12 6 3 2" xfId="13528" xr:uid="{E8ECBFFA-4E0A-43BB-A66F-9E9ED0CFB528}"/>
    <cellStyle name="Normal 12 6 4" xfId="9310" xr:uid="{A33CC70C-4460-40A5-A206-4882425B2DCF}"/>
    <cellStyle name="Normal 12 7" xfId="1183" xr:uid="{00000000-0005-0000-0000-00005E0E0000}"/>
    <cellStyle name="Normal 12 7 2" xfId="3414" xr:uid="{00000000-0005-0000-0000-00005F0E0000}"/>
    <cellStyle name="Normal 12 7 2 2" xfId="7636" xr:uid="{00000000-0005-0000-0000-0000600E0000}"/>
    <cellStyle name="Normal 12 7 2 2 2" xfId="16086" xr:uid="{3332DE8F-76EC-47B3-B630-4B33185E4C8E}"/>
    <cellStyle name="Normal 12 7 2 3" xfId="11868" xr:uid="{28EE872D-7A44-4B5D-8543-F9C9D466D181}"/>
    <cellStyle name="Normal 12 7 3" xfId="5491" xr:uid="{00000000-0005-0000-0000-0000610E0000}"/>
    <cellStyle name="Normal 12 7 3 2" xfId="13941" xr:uid="{DCEE96D7-1C73-4C33-9C3B-0A7686522C1E}"/>
    <cellStyle name="Normal 12 7 4" xfId="9723" xr:uid="{32E9417A-5DDE-4267-9F17-03953F3DEE57}"/>
    <cellStyle name="Normal 12 8" xfId="1597" xr:uid="{00000000-0005-0000-0000-0000620E0000}"/>
    <cellStyle name="Normal 12 8 2" xfId="3827" xr:uid="{00000000-0005-0000-0000-0000630E0000}"/>
    <cellStyle name="Normal 12 8 2 2" xfId="8049" xr:uid="{00000000-0005-0000-0000-0000640E0000}"/>
    <cellStyle name="Normal 12 8 2 2 2" xfId="16499" xr:uid="{2743A2FC-EB71-4E14-95A3-63006678DDCD}"/>
    <cellStyle name="Normal 12 8 2 3" xfId="12281" xr:uid="{1FBE2907-7058-476E-B617-D140359AB0A6}"/>
    <cellStyle name="Normal 12 8 3" xfId="5904" xr:uid="{00000000-0005-0000-0000-0000650E0000}"/>
    <cellStyle name="Normal 12 8 3 2" xfId="14354" xr:uid="{4A8989B1-6226-4CBD-995E-8E7A5A8CB3FC}"/>
    <cellStyle name="Normal 12 8 4" xfId="10136" xr:uid="{6672E3CA-9ED3-4470-91CB-BD065AB07C1A}"/>
    <cellStyle name="Normal 12 9" xfId="2011" xr:uid="{00000000-0005-0000-0000-0000660E0000}"/>
    <cellStyle name="Normal 12 9 2" xfId="4240" xr:uid="{00000000-0005-0000-0000-0000670E0000}"/>
    <cellStyle name="Normal 12 9 2 2" xfId="8462" xr:uid="{00000000-0005-0000-0000-0000680E0000}"/>
    <cellStyle name="Normal 12 9 2 2 2" xfId="16912" xr:uid="{C3D6B918-1043-40E8-9E09-3C209DD0F0A0}"/>
    <cellStyle name="Normal 12 9 2 3" xfId="12694" xr:uid="{27EB4DF8-0CAF-4FE9-ABBE-0C1325601E95}"/>
    <cellStyle name="Normal 12 9 3" xfId="6317" xr:uid="{00000000-0005-0000-0000-0000690E0000}"/>
    <cellStyle name="Normal 12 9 3 2" xfId="14767" xr:uid="{E5605D1A-21CE-4912-9514-BD7C6F515B00}"/>
    <cellStyle name="Normal 12 9 4" xfId="10549" xr:uid="{95C73F28-DB9B-4F1D-AC17-81829C03847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C690E58B-1043-4FCD-A2A6-001F75BBF49B}"/>
    <cellStyle name="Normal 14 2 2 3" xfId="11463" xr:uid="{69F2240C-BC08-4178-953E-7EAAB345BC2A}"/>
    <cellStyle name="Normal 14 2 3" xfId="5086" xr:uid="{00000000-0005-0000-0000-0000700E0000}"/>
    <cellStyle name="Normal 14 2 3 2" xfId="13536" xr:uid="{30683FC8-E683-4CA5-8623-DDDFDDEC02F5}"/>
    <cellStyle name="Normal 14 2 4" xfId="9318" xr:uid="{859C3C35-DC35-4E34-85FA-6026AF3EA2C7}"/>
    <cellStyle name="Normal 14 3" xfId="1191" xr:uid="{00000000-0005-0000-0000-0000710E0000}"/>
    <cellStyle name="Normal 14 3 2" xfId="3422" xr:uid="{00000000-0005-0000-0000-0000720E0000}"/>
    <cellStyle name="Normal 14 3 2 2" xfId="7644" xr:uid="{00000000-0005-0000-0000-0000730E0000}"/>
    <cellStyle name="Normal 14 3 2 2 2" xfId="16094" xr:uid="{BB67EF6C-51CE-4289-BF3B-F416766D076F}"/>
    <cellStyle name="Normal 14 3 2 3" xfId="11876" xr:uid="{49AA72C0-2856-47F2-90C8-67F94D3D947E}"/>
    <cellStyle name="Normal 14 3 3" xfId="5499" xr:uid="{00000000-0005-0000-0000-0000740E0000}"/>
    <cellStyle name="Normal 14 3 3 2" xfId="13949" xr:uid="{E1D59B98-EEF5-4553-A74D-14B4185A2301}"/>
    <cellStyle name="Normal 14 3 4" xfId="9731" xr:uid="{1222245F-4F8A-48E4-87BE-11372DC9999E}"/>
    <cellStyle name="Normal 14 4" xfId="1605" xr:uid="{00000000-0005-0000-0000-0000750E0000}"/>
    <cellStyle name="Normal 14 4 2" xfId="3835" xr:uid="{00000000-0005-0000-0000-0000760E0000}"/>
    <cellStyle name="Normal 14 4 2 2" xfId="8057" xr:uid="{00000000-0005-0000-0000-0000770E0000}"/>
    <cellStyle name="Normal 14 4 2 2 2" xfId="16507" xr:uid="{76F3DB29-989A-471D-A6A1-65180E4505BE}"/>
    <cellStyle name="Normal 14 4 2 3" xfId="12289" xr:uid="{65D2A8A8-47B8-4178-8A80-17FDD253B196}"/>
    <cellStyle name="Normal 14 4 3" xfId="5912" xr:uid="{00000000-0005-0000-0000-0000780E0000}"/>
    <cellStyle name="Normal 14 4 3 2" xfId="14362" xr:uid="{9316B0B5-5B6C-4423-B78A-BE05BE51DF5B}"/>
    <cellStyle name="Normal 14 4 4" xfId="10144" xr:uid="{3D90B756-5EEB-46EE-A215-97AFE7AFC049}"/>
    <cellStyle name="Normal 14 5" xfId="2019" xr:uid="{00000000-0005-0000-0000-0000790E0000}"/>
    <cellStyle name="Normal 14 5 2" xfId="4248" xr:uid="{00000000-0005-0000-0000-00007A0E0000}"/>
    <cellStyle name="Normal 14 5 2 2" xfId="8470" xr:uid="{00000000-0005-0000-0000-00007B0E0000}"/>
    <cellStyle name="Normal 14 5 2 2 2" xfId="16920" xr:uid="{D71D8AA7-F388-45F1-B72C-83F58C75E3FD}"/>
    <cellStyle name="Normal 14 5 2 3" xfId="12702" xr:uid="{63637152-0789-4B37-AD7E-BF63314B7803}"/>
    <cellStyle name="Normal 14 5 3" xfId="6325" xr:uid="{00000000-0005-0000-0000-00007C0E0000}"/>
    <cellStyle name="Normal 14 5 3 2" xfId="14775" xr:uid="{544A8583-B064-42C1-A46B-1AE53DB42B28}"/>
    <cellStyle name="Normal 14 5 4" xfId="10557" xr:uid="{61AD901A-D33A-479A-B8B3-7530017E46BA}"/>
    <cellStyle name="Normal 14 6" xfId="2455" xr:uid="{00000000-0005-0000-0000-00007D0E0000}"/>
    <cellStyle name="Normal 14 6 2" xfId="6738" xr:uid="{00000000-0005-0000-0000-00007E0E0000}"/>
    <cellStyle name="Normal 14 6 2 2" xfId="15188" xr:uid="{915A1284-6501-43D5-9A9C-CE996B45952B}"/>
    <cellStyle name="Normal 14 6 3" xfId="10970" xr:uid="{22AF9B42-2904-4EAD-AB9F-FE276F4D834F}"/>
    <cellStyle name="Normal 14 7" xfId="4672" xr:uid="{00000000-0005-0000-0000-00007F0E0000}"/>
    <cellStyle name="Normal 14 7 2" xfId="13122" xr:uid="{40C96B7F-0469-4E1F-8363-7D0BFC3F65E5}"/>
    <cellStyle name="Normal 14 8" xfId="8904" xr:uid="{C925EC68-5825-4EF5-A3AD-BC92997D4DC3}"/>
    <cellStyle name="Normal 15" xfId="4496" xr:uid="{00000000-0005-0000-0000-0000800E0000}"/>
    <cellStyle name="Normal 15 2" xfId="12948" xr:uid="{54D9E374-B0FC-4D0F-8F12-A9B8CA4EF783}"/>
    <cellStyle name="Normal 16" xfId="4500" xr:uid="{00000000-0005-0000-0000-0000810E0000}"/>
    <cellStyle name="Normal 16 2" xfId="8715" xr:uid="{00000000-0005-0000-0000-0000820E0000}"/>
    <cellStyle name="Normal 16 2 2" xfId="17165" xr:uid="{5D77163F-1AB7-478A-AE1B-E537E4F4667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8847A70C-B588-4CAC-83F2-DD7AEB4F1264}"/>
    <cellStyle name="Normal 16 3 2 2 2 3" xfId="17178" xr:uid="{B02133DF-7524-4186-A63C-3C6882CA65FD}"/>
    <cellStyle name="Normal 16 3 2 2 3" xfId="17174" xr:uid="{584BDD07-68ED-4033-8ECE-B5E231A9FE07}"/>
    <cellStyle name="Normal 16 3 2 3" xfId="17171" xr:uid="{07944874-FE6D-4C7D-A0DF-B822F833FAB1}"/>
    <cellStyle name="Normal 16 3 3" xfId="17168" xr:uid="{AE0891FC-0E1B-40F1-B3C8-4A4C8B03C660}"/>
    <cellStyle name="Normal 16 4" xfId="12951" xr:uid="{B941532F-92E9-4184-901A-AA6FD2D9B5F5}"/>
    <cellStyle name="Normal 17" xfId="8728" xr:uid="{3FF0972C-833B-4475-99D8-1A6907499E71}"/>
    <cellStyle name="Normal 17 2" xfId="17177" xr:uid="{AC3F8379-FEE0-427A-9736-38168C48F1A4}"/>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D8F4B431-3BDC-4166-9EF8-C833329169B2}"/>
    <cellStyle name="Normal 2 4 2 10 2 3" xfId="12703" xr:uid="{A1C8C12B-CBC6-4FB2-8EBD-FB16A6F5F25C}"/>
    <cellStyle name="Normal 2 4 2 10 3" xfId="6326" xr:uid="{00000000-0005-0000-0000-0000910E0000}"/>
    <cellStyle name="Normal 2 4 2 10 3 2" xfId="14776" xr:uid="{62E7C696-1DC6-41E7-B507-DCF9A1439046}"/>
    <cellStyle name="Normal 2 4 2 10 4" xfId="10558" xr:uid="{D26867AF-4F87-44AB-8A7D-228478D7397A}"/>
    <cellStyle name="Normal 2 4 2 11" xfId="2456" xr:uid="{00000000-0005-0000-0000-0000920E0000}"/>
    <cellStyle name="Normal 2 4 2 11 2" xfId="6739" xr:uid="{00000000-0005-0000-0000-0000930E0000}"/>
    <cellStyle name="Normal 2 4 2 11 2 2" xfId="15189" xr:uid="{2A8930D7-CB2C-418E-92C7-23C8253963A5}"/>
    <cellStyle name="Normal 2 4 2 11 3" xfId="10971" xr:uid="{DF096E16-EB56-4C89-8644-B3B0ADCE27AE}"/>
    <cellStyle name="Normal 2 4 2 12" xfId="4673" xr:uid="{00000000-0005-0000-0000-0000940E0000}"/>
    <cellStyle name="Normal 2 4 2 12 2" xfId="13123" xr:uid="{6363B693-A34C-438C-BE72-F16832581F59}"/>
    <cellStyle name="Normal 2 4 2 13" xfId="8905" xr:uid="{96392383-39FC-4110-B8DF-DA45070C2CD0}"/>
    <cellStyle name="Normal 2 4 2 2" xfId="280" xr:uid="{00000000-0005-0000-0000-0000950E0000}"/>
    <cellStyle name="Normal 2 4 2 3" xfId="281" xr:uid="{00000000-0005-0000-0000-0000960E0000}"/>
    <cellStyle name="Normal 2 4 2 3 10" xfId="4674" xr:uid="{00000000-0005-0000-0000-0000970E0000}"/>
    <cellStyle name="Normal 2 4 2 3 10 2" xfId="13124" xr:uid="{5D17504C-314B-491F-838F-C82D55E64FB5}"/>
    <cellStyle name="Normal 2 4 2 3 11" xfId="8906" xr:uid="{A3F3FFF2-2DEE-4BBF-A5EF-0325073E32B4}"/>
    <cellStyle name="Normal 2 4 2 3 2" xfId="282" xr:uid="{00000000-0005-0000-0000-0000980E0000}"/>
    <cellStyle name="Normal 2 4 2 3 2 10" xfId="8907" xr:uid="{DF9D64EE-CF0C-493D-9B13-49E315FBB79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312D1483-E495-4487-B66F-4B0A76E08738}"/>
    <cellStyle name="Normal 2 4 2 3 2 2 2 2 2 3" xfId="11468" xr:uid="{1D51F0D7-5305-4218-A524-EBE1EEEA345E}"/>
    <cellStyle name="Normal 2 4 2 3 2 2 2 2 3" xfId="5091" xr:uid="{00000000-0005-0000-0000-00009E0E0000}"/>
    <cellStyle name="Normal 2 4 2 3 2 2 2 2 3 2" xfId="13541" xr:uid="{497FE3DB-5EF8-40A9-892D-867D94DFE1FA}"/>
    <cellStyle name="Normal 2 4 2 3 2 2 2 2 4" xfId="9323" xr:uid="{81048AE1-E437-48C0-A5D9-4F31AC570ECA}"/>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A797E53C-42A6-4A5D-98CF-35CAAB6CBEC0}"/>
    <cellStyle name="Normal 2 4 2 3 2 2 2 3 2 3" xfId="11881" xr:uid="{BAB53F3E-40BB-45F0-A6D7-E60D0EB762A6}"/>
    <cellStyle name="Normal 2 4 2 3 2 2 2 3 3" xfId="5504" xr:uid="{00000000-0005-0000-0000-0000A20E0000}"/>
    <cellStyle name="Normal 2 4 2 3 2 2 2 3 3 2" xfId="13954" xr:uid="{98D1DA3E-4FE1-4E81-896F-2F8F8DA4330B}"/>
    <cellStyle name="Normal 2 4 2 3 2 2 2 3 4" xfId="9736" xr:uid="{BB1479F2-156B-4855-8B17-BB8DC8B2205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F905B1EC-A98E-43BB-B5CC-BD0B4F40F3DD}"/>
    <cellStyle name="Normal 2 4 2 3 2 2 2 4 2 3" xfId="12294" xr:uid="{E10825E6-2ECB-4505-B2B4-5EF0243D4EB7}"/>
    <cellStyle name="Normal 2 4 2 3 2 2 2 4 3" xfId="5917" xr:uid="{00000000-0005-0000-0000-0000A60E0000}"/>
    <cellStyle name="Normal 2 4 2 3 2 2 2 4 3 2" xfId="14367" xr:uid="{E4AE85AB-B415-43D3-9B90-E62810E2E770}"/>
    <cellStyle name="Normal 2 4 2 3 2 2 2 4 4" xfId="10149" xr:uid="{96A5EE9B-6ABC-44E9-87DE-7D622870A4D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6786FCB6-AB76-4277-98EE-063137E67861}"/>
    <cellStyle name="Normal 2 4 2 3 2 2 2 5 2 3" xfId="12707" xr:uid="{CBF8CE5F-0719-4D35-AE96-4DF81CA46D99}"/>
    <cellStyle name="Normal 2 4 2 3 2 2 2 5 3" xfId="6330" xr:uid="{00000000-0005-0000-0000-0000AA0E0000}"/>
    <cellStyle name="Normal 2 4 2 3 2 2 2 5 3 2" xfId="14780" xr:uid="{9F24A20B-D0BA-4BFE-9A20-CAC0E4A68A91}"/>
    <cellStyle name="Normal 2 4 2 3 2 2 2 5 4" xfId="10562" xr:uid="{3F167303-12D8-4169-8BBC-9303E764890E}"/>
    <cellStyle name="Normal 2 4 2 3 2 2 2 6" xfId="2460" xr:uid="{00000000-0005-0000-0000-0000AB0E0000}"/>
    <cellStyle name="Normal 2 4 2 3 2 2 2 6 2" xfId="6743" xr:uid="{00000000-0005-0000-0000-0000AC0E0000}"/>
    <cellStyle name="Normal 2 4 2 3 2 2 2 6 2 2" xfId="15193" xr:uid="{A2568E22-D3AC-4D2A-92FA-75D861FA75DE}"/>
    <cellStyle name="Normal 2 4 2 3 2 2 2 6 3" xfId="10975" xr:uid="{AF8E99F9-823C-415D-9661-5BE3C5C9448B}"/>
    <cellStyle name="Normal 2 4 2 3 2 2 2 7" xfId="4677" xr:uid="{00000000-0005-0000-0000-0000AD0E0000}"/>
    <cellStyle name="Normal 2 4 2 3 2 2 2 7 2" xfId="13127" xr:uid="{77E56760-F463-4634-A4EC-F5E799022A7D}"/>
    <cellStyle name="Normal 2 4 2 3 2 2 2 8" xfId="8909" xr:uid="{89B6F09A-BA7E-4644-A0D0-64C7ABAD2A66}"/>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17837E6D-63CF-4E1A-80BA-05B307103954}"/>
    <cellStyle name="Normal 2 4 2 3 2 2 3 2 3" xfId="11467" xr:uid="{2736EB92-F9E7-4E13-896F-11E0055A7C50}"/>
    <cellStyle name="Normal 2 4 2 3 2 2 3 3" xfId="5090" xr:uid="{00000000-0005-0000-0000-0000B10E0000}"/>
    <cellStyle name="Normal 2 4 2 3 2 2 3 3 2" xfId="13540" xr:uid="{B0632BDC-3CB9-4600-A054-828E8F85F0A2}"/>
    <cellStyle name="Normal 2 4 2 3 2 2 3 4" xfId="9322" xr:uid="{BEA285E9-08B1-4F52-AAB6-E5219F163585}"/>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6EFB09F5-7D09-4E2D-A8A6-459CD9111150}"/>
    <cellStyle name="Normal 2 4 2 3 2 2 4 2 3" xfId="11880" xr:uid="{01502F5F-022A-46FC-8D43-1AB4CCF85509}"/>
    <cellStyle name="Normal 2 4 2 3 2 2 4 3" xfId="5503" xr:uid="{00000000-0005-0000-0000-0000B50E0000}"/>
    <cellStyle name="Normal 2 4 2 3 2 2 4 3 2" xfId="13953" xr:uid="{524B9DD2-D506-491F-8C86-F556BB625E87}"/>
    <cellStyle name="Normal 2 4 2 3 2 2 4 4" xfId="9735" xr:uid="{CE48FF2C-3EE2-4C08-AD19-C59EFD6F984E}"/>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386EC022-B5F6-4F69-9AC4-B161D2C890C4}"/>
    <cellStyle name="Normal 2 4 2 3 2 2 5 2 3" xfId="12293" xr:uid="{06D59FB6-A574-46AD-A96E-F29ABDB45561}"/>
    <cellStyle name="Normal 2 4 2 3 2 2 5 3" xfId="5916" xr:uid="{00000000-0005-0000-0000-0000B90E0000}"/>
    <cellStyle name="Normal 2 4 2 3 2 2 5 3 2" xfId="14366" xr:uid="{66EAD379-055D-40B8-8657-41C9B1B0465F}"/>
    <cellStyle name="Normal 2 4 2 3 2 2 5 4" xfId="10148" xr:uid="{6FF4819A-748D-449D-9C0E-C6AE668FE561}"/>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8653EA40-7043-4961-ACFC-517DA048B5E2}"/>
    <cellStyle name="Normal 2 4 2 3 2 2 6 2 3" xfId="12706" xr:uid="{E43D268D-496E-4794-906B-81C74BFFC0E1}"/>
    <cellStyle name="Normal 2 4 2 3 2 2 6 3" xfId="6329" xr:uid="{00000000-0005-0000-0000-0000BD0E0000}"/>
    <cellStyle name="Normal 2 4 2 3 2 2 6 3 2" xfId="14779" xr:uid="{3EC982F3-F5D8-43D1-9A03-7EA98C2BCBDC}"/>
    <cellStyle name="Normal 2 4 2 3 2 2 6 4" xfId="10561" xr:uid="{68B22B88-21D9-40F6-BF3E-9D33A8CAD066}"/>
    <cellStyle name="Normal 2 4 2 3 2 2 7" xfId="2459" xr:uid="{00000000-0005-0000-0000-0000BE0E0000}"/>
    <cellStyle name="Normal 2 4 2 3 2 2 7 2" xfId="6742" xr:uid="{00000000-0005-0000-0000-0000BF0E0000}"/>
    <cellStyle name="Normal 2 4 2 3 2 2 7 2 2" xfId="15192" xr:uid="{69CABCE1-244E-437B-8D5E-1985144198E8}"/>
    <cellStyle name="Normal 2 4 2 3 2 2 7 3" xfId="10974" xr:uid="{985D8416-B4D6-4E94-BD93-A2BC18DFF2A9}"/>
    <cellStyle name="Normal 2 4 2 3 2 2 8" xfId="4676" xr:uid="{00000000-0005-0000-0000-0000C00E0000}"/>
    <cellStyle name="Normal 2 4 2 3 2 2 8 2" xfId="13126" xr:uid="{CC99CC9C-DF17-4FAC-AF99-BC18A53741CD}"/>
    <cellStyle name="Normal 2 4 2 3 2 2 9" xfId="8908" xr:uid="{962127AF-8B56-4882-8C07-86B399CEFFE6}"/>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AC117227-CCA1-4C2D-AF5C-9EE4C9EA08C9}"/>
    <cellStyle name="Normal 2 4 2 3 2 3 2 2 3" xfId="11469" xr:uid="{6F3EBF1F-3410-4DE6-959B-70587344BC86}"/>
    <cellStyle name="Normal 2 4 2 3 2 3 2 3" xfId="5092" xr:uid="{00000000-0005-0000-0000-0000C50E0000}"/>
    <cellStyle name="Normal 2 4 2 3 2 3 2 3 2" xfId="13542" xr:uid="{55EBD5BB-BDF9-46BA-976E-0CF1E2726422}"/>
    <cellStyle name="Normal 2 4 2 3 2 3 2 4" xfId="9324" xr:uid="{DB653437-03FD-4751-9728-982B5688416E}"/>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5A7FDECF-96A7-40CB-8590-853CA0EAA7C8}"/>
    <cellStyle name="Normal 2 4 2 3 2 3 3 2 3" xfId="11882" xr:uid="{780D98F3-6536-4D40-89EB-A0A68B0CEA72}"/>
    <cellStyle name="Normal 2 4 2 3 2 3 3 3" xfId="5505" xr:uid="{00000000-0005-0000-0000-0000C90E0000}"/>
    <cellStyle name="Normal 2 4 2 3 2 3 3 3 2" xfId="13955" xr:uid="{44DC4659-64DA-41F6-AA93-6D69E8CBB367}"/>
    <cellStyle name="Normal 2 4 2 3 2 3 3 4" xfId="9737" xr:uid="{CD14879D-8640-4982-94E1-7E04AC9FCB2A}"/>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CD648088-67BB-4E9C-BD4F-45D2CE35ED70}"/>
    <cellStyle name="Normal 2 4 2 3 2 3 4 2 3" xfId="12295" xr:uid="{3FB46ACB-7C74-40A3-AB59-FB7DD04B9C4F}"/>
    <cellStyle name="Normal 2 4 2 3 2 3 4 3" xfId="5918" xr:uid="{00000000-0005-0000-0000-0000CD0E0000}"/>
    <cellStyle name="Normal 2 4 2 3 2 3 4 3 2" xfId="14368" xr:uid="{A4C0BDF1-E39F-4921-8D32-CCCFD3D295A9}"/>
    <cellStyle name="Normal 2 4 2 3 2 3 4 4" xfId="10150" xr:uid="{8A98E46E-696D-4DB2-AB88-397B276F97A5}"/>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BE9E8108-CE9A-48BB-B591-FC5088F89716}"/>
    <cellStyle name="Normal 2 4 2 3 2 3 5 2 3" xfId="12708" xr:uid="{31BCFAF9-E8C2-4D73-91C7-ABEE4448D50A}"/>
    <cellStyle name="Normal 2 4 2 3 2 3 5 3" xfId="6331" xr:uid="{00000000-0005-0000-0000-0000D10E0000}"/>
    <cellStyle name="Normal 2 4 2 3 2 3 5 3 2" xfId="14781" xr:uid="{28D4998A-4A06-4D50-B262-9E264D98D4D0}"/>
    <cellStyle name="Normal 2 4 2 3 2 3 5 4" xfId="10563" xr:uid="{65DCA1FB-E8BF-47FA-9E1F-BB63AA0EBEFD}"/>
    <cellStyle name="Normal 2 4 2 3 2 3 6" xfId="2461" xr:uid="{00000000-0005-0000-0000-0000D20E0000}"/>
    <cellStyle name="Normal 2 4 2 3 2 3 6 2" xfId="6744" xr:uid="{00000000-0005-0000-0000-0000D30E0000}"/>
    <cellStyle name="Normal 2 4 2 3 2 3 6 2 2" xfId="15194" xr:uid="{0DE9759F-D957-4E94-9770-26CABC2920E0}"/>
    <cellStyle name="Normal 2 4 2 3 2 3 6 3" xfId="10976" xr:uid="{06DB9623-C43E-431C-8EE8-A1D2A49975A1}"/>
    <cellStyle name="Normal 2 4 2 3 2 3 7" xfId="4678" xr:uid="{00000000-0005-0000-0000-0000D40E0000}"/>
    <cellStyle name="Normal 2 4 2 3 2 3 7 2" xfId="13128" xr:uid="{5B0FB1EB-A8B3-4342-93E2-340F255681E9}"/>
    <cellStyle name="Normal 2 4 2 3 2 3 8" xfId="8910" xr:uid="{05C820F0-EB7D-44A9-9C4D-78DF952B4B38}"/>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A205FF36-3A06-4530-BF6D-CC69E475C792}"/>
    <cellStyle name="Normal 2 4 2 3 2 4 2 3" xfId="11466" xr:uid="{A22AA577-B3FE-4472-BE73-CE80E94A857E}"/>
    <cellStyle name="Normal 2 4 2 3 2 4 3" xfId="5089" xr:uid="{00000000-0005-0000-0000-0000D80E0000}"/>
    <cellStyle name="Normal 2 4 2 3 2 4 3 2" xfId="13539" xr:uid="{F8BF7BCC-A7DB-4273-9751-CD96ADA15F57}"/>
    <cellStyle name="Normal 2 4 2 3 2 4 4" xfId="9321" xr:uid="{64910BB1-BC62-401F-9B0F-AC541C7F03FE}"/>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8D0E42EE-AB10-4A31-BDFB-DE84E23500A8}"/>
    <cellStyle name="Normal 2 4 2 3 2 5 2 3" xfId="11879" xr:uid="{676A8482-4F52-48C2-A65F-52E65C299D9C}"/>
    <cellStyle name="Normal 2 4 2 3 2 5 3" xfId="5502" xr:uid="{00000000-0005-0000-0000-0000DC0E0000}"/>
    <cellStyle name="Normal 2 4 2 3 2 5 3 2" xfId="13952" xr:uid="{FF0D203F-F5B9-4A6E-B616-03C57848BAC4}"/>
    <cellStyle name="Normal 2 4 2 3 2 5 4" xfId="9734" xr:uid="{3E17382F-D536-4BD1-B5DC-93D55DE7CA3E}"/>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06371787-5B87-458C-991A-568B7127AA67}"/>
    <cellStyle name="Normal 2 4 2 3 2 6 2 3" xfId="12292" xr:uid="{BAB765FA-B93A-4306-8272-83AE5EE5B74E}"/>
    <cellStyle name="Normal 2 4 2 3 2 6 3" xfId="5915" xr:uid="{00000000-0005-0000-0000-0000E00E0000}"/>
    <cellStyle name="Normal 2 4 2 3 2 6 3 2" xfId="14365" xr:uid="{31421865-AB20-4030-8107-822E3B673E4B}"/>
    <cellStyle name="Normal 2 4 2 3 2 6 4" xfId="10147" xr:uid="{48322250-9D98-40FC-B095-FBEB2DC2FF48}"/>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6C6ECE85-BA44-4370-A0B6-1A89FACA44EC}"/>
    <cellStyle name="Normal 2 4 2 3 2 7 2 3" xfId="12705" xr:uid="{76273C1D-8632-48FC-A217-B6296C7E1F56}"/>
    <cellStyle name="Normal 2 4 2 3 2 7 3" xfId="6328" xr:uid="{00000000-0005-0000-0000-0000E40E0000}"/>
    <cellStyle name="Normal 2 4 2 3 2 7 3 2" xfId="14778" xr:uid="{AEC91D9F-94B4-4E83-8A69-0AB58D821F53}"/>
    <cellStyle name="Normal 2 4 2 3 2 7 4" xfId="10560" xr:uid="{13536B46-16A2-4746-8BFB-DFC4F9BFF695}"/>
    <cellStyle name="Normal 2 4 2 3 2 8" xfId="2458" xr:uid="{00000000-0005-0000-0000-0000E50E0000}"/>
    <cellStyle name="Normal 2 4 2 3 2 8 2" xfId="6741" xr:uid="{00000000-0005-0000-0000-0000E60E0000}"/>
    <cellStyle name="Normal 2 4 2 3 2 8 2 2" xfId="15191" xr:uid="{395DC273-ADE8-4697-97FC-518AE0A7E71E}"/>
    <cellStyle name="Normal 2 4 2 3 2 8 3" xfId="10973" xr:uid="{D8758443-E7B3-4182-A0B6-17F8E629F45A}"/>
    <cellStyle name="Normal 2 4 2 3 2 9" xfId="4675" xr:uid="{00000000-0005-0000-0000-0000E70E0000}"/>
    <cellStyle name="Normal 2 4 2 3 2 9 2" xfId="13125" xr:uid="{A38764FC-A8E5-4397-8065-705EE09252BA}"/>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367B2A6D-D07D-43D7-A0A9-6CF175EC3D84}"/>
    <cellStyle name="Normal 2 4 2 3 3 2 2 2 3" xfId="11471" xr:uid="{B0BCD432-CF63-41A9-B294-A58CC69E0B3F}"/>
    <cellStyle name="Normal 2 4 2 3 3 2 2 3" xfId="5094" xr:uid="{00000000-0005-0000-0000-0000ED0E0000}"/>
    <cellStyle name="Normal 2 4 2 3 3 2 2 3 2" xfId="13544" xr:uid="{6D17D26C-BF7A-438E-9285-F204C546487F}"/>
    <cellStyle name="Normal 2 4 2 3 3 2 2 4" xfId="9326" xr:uid="{565261AD-1BB0-45B6-802A-8FF58603F652}"/>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A81F4805-12B2-4D63-80F5-3F314B41822C}"/>
    <cellStyle name="Normal 2 4 2 3 3 2 3 2 3" xfId="11884" xr:uid="{1B0433D3-E58D-4F7C-AAA6-EDBD1D699E6D}"/>
    <cellStyle name="Normal 2 4 2 3 3 2 3 3" xfId="5507" xr:uid="{00000000-0005-0000-0000-0000F10E0000}"/>
    <cellStyle name="Normal 2 4 2 3 3 2 3 3 2" xfId="13957" xr:uid="{00A144E9-28D1-4574-9A68-B97464A9DADF}"/>
    <cellStyle name="Normal 2 4 2 3 3 2 3 4" xfId="9739" xr:uid="{AC257586-1DBF-42A3-AE5C-076703B91265}"/>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16D8A94A-43F5-4444-8409-AED686A09ABF}"/>
    <cellStyle name="Normal 2 4 2 3 3 2 4 2 3" xfId="12297" xr:uid="{E506A32B-8117-4023-8300-3B52BEB0B733}"/>
    <cellStyle name="Normal 2 4 2 3 3 2 4 3" xfId="5920" xr:uid="{00000000-0005-0000-0000-0000F50E0000}"/>
    <cellStyle name="Normal 2 4 2 3 3 2 4 3 2" xfId="14370" xr:uid="{CC00C0DA-391E-4D52-87AB-3691A210F655}"/>
    <cellStyle name="Normal 2 4 2 3 3 2 4 4" xfId="10152" xr:uid="{F0D3E505-B7B4-4B95-AB63-F164E6B2BC13}"/>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825A8A98-C092-4371-A369-CA8903839EB3}"/>
    <cellStyle name="Normal 2 4 2 3 3 2 5 2 3" xfId="12710" xr:uid="{41A39FEC-945B-418F-B4D3-7C1E9A9A8789}"/>
    <cellStyle name="Normal 2 4 2 3 3 2 5 3" xfId="6333" xr:uid="{00000000-0005-0000-0000-0000F90E0000}"/>
    <cellStyle name="Normal 2 4 2 3 3 2 5 3 2" xfId="14783" xr:uid="{4CBBC608-8E1D-46D4-B218-38E13BB057E7}"/>
    <cellStyle name="Normal 2 4 2 3 3 2 5 4" xfId="10565" xr:uid="{98330B33-23CA-4D3B-8232-9E0D050E7ED8}"/>
    <cellStyle name="Normal 2 4 2 3 3 2 6" xfId="2463" xr:uid="{00000000-0005-0000-0000-0000FA0E0000}"/>
    <cellStyle name="Normal 2 4 2 3 3 2 6 2" xfId="6746" xr:uid="{00000000-0005-0000-0000-0000FB0E0000}"/>
    <cellStyle name="Normal 2 4 2 3 3 2 6 2 2" xfId="15196" xr:uid="{06D02DD5-B0CC-4DDD-B33C-7A21AB62C1DC}"/>
    <cellStyle name="Normal 2 4 2 3 3 2 6 3" xfId="10978" xr:uid="{7EB6F1E4-4E9F-4D0A-8FA0-BCCC04BEC758}"/>
    <cellStyle name="Normal 2 4 2 3 3 2 7" xfId="4680" xr:uid="{00000000-0005-0000-0000-0000FC0E0000}"/>
    <cellStyle name="Normal 2 4 2 3 3 2 7 2" xfId="13130" xr:uid="{0964982B-B811-405C-941D-42C7F2FD44F8}"/>
    <cellStyle name="Normal 2 4 2 3 3 2 8" xfId="8912" xr:uid="{EC147E5F-A516-4855-B932-00699D1C422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5C13081B-0584-4D2A-B899-52145A1E40C9}"/>
    <cellStyle name="Normal 2 4 2 3 3 3 2 3" xfId="11470" xr:uid="{7DA8E961-70DE-455C-B69A-9D556542E3C1}"/>
    <cellStyle name="Normal 2 4 2 3 3 3 3" xfId="5093" xr:uid="{00000000-0005-0000-0000-0000000F0000}"/>
    <cellStyle name="Normal 2 4 2 3 3 3 3 2" xfId="13543" xr:uid="{9EC16BEA-AE6E-4916-B13E-A8B9BADDB924}"/>
    <cellStyle name="Normal 2 4 2 3 3 3 4" xfId="9325" xr:uid="{9B362424-F2D0-4AA1-9614-A1ECA82AAF6D}"/>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94DEDA7F-0318-4FE7-9AE0-87B8A3C73434}"/>
    <cellStyle name="Normal 2 4 2 3 3 4 2 3" xfId="11883" xr:uid="{76699265-391E-4997-B4DA-664EC282C646}"/>
    <cellStyle name="Normal 2 4 2 3 3 4 3" xfId="5506" xr:uid="{00000000-0005-0000-0000-0000040F0000}"/>
    <cellStyle name="Normal 2 4 2 3 3 4 3 2" xfId="13956" xr:uid="{F4B0AA7E-DF1C-4B4C-A65A-59E8058F7BA4}"/>
    <cellStyle name="Normal 2 4 2 3 3 4 4" xfId="9738" xr:uid="{F0AD248C-616A-416D-8F5C-82608031AF75}"/>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E9970B12-7A63-4AA5-B1E2-E5FFBBADF75E}"/>
    <cellStyle name="Normal 2 4 2 3 3 5 2 3" xfId="12296" xr:uid="{E3AE6990-56F5-4B31-9798-49D197A8601B}"/>
    <cellStyle name="Normal 2 4 2 3 3 5 3" xfId="5919" xr:uid="{00000000-0005-0000-0000-0000080F0000}"/>
    <cellStyle name="Normal 2 4 2 3 3 5 3 2" xfId="14369" xr:uid="{195C6517-8CB7-4DC7-B352-103C01E2AF6D}"/>
    <cellStyle name="Normal 2 4 2 3 3 5 4" xfId="10151" xr:uid="{4018A33A-4F02-4644-911F-F3D0CDC7BC78}"/>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29932409-380C-4F1B-883A-75681AD67AC9}"/>
    <cellStyle name="Normal 2 4 2 3 3 6 2 3" xfId="12709" xr:uid="{A09AED2F-4446-4852-9A68-A961ABF09E27}"/>
    <cellStyle name="Normal 2 4 2 3 3 6 3" xfId="6332" xr:uid="{00000000-0005-0000-0000-00000C0F0000}"/>
    <cellStyle name="Normal 2 4 2 3 3 6 3 2" xfId="14782" xr:uid="{5ADF0463-E681-4A1E-855D-8E52920034EB}"/>
    <cellStyle name="Normal 2 4 2 3 3 6 4" xfId="10564" xr:uid="{B9BBEB40-ACCB-4731-BC19-D8C92086D830}"/>
    <cellStyle name="Normal 2 4 2 3 3 7" xfId="2462" xr:uid="{00000000-0005-0000-0000-00000D0F0000}"/>
    <cellStyle name="Normal 2 4 2 3 3 7 2" xfId="6745" xr:uid="{00000000-0005-0000-0000-00000E0F0000}"/>
    <cellStyle name="Normal 2 4 2 3 3 7 2 2" xfId="15195" xr:uid="{8EEC81CD-E28C-418D-BA15-A28B1491F9E2}"/>
    <cellStyle name="Normal 2 4 2 3 3 7 3" xfId="10977" xr:uid="{A92E677F-CBF5-44FF-87EF-A6B78F884069}"/>
    <cellStyle name="Normal 2 4 2 3 3 8" xfId="4679" xr:uid="{00000000-0005-0000-0000-00000F0F0000}"/>
    <cellStyle name="Normal 2 4 2 3 3 8 2" xfId="13129" xr:uid="{FBA18530-3909-4886-95B3-25A921C8465F}"/>
    <cellStyle name="Normal 2 4 2 3 3 9" xfId="8911" xr:uid="{FC00B1E9-E46B-4A3E-AD0F-EF83AF6C71E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B442A3F5-0B26-4534-BCF4-64E28A30A77B}"/>
    <cellStyle name="Normal 2 4 2 3 4 2 2 3" xfId="11472" xr:uid="{334CC44A-4ED4-4B1B-8934-03824CE51629}"/>
    <cellStyle name="Normal 2 4 2 3 4 2 3" xfId="5095" xr:uid="{00000000-0005-0000-0000-0000140F0000}"/>
    <cellStyle name="Normal 2 4 2 3 4 2 3 2" xfId="13545" xr:uid="{F5DDAF5B-C346-4197-A336-4C39FA522B31}"/>
    <cellStyle name="Normal 2 4 2 3 4 2 4" xfId="9327" xr:uid="{BABCF6B5-0F8D-4DAB-B8F8-B7E57EE61772}"/>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5A36FA31-7701-4D4F-A2EF-C01E37191545}"/>
    <cellStyle name="Normal 2 4 2 3 4 3 2 3" xfId="11885" xr:uid="{43CA571B-03B3-4FE8-ADE7-19E059845EA7}"/>
    <cellStyle name="Normal 2 4 2 3 4 3 3" xfId="5508" xr:uid="{00000000-0005-0000-0000-0000180F0000}"/>
    <cellStyle name="Normal 2 4 2 3 4 3 3 2" xfId="13958" xr:uid="{7435FD08-2B2D-408F-80F5-683CA149E04C}"/>
    <cellStyle name="Normal 2 4 2 3 4 3 4" xfId="9740" xr:uid="{1AD7B45A-5F38-435F-8566-2A349FDFF7D7}"/>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CF05FD01-4351-4BA0-B670-2F19F70ABABE}"/>
    <cellStyle name="Normal 2 4 2 3 4 4 2 3" xfId="12298" xr:uid="{BA33F179-C7B2-4C6D-B41E-5A7A7C3767E9}"/>
    <cellStyle name="Normal 2 4 2 3 4 4 3" xfId="5921" xr:uid="{00000000-0005-0000-0000-00001C0F0000}"/>
    <cellStyle name="Normal 2 4 2 3 4 4 3 2" xfId="14371" xr:uid="{E7B57397-72EA-4E89-BAB1-883FFC04862D}"/>
    <cellStyle name="Normal 2 4 2 3 4 4 4" xfId="10153" xr:uid="{E30E4E2E-3397-46B2-8C5D-6B3EFCF181E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DA5D7306-98B4-413F-8B4F-85AA0E357ACB}"/>
    <cellStyle name="Normal 2 4 2 3 4 5 2 3" xfId="12711" xr:uid="{50641E1E-D590-4542-9EB5-E5F47BC2D5B1}"/>
    <cellStyle name="Normal 2 4 2 3 4 5 3" xfId="6334" xr:uid="{00000000-0005-0000-0000-0000200F0000}"/>
    <cellStyle name="Normal 2 4 2 3 4 5 3 2" xfId="14784" xr:uid="{D10CFB3F-3760-4AD5-9192-7D4B2B6D746D}"/>
    <cellStyle name="Normal 2 4 2 3 4 5 4" xfId="10566" xr:uid="{9B86D404-D871-4CE7-8252-565CF87AD5D6}"/>
    <cellStyle name="Normal 2 4 2 3 4 6" xfId="2464" xr:uid="{00000000-0005-0000-0000-0000210F0000}"/>
    <cellStyle name="Normal 2 4 2 3 4 6 2" xfId="6747" xr:uid="{00000000-0005-0000-0000-0000220F0000}"/>
    <cellStyle name="Normal 2 4 2 3 4 6 2 2" xfId="15197" xr:uid="{8AA48E46-EE4A-49F5-A7B8-79EC0CA93DD9}"/>
    <cellStyle name="Normal 2 4 2 3 4 6 3" xfId="10979" xr:uid="{58EE556A-C570-4256-8537-D78C5AD8EC33}"/>
    <cellStyle name="Normal 2 4 2 3 4 7" xfId="4681" xr:uid="{00000000-0005-0000-0000-0000230F0000}"/>
    <cellStyle name="Normal 2 4 2 3 4 7 2" xfId="13131" xr:uid="{16E1CFCB-C1DC-492F-8F38-20CC6768B201}"/>
    <cellStyle name="Normal 2 4 2 3 4 8" xfId="8913" xr:uid="{F483D18E-0174-4704-9146-40E86E9715BD}"/>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20A0117F-0EEC-4014-BD81-A9F6129B05AB}"/>
    <cellStyle name="Normal 2 4 2 3 5 2 3" xfId="11465" xr:uid="{24E19236-64F7-48D0-8088-25ED03F528FC}"/>
    <cellStyle name="Normal 2 4 2 3 5 3" xfId="5088" xr:uid="{00000000-0005-0000-0000-0000270F0000}"/>
    <cellStyle name="Normal 2 4 2 3 5 3 2" xfId="13538" xr:uid="{1772B94B-DA5C-45DC-8C25-AEBC9713FBEC}"/>
    <cellStyle name="Normal 2 4 2 3 5 4" xfId="9320" xr:uid="{4074CCAA-C5CF-41EA-B34C-617B43EF4C1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14DD3F2E-9EE9-4CDC-A18A-215271810DEE}"/>
    <cellStyle name="Normal 2 4 2 3 6 2 3" xfId="11878" xr:uid="{68A8E6D9-5C16-4F31-8065-6C2F9EBE8398}"/>
    <cellStyle name="Normal 2 4 2 3 6 3" xfId="5501" xr:uid="{00000000-0005-0000-0000-00002B0F0000}"/>
    <cellStyle name="Normal 2 4 2 3 6 3 2" xfId="13951" xr:uid="{2EE97D79-EEC7-46D7-9A40-417C56F40395}"/>
    <cellStyle name="Normal 2 4 2 3 6 4" xfId="9733" xr:uid="{9BE4EA46-1B77-4B7A-B672-49DF43FA91C2}"/>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877A07DC-842B-470F-BCA0-E8377F482BFA}"/>
    <cellStyle name="Normal 2 4 2 3 7 2 3" xfId="12291" xr:uid="{8E61B41E-518D-497F-8165-4AC805FABB64}"/>
    <cellStyle name="Normal 2 4 2 3 7 3" xfId="5914" xr:uid="{00000000-0005-0000-0000-00002F0F0000}"/>
    <cellStyle name="Normal 2 4 2 3 7 3 2" xfId="14364" xr:uid="{9C3AB4F6-5606-445D-A058-4054E672AE97}"/>
    <cellStyle name="Normal 2 4 2 3 7 4" xfId="10146" xr:uid="{ABE23ACB-8933-44D6-B6C8-D971B8FEC285}"/>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27743370-058C-4BE5-92C4-8D2FA83AF4CC}"/>
    <cellStyle name="Normal 2 4 2 3 8 2 3" xfId="12704" xr:uid="{27017399-44CC-401D-9BFB-75B6792AAC84}"/>
    <cellStyle name="Normal 2 4 2 3 8 3" xfId="6327" xr:uid="{00000000-0005-0000-0000-0000330F0000}"/>
    <cellStyle name="Normal 2 4 2 3 8 3 2" xfId="14777" xr:uid="{3BCE8470-8C4B-4A41-B31B-7180725FC838}"/>
    <cellStyle name="Normal 2 4 2 3 8 4" xfId="10559" xr:uid="{18D705C4-B960-48D7-BC19-C811F237ADA5}"/>
    <cellStyle name="Normal 2 4 2 3 9" xfId="2457" xr:uid="{00000000-0005-0000-0000-0000340F0000}"/>
    <cellStyle name="Normal 2 4 2 3 9 2" xfId="6740" xr:uid="{00000000-0005-0000-0000-0000350F0000}"/>
    <cellStyle name="Normal 2 4 2 3 9 2 2" xfId="15190" xr:uid="{A37358FB-4835-41C2-86C2-1AC9A2E33359}"/>
    <cellStyle name="Normal 2 4 2 3 9 3" xfId="10972" xr:uid="{C9F0B968-CAB8-40BE-96F6-DB3C6B4ACC9E}"/>
    <cellStyle name="Normal 2 4 2 4" xfId="289" xr:uid="{00000000-0005-0000-0000-0000360F0000}"/>
    <cellStyle name="Normal 2 4 2 4 10" xfId="8914" xr:uid="{6D2AB462-74DE-46CE-B34A-773EEF0D78E3}"/>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2C7D6E04-B790-4906-873B-ACD70B0FD3BC}"/>
    <cellStyle name="Normal 2 4 2 4 2 2 2 2 3" xfId="11475" xr:uid="{D598B162-1A5C-4719-97DF-854F1092943D}"/>
    <cellStyle name="Normal 2 4 2 4 2 2 2 3" xfId="5098" xr:uid="{00000000-0005-0000-0000-00003C0F0000}"/>
    <cellStyle name="Normal 2 4 2 4 2 2 2 3 2" xfId="13548" xr:uid="{96D68E20-758A-4263-BB95-8AE39DB33B48}"/>
    <cellStyle name="Normal 2 4 2 4 2 2 2 4" xfId="9330" xr:uid="{704A595B-07F1-4E24-8468-74453BA9F888}"/>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C61DD8BD-A089-4F13-A6D9-A13F07049317}"/>
    <cellStyle name="Normal 2 4 2 4 2 2 3 2 3" xfId="11888" xr:uid="{9C04D04C-FCA7-4199-A0E5-3689FFBA094C}"/>
    <cellStyle name="Normal 2 4 2 4 2 2 3 3" xfId="5511" xr:uid="{00000000-0005-0000-0000-0000400F0000}"/>
    <cellStyle name="Normal 2 4 2 4 2 2 3 3 2" xfId="13961" xr:uid="{DBBBC229-0F13-4B68-803F-0B32CC8055E6}"/>
    <cellStyle name="Normal 2 4 2 4 2 2 3 4" xfId="9743" xr:uid="{4BEE3DEE-9FF3-46EB-9FE6-0412C3EF9DF7}"/>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037E5BD0-E2B4-46BA-B7DA-3C2684C0E28C}"/>
    <cellStyle name="Normal 2 4 2 4 2 2 4 2 3" xfId="12301" xr:uid="{E183E876-8E57-4E55-9529-3C5E4753CE18}"/>
    <cellStyle name="Normal 2 4 2 4 2 2 4 3" xfId="5924" xr:uid="{00000000-0005-0000-0000-0000440F0000}"/>
    <cellStyle name="Normal 2 4 2 4 2 2 4 3 2" xfId="14374" xr:uid="{65814C46-90C9-4D15-922D-7AE10B35B9F1}"/>
    <cellStyle name="Normal 2 4 2 4 2 2 4 4" xfId="10156" xr:uid="{5AB855F1-92AE-4B48-8E57-512A6B6F5571}"/>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C0283D96-432F-47C2-B353-5AD3AD062EC6}"/>
    <cellStyle name="Normal 2 4 2 4 2 2 5 2 3" xfId="12714" xr:uid="{E128A5F3-0528-4CFF-8620-912233A67111}"/>
    <cellStyle name="Normal 2 4 2 4 2 2 5 3" xfId="6337" xr:uid="{00000000-0005-0000-0000-0000480F0000}"/>
    <cellStyle name="Normal 2 4 2 4 2 2 5 3 2" xfId="14787" xr:uid="{8AA56A07-1E8D-4931-B825-2B6BA76AC1EF}"/>
    <cellStyle name="Normal 2 4 2 4 2 2 5 4" xfId="10569" xr:uid="{3DEF9268-A5FD-4C40-8793-3928E92428AF}"/>
    <cellStyle name="Normal 2 4 2 4 2 2 6" xfId="2467" xr:uid="{00000000-0005-0000-0000-0000490F0000}"/>
    <cellStyle name="Normal 2 4 2 4 2 2 6 2" xfId="6750" xr:uid="{00000000-0005-0000-0000-00004A0F0000}"/>
    <cellStyle name="Normal 2 4 2 4 2 2 6 2 2" xfId="15200" xr:uid="{35453360-7952-474D-900D-00BECFA75511}"/>
    <cellStyle name="Normal 2 4 2 4 2 2 6 3" xfId="10982" xr:uid="{0B16B493-02D2-43BB-BFC4-A463A7DE3CBA}"/>
    <cellStyle name="Normal 2 4 2 4 2 2 7" xfId="4684" xr:uid="{00000000-0005-0000-0000-00004B0F0000}"/>
    <cellStyle name="Normal 2 4 2 4 2 2 7 2" xfId="13134" xr:uid="{0AC2A66E-DBF7-4AA9-9D89-7E2B21B3127F}"/>
    <cellStyle name="Normal 2 4 2 4 2 2 8" xfId="8916" xr:uid="{D3937279-4F68-4FB3-B660-DE118F015A96}"/>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66EEC395-E254-49D9-BB09-BA7E5627210A}"/>
    <cellStyle name="Normal 2 4 2 4 2 3 2 3" xfId="11474" xr:uid="{7A607D60-F65F-4F97-83AC-4B37F746C4C7}"/>
    <cellStyle name="Normal 2 4 2 4 2 3 3" xfId="5097" xr:uid="{00000000-0005-0000-0000-00004F0F0000}"/>
    <cellStyle name="Normal 2 4 2 4 2 3 3 2" xfId="13547" xr:uid="{C5F05201-A992-41C1-8978-15ECC8042D9E}"/>
    <cellStyle name="Normal 2 4 2 4 2 3 4" xfId="9329" xr:uid="{5B004E6F-07C4-49AA-8956-9DEF8D358C8F}"/>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D9787D5C-4C2C-4432-A311-723E3E58333A}"/>
    <cellStyle name="Normal 2 4 2 4 2 4 2 3" xfId="11887" xr:uid="{3856E8AA-F28F-4796-B2CD-4912BD0C7234}"/>
    <cellStyle name="Normal 2 4 2 4 2 4 3" xfId="5510" xr:uid="{00000000-0005-0000-0000-0000530F0000}"/>
    <cellStyle name="Normal 2 4 2 4 2 4 3 2" xfId="13960" xr:uid="{148C8DEE-5914-4032-BA7D-87CBD3317B6D}"/>
    <cellStyle name="Normal 2 4 2 4 2 4 4" xfId="9742" xr:uid="{2D326E07-3BF9-4DD8-80CE-15DE02247C65}"/>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5223A726-A48D-4E9A-855B-A702BF1A2B55}"/>
    <cellStyle name="Normal 2 4 2 4 2 5 2 3" xfId="12300" xr:uid="{9725AC34-2CAB-4297-8A9A-44525CD310EF}"/>
    <cellStyle name="Normal 2 4 2 4 2 5 3" xfId="5923" xr:uid="{00000000-0005-0000-0000-0000570F0000}"/>
    <cellStyle name="Normal 2 4 2 4 2 5 3 2" xfId="14373" xr:uid="{899FC62A-3578-4125-97C0-24258B9A1EE5}"/>
    <cellStyle name="Normal 2 4 2 4 2 5 4" xfId="10155" xr:uid="{A142F566-D983-4C0B-9FD5-C0223D129217}"/>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2C40B3F5-C230-43C5-9AC0-5F9056C4E76C}"/>
    <cellStyle name="Normal 2 4 2 4 2 6 2 3" xfId="12713" xr:uid="{CE66D235-55ED-45B1-AD64-CAD36C2EDE27}"/>
    <cellStyle name="Normal 2 4 2 4 2 6 3" xfId="6336" xr:uid="{00000000-0005-0000-0000-00005B0F0000}"/>
    <cellStyle name="Normal 2 4 2 4 2 6 3 2" xfId="14786" xr:uid="{FD641DF6-49EA-4730-9241-27C77D75D1CF}"/>
    <cellStyle name="Normal 2 4 2 4 2 6 4" xfId="10568" xr:uid="{7B472639-FA9F-4070-841C-E31F398DDCAB}"/>
    <cellStyle name="Normal 2 4 2 4 2 7" xfId="2466" xr:uid="{00000000-0005-0000-0000-00005C0F0000}"/>
    <cellStyle name="Normal 2 4 2 4 2 7 2" xfId="6749" xr:uid="{00000000-0005-0000-0000-00005D0F0000}"/>
    <cellStyle name="Normal 2 4 2 4 2 7 2 2" xfId="15199" xr:uid="{0BBBAF07-01AB-46A9-AFF3-D97C4911FF35}"/>
    <cellStyle name="Normal 2 4 2 4 2 7 3" xfId="10981" xr:uid="{B32B34AC-92D9-494C-98C3-A5FC853DF50D}"/>
    <cellStyle name="Normal 2 4 2 4 2 8" xfId="4683" xr:uid="{00000000-0005-0000-0000-00005E0F0000}"/>
    <cellStyle name="Normal 2 4 2 4 2 8 2" xfId="13133" xr:uid="{DA38174B-5259-41EB-9AC7-12D7292584CC}"/>
    <cellStyle name="Normal 2 4 2 4 2 9" xfId="8915" xr:uid="{24603CA9-30C4-4B67-8817-36FE5982E11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B847FE95-93E3-480E-9E8E-2917ED2CCA84}"/>
    <cellStyle name="Normal 2 4 2 4 3 2 2 3" xfId="11476" xr:uid="{3FF7CDB2-C50C-4E8D-82D0-9839C7305FD9}"/>
    <cellStyle name="Normal 2 4 2 4 3 2 3" xfId="5099" xr:uid="{00000000-0005-0000-0000-0000630F0000}"/>
    <cellStyle name="Normal 2 4 2 4 3 2 3 2" xfId="13549" xr:uid="{E8603DFF-0FB4-451B-A078-4195DA50638B}"/>
    <cellStyle name="Normal 2 4 2 4 3 2 4" xfId="9331" xr:uid="{6773E529-8036-4AB7-B881-A4BA40C829F6}"/>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F0A4EF68-8573-4D3A-AC3A-4FB7688C34CE}"/>
    <cellStyle name="Normal 2 4 2 4 3 3 2 3" xfId="11889" xr:uid="{BE565DD1-EAA6-4753-A23B-F136398F19E7}"/>
    <cellStyle name="Normal 2 4 2 4 3 3 3" xfId="5512" xr:uid="{00000000-0005-0000-0000-0000670F0000}"/>
    <cellStyle name="Normal 2 4 2 4 3 3 3 2" xfId="13962" xr:uid="{98E20D80-0AB6-40BC-B45F-A63B35D5350E}"/>
    <cellStyle name="Normal 2 4 2 4 3 3 4" xfId="9744" xr:uid="{2266EF1B-6F72-47B0-AA36-881D37E05D9F}"/>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9AF8C6B6-BACC-4BE6-9E91-CC0362994207}"/>
    <cellStyle name="Normal 2 4 2 4 3 4 2 3" xfId="12302" xr:uid="{F1DC17C5-6004-4442-B64A-3709043517FF}"/>
    <cellStyle name="Normal 2 4 2 4 3 4 3" xfId="5925" xr:uid="{00000000-0005-0000-0000-00006B0F0000}"/>
    <cellStyle name="Normal 2 4 2 4 3 4 3 2" xfId="14375" xr:uid="{F7241C4A-5D70-4467-B0F4-AD766C9BCF87}"/>
    <cellStyle name="Normal 2 4 2 4 3 4 4" xfId="10157" xr:uid="{A7F93CD2-115E-4B74-911E-7B7EEE281D61}"/>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7E096287-EEA2-4FD1-A8A2-F040AA71E59B}"/>
    <cellStyle name="Normal 2 4 2 4 3 5 2 3" xfId="12715" xr:uid="{05C15C8E-A4BD-46EE-B233-9F05D4270293}"/>
    <cellStyle name="Normal 2 4 2 4 3 5 3" xfId="6338" xr:uid="{00000000-0005-0000-0000-00006F0F0000}"/>
    <cellStyle name="Normal 2 4 2 4 3 5 3 2" xfId="14788" xr:uid="{9ED6850C-2522-4A55-9D48-20646233E181}"/>
    <cellStyle name="Normal 2 4 2 4 3 5 4" xfId="10570" xr:uid="{74DB013C-6BA7-4A2E-98A6-8B366B7300D4}"/>
    <cellStyle name="Normal 2 4 2 4 3 6" xfId="2468" xr:uid="{00000000-0005-0000-0000-0000700F0000}"/>
    <cellStyle name="Normal 2 4 2 4 3 6 2" xfId="6751" xr:uid="{00000000-0005-0000-0000-0000710F0000}"/>
    <cellStyle name="Normal 2 4 2 4 3 6 2 2" xfId="15201" xr:uid="{20790BC8-809C-4400-9D56-24C4E481A468}"/>
    <cellStyle name="Normal 2 4 2 4 3 6 3" xfId="10983" xr:uid="{9B4AFE31-D0C8-43EE-B64E-D63F0C3FC313}"/>
    <cellStyle name="Normal 2 4 2 4 3 7" xfId="4685" xr:uid="{00000000-0005-0000-0000-0000720F0000}"/>
    <cellStyle name="Normal 2 4 2 4 3 7 2" xfId="13135" xr:uid="{73B2546B-91C1-4905-ADF9-225D219DBD9D}"/>
    <cellStyle name="Normal 2 4 2 4 3 8" xfId="8917" xr:uid="{39330B0F-6F10-4D4B-90C3-5931907F092F}"/>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675C8E48-E8D1-400C-9B00-189AD9D53709}"/>
    <cellStyle name="Normal 2 4 2 4 4 2 3" xfId="11473" xr:uid="{67A620C0-4A58-4F71-BBC0-AE801502FFA9}"/>
    <cellStyle name="Normal 2 4 2 4 4 3" xfId="5096" xr:uid="{00000000-0005-0000-0000-0000760F0000}"/>
    <cellStyle name="Normal 2 4 2 4 4 3 2" xfId="13546" xr:uid="{7B1519EF-79B9-48C8-9F49-5BAE1D384B55}"/>
    <cellStyle name="Normal 2 4 2 4 4 4" xfId="9328" xr:uid="{CB61A7F2-6293-4A0C-881B-B9D0079223A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A4F7AB77-1BB6-4B32-92DF-8423028B7877}"/>
    <cellStyle name="Normal 2 4 2 4 5 2 3" xfId="11886" xr:uid="{1BE952DC-2387-4D57-A5F4-F9753056018F}"/>
    <cellStyle name="Normal 2 4 2 4 5 3" xfId="5509" xr:uid="{00000000-0005-0000-0000-00007A0F0000}"/>
    <cellStyle name="Normal 2 4 2 4 5 3 2" xfId="13959" xr:uid="{EEB582CB-4AD9-410C-A1B1-DC1C95FA0E64}"/>
    <cellStyle name="Normal 2 4 2 4 5 4" xfId="9741" xr:uid="{C5CCAA54-8E74-48FE-8D32-B286D207C9B8}"/>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E30D2AA5-7001-4850-BD14-37064A46E02D}"/>
    <cellStyle name="Normal 2 4 2 4 6 2 3" xfId="12299" xr:uid="{D2FC9145-D1CC-43AB-9246-4DF588B66252}"/>
    <cellStyle name="Normal 2 4 2 4 6 3" xfId="5922" xr:uid="{00000000-0005-0000-0000-00007E0F0000}"/>
    <cellStyle name="Normal 2 4 2 4 6 3 2" xfId="14372" xr:uid="{80DECBBA-E98A-4004-9447-0C39812248C5}"/>
    <cellStyle name="Normal 2 4 2 4 6 4" xfId="10154" xr:uid="{A1F5B972-156C-49DD-BE1C-6654ABE9D6D5}"/>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0DB02528-5F8E-4008-ABAB-48652DF99E07}"/>
    <cellStyle name="Normal 2 4 2 4 7 2 3" xfId="12712" xr:uid="{9409F750-A018-4E98-8ADE-9064FA7BF568}"/>
    <cellStyle name="Normal 2 4 2 4 7 3" xfId="6335" xr:uid="{00000000-0005-0000-0000-0000820F0000}"/>
    <cellStyle name="Normal 2 4 2 4 7 3 2" xfId="14785" xr:uid="{D630FBB1-6F69-4BD1-8620-28EC439C9534}"/>
    <cellStyle name="Normal 2 4 2 4 7 4" xfId="10567" xr:uid="{046564B0-BDAB-4D77-A7CD-264CF1850414}"/>
    <cellStyle name="Normal 2 4 2 4 8" xfId="2465" xr:uid="{00000000-0005-0000-0000-0000830F0000}"/>
    <cellStyle name="Normal 2 4 2 4 8 2" xfId="6748" xr:uid="{00000000-0005-0000-0000-0000840F0000}"/>
    <cellStyle name="Normal 2 4 2 4 8 2 2" xfId="15198" xr:uid="{99C986E9-8111-47F3-AE90-DC8C67055C3D}"/>
    <cellStyle name="Normal 2 4 2 4 8 3" xfId="10980" xr:uid="{124C4DB2-37D4-4E0C-AA94-83B0556CE87D}"/>
    <cellStyle name="Normal 2 4 2 4 9" xfId="4682" xr:uid="{00000000-0005-0000-0000-0000850F0000}"/>
    <cellStyle name="Normal 2 4 2 4 9 2" xfId="13132" xr:uid="{348CB6D6-7CE3-45D1-871D-6EF4FD364988}"/>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F8CDCF19-B5D3-4BD6-AD8F-60A6D302F1AA}"/>
    <cellStyle name="Normal 2 4 2 5 2 2 2 3" xfId="11478" xr:uid="{A2482738-DCE4-46BC-91BB-CC8F9FF67D07}"/>
    <cellStyle name="Normal 2 4 2 5 2 2 3" xfId="5101" xr:uid="{00000000-0005-0000-0000-00008B0F0000}"/>
    <cellStyle name="Normal 2 4 2 5 2 2 3 2" xfId="13551" xr:uid="{18FA3F64-379F-4271-9B64-34802360D6BC}"/>
    <cellStyle name="Normal 2 4 2 5 2 2 4" xfId="9333" xr:uid="{875F2FEA-74DA-4F41-961E-8FD612BDC706}"/>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9327B98C-CCA7-4C56-9591-B3D460BE0EB3}"/>
    <cellStyle name="Normal 2 4 2 5 2 3 2 3" xfId="11891" xr:uid="{089CC8E1-D06D-4CC9-9781-399DF6B860C0}"/>
    <cellStyle name="Normal 2 4 2 5 2 3 3" xfId="5514" xr:uid="{00000000-0005-0000-0000-00008F0F0000}"/>
    <cellStyle name="Normal 2 4 2 5 2 3 3 2" xfId="13964" xr:uid="{90BCE63B-642D-48A5-A259-BA658A7421C5}"/>
    <cellStyle name="Normal 2 4 2 5 2 3 4" xfId="9746" xr:uid="{A00BC4DD-AD99-4569-B211-B3CBF6CAFEAD}"/>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E05362C8-55D9-46D3-A771-EE0ADA1E11DC}"/>
    <cellStyle name="Normal 2 4 2 5 2 4 2 3" xfId="12304" xr:uid="{56ADA753-6DD8-4683-A61A-D9EF314576C2}"/>
    <cellStyle name="Normal 2 4 2 5 2 4 3" xfId="5927" xr:uid="{00000000-0005-0000-0000-0000930F0000}"/>
    <cellStyle name="Normal 2 4 2 5 2 4 3 2" xfId="14377" xr:uid="{50939519-7DBA-498D-8CBE-EDCFC67EC93E}"/>
    <cellStyle name="Normal 2 4 2 5 2 4 4" xfId="10159" xr:uid="{B46DB579-1C83-4738-B4D2-5C0F6E61D6A7}"/>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8DEA26C3-E132-4EC3-A4A4-7279BD34010C}"/>
    <cellStyle name="Normal 2 4 2 5 2 5 2 3" xfId="12717" xr:uid="{1395C46A-BDD3-4435-8B4A-B2108E8BD193}"/>
    <cellStyle name="Normal 2 4 2 5 2 5 3" xfId="6340" xr:uid="{00000000-0005-0000-0000-0000970F0000}"/>
    <cellStyle name="Normal 2 4 2 5 2 5 3 2" xfId="14790" xr:uid="{FE9A8C14-4355-463E-B176-2B865F6746C9}"/>
    <cellStyle name="Normal 2 4 2 5 2 5 4" xfId="10572" xr:uid="{74769960-231E-4EA4-BC27-52BBB826CB3B}"/>
    <cellStyle name="Normal 2 4 2 5 2 6" xfId="2470" xr:uid="{00000000-0005-0000-0000-0000980F0000}"/>
    <cellStyle name="Normal 2 4 2 5 2 6 2" xfId="6753" xr:uid="{00000000-0005-0000-0000-0000990F0000}"/>
    <cellStyle name="Normal 2 4 2 5 2 6 2 2" xfId="15203" xr:uid="{A16F41CD-CE61-4A22-8946-34EE93C2D2AE}"/>
    <cellStyle name="Normal 2 4 2 5 2 6 3" xfId="10985" xr:uid="{5EE90BBE-59EE-4F45-AAB3-EB1FFCB6E6BA}"/>
    <cellStyle name="Normal 2 4 2 5 2 7" xfId="4687" xr:uid="{00000000-0005-0000-0000-00009A0F0000}"/>
    <cellStyle name="Normal 2 4 2 5 2 7 2" xfId="13137" xr:uid="{AD25DE8D-36D4-4E6B-AF77-1DB6C3070674}"/>
    <cellStyle name="Normal 2 4 2 5 2 8" xfId="8919" xr:uid="{76369FE7-3231-4316-A1FF-72ECCD82C4B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3FCCC06D-6942-468C-B023-3E119D71D83F}"/>
    <cellStyle name="Normal 2 4 2 5 3 2 3" xfId="11477" xr:uid="{80570799-02D6-4160-A658-58E23205C63F}"/>
    <cellStyle name="Normal 2 4 2 5 3 3" xfId="5100" xr:uid="{00000000-0005-0000-0000-00009E0F0000}"/>
    <cellStyle name="Normal 2 4 2 5 3 3 2" xfId="13550" xr:uid="{1B671230-F405-48D1-9180-18DE477F2ED2}"/>
    <cellStyle name="Normal 2 4 2 5 3 4" xfId="9332" xr:uid="{E4F14697-9D79-4FBF-ADC8-CBAE77C6EFE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17A179E0-6A9E-4A57-AEA0-0B058AAC4023}"/>
    <cellStyle name="Normal 2 4 2 5 4 2 3" xfId="11890" xr:uid="{C0D95A28-49A7-4DBB-8D51-2F2A7DDB1B4D}"/>
    <cellStyle name="Normal 2 4 2 5 4 3" xfId="5513" xr:uid="{00000000-0005-0000-0000-0000A20F0000}"/>
    <cellStyle name="Normal 2 4 2 5 4 3 2" xfId="13963" xr:uid="{B8C68552-4F9D-4419-A5FB-A773896EE970}"/>
    <cellStyle name="Normal 2 4 2 5 4 4" xfId="9745" xr:uid="{DD535647-5258-49C4-9509-C3021155D662}"/>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C6729B5B-0D49-4379-BC39-894FF9364D74}"/>
    <cellStyle name="Normal 2 4 2 5 5 2 3" xfId="12303" xr:uid="{C5B7D041-4E5F-41E6-AA8C-D71140BE55B0}"/>
    <cellStyle name="Normal 2 4 2 5 5 3" xfId="5926" xr:uid="{00000000-0005-0000-0000-0000A60F0000}"/>
    <cellStyle name="Normal 2 4 2 5 5 3 2" xfId="14376" xr:uid="{B3DEF498-45A6-4C75-88A1-5D21422BDF8A}"/>
    <cellStyle name="Normal 2 4 2 5 5 4" xfId="10158" xr:uid="{5020C35A-D995-4B43-B508-2DA23689A564}"/>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F524D711-B9E2-4107-9FA6-77AB789CB29A}"/>
    <cellStyle name="Normal 2 4 2 5 6 2 3" xfId="12716" xr:uid="{7107FADB-45E6-4724-9775-0942F0B03206}"/>
    <cellStyle name="Normal 2 4 2 5 6 3" xfId="6339" xr:uid="{00000000-0005-0000-0000-0000AA0F0000}"/>
    <cellStyle name="Normal 2 4 2 5 6 3 2" xfId="14789" xr:uid="{85A58440-7635-4380-A443-22CC3470AE6F}"/>
    <cellStyle name="Normal 2 4 2 5 6 4" xfId="10571" xr:uid="{17980C77-169F-4996-8772-8C54F1DFD808}"/>
    <cellStyle name="Normal 2 4 2 5 7" xfId="2469" xr:uid="{00000000-0005-0000-0000-0000AB0F0000}"/>
    <cellStyle name="Normal 2 4 2 5 7 2" xfId="6752" xr:uid="{00000000-0005-0000-0000-0000AC0F0000}"/>
    <cellStyle name="Normal 2 4 2 5 7 2 2" xfId="15202" xr:uid="{490276DA-1803-4D31-B783-E6F693F61295}"/>
    <cellStyle name="Normal 2 4 2 5 7 3" xfId="10984" xr:uid="{EE58EFCE-F9D3-4F91-8CF8-A324F3B24876}"/>
    <cellStyle name="Normal 2 4 2 5 8" xfId="4686" xr:uid="{00000000-0005-0000-0000-0000AD0F0000}"/>
    <cellStyle name="Normal 2 4 2 5 8 2" xfId="13136" xr:uid="{17345897-F509-4D48-8B5B-D2BF61380B87}"/>
    <cellStyle name="Normal 2 4 2 5 9" xfId="8918" xr:uid="{AE9E3989-3F6F-4F04-A1FE-8EB02AF1CE06}"/>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10EA3C9A-5FA5-41CE-B58E-BB355995F4CA}"/>
    <cellStyle name="Normal 2 4 2 6 2 2 3" xfId="11479" xr:uid="{AE0DB340-4F01-440F-8FE4-5F69160CCFDA}"/>
    <cellStyle name="Normal 2 4 2 6 2 3" xfId="5102" xr:uid="{00000000-0005-0000-0000-0000B20F0000}"/>
    <cellStyle name="Normal 2 4 2 6 2 3 2" xfId="13552" xr:uid="{CCCAD136-9758-493E-BD63-17C67EFB94A1}"/>
    <cellStyle name="Normal 2 4 2 6 2 4" xfId="9334" xr:uid="{9E859673-8C78-4279-8BD2-A322BD757911}"/>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722FEB66-7B82-4137-8819-CDC40D766754}"/>
    <cellStyle name="Normal 2 4 2 6 3 2 3" xfId="11892" xr:uid="{FEE20166-8EBC-4A7E-B65E-B5B3467591C0}"/>
    <cellStyle name="Normal 2 4 2 6 3 3" xfId="5515" xr:uid="{00000000-0005-0000-0000-0000B60F0000}"/>
    <cellStyle name="Normal 2 4 2 6 3 3 2" xfId="13965" xr:uid="{451B36F9-DD86-4563-BD4E-8CA67E85ABFF}"/>
    <cellStyle name="Normal 2 4 2 6 3 4" xfId="9747" xr:uid="{70AF4FC0-64F2-47D6-AF8D-E37866072372}"/>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BB3B5DDC-68DC-46EC-8174-AEDAE2530CF8}"/>
    <cellStyle name="Normal 2 4 2 6 4 2 3" xfId="12305" xr:uid="{472C108A-398F-475D-BB94-D32EA4D34CB6}"/>
    <cellStyle name="Normal 2 4 2 6 4 3" xfId="5928" xr:uid="{00000000-0005-0000-0000-0000BA0F0000}"/>
    <cellStyle name="Normal 2 4 2 6 4 3 2" xfId="14378" xr:uid="{EBA87110-E93E-41E5-B484-0C0A5BDF2701}"/>
    <cellStyle name="Normal 2 4 2 6 4 4" xfId="10160" xr:uid="{547A31FB-FE45-4CD1-9F98-AE04A551058E}"/>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B2090E30-EE6E-4F68-AF40-54AB0368ACE4}"/>
    <cellStyle name="Normal 2 4 2 6 5 2 3" xfId="12718" xr:uid="{3768D175-0C8C-49E1-80C2-925D2C7B9E28}"/>
    <cellStyle name="Normal 2 4 2 6 5 3" xfId="6341" xr:uid="{00000000-0005-0000-0000-0000BE0F0000}"/>
    <cellStyle name="Normal 2 4 2 6 5 3 2" xfId="14791" xr:uid="{5EBBC919-C399-455E-A9ED-292A4D3D4E2D}"/>
    <cellStyle name="Normal 2 4 2 6 5 4" xfId="10573" xr:uid="{3F0DEB8A-92DF-4F5E-B0AB-F34FBA79116F}"/>
    <cellStyle name="Normal 2 4 2 6 6" xfId="2471" xr:uid="{00000000-0005-0000-0000-0000BF0F0000}"/>
    <cellStyle name="Normal 2 4 2 6 6 2" xfId="6754" xr:uid="{00000000-0005-0000-0000-0000C00F0000}"/>
    <cellStyle name="Normal 2 4 2 6 6 2 2" xfId="15204" xr:uid="{3ABA2B4C-DE94-42CF-96AE-59D6CE3AC165}"/>
    <cellStyle name="Normal 2 4 2 6 6 3" xfId="10986" xr:uid="{64C0A49D-C05F-4004-B512-43458D0990EB}"/>
    <cellStyle name="Normal 2 4 2 6 7" xfId="4688" xr:uid="{00000000-0005-0000-0000-0000C10F0000}"/>
    <cellStyle name="Normal 2 4 2 6 7 2" xfId="13138" xr:uid="{92740785-0B1D-426A-A27E-890C9EB6D7CC}"/>
    <cellStyle name="Normal 2 4 2 6 8" xfId="8920" xr:uid="{E35E5BBC-854E-48B3-9641-310EAD9A4BB8}"/>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14EA35E4-DD77-469D-8827-7C56D704F7A7}"/>
    <cellStyle name="Normal 2 4 2 7 2 3" xfId="11464" xr:uid="{04B7214B-6807-4A53-9558-4420CC49B76F}"/>
    <cellStyle name="Normal 2 4 2 7 3" xfId="5087" xr:uid="{00000000-0005-0000-0000-0000C50F0000}"/>
    <cellStyle name="Normal 2 4 2 7 3 2" xfId="13537" xr:uid="{1BD93F3C-93DE-4169-A9BD-56249BC233A4}"/>
    <cellStyle name="Normal 2 4 2 7 4" xfId="9319" xr:uid="{FA81C2A6-9D63-4083-A4E9-5EAB748BC71B}"/>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A6BD6413-79D6-4C0C-BD59-4EAF569B92A2}"/>
    <cellStyle name="Normal 2 4 2 8 2 3" xfId="11877" xr:uid="{32ED8482-4D48-48B7-9FDF-76E40ABE45FC}"/>
    <cellStyle name="Normal 2 4 2 8 3" xfId="5500" xr:uid="{00000000-0005-0000-0000-0000C90F0000}"/>
    <cellStyle name="Normal 2 4 2 8 3 2" xfId="13950" xr:uid="{434B48B8-2D9F-4F81-A51A-95B2132FE1C6}"/>
    <cellStyle name="Normal 2 4 2 8 4" xfId="9732" xr:uid="{D508B038-F837-417C-80FA-46F7544C1B2D}"/>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CFDEC213-2637-4591-A8B2-1ABC3ACBF187}"/>
    <cellStyle name="Normal 2 4 2 9 2 3" xfId="12290" xr:uid="{81A1C58D-E472-4383-973B-2FDAD088AF17}"/>
    <cellStyle name="Normal 2 4 2 9 3" xfId="5913" xr:uid="{00000000-0005-0000-0000-0000CD0F0000}"/>
    <cellStyle name="Normal 2 4 2 9 3 2" xfId="14363" xr:uid="{6C507535-8561-4750-B433-83BB2E019D1D}"/>
    <cellStyle name="Normal 2 4 2 9 4" xfId="10145" xr:uid="{370F1347-38EE-4229-9DF0-81BDD0CDDBE8}"/>
    <cellStyle name="Normal 2 4 3" xfId="296" xr:uid="{00000000-0005-0000-0000-0000CE0F0000}"/>
    <cellStyle name="Normal 2 4 3 10" xfId="8921" xr:uid="{2DC12526-851D-407C-8FAB-4A18ACEC0D1E}"/>
    <cellStyle name="Normal 2 4 3 2" xfId="297" xr:uid="{00000000-0005-0000-0000-0000CF0F0000}"/>
    <cellStyle name="Normal 2 4 3 3" xfId="298" xr:uid="{00000000-0005-0000-0000-0000D00F0000}"/>
    <cellStyle name="Normal 2 4 3 3 10" xfId="8922" xr:uid="{7BD08ADC-76AB-4E00-B1E2-E84A8C90D1C1}"/>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F22624BD-721E-4EAA-8B76-4F31D809DB2B}"/>
    <cellStyle name="Normal 2 4 3 3 2 2 2 2 3" xfId="11483" xr:uid="{8D2AD9B9-A921-4280-B868-967071636640}"/>
    <cellStyle name="Normal 2 4 3 3 2 2 2 3" xfId="5106" xr:uid="{00000000-0005-0000-0000-0000D60F0000}"/>
    <cellStyle name="Normal 2 4 3 3 2 2 2 3 2" xfId="13556" xr:uid="{A51403A1-CB08-4982-BAE1-E1BEAC1A75FA}"/>
    <cellStyle name="Normal 2 4 3 3 2 2 2 4" xfId="9338" xr:uid="{BAAA5450-3870-4B7B-A0B2-25C6252D4C0A}"/>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61BEC08D-4A76-4865-8918-F75D1D4F3ABB}"/>
    <cellStyle name="Normal 2 4 3 3 2 2 3 2 3" xfId="11896" xr:uid="{FBE7E903-312F-44D1-8575-E0DB012E3D21}"/>
    <cellStyle name="Normal 2 4 3 3 2 2 3 3" xfId="5519" xr:uid="{00000000-0005-0000-0000-0000DA0F0000}"/>
    <cellStyle name="Normal 2 4 3 3 2 2 3 3 2" xfId="13969" xr:uid="{30826830-8FF9-4000-84FB-5473DC81B7D9}"/>
    <cellStyle name="Normal 2 4 3 3 2 2 3 4" xfId="9751" xr:uid="{2A524D72-F72D-4C02-82F4-20BD14312D6E}"/>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8BB63B7E-9D0E-40E3-9D6C-A87EE5CB9327}"/>
    <cellStyle name="Normal 2 4 3 3 2 2 4 2 3" xfId="12309" xr:uid="{A48DC7EA-6572-4013-9417-F460CC28B314}"/>
    <cellStyle name="Normal 2 4 3 3 2 2 4 3" xfId="5932" xr:uid="{00000000-0005-0000-0000-0000DE0F0000}"/>
    <cellStyle name="Normal 2 4 3 3 2 2 4 3 2" xfId="14382" xr:uid="{368A09FF-1218-4229-828E-B7E68E21809A}"/>
    <cellStyle name="Normal 2 4 3 3 2 2 4 4" xfId="10164" xr:uid="{DCA56731-61DE-41A4-A705-CBB752458355}"/>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E9005D72-2660-4F5E-B0E0-97AE3D10F66C}"/>
    <cellStyle name="Normal 2 4 3 3 2 2 5 2 3" xfId="12722" xr:uid="{3C8B600F-67ED-4DF6-8F28-7506A1F7298D}"/>
    <cellStyle name="Normal 2 4 3 3 2 2 5 3" xfId="6345" xr:uid="{00000000-0005-0000-0000-0000E20F0000}"/>
    <cellStyle name="Normal 2 4 3 3 2 2 5 3 2" xfId="14795" xr:uid="{123D1B36-C1B0-48A9-8BB4-322FDF821210}"/>
    <cellStyle name="Normal 2 4 3 3 2 2 5 4" xfId="10577" xr:uid="{949E1FD5-975D-477A-8CE4-7CDAE26759B4}"/>
    <cellStyle name="Normal 2 4 3 3 2 2 6" xfId="2475" xr:uid="{00000000-0005-0000-0000-0000E30F0000}"/>
    <cellStyle name="Normal 2 4 3 3 2 2 6 2" xfId="6758" xr:uid="{00000000-0005-0000-0000-0000E40F0000}"/>
    <cellStyle name="Normal 2 4 3 3 2 2 6 2 2" xfId="15208" xr:uid="{AD984378-C7AC-4A5D-9C64-65FFB17AFF17}"/>
    <cellStyle name="Normal 2 4 3 3 2 2 6 3" xfId="10990" xr:uid="{D7150DEE-65C0-48C2-B2F2-B114D1F8DA68}"/>
    <cellStyle name="Normal 2 4 3 3 2 2 7" xfId="4692" xr:uid="{00000000-0005-0000-0000-0000E50F0000}"/>
    <cellStyle name="Normal 2 4 3 3 2 2 7 2" xfId="13142" xr:uid="{C5A74DA2-41BD-4A62-9862-DC654CAF50D1}"/>
    <cellStyle name="Normal 2 4 3 3 2 2 8" xfId="8924" xr:uid="{D1A469F1-D7F5-42CB-8936-D1B3498872B5}"/>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2F809D44-5DA4-44B9-A93F-5F308AB6DD22}"/>
    <cellStyle name="Normal 2 4 3 3 2 3 2 3" xfId="11482" xr:uid="{4DCDD534-A028-4DA2-A2E3-15EC090A72A9}"/>
    <cellStyle name="Normal 2 4 3 3 2 3 3" xfId="5105" xr:uid="{00000000-0005-0000-0000-0000E90F0000}"/>
    <cellStyle name="Normal 2 4 3 3 2 3 3 2" xfId="13555" xr:uid="{EBF55C9E-E6BE-40C1-B3AC-177BBBE957C5}"/>
    <cellStyle name="Normal 2 4 3 3 2 3 4" xfId="9337" xr:uid="{DD0C814A-CBC7-41F5-B30F-F141E4BB5A48}"/>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28C7177D-D4C8-49D2-856C-1B5FA9B53032}"/>
    <cellStyle name="Normal 2 4 3 3 2 4 2 3" xfId="11895" xr:uid="{0C15DA1A-255D-44F7-A3DA-F7F99167313D}"/>
    <cellStyle name="Normal 2 4 3 3 2 4 3" xfId="5518" xr:uid="{00000000-0005-0000-0000-0000ED0F0000}"/>
    <cellStyle name="Normal 2 4 3 3 2 4 3 2" xfId="13968" xr:uid="{7F8069A7-4469-4AAA-B418-B885C4F4032E}"/>
    <cellStyle name="Normal 2 4 3 3 2 4 4" xfId="9750" xr:uid="{331B5D61-745A-4183-8FCA-901F7866C8DA}"/>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487D5C33-FD8A-40EF-8188-A88C8CBD302A}"/>
    <cellStyle name="Normal 2 4 3 3 2 5 2 3" xfId="12308" xr:uid="{9D1614DC-8B2E-4A20-A739-9F8864917EB9}"/>
    <cellStyle name="Normal 2 4 3 3 2 5 3" xfId="5931" xr:uid="{00000000-0005-0000-0000-0000F10F0000}"/>
    <cellStyle name="Normal 2 4 3 3 2 5 3 2" xfId="14381" xr:uid="{C4D84EFC-7A84-42C8-969B-D6835C2E23AA}"/>
    <cellStyle name="Normal 2 4 3 3 2 5 4" xfId="10163" xr:uid="{88935276-1F56-4239-B23C-48255939813F}"/>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F40C19DC-3479-4F3D-8C96-30AE43095ED9}"/>
    <cellStyle name="Normal 2 4 3 3 2 6 2 3" xfId="12721" xr:uid="{7A186FE7-0274-4CEC-BD37-216C8D9AA2FB}"/>
    <cellStyle name="Normal 2 4 3 3 2 6 3" xfId="6344" xr:uid="{00000000-0005-0000-0000-0000F50F0000}"/>
    <cellStyle name="Normal 2 4 3 3 2 6 3 2" xfId="14794" xr:uid="{DB71362C-18F2-4994-871B-8C8CA91111AC}"/>
    <cellStyle name="Normal 2 4 3 3 2 6 4" xfId="10576" xr:uid="{EA56125E-DEC2-4777-A554-84885A0DC5C1}"/>
    <cellStyle name="Normal 2 4 3 3 2 7" xfId="2474" xr:uid="{00000000-0005-0000-0000-0000F60F0000}"/>
    <cellStyle name="Normal 2 4 3 3 2 7 2" xfId="6757" xr:uid="{00000000-0005-0000-0000-0000F70F0000}"/>
    <cellStyle name="Normal 2 4 3 3 2 7 2 2" xfId="15207" xr:uid="{CFAAD645-88DE-4C36-9267-7138434CCC98}"/>
    <cellStyle name="Normal 2 4 3 3 2 7 3" xfId="10989" xr:uid="{7D67A306-46C0-4A54-8875-1760F508D2B3}"/>
    <cellStyle name="Normal 2 4 3 3 2 8" xfId="4691" xr:uid="{00000000-0005-0000-0000-0000F80F0000}"/>
    <cellStyle name="Normal 2 4 3 3 2 8 2" xfId="13141" xr:uid="{7887E370-EDDA-4BB5-A2B5-38BF6A21B000}"/>
    <cellStyle name="Normal 2 4 3 3 2 9" xfId="8923" xr:uid="{4F1DECF4-3624-46C0-8432-9374AD8CBAF8}"/>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1E1BF15A-04B2-4094-B30B-DAE528A8B3DE}"/>
    <cellStyle name="Normal 2 4 3 3 3 2 2 3" xfId="11484" xr:uid="{FD7F55D6-A917-4B10-9A83-BC735D3316F2}"/>
    <cellStyle name="Normal 2 4 3 3 3 2 3" xfId="5107" xr:uid="{00000000-0005-0000-0000-0000FD0F0000}"/>
    <cellStyle name="Normal 2 4 3 3 3 2 3 2" xfId="13557" xr:uid="{4C61456A-A2FB-49EE-82C2-0933B7B03543}"/>
    <cellStyle name="Normal 2 4 3 3 3 2 4" xfId="9339" xr:uid="{9A911F64-9ABA-4A4A-A657-A988A55E0CE3}"/>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88A86107-871D-4D3B-9BA9-E911C775ED56}"/>
    <cellStyle name="Normal 2 4 3 3 3 3 2 3" xfId="11897" xr:uid="{4563AEC9-5D1E-4B6B-AB9B-E9E723E1278A}"/>
    <cellStyle name="Normal 2 4 3 3 3 3 3" xfId="5520" xr:uid="{00000000-0005-0000-0000-000001100000}"/>
    <cellStyle name="Normal 2 4 3 3 3 3 3 2" xfId="13970" xr:uid="{A1C23379-E94C-45E3-8D02-135BF8E26935}"/>
    <cellStyle name="Normal 2 4 3 3 3 3 4" xfId="9752" xr:uid="{D576806E-8751-4E8C-9A7A-95543998DC5E}"/>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09E2B162-0A29-4303-A611-ADB5696D98D3}"/>
    <cellStyle name="Normal 2 4 3 3 3 4 2 3" xfId="12310" xr:uid="{F9D54579-BC22-48FB-BFE4-C060991CE662}"/>
    <cellStyle name="Normal 2 4 3 3 3 4 3" xfId="5933" xr:uid="{00000000-0005-0000-0000-000005100000}"/>
    <cellStyle name="Normal 2 4 3 3 3 4 3 2" xfId="14383" xr:uid="{DBBB1B34-C21D-47BC-8207-7E0D1E137224}"/>
    <cellStyle name="Normal 2 4 3 3 3 4 4" xfId="10165" xr:uid="{BA9CC70A-5B5B-433A-9F9F-BC07E2E02603}"/>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7E907DBD-E2D2-43C8-BB83-282F51171256}"/>
    <cellStyle name="Normal 2 4 3 3 3 5 2 3" xfId="12723" xr:uid="{F1CE088A-6603-4D30-AA54-B87F53CAD96F}"/>
    <cellStyle name="Normal 2 4 3 3 3 5 3" xfId="6346" xr:uid="{00000000-0005-0000-0000-000009100000}"/>
    <cellStyle name="Normal 2 4 3 3 3 5 3 2" xfId="14796" xr:uid="{C226C0B2-6301-44B1-A14B-9A55413274BE}"/>
    <cellStyle name="Normal 2 4 3 3 3 5 4" xfId="10578" xr:uid="{67A3ACBE-5BA9-40A7-9669-C981B4DB62E9}"/>
    <cellStyle name="Normal 2 4 3 3 3 6" xfId="2476" xr:uid="{00000000-0005-0000-0000-00000A100000}"/>
    <cellStyle name="Normal 2 4 3 3 3 6 2" xfId="6759" xr:uid="{00000000-0005-0000-0000-00000B100000}"/>
    <cellStyle name="Normal 2 4 3 3 3 6 2 2" xfId="15209" xr:uid="{AB947BEE-7E62-4B74-A3C7-C89DBBF07BFF}"/>
    <cellStyle name="Normal 2 4 3 3 3 6 3" xfId="10991" xr:uid="{258FF20A-7741-42ED-A7BC-F39770501CE6}"/>
    <cellStyle name="Normal 2 4 3 3 3 7" xfId="4693" xr:uid="{00000000-0005-0000-0000-00000C100000}"/>
    <cellStyle name="Normal 2 4 3 3 3 7 2" xfId="13143" xr:uid="{6FA2A277-DA98-4166-84C6-F476C436A681}"/>
    <cellStyle name="Normal 2 4 3 3 3 8" xfId="8925" xr:uid="{87254C56-2FFE-410F-8537-D371533ABF1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2B6D87B7-0ED1-4326-9120-5356F2598DDC}"/>
    <cellStyle name="Normal 2 4 3 3 4 2 3" xfId="11481" xr:uid="{C38EA5B3-649F-4578-AD59-A639FCA86AD2}"/>
    <cellStyle name="Normal 2 4 3 3 4 3" xfId="5104" xr:uid="{00000000-0005-0000-0000-000010100000}"/>
    <cellStyle name="Normal 2 4 3 3 4 3 2" xfId="13554" xr:uid="{736C5599-5222-407E-8215-A56D39F992DE}"/>
    <cellStyle name="Normal 2 4 3 3 4 4" xfId="9336" xr:uid="{774D780D-367E-4A05-AE69-B637C44801D7}"/>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823E5924-E52D-4257-B4B9-63CD1559058E}"/>
    <cellStyle name="Normal 2 4 3 3 5 2 3" xfId="11894" xr:uid="{E169D54B-3BC5-4D62-B5EA-9B192629DC82}"/>
    <cellStyle name="Normal 2 4 3 3 5 3" xfId="5517" xr:uid="{00000000-0005-0000-0000-000014100000}"/>
    <cellStyle name="Normal 2 4 3 3 5 3 2" xfId="13967" xr:uid="{3B6DA36B-BC35-49CD-A264-732CD842FC7A}"/>
    <cellStyle name="Normal 2 4 3 3 5 4" xfId="9749" xr:uid="{C951F3C7-A3ED-45C4-A063-0D338D6F26CE}"/>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4D48DE29-79EC-42E7-B817-D3A3CC2E732C}"/>
    <cellStyle name="Normal 2 4 3 3 6 2 3" xfId="12307" xr:uid="{5138B158-9AE8-4542-A70B-9A95D57B3F1E}"/>
    <cellStyle name="Normal 2 4 3 3 6 3" xfId="5930" xr:uid="{00000000-0005-0000-0000-000018100000}"/>
    <cellStyle name="Normal 2 4 3 3 6 3 2" xfId="14380" xr:uid="{C7256F10-E230-40FE-9C43-E38FB3AF3349}"/>
    <cellStyle name="Normal 2 4 3 3 6 4" xfId="10162" xr:uid="{9C6D071D-E840-4883-9C0C-910CD48B5186}"/>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C0704311-D214-4385-9539-C9F52EDD78F1}"/>
    <cellStyle name="Normal 2 4 3 3 7 2 3" xfId="12720" xr:uid="{51481F00-A9F6-4718-B7B2-6F4DF2E81D47}"/>
    <cellStyle name="Normal 2 4 3 3 7 3" xfId="6343" xr:uid="{00000000-0005-0000-0000-00001C100000}"/>
    <cellStyle name="Normal 2 4 3 3 7 3 2" xfId="14793" xr:uid="{50930988-58CC-46A4-B892-7D697B6ED430}"/>
    <cellStyle name="Normal 2 4 3 3 7 4" xfId="10575" xr:uid="{343CECDD-8695-442A-8D0D-2CA84B13D312}"/>
    <cellStyle name="Normal 2 4 3 3 8" xfId="2473" xr:uid="{00000000-0005-0000-0000-00001D100000}"/>
    <cellStyle name="Normal 2 4 3 3 8 2" xfId="6756" xr:uid="{00000000-0005-0000-0000-00001E100000}"/>
    <cellStyle name="Normal 2 4 3 3 8 2 2" xfId="15206" xr:uid="{38A421D4-0C07-4AEE-8976-B422C80D827A}"/>
    <cellStyle name="Normal 2 4 3 3 8 3" xfId="10988" xr:uid="{B7100D3C-D1A7-4CB9-9C72-1BC54E45B0A3}"/>
    <cellStyle name="Normal 2 4 3 3 9" xfId="4690" xr:uid="{00000000-0005-0000-0000-00001F100000}"/>
    <cellStyle name="Normal 2 4 3 3 9 2" xfId="13140" xr:uid="{8B60D770-EFA3-4424-BB0C-41721C4EF196}"/>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AA0C8CCC-03F5-4808-9713-9B523E5AC202}"/>
    <cellStyle name="Normal 2 4 3 4 2 3" xfId="11480" xr:uid="{455187A1-E62F-4204-8FAC-2052D18119A0}"/>
    <cellStyle name="Normal 2 4 3 4 3" xfId="5103" xr:uid="{00000000-0005-0000-0000-000023100000}"/>
    <cellStyle name="Normal 2 4 3 4 3 2" xfId="13553" xr:uid="{36BC71CA-FFEC-4595-8E31-327299E76D7F}"/>
    <cellStyle name="Normal 2 4 3 4 4" xfId="9335" xr:uid="{61D3DD2E-0D32-4D9C-9671-9903FEB48AA7}"/>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FAD5DA78-2222-41D0-8D17-47AD98B791B3}"/>
    <cellStyle name="Normal 2 4 3 5 2 3" xfId="11893" xr:uid="{7CDFF683-E9F7-4BDE-8D52-5C899C72F37A}"/>
    <cellStyle name="Normal 2 4 3 5 3" xfId="5516" xr:uid="{00000000-0005-0000-0000-000027100000}"/>
    <cellStyle name="Normal 2 4 3 5 3 2" xfId="13966" xr:uid="{B7DCF2A4-0490-4209-87D1-FC8EE4BE41B4}"/>
    <cellStyle name="Normal 2 4 3 5 4" xfId="9748" xr:uid="{F658CB3C-4966-4156-95FD-D4EEBD40F0B6}"/>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5F499871-0E69-458A-A2D6-93914BE231B0}"/>
    <cellStyle name="Normal 2 4 3 6 2 3" xfId="12306" xr:uid="{B8AE8C82-76C0-40E6-A6F8-A8FA70F2548D}"/>
    <cellStyle name="Normal 2 4 3 6 3" xfId="5929" xr:uid="{00000000-0005-0000-0000-00002B100000}"/>
    <cellStyle name="Normal 2 4 3 6 3 2" xfId="14379" xr:uid="{5AC214EC-0E77-4753-BE6B-326856D92AFE}"/>
    <cellStyle name="Normal 2 4 3 6 4" xfId="10161" xr:uid="{41CBB7CD-9926-4A31-A24C-AC7135B68B8E}"/>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930A2EE4-1F15-4227-9EA4-9C1761F91555}"/>
    <cellStyle name="Normal 2 4 3 7 2 3" xfId="12719" xr:uid="{DFB0B7DA-2EE6-4771-B9F5-A0B12646ED39}"/>
    <cellStyle name="Normal 2 4 3 7 3" xfId="6342" xr:uid="{00000000-0005-0000-0000-00002F100000}"/>
    <cellStyle name="Normal 2 4 3 7 3 2" xfId="14792" xr:uid="{45F36C66-93E5-4239-9B9B-E6816CD45C1A}"/>
    <cellStyle name="Normal 2 4 3 7 4" xfId="10574" xr:uid="{4BDFAB66-EA20-49E6-863D-23DA4BFCD4FF}"/>
    <cellStyle name="Normal 2 4 3 8" xfId="2472" xr:uid="{00000000-0005-0000-0000-000030100000}"/>
    <cellStyle name="Normal 2 4 3 8 2" xfId="6755" xr:uid="{00000000-0005-0000-0000-000031100000}"/>
    <cellStyle name="Normal 2 4 3 8 2 2" xfId="15205" xr:uid="{50FAB367-270F-42E2-9B63-8DFAEF529653}"/>
    <cellStyle name="Normal 2 4 3 8 3" xfId="10987" xr:uid="{D2DC6DBB-4377-4F95-AC97-A9449CD18E9C}"/>
    <cellStyle name="Normal 2 4 3 9" xfId="4689" xr:uid="{00000000-0005-0000-0000-000032100000}"/>
    <cellStyle name="Normal 2 4 3 9 2" xfId="13139" xr:uid="{3F6189C5-EBF2-4F16-A8E9-28ACABEB491E}"/>
    <cellStyle name="Normal 2 4 4" xfId="302" xr:uid="{00000000-0005-0000-0000-000033100000}"/>
    <cellStyle name="Normal 2 4 5" xfId="303" xr:uid="{00000000-0005-0000-0000-000034100000}"/>
    <cellStyle name="Normal 2 4 5 10" xfId="4694" xr:uid="{00000000-0005-0000-0000-000035100000}"/>
    <cellStyle name="Normal 2 4 5 10 2" xfId="13144" xr:uid="{AF2F7458-8D5A-4368-B6E9-AB392EC19881}"/>
    <cellStyle name="Normal 2 4 5 11" xfId="8926" xr:uid="{0E88A405-401E-4EF6-9A2A-C6EB44111A6D}"/>
    <cellStyle name="Normal 2 4 5 2" xfId="304" xr:uid="{00000000-0005-0000-0000-000036100000}"/>
    <cellStyle name="Normal 2 4 5 2 10" xfId="8927" xr:uid="{0B7C14C1-D10C-4970-AD29-0BE21A553AC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ADE8ECD6-238D-4C3C-B20C-A7B9DEF672BE}"/>
    <cellStyle name="Normal 2 4 5 2 2 2 2 2 3" xfId="11488" xr:uid="{0F1111C5-1FB2-44F6-A03B-87B26B9952CB}"/>
    <cellStyle name="Normal 2 4 5 2 2 2 2 3" xfId="5111" xr:uid="{00000000-0005-0000-0000-00003C100000}"/>
    <cellStyle name="Normal 2 4 5 2 2 2 2 3 2" xfId="13561" xr:uid="{9AF4AB2E-2BA3-4D25-B3F4-3A4A492CEAE1}"/>
    <cellStyle name="Normal 2 4 5 2 2 2 2 4" xfId="9343" xr:uid="{C06249EB-AA6A-479A-ABDD-D217E072C7B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49083FE0-1694-49C0-B9A4-5DEB7CCB0318}"/>
    <cellStyle name="Normal 2 4 5 2 2 2 3 2 3" xfId="11901" xr:uid="{F8A912C6-05C7-4E26-88D2-547F50C625A3}"/>
    <cellStyle name="Normal 2 4 5 2 2 2 3 3" xfId="5524" xr:uid="{00000000-0005-0000-0000-000040100000}"/>
    <cellStyle name="Normal 2 4 5 2 2 2 3 3 2" xfId="13974" xr:uid="{4CEAB6D9-9796-4CA9-A869-B0934556595D}"/>
    <cellStyle name="Normal 2 4 5 2 2 2 3 4" xfId="9756" xr:uid="{F20B6B00-8C62-432E-8552-6722B6B02811}"/>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E30813D2-FB96-4F9F-AFF6-6B3C5DCA1626}"/>
    <cellStyle name="Normal 2 4 5 2 2 2 4 2 3" xfId="12314" xr:uid="{C4FB106B-046A-4DE3-BDE0-804A48662F33}"/>
    <cellStyle name="Normal 2 4 5 2 2 2 4 3" xfId="5937" xr:uid="{00000000-0005-0000-0000-000044100000}"/>
    <cellStyle name="Normal 2 4 5 2 2 2 4 3 2" xfId="14387" xr:uid="{0E4C5305-A742-49BB-9708-A472ED17F876}"/>
    <cellStyle name="Normal 2 4 5 2 2 2 4 4" xfId="10169" xr:uid="{BF8ECAF5-B04C-4F31-BD1E-9D69A7D1A815}"/>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8FE0A8CC-870F-4446-A2BD-B54E5FC1345B}"/>
    <cellStyle name="Normal 2 4 5 2 2 2 5 2 3" xfId="12727" xr:uid="{BED87B5C-0C13-4882-B2CE-18980F467D61}"/>
    <cellStyle name="Normal 2 4 5 2 2 2 5 3" xfId="6350" xr:uid="{00000000-0005-0000-0000-000048100000}"/>
    <cellStyle name="Normal 2 4 5 2 2 2 5 3 2" xfId="14800" xr:uid="{87F179A8-161F-4BE1-8AB4-A06FEC975E5D}"/>
    <cellStyle name="Normal 2 4 5 2 2 2 5 4" xfId="10582" xr:uid="{F9A5B238-27F5-4A7D-9926-DEEE85B3DFC4}"/>
    <cellStyle name="Normal 2 4 5 2 2 2 6" xfId="2480" xr:uid="{00000000-0005-0000-0000-000049100000}"/>
    <cellStyle name="Normal 2 4 5 2 2 2 6 2" xfId="6763" xr:uid="{00000000-0005-0000-0000-00004A100000}"/>
    <cellStyle name="Normal 2 4 5 2 2 2 6 2 2" xfId="15213" xr:uid="{B2614A63-DA4E-4842-B822-B2B958C724AE}"/>
    <cellStyle name="Normal 2 4 5 2 2 2 6 3" xfId="10995" xr:uid="{3DA60E4B-2124-42A4-9693-851E9364C045}"/>
    <cellStyle name="Normal 2 4 5 2 2 2 7" xfId="4697" xr:uid="{00000000-0005-0000-0000-00004B100000}"/>
    <cellStyle name="Normal 2 4 5 2 2 2 7 2" xfId="13147" xr:uid="{0F091794-0144-406E-B285-035DF1DED7CB}"/>
    <cellStyle name="Normal 2 4 5 2 2 2 8" xfId="8929" xr:uid="{05FE64C8-CB29-48D2-8FD9-A161CE5122A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70BAEE98-A2D8-4A78-A98E-77D660117A96}"/>
    <cellStyle name="Normal 2 4 5 2 2 3 2 3" xfId="11487" xr:uid="{3A92E7C9-7093-46C5-A814-2535F9128DFF}"/>
    <cellStyle name="Normal 2 4 5 2 2 3 3" xfId="5110" xr:uid="{00000000-0005-0000-0000-00004F100000}"/>
    <cellStyle name="Normal 2 4 5 2 2 3 3 2" xfId="13560" xr:uid="{291577DC-C2B2-40E7-813F-E6EE10CC7472}"/>
    <cellStyle name="Normal 2 4 5 2 2 3 4" xfId="9342" xr:uid="{6192AA5B-CC08-4EB4-8C8E-4BC3A652F945}"/>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D3C58B4A-F4FD-49D0-A00E-DE6908C461AB}"/>
    <cellStyle name="Normal 2 4 5 2 2 4 2 3" xfId="11900" xr:uid="{F1584179-92D6-4DFC-BF76-DA3DDA0C56B0}"/>
    <cellStyle name="Normal 2 4 5 2 2 4 3" xfId="5523" xr:uid="{00000000-0005-0000-0000-000053100000}"/>
    <cellStyle name="Normal 2 4 5 2 2 4 3 2" xfId="13973" xr:uid="{73E7F760-6728-4743-8386-484D84D4D17D}"/>
    <cellStyle name="Normal 2 4 5 2 2 4 4" xfId="9755" xr:uid="{8E0242DE-51BE-43B8-993A-81F0E10B7E33}"/>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C336A55C-F7C0-4968-AD06-FC7FCB44357E}"/>
    <cellStyle name="Normal 2 4 5 2 2 5 2 3" xfId="12313" xr:uid="{CFBF3FCE-6CD6-4C89-BDE4-D34E361C8BC3}"/>
    <cellStyle name="Normal 2 4 5 2 2 5 3" xfId="5936" xr:uid="{00000000-0005-0000-0000-000057100000}"/>
    <cellStyle name="Normal 2 4 5 2 2 5 3 2" xfId="14386" xr:uid="{E66FCE37-200E-4648-92A3-BB6EAE5A5117}"/>
    <cellStyle name="Normal 2 4 5 2 2 5 4" xfId="10168" xr:uid="{F1F50998-A3F0-4094-A611-A9C30ED1B7C2}"/>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3736E989-5B66-4987-BEF5-2825A0C80237}"/>
    <cellStyle name="Normal 2 4 5 2 2 6 2 3" xfId="12726" xr:uid="{EF2F2882-94E7-4B2F-969A-899E75474479}"/>
    <cellStyle name="Normal 2 4 5 2 2 6 3" xfId="6349" xr:uid="{00000000-0005-0000-0000-00005B100000}"/>
    <cellStyle name="Normal 2 4 5 2 2 6 3 2" xfId="14799" xr:uid="{8B7A7316-7730-4B25-B606-6036148F030D}"/>
    <cellStyle name="Normal 2 4 5 2 2 6 4" xfId="10581" xr:uid="{550FC44B-5AB8-4556-B087-C66264514BB6}"/>
    <cellStyle name="Normal 2 4 5 2 2 7" xfId="2479" xr:uid="{00000000-0005-0000-0000-00005C100000}"/>
    <cellStyle name="Normal 2 4 5 2 2 7 2" xfId="6762" xr:uid="{00000000-0005-0000-0000-00005D100000}"/>
    <cellStyle name="Normal 2 4 5 2 2 7 2 2" xfId="15212" xr:uid="{4F760334-B3BE-4E9A-8015-A34C5FD91CE2}"/>
    <cellStyle name="Normal 2 4 5 2 2 7 3" xfId="10994" xr:uid="{61CD65F5-2EF9-44F3-85F0-DF216A579E92}"/>
    <cellStyle name="Normal 2 4 5 2 2 8" xfId="4696" xr:uid="{00000000-0005-0000-0000-00005E100000}"/>
    <cellStyle name="Normal 2 4 5 2 2 8 2" xfId="13146" xr:uid="{5028B565-060D-49DE-8EF2-CF7EBF560F9D}"/>
    <cellStyle name="Normal 2 4 5 2 2 9" xfId="8928" xr:uid="{A364158B-E144-4B93-B6AD-FE664320651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0C1CBC14-D886-40A5-97D0-3A116568B67E}"/>
    <cellStyle name="Normal 2 4 5 2 3 2 2 3" xfId="11489" xr:uid="{4F98B1E1-4AC8-4E95-BA06-E53CD578B4E3}"/>
    <cellStyle name="Normal 2 4 5 2 3 2 3" xfId="5112" xr:uid="{00000000-0005-0000-0000-000063100000}"/>
    <cellStyle name="Normal 2 4 5 2 3 2 3 2" xfId="13562" xr:uid="{760334FE-9056-4B8F-9424-45EF8445AE2C}"/>
    <cellStyle name="Normal 2 4 5 2 3 2 4" xfId="9344" xr:uid="{1545C38F-33FB-47A0-ADA2-EEE1FEAA367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D45D9CCD-4B85-4EBF-9FC9-FE1271EEF2F7}"/>
    <cellStyle name="Normal 2 4 5 2 3 3 2 3" xfId="11902" xr:uid="{B0090D9B-916C-44E9-A11A-86CC52F4F5E5}"/>
    <cellStyle name="Normal 2 4 5 2 3 3 3" xfId="5525" xr:uid="{00000000-0005-0000-0000-000067100000}"/>
    <cellStyle name="Normal 2 4 5 2 3 3 3 2" xfId="13975" xr:uid="{59174138-8FAA-4635-916F-BBB672166F65}"/>
    <cellStyle name="Normal 2 4 5 2 3 3 4" xfId="9757" xr:uid="{0DE40D39-D4AA-488B-86AF-C994EF62646B}"/>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04344203-1E91-495D-8036-432A0ED52BF0}"/>
    <cellStyle name="Normal 2 4 5 2 3 4 2 3" xfId="12315" xr:uid="{29D380E3-4AC7-4A08-A3DC-F1EED05BFD0F}"/>
    <cellStyle name="Normal 2 4 5 2 3 4 3" xfId="5938" xr:uid="{00000000-0005-0000-0000-00006B100000}"/>
    <cellStyle name="Normal 2 4 5 2 3 4 3 2" xfId="14388" xr:uid="{B4371A96-CAB5-4A43-81F4-1E7F70592F3F}"/>
    <cellStyle name="Normal 2 4 5 2 3 4 4" xfId="10170" xr:uid="{C1DFB044-7E71-466E-BEC3-83C011140378}"/>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F99D66B0-59C2-4674-BB49-B86101A83531}"/>
    <cellStyle name="Normal 2 4 5 2 3 5 2 3" xfId="12728" xr:uid="{6819AED4-7028-4218-BED7-17A6758C5519}"/>
    <cellStyle name="Normal 2 4 5 2 3 5 3" xfId="6351" xr:uid="{00000000-0005-0000-0000-00006F100000}"/>
    <cellStyle name="Normal 2 4 5 2 3 5 3 2" xfId="14801" xr:uid="{87A8E88C-BC20-4BC9-868E-B5EB88FAE32B}"/>
    <cellStyle name="Normal 2 4 5 2 3 5 4" xfId="10583" xr:uid="{B36AC097-1B87-46B5-A0B9-CCCA4AA8543C}"/>
    <cellStyle name="Normal 2 4 5 2 3 6" xfId="2481" xr:uid="{00000000-0005-0000-0000-000070100000}"/>
    <cellStyle name="Normal 2 4 5 2 3 6 2" xfId="6764" xr:uid="{00000000-0005-0000-0000-000071100000}"/>
    <cellStyle name="Normal 2 4 5 2 3 6 2 2" xfId="15214" xr:uid="{747FFDFC-D8D2-4F11-AC21-33AFF3711E2C}"/>
    <cellStyle name="Normal 2 4 5 2 3 6 3" xfId="10996" xr:uid="{DDB1403F-DB2B-421B-A6B0-937EBFA5A31A}"/>
    <cellStyle name="Normal 2 4 5 2 3 7" xfId="4698" xr:uid="{00000000-0005-0000-0000-000072100000}"/>
    <cellStyle name="Normal 2 4 5 2 3 7 2" xfId="13148" xr:uid="{9901F41E-55BB-4388-BBA5-0856A736E1A7}"/>
    <cellStyle name="Normal 2 4 5 2 3 8" xfId="8930" xr:uid="{10DC1F21-3789-4365-863D-4D495ED3E41F}"/>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FF7A67C8-3DCB-40CF-9A5D-2799192BDA29}"/>
    <cellStyle name="Normal 2 4 5 2 4 2 3" xfId="11486" xr:uid="{C5FBD33D-9519-4F36-B777-753A4D2B4C76}"/>
    <cellStyle name="Normal 2 4 5 2 4 3" xfId="5109" xr:uid="{00000000-0005-0000-0000-000076100000}"/>
    <cellStyle name="Normal 2 4 5 2 4 3 2" xfId="13559" xr:uid="{4E30C709-3004-494B-B7D1-4D615537234E}"/>
    <cellStyle name="Normal 2 4 5 2 4 4" xfId="9341" xr:uid="{A569AF00-7F44-40E9-ADDE-6CF6235006C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4BA1038B-503E-41A1-AEB0-E238A136E521}"/>
    <cellStyle name="Normal 2 4 5 2 5 2 3" xfId="11899" xr:uid="{7D6450F8-A225-4509-AC9B-730A2349A8FF}"/>
    <cellStyle name="Normal 2 4 5 2 5 3" xfId="5522" xr:uid="{00000000-0005-0000-0000-00007A100000}"/>
    <cellStyle name="Normal 2 4 5 2 5 3 2" xfId="13972" xr:uid="{D33DDB14-9CAF-4CB5-867D-DADC974951F4}"/>
    <cellStyle name="Normal 2 4 5 2 5 4" xfId="9754" xr:uid="{AF287273-A094-40FA-BC47-69B6FDC496D9}"/>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689C389C-44DB-403D-8E8A-1E1AE287AD23}"/>
    <cellStyle name="Normal 2 4 5 2 6 2 3" xfId="12312" xr:uid="{EBF19DD1-EE75-466E-AB2B-15C343E618EE}"/>
    <cellStyle name="Normal 2 4 5 2 6 3" xfId="5935" xr:uid="{00000000-0005-0000-0000-00007E100000}"/>
    <cellStyle name="Normal 2 4 5 2 6 3 2" xfId="14385" xr:uid="{1E78F03F-E595-4DF8-A981-139B87455F1B}"/>
    <cellStyle name="Normal 2 4 5 2 6 4" xfId="10167" xr:uid="{ECECBB06-45DC-4D2B-A6D1-C6E0541C1F0B}"/>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29E318F9-5DFD-437E-AACF-AD3CDFCB8CD5}"/>
    <cellStyle name="Normal 2 4 5 2 7 2 3" xfId="12725" xr:uid="{153BC694-5EC6-4891-8FF1-1EEA740B0DBD}"/>
    <cellStyle name="Normal 2 4 5 2 7 3" xfId="6348" xr:uid="{00000000-0005-0000-0000-000082100000}"/>
    <cellStyle name="Normal 2 4 5 2 7 3 2" xfId="14798" xr:uid="{12EF3F09-3E1B-4B6F-A2B0-7C7B6D221F5F}"/>
    <cellStyle name="Normal 2 4 5 2 7 4" xfId="10580" xr:uid="{2478F674-FD7A-4A2D-9270-1B422C8F7ED7}"/>
    <cellStyle name="Normal 2 4 5 2 8" xfId="2478" xr:uid="{00000000-0005-0000-0000-000083100000}"/>
    <cellStyle name="Normal 2 4 5 2 8 2" xfId="6761" xr:uid="{00000000-0005-0000-0000-000084100000}"/>
    <cellStyle name="Normal 2 4 5 2 8 2 2" xfId="15211" xr:uid="{7FA9A4AE-CE38-420C-AC51-C08EAE39C54C}"/>
    <cellStyle name="Normal 2 4 5 2 8 3" xfId="10993" xr:uid="{C6C9EDE4-AFD3-495A-8FBE-E5841EC06A28}"/>
    <cellStyle name="Normal 2 4 5 2 9" xfId="4695" xr:uid="{00000000-0005-0000-0000-000085100000}"/>
    <cellStyle name="Normal 2 4 5 2 9 2" xfId="13145" xr:uid="{11B6DBA4-B74D-4451-9D80-D6BB67C0FF2F}"/>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74CEDC9B-1531-494B-AC91-50AA1A572EDE}"/>
    <cellStyle name="Normal 2 4 5 3 2 2 2 3" xfId="11491" xr:uid="{9929E562-0C8D-49CA-89CA-3633086141EF}"/>
    <cellStyle name="Normal 2 4 5 3 2 2 3" xfId="5114" xr:uid="{00000000-0005-0000-0000-00008B100000}"/>
    <cellStyle name="Normal 2 4 5 3 2 2 3 2" xfId="13564" xr:uid="{D08FDA89-39C7-421C-BD9A-1DBF1B5F2C57}"/>
    <cellStyle name="Normal 2 4 5 3 2 2 4" xfId="9346" xr:uid="{ADCFDFC9-99CE-4336-8930-BE9C3BBE2AA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5AECEA76-5D5D-4830-93C8-DBA04EE992A7}"/>
    <cellStyle name="Normal 2 4 5 3 2 3 2 3" xfId="11904" xr:uid="{48AE200A-18F3-41BD-969D-DE720AD4D3CC}"/>
    <cellStyle name="Normal 2 4 5 3 2 3 3" xfId="5527" xr:uid="{00000000-0005-0000-0000-00008F100000}"/>
    <cellStyle name="Normal 2 4 5 3 2 3 3 2" xfId="13977" xr:uid="{3CF26EFE-1CC1-4632-A7D2-000D6C47D520}"/>
    <cellStyle name="Normal 2 4 5 3 2 3 4" xfId="9759" xr:uid="{D0D252BC-D2A3-4BC2-8E34-E9B56E4E6CC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3542548E-27F3-4E76-8A10-3E8E3AB5DF0D}"/>
    <cellStyle name="Normal 2 4 5 3 2 4 2 3" xfId="12317" xr:uid="{45796B7A-B90A-4B80-9689-5E4838C8D682}"/>
    <cellStyle name="Normal 2 4 5 3 2 4 3" xfId="5940" xr:uid="{00000000-0005-0000-0000-000093100000}"/>
    <cellStyle name="Normal 2 4 5 3 2 4 3 2" xfId="14390" xr:uid="{EB54F110-8EFB-4C69-A4DA-36DA8AEEF0D6}"/>
    <cellStyle name="Normal 2 4 5 3 2 4 4" xfId="10172" xr:uid="{604C4EDF-15DD-48F3-A081-58E21639D1AC}"/>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AE037EB1-10E8-453F-89E2-13D53FC84A12}"/>
    <cellStyle name="Normal 2 4 5 3 2 5 2 3" xfId="12730" xr:uid="{EC4A1D5C-D9C5-4DA2-9424-96CC14D842BB}"/>
    <cellStyle name="Normal 2 4 5 3 2 5 3" xfId="6353" xr:uid="{00000000-0005-0000-0000-000097100000}"/>
    <cellStyle name="Normal 2 4 5 3 2 5 3 2" xfId="14803" xr:uid="{8A70C9A3-7C8C-40B5-BB76-D62717ED58E6}"/>
    <cellStyle name="Normal 2 4 5 3 2 5 4" xfId="10585" xr:uid="{7BD373B2-C41F-4ED3-B596-3AD8235A2A1C}"/>
    <cellStyle name="Normal 2 4 5 3 2 6" xfId="2483" xr:uid="{00000000-0005-0000-0000-000098100000}"/>
    <cellStyle name="Normal 2 4 5 3 2 6 2" xfId="6766" xr:uid="{00000000-0005-0000-0000-000099100000}"/>
    <cellStyle name="Normal 2 4 5 3 2 6 2 2" xfId="15216" xr:uid="{9AE59F80-D47C-4759-8029-1F6F0484792B}"/>
    <cellStyle name="Normal 2 4 5 3 2 6 3" xfId="10998" xr:uid="{8FB1AC06-231D-46C6-8E42-1CC0A8BAD2B8}"/>
    <cellStyle name="Normal 2 4 5 3 2 7" xfId="4700" xr:uid="{00000000-0005-0000-0000-00009A100000}"/>
    <cellStyle name="Normal 2 4 5 3 2 7 2" xfId="13150" xr:uid="{47F5F174-EA4D-4F44-AA77-8C46FA589E2A}"/>
    <cellStyle name="Normal 2 4 5 3 2 8" xfId="8932" xr:uid="{89356314-CFAE-42FF-A6B4-08AF39674C69}"/>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1CE0DDE6-5EA3-45B8-A6EB-968A951B2146}"/>
    <cellStyle name="Normal 2 4 5 3 3 2 3" xfId="11490" xr:uid="{63E17F5A-28AA-4EE5-AD40-185DA14FE775}"/>
    <cellStyle name="Normal 2 4 5 3 3 3" xfId="5113" xr:uid="{00000000-0005-0000-0000-00009E100000}"/>
    <cellStyle name="Normal 2 4 5 3 3 3 2" xfId="13563" xr:uid="{89A69F00-395B-44D3-8097-47F07E50BE0A}"/>
    <cellStyle name="Normal 2 4 5 3 3 4" xfId="9345" xr:uid="{84DE0B6F-2B4E-4E61-993F-B897B9A080D3}"/>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243A8477-9C97-4179-AAFE-B0E18F0537B5}"/>
    <cellStyle name="Normal 2 4 5 3 4 2 3" xfId="11903" xr:uid="{B1C7C1F0-F5F4-4A51-8D8B-F53B3302FD8B}"/>
    <cellStyle name="Normal 2 4 5 3 4 3" xfId="5526" xr:uid="{00000000-0005-0000-0000-0000A2100000}"/>
    <cellStyle name="Normal 2 4 5 3 4 3 2" xfId="13976" xr:uid="{EC57791E-8E33-497F-8AA3-5D0A5D0E1B41}"/>
    <cellStyle name="Normal 2 4 5 3 4 4" xfId="9758" xr:uid="{8F8653F4-CA20-4024-A8A1-D3553970D683}"/>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3CB5F66A-1DCB-4E15-B8DB-74E198808E39}"/>
    <cellStyle name="Normal 2 4 5 3 5 2 3" xfId="12316" xr:uid="{66B645F5-4F81-4595-8A98-9BD42EFF5124}"/>
    <cellStyle name="Normal 2 4 5 3 5 3" xfId="5939" xr:uid="{00000000-0005-0000-0000-0000A6100000}"/>
    <cellStyle name="Normal 2 4 5 3 5 3 2" xfId="14389" xr:uid="{3F37927C-762B-4040-92B5-D22F3D5D91FD}"/>
    <cellStyle name="Normal 2 4 5 3 5 4" xfId="10171" xr:uid="{E96AE4F4-50A0-4785-80C6-785B9439691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BA8FC33C-1A2A-4F87-B6D1-B09E453B48DA}"/>
    <cellStyle name="Normal 2 4 5 3 6 2 3" xfId="12729" xr:uid="{A5C946D3-1A84-43F7-B98A-E90CD2BE5AB3}"/>
    <cellStyle name="Normal 2 4 5 3 6 3" xfId="6352" xr:uid="{00000000-0005-0000-0000-0000AA100000}"/>
    <cellStyle name="Normal 2 4 5 3 6 3 2" xfId="14802" xr:uid="{C4A65656-8F03-42C1-846C-16FA3BFE3345}"/>
    <cellStyle name="Normal 2 4 5 3 6 4" xfId="10584" xr:uid="{B3614E05-ED93-4D37-BD7C-9E542D5B1A13}"/>
    <cellStyle name="Normal 2 4 5 3 7" xfId="2482" xr:uid="{00000000-0005-0000-0000-0000AB100000}"/>
    <cellStyle name="Normal 2 4 5 3 7 2" xfId="6765" xr:uid="{00000000-0005-0000-0000-0000AC100000}"/>
    <cellStyle name="Normal 2 4 5 3 7 2 2" xfId="15215" xr:uid="{307498C0-CEC9-41D7-9FA1-2F48CB679D7D}"/>
    <cellStyle name="Normal 2 4 5 3 7 3" xfId="10997" xr:uid="{FCFA8FBB-871F-4AF2-8F7E-FED5D9F4DD84}"/>
    <cellStyle name="Normal 2 4 5 3 8" xfId="4699" xr:uid="{00000000-0005-0000-0000-0000AD100000}"/>
    <cellStyle name="Normal 2 4 5 3 8 2" xfId="13149" xr:uid="{B621C356-C1DE-4DE6-B7D0-31EA7FC52531}"/>
    <cellStyle name="Normal 2 4 5 3 9" xfId="8931" xr:uid="{5C8D0F30-ECD8-4021-A12F-AF3AA7726D51}"/>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D95ED42E-FBA7-44C4-BB0C-DDE3CC9311F9}"/>
    <cellStyle name="Normal 2 4 5 4 2 2 3" xfId="11492" xr:uid="{3BEFC36B-0B13-4D59-8A39-7B881E2E7508}"/>
    <cellStyle name="Normal 2 4 5 4 2 3" xfId="5115" xr:uid="{00000000-0005-0000-0000-0000B2100000}"/>
    <cellStyle name="Normal 2 4 5 4 2 3 2" xfId="13565" xr:uid="{F4079961-E840-48FB-89B0-0A5899D0598D}"/>
    <cellStyle name="Normal 2 4 5 4 2 4" xfId="9347" xr:uid="{F95F3CA1-862E-44BD-8CD2-209DB0D4A7FD}"/>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1BE5B374-2BE8-4476-BC8C-2595A5668C56}"/>
    <cellStyle name="Normal 2 4 5 4 3 2 3" xfId="11905" xr:uid="{9EEA3E85-3E16-40F4-BE5E-3C38B6C1D2F4}"/>
    <cellStyle name="Normal 2 4 5 4 3 3" xfId="5528" xr:uid="{00000000-0005-0000-0000-0000B6100000}"/>
    <cellStyle name="Normal 2 4 5 4 3 3 2" xfId="13978" xr:uid="{BD6D042A-0215-461D-9571-10F8085BDE8E}"/>
    <cellStyle name="Normal 2 4 5 4 3 4" xfId="9760" xr:uid="{0706608A-DFE1-45D3-84E3-1F2F0DB1F7D7}"/>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D793D17F-99F5-412E-ACF7-716645181A4C}"/>
    <cellStyle name="Normal 2 4 5 4 4 2 3" xfId="12318" xr:uid="{50E5EF0D-79EF-476F-BE56-45905B837A3B}"/>
    <cellStyle name="Normal 2 4 5 4 4 3" xfId="5941" xr:uid="{00000000-0005-0000-0000-0000BA100000}"/>
    <cellStyle name="Normal 2 4 5 4 4 3 2" xfId="14391" xr:uid="{BE1D2FFE-6516-4146-9703-24FF1C965FD1}"/>
    <cellStyle name="Normal 2 4 5 4 4 4" xfId="10173" xr:uid="{442F44F8-1353-4693-BAA8-4C28B206085C}"/>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983C0A4F-93C9-4FFE-B0BB-E00A94C20EAB}"/>
    <cellStyle name="Normal 2 4 5 4 5 2 3" xfId="12731" xr:uid="{0E55A59D-E80F-49C3-966A-60D48B203715}"/>
    <cellStyle name="Normal 2 4 5 4 5 3" xfId="6354" xr:uid="{00000000-0005-0000-0000-0000BE100000}"/>
    <cellStyle name="Normal 2 4 5 4 5 3 2" xfId="14804" xr:uid="{6BB232FD-5415-465B-B853-5592587A26BE}"/>
    <cellStyle name="Normal 2 4 5 4 5 4" xfId="10586" xr:uid="{3D246945-8BAA-4DB8-930B-42E3CA2CFF22}"/>
    <cellStyle name="Normal 2 4 5 4 6" xfId="2484" xr:uid="{00000000-0005-0000-0000-0000BF100000}"/>
    <cellStyle name="Normal 2 4 5 4 6 2" xfId="6767" xr:uid="{00000000-0005-0000-0000-0000C0100000}"/>
    <cellStyle name="Normal 2 4 5 4 6 2 2" xfId="15217" xr:uid="{5A18A869-38F1-4101-9632-C2760BA01F35}"/>
    <cellStyle name="Normal 2 4 5 4 6 3" xfId="10999" xr:uid="{540331C8-4443-4272-A472-E9B7F0146317}"/>
    <cellStyle name="Normal 2 4 5 4 7" xfId="4701" xr:uid="{00000000-0005-0000-0000-0000C1100000}"/>
    <cellStyle name="Normal 2 4 5 4 7 2" xfId="13151" xr:uid="{B47067D9-406F-4E84-BB94-EE6333CB43D1}"/>
    <cellStyle name="Normal 2 4 5 4 8" xfId="8933" xr:uid="{3059C78B-2BAE-4D34-8355-610307F22E1A}"/>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71DC9ACA-E8B0-4F74-80B2-620E60558314}"/>
    <cellStyle name="Normal 2 4 5 5 2 3" xfId="11485" xr:uid="{9CF94E83-736F-4738-B0D2-2AE33BB60133}"/>
    <cellStyle name="Normal 2 4 5 5 3" xfId="5108" xr:uid="{00000000-0005-0000-0000-0000C5100000}"/>
    <cellStyle name="Normal 2 4 5 5 3 2" xfId="13558" xr:uid="{327C06BA-0BE9-4C3C-8252-FFFF815A11E8}"/>
    <cellStyle name="Normal 2 4 5 5 4" xfId="9340" xr:uid="{0700BF5D-D746-41F2-A723-74DCD6B78A08}"/>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BE57DBD3-AED5-48F2-AEFD-A81B3BDC4EE7}"/>
    <cellStyle name="Normal 2 4 5 6 2 3" xfId="11898" xr:uid="{15BC6FA1-7D82-4305-9AB4-A248864B209C}"/>
    <cellStyle name="Normal 2 4 5 6 3" xfId="5521" xr:uid="{00000000-0005-0000-0000-0000C9100000}"/>
    <cellStyle name="Normal 2 4 5 6 3 2" xfId="13971" xr:uid="{E17F77C5-2022-42AD-94A6-481E6C39103A}"/>
    <cellStyle name="Normal 2 4 5 6 4" xfId="9753" xr:uid="{F845D3B1-E939-41ED-BFBB-11DB2859D502}"/>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9DCFEA65-EA32-48E6-B4C2-8C97C7E6BF8E}"/>
    <cellStyle name="Normal 2 4 5 7 2 3" xfId="12311" xr:uid="{1316F49F-314F-4CB1-8D49-0D2198FFDA7E}"/>
    <cellStyle name="Normal 2 4 5 7 3" xfId="5934" xr:uid="{00000000-0005-0000-0000-0000CD100000}"/>
    <cellStyle name="Normal 2 4 5 7 3 2" xfId="14384" xr:uid="{C63DC454-0AC1-4389-9D9F-2417E19C10C5}"/>
    <cellStyle name="Normal 2 4 5 7 4" xfId="10166" xr:uid="{21459D64-0470-4945-B29B-9271D286C162}"/>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38E3C0EE-8952-4CEE-B80B-E345653A9154}"/>
    <cellStyle name="Normal 2 4 5 8 2 3" xfId="12724" xr:uid="{A63ADFEF-FA51-492E-A60C-D821B75B8720}"/>
    <cellStyle name="Normal 2 4 5 8 3" xfId="6347" xr:uid="{00000000-0005-0000-0000-0000D1100000}"/>
    <cellStyle name="Normal 2 4 5 8 3 2" xfId="14797" xr:uid="{58F09323-7EFC-4F82-8E65-323D1044B395}"/>
    <cellStyle name="Normal 2 4 5 8 4" xfId="10579" xr:uid="{647BC61A-55C8-4B17-9D52-6BF4F892EB9E}"/>
    <cellStyle name="Normal 2 4 5 9" xfId="2477" xr:uid="{00000000-0005-0000-0000-0000D2100000}"/>
    <cellStyle name="Normal 2 4 5 9 2" xfId="6760" xr:uid="{00000000-0005-0000-0000-0000D3100000}"/>
    <cellStyle name="Normal 2 4 5 9 2 2" xfId="15210" xr:uid="{992C4138-E7E4-4622-AA21-038CF82F749F}"/>
    <cellStyle name="Normal 2 4 5 9 3" xfId="10992" xr:uid="{CE88D78B-BFE9-44D8-9814-5A637BEE19F2}"/>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031F36C8-1484-41DF-B81D-26014DC0E604}"/>
    <cellStyle name="Normal 2 4 7 2 2 2 3" xfId="11494" xr:uid="{D49CD422-9219-421E-AF37-CF4C7D6F98B3}"/>
    <cellStyle name="Normal 2 4 7 2 2 3" xfId="5117" xr:uid="{00000000-0005-0000-0000-0000DA100000}"/>
    <cellStyle name="Normal 2 4 7 2 2 3 2" xfId="13567" xr:uid="{68EA7E46-BD95-40F6-A4FF-4202E9433F62}"/>
    <cellStyle name="Normal 2 4 7 2 2 4" xfId="9349" xr:uid="{9ADE2207-CAB3-4BBD-ADBE-59BFF02FDE87}"/>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79DCDBE9-694E-4083-811D-29255D171F1E}"/>
    <cellStyle name="Normal 2 4 7 2 3 2 3" xfId="11907" xr:uid="{847A0787-A25A-49A7-96BB-4E1C7DD331B8}"/>
    <cellStyle name="Normal 2 4 7 2 3 3" xfId="5530" xr:uid="{00000000-0005-0000-0000-0000DE100000}"/>
    <cellStyle name="Normal 2 4 7 2 3 3 2" xfId="13980" xr:uid="{2A748292-5735-4B86-8D80-B4BD04DC4D7C}"/>
    <cellStyle name="Normal 2 4 7 2 3 4" xfId="9762" xr:uid="{1AEE0FDD-6C07-4798-A57C-945F3D5B8B9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D12E19C2-62C5-4F7A-B97C-7EB35EAD456C}"/>
    <cellStyle name="Normal 2 4 7 2 4 2 3" xfId="12320" xr:uid="{A52B1EF7-0C85-4BCC-94C9-45E1A22FDA2D}"/>
    <cellStyle name="Normal 2 4 7 2 4 3" xfId="5943" xr:uid="{00000000-0005-0000-0000-0000E2100000}"/>
    <cellStyle name="Normal 2 4 7 2 4 3 2" xfId="14393" xr:uid="{40C0B34D-2BAB-4FB8-860D-D7F79792F879}"/>
    <cellStyle name="Normal 2 4 7 2 4 4" xfId="10175" xr:uid="{CDBDB2F0-E710-4E50-BE66-2500F767CC58}"/>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115FABF2-BD96-4CBB-B363-90DAB2E72A18}"/>
    <cellStyle name="Normal 2 4 7 2 5 2 3" xfId="12733" xr:uid="{B1B777C6-4B7E-473F-AC56-D8AEFC54F126}"/>
    <cellStyle name="Normal 2 4 7 2 5 3" xfId="6356" xr:uid="{00000000-0005-0000-0000-0000E6100000}"/>
    <cellStyle name="Normal 2 4 7 2 5 3 2" xfId="14806" xr:uid="{8C68DACA-1561-46FF-B237-16C6667F98A1}"/>
    <cellStyle name="Normal 2 4 7 2 5 4" xfId="10588" xr:uid="{E04BBB47-5A95-456E-A57C-8A62CA028FFA}"/>
    <cellStyle name="Normal 2 4 7 2 6" xfId="2486" xr:uid="{00000000-0005-0000-0000-0000E7100000}"/>
    <cellStyle name="Normal 2 4 7 2 6 2" xfId="6769" xr:uid="{00000000-0005-0000-0000-0000E8100000}"/>
    <cellStyle name="Normal 2 4 7 2 6 2 2" xfId="15219" xr:uid="{03FAEEA1-17E9-490D-B286-B8DAC0572BAC}"/>
    <cellStyle name="Normal 2 4 7 2 6 3" xfId="11001" xr:uid="{BE8B7C1C-9251-48F2-B94B-59BB7525931A}"/>
    <cellStyle name="Normal 2 4 7 2 7" xfId="4703" xr:uid="{00000000-0005-0000-0000-0000E9100000}"/>
    <cellStyle name="Normal 2 4 7 2 7 2" xfId="13153" xr:uid="{9608109A-9AE8-4E4C-8599-AEDD66E14368}"/>
    <cellStyle name="Normal 2 4 7 2 8" xfId="8935" xr:uid="{04FBE8F6-BB30-4497-BC54-75AEA8A22532}"/>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23C0173E-1EBE-4FD4-B64F-913AE07A4945}"/>
    <cellStyle name="Normal 2 4 7 3 2 3" xfId="11493" xr:uid="{92AC3757-3DB6-4BBA-80EF-6DA1D185A2ED}"/>
    <cellStyle name="Normal 2 4 7 3 3" xfId="5116" xr:uid="{00000000-0005-0000-0000-0000ED100000}"/>
    <cellStyle name="Normal 2 4 7 3 3 2" xfId="13566" xr:uid="{463BEE2A-D36F-4C92-BAA7-79268B2782CB}"/>
    <cellStyle name="Normal 2 4 7 3 4" xfId="9348" xr:uid="{3F8C416C-A9B3-4DF9-93D6-196CFB2BA2BA}"/>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94E3CD0F-A4A5-4FF5-9A99-DE966851AF28}"/>
    <cellStyle name="Normal 2 4 7 4 2 3" xfId="11906" xr:uid="{7C49D79D-C720-4AB5-BF6D-9F9AA9332473}"/>
    <cellStyle name="Normal 2 4 7 4 3" xfId="5529" xr:uid="{00000000-0005-0000-0000-0000F1100000}"/>
    <cellStyle name="Normal 2 4 7 4 3 2" xfId="13979" xr:uid="{3445419B-AF12-4D7C-8013-0A949F29DD3F}"/>
    <cellStyle name="Normal 2 4 7 4 4" xfId="9761" xr:uid="{0BFC2E9D-1064-458F-A20E-72994F960EAA}"/>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E5F9C2CE-4AF6-4C10-9CCD-D8B31F924D42}"/>
    <cellStyle name="Normal 2 4 7 5 2 3" xfId="12319" xr:uid="{5A16D3AD-C427-4FF4-BB65-10D208120792}"/>
    <cellStyle name="Normal 2 4 7 5 3" xfId="5942" xr:uid="{00000000-0005-0000-0000-0000F5100000}"/>
    <cellStyle name="Normal 2 4 7 5 3 2" xfId="14392" xr:uid="{8AB2AC34-5446-4CDE-B138-97BFA666EC24}"/>
    <cellStyle name="Normal 2 4 7 5 4" xfId="10174" xr:uid="{5E65616F-57D5-4DE8-861D-503B03B442D9}"/>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B6538292-6FA6-4CCC-BB55-C2205E3F99B8}"/>
    <cellStyle name="Normal 2 4 7 6 2 3" xfId="12732" xr:uid="{76320506-DC77-49B0-8E3E-0FBE900CE38D}"/>
    <cellStyle name="Normal 2 4 7 6 3" xfId="6355" xr:uid="{00000000-0005-0000-0000-0000F9100000}"/>
    <cellStyle name="Normal 2 4 7 6 3 2" xfId="14805" xr:uid="{A5ADF0B0-64FB-40AB-A9BD-8DF1F7AC2233}"/>
    <cellStyle name="Normal 2 4 7 6 4" xfId="10587" xr:uid="{5AD5144A-FB9A-42DD-BCBB-4ACD9AD89963}"/>
    <cellStyle name="Normal 2 4 7 7" xfId="2485" xr:uid="{00000000-0005-0000-0000-0000FA100000}"/>
    <cellStyle name="Normal 2 4 7 7 2" xfId="6768" xr:uid="{00000000-0005-0000-0000-0000FB100000}"/>
    <cellStyle name="Normal 2 4 7 7 2 2" xfId="15218" xr:uid="{0B20AAB1-F04F-48DC-8507-7A7AB2D7F479}"/>
    <cellStyle name="Normal 2 4 7 7 3" xfId="11000" xr:uid="{24820563-5A59-4789-A71D-26BBA19AF601}"/>
    <cellStyle name="Normal 2 4 7 8" xfId="4702" xr:uid="{00000000-0005-0000-0000-0000FC100000}"/>
    <cellStyle name="Normal 2 4 7 8 2" xfId="13152" xr:uid="{0C432CC7-C4BF-45BB-AD11-5B052C8C0ABF}"/>
    <cellStyle name="Normal 2 4 7 9" xfId="8934" xr:uid="{9D352B24-9657-48D8-B7FE-CAB0922FF891}"/>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F59F5C3E-3C90-4839-9B35-68C377472BC3}"/>
    <cellStyle name="Normal 2 4 8 2 2 3" xfId="11495" xr:uid="{9AB176DD-01F7-40AF-BC80-934F088FD994}"/>
    <cellStyle name="Normal 2 4 8 2 3" xfId="5118" xr:uid="{00000000-0005-0000-0000-000001110000}"/>
    <cellStyle name="Normal 2 4 8 2 3 2" xfId="13568" xr:uid="{C2773AD3-DC5F-4E99-BA43-E7B4F1B24A02}"/>
    <cellStyle name="Normal 2 4 8 2 4" xfId="9350" xr:uid="{94F1C8FE-F35C-410F-8EB8-C6518E49F656}"/>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83B36644-FA96-47D3-B594-196B9A86EAFD}"/>
    <cellStyle name="Normal 2 4 8 3 2 3" xfId="11908" xr:uid="{5EDD3819-9DCF-431B-B6A5-E86972F122A4}"/>
    <cellStyle name="Normal 2 4 8 3 3" xfId="5531" xr:uid="{00000000-0005-0000-0000-000005110000}"/>
    <cellStyle name="Normal 2 4 8 3 3 2" xfId="13981" xr:uid="{BFF0C56C-6F58-4D51-B04B-89E526F14395}"/>
    <cellStyle name="Normal 2 4 8 3 4" xfId="9763" xr:uid="{E6EE4A6A-31C8-438C-B818-850464C58C6E}"/>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67C002CF-30F1-4E81-858B-49FCDFAAC9BC}"/>
    <cellStyle name="Normal 2 4 8 4 2 3" xfId="12321" xr:uid="{029F1231-D085-4429-9753-43409593DA7D}"/>
    <cellStyle name="Normal 2 4 8 4 3" xfId="5944" xr:uid="{00000000-0005-0000-0000-000009110000}"/>
    <cellStyle name="Normal 2 4 8 4 3 2" xfId="14394" xr:uid="{F7A5306C-C8C3-4955-8B0D-133D1C39A5B3}"/>
    <cellStyle name="Normal 2 4 8 4 4" xfId="10176" xr:uid="{B5F57EC5-5033-4372-9D0D-47E8153F4C4B}"/>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9FD8EF92-69DD-423E-AF8B-BEB058567CE9}"/>
    <cellStyle name="Normal 2 4 8 5 2 3" xfId="12734" xr:uid="{0A0FCB41-D15D-490B-825E-2771438D4719}"/>
    <cellStyle name="Normal 2 4 8 5 3" xfId="6357" xr:uid="{00000000-0005-0000-0000-00000D110000}"/>
    <cellStyle name="Normal 2 4 8 5 3 2" xfId="14807" xr:uid="{757FC1FF-F8E1-4707-8F4D-D10A12B06CF1}"/>
    <cellStyle name="Normal 2 4 8 5 4" xfId="10589" xr:uid="{3AD6EA84-B492-4E76-8C50-9C789C5CEF40}"/>
    <cellStyle name="Normal 2 4 8 6" xfId="2487" xr:uid="{00000000-0005-0000-0000-00000E110000}"/>
    <cellStyle name="Normal 2 4 8 6 2" xfId="6770" xr:uid="{00000000-0005-0000-0000-00000F110000}"/>
    <cellStyle name="Normal 2 4 8 6 2 2" xfId="15220" xr:uid="{E7013B5D-D713-4F2F-9A73-96970D869BA8}"/>
    <cellStyle name="Normal 2 4 8 6 3" xfId="11002" xr:uid="{4C364492-CED5-4B41-B08D-EAFB4B5C54C2}"/>
    <cellStyle name="Normal 2 4 8 7" xfId="4704" xr:uid="{00000000-0005-0000-0000-000010110000}"/>
    <cellStyle name="Normal 2 4 8 7 2" xfId="13154" xr:uid="{8A7833CA-0215-4988-A75C-145D4C3A5DA5}"/>
    <cellStyle name="Normal 2 4 8 8" xfId="8936" xr:uid="{4182E2ED-593F-4611-ABE9-BBCC58AE9AD0}"/>
    <cellStyle name="Normal 2 5" xfId="315" xr:uid="{00000000-0005-0000-0000-000011110000}"/>
    <cellStyle name="Normal 2 5 10" xfId="4705" xr:uid="{00000000-0005-0000-0000-000012110000}"/>
    <cellStyle name="Normal 2 5 10 2" xfId="13155" xr:uid="{9C8658CB-731E-4332-9327-4039CA75CEDE}"/>
    <cellStyle name="Normal 2 5 11" xfId="8937" xr:uid="{AB0F9971-2541-4AED-BB36-1820F7D791BF}"/>
    <cellStyle name="Normal 2 5 2" xfId="316" xr:uid="{00000000-0005-0000-0000-000013110000}"/>
    <cellStyle name="Normal 2 5 3" xfId="317" xr:uid="{00000000-0005-0000-0000-000014110000}"/>
    <cellStyle name="Normal 2 5 4" xfId="318" xr:uid="{00000000-0005-0000-0000-000015110000}"/>
    <cellStyle name="Normal 2 5 4 10" xfId="8938" xr:uid="{F4C9C844-BE02-4DD8-93DC-7266E306223C}"/>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CE1ABB6D-5301-4E02-A468-19C2F706A88B}"/>
    <cellStyle name="Normal 2 5 4 2 2 2 2 3" xfId="11499" xr:uid="{1548E40A-AABF-4D83-8217-2057A23A2F56}"/>
    <cellStyle name="Normal 2 5 4 2 2 2 3" xfId="5122" xr:uid="{00000000-0005-0000-0000-00001B110000}"/>
    <cellStyle name="Normal 2 5 4 2 2 2 3 2" xfId="13572" xr:uid="{055E7B6A-45EE-4223-8B89-4F223FF03832}"/>
    <cellStyle name="Normal 2 5 4 2 2 2 4" xfId="9354" xr:uid="{0B9B7B26-E335-422D-BA17-109C78253F82}"/>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E602DCB3-1F38-4A16-A766-086151978EAD}"/>
    <cellStyle name="Normal 2 5 4 2 2 3 2 3" xfId="11912" xr:uid="{AB6554BF-C65C-4DAC-9E2B-6EBE6CFA03CC}"/>
    <cellStyle name="Normal 2 5 4 2 2 3 3" xfId="5535" xr:uid="{00000000-0005-0000-0000-00001F110000}"/>
    <cellStyle name="Normal 2 5 4 2 2 3 3 2" xfId="13985" xr:uid="{E0D60FAD-26A9-4CB3-90F6-F2606F6D7B6F}"/>
    <cellStyle name="Normal 2 5 4 2 2 3 4" xfId="9767" xr:uid="{F9D75A9F-8EAC-43D5-B01D-3843344B9169}"/>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627056B6-B96D-4A8D-B4AA-057F7C13141D}"/>
    <cellStyle name="Normal 2 5 4 2 2 4 2 3" xfId="12325" xr:uid="{BC8A0A8D-E769-4666-B4A1-C58F1D43BA9A}"/>
    <cellStyle name="Normal 2 5 4 2 2 4 3" xfId="5948" xr:uid="{00000000-0005-0000-0000-000023110000}"/>
    <cellStyle name="Normal 2 5 4 2 2 4 3 2" xfId="14398" xr:uid="{B79D2516-02BC-4AA4-839F-C7F07CAC2825}"/>
    <cellStyle name="Normal 2 5 4 2 2 4 4" xfId="10180" xr:uid="{F62DB106-7EAE-42D5-B658-BE714ABA14EB}"/>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66773147-A7E4-4049-8C77-796F00F0E6C0}"/>
    <cellStyle name="Normal 2 5 4 2 2 5 2 3" xfId="12738" xr:uid="{6AD7B1ED-B0CB-430C-9707-886D49F620CC}"/>
    <cellStyle name="Normal 2 5 4 2 2 5 3" xfId="6361" xr:uid="{00000000-0005-0000-0000-000027110000}"/>
    <cellStyle name="Normal 2 5 4 2 2 5 3 2" xfId="14811" xr:uid="{FA1BA17A-D471-4860-BE68-CDE28E92423C}"/>
    <cellStyle name="Normal 2 5 4 2 2 5 4" xfId="10593" xr:uid="{D12FCE37-9796-4888-AF70-46F524894F04}"/>
    <cellStyle name="Normal 2 5 4 2 2 6" xfId="2491" xr:uid="{00000000-0005-0000-0000-000028110000}"/>
    <cellStyle name="Normal 2 5 4 2 2 6 2" xfId="6774" xr:uid="{00000000-0005-0000-0000-000029110000}"/>
    <cellStyle name="Normal 2 5 4 2 2 6 2 2" xfId="15224" xr:uid="{81DA4672-F723-4FD0-9AF1-60D10B6C3C45}"/>
    <cellStyle name="Normal 2 5 4 2 2 6 3" xfId="11006" xr:uid="{7B89A7B9-E0CA-4CA2-BF79-69928815B49E}"/>
    <cellStyle name="Normal 2 5 4 2 2 7" xfId="4708" xr:uid="{00000000-0005-0000-0000-00002A110000}"/>
    <cellStyle name="Normal 2 5 4 2 2 7 2" xfId="13158" xr:uid="{F4BEB729-31E2-430B-9A39-6976043DB148}"/>
    <cellStyle name="Normal 2 5 4 2 2 8" xfId="8940" xr:uid="{D8CC54F3-724A-4273-A7DE-CA7AD0FEAE35}"/>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AFB13A34-17C5-4FCD-B879-01E11CBE4C3D}"/>
    <cellStyle name="Normal 2 5 4 2 3 2 3" xfId="11498" xr:uid="{893FDD5A-84C5-4996-9363-8DC521B65F4A}"/>
    <cellStyle name="Normal 2 5 4 2 3 3" xfId="5121" xr:uid="{00000000-0005-0000-0000-00002E110000}"/>
    <cellStyle name="Normal 2 5 4 2 3 3 2" xfId="13571" xr:uid="{CEF874BB-85C7-4E6D-8BF7-770F1FF8B3F5}"/>
    <cellStyle name="Normal 2 5 4 2 3 4" xfId="9353" xr:uid="{96D89B21-4855-4DE9-8E54-4F44ED86F92D}"/>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9B705ADE-8AB5-44EF-A349-AE1FB3660458}"/>
    <cellStyle name="Normal 2 5 4 2 4 2 3" xfId="11911" xr:uid="{41528665-43A9-4771-9CFF-581EB5C12B31}"/>
    <cellStyle name="Normal 2 5 4 2 4 3" xfId="5534" xr:uid="{00000000-0005-0000-0000-000032110000}"/>
    <cellStyle name="Normal 2 5 4 2 4 3 2" xfId="13984" xr:uid="{5D4D2519-0E76-4D5F-A370-8AB403C5A311}"/>
    <cellStyle name="Normal 2 5 4 2 4 4" xfId="9766" xr:uid="{F65F6D0A-4346-46A7-BD4E-305A647F28E2}"/>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C84ED4C5-16CA-4D61-98D6-1E457B3A847B}"/>
    <cellStyle name="Normal 2 5 4 2 5 2 3" xfId="12324" xr:uid="{D11C3F83-F3BF-4497-89E5-EF0EACDC07A8}"/>
    <cellStyle name="Normal 2 5 4 2 5 3" xfId="5947" xr:uid="{00000000-0005-0000-0000-000036110000}"/>
    <cellStyle name="Normal 2 5 4 2 5 3 2" xfId="14397" xr:uid="{5225D2FF-DF9E-4ACB-A25F-BFF90A2A732D}"/>
    <cellStyle name="Normal 2 5 4 2 5 4" xfId="10179" xr:uid="{52F9DB2A-ADBE-4A0B-810E-987271F159DA}"/>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E566BCD3-CB93-4CD2-87C3-C273BC94E526}"/>
    <cellStyle name="Normal 2 5 4 2 6 2 3" xfId="12737" xr:uid="{769D1E0B-0616-4321-8F73-8B93B5CADAF5}"/>
    <cellStyle name="Normal 2 5 4 2 6 3" xfId="6360" xr:uid="{00000000-0005-0000-0000-00003A110000}"/>
    <cellStyle name="Normal 2 5 4 2 6 3 2" xfId="14810" xr:uid="{89F62211-F0F3-4DF9-AA5D-844D67404B3E}"/>
    <cellStyle name="Normal 2 5 4 2 6 4" xfId="10592" xr:uid="{A3217F7C-F515-4858-895A-F91E7918DCB0}"/>
    <cellStyle name="Normal 2 5 4 2 7" xfId="2490" xr:uid="{00000000-0005-0000-0000-00003B110000}"/>
    <cellStyle name="Normal 2 5 4 2 7 2" xfId="6773" xr:uid="{00000000-0005-0000-0000-00003C110000}"/>
    <cellStyle name="Normal 2 5 4 2 7 2 2" xfId="15223" xr:uid="{12B2D69F-6108-4F23-93E5-B4D874A5DF67}"/>
    <cellStyle name="Normal 2 5 4 2 7 3" xfId="11005" xr:uid="{8778EDA4-050A-440B-BD73-53C82259C57D}"/>
    <cellStyle name="Normal 2 5 4 2 8" xfId="4707" xr:uid="{00000000-0005-0000-0000-00003D110000}"/>
    <cellStyle name="Normal 2 5 4 2 8 2" xfId="13157" xr:uid="{92E054AB-6B0C-459D-B24C-EE4C139E8B07}"/>
    <cellStyle name="Normal 2 5 4 2 9" xfId="8939" xr:uid="{53603174-D28C-47DA-B317-0FF3A147D2EE}"/>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288A0F6F-599C-4E2F-8C21-10A0A720808A}"/>
    <cellStyle name="Normal 2 5 4 3 2 2 3" xfId="11500" xr:uid="{69C58C08-78C5-432D-8D80-ED493017D316}"/>
    <cellStyle name="Normal 2 5 4 3 2 3" xfId="5123" xr:uid="{00000000-0005-0000-0000-000042110000}"/>
    <cellStyle name="Normal 2 5 4 3 2 3 2" xfId="13573" xr:uid="{B719ACC0-7796-4D22-9D38-994CB788BC18}"/>
    <cellStyle name="Normal 2 5 4 3 2 4" xfId="9355" xr:uid="{EB004804-7195-4885-A4AC-3FAA34D67B91}"/>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CCE262E9-488C-469B-98AE-9AC69A69F21C}"/>
    <cellStyle name="Normal 2 5 4 3 3 2 3" xfId="11913" xr:uid="{F6E35A23-D74D-4A46-80A2-3FC923E9169A}"/>
    <cellStyle name="Normal 2 5 4 3 3 3" xfId="5536" xr:uid="{00000000-0005-0000-0000-000046110000}"/>
    <cellStyle name="Normal 2 5 4 3 3 3 2" xfId="13986" xr:uid="{6B9A3F55-6C11-4437-A324-E05A67E52CD0}"/>
    <cellStyle name="Normal 2 5 4 3 3 4" xfId="9768" xr:uid="{A6C27BA3-9177-4535-9091-C4E5B36D10B5}"/>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0FA46EB7-468A-4ADE-B14C-F6F247410342}"/>
    <cellStyle name="Normal 2 5 4 3 4 2 3" xfId="12326" xr:uid="{BD10F7FF-7BED-4222-80A3-DC7D36A874A9}"/>
    <cellStyle name="Normal 2 5 4 3 4 3" xfId="5949" xr:uid="{00000000-0005-0000-0000-00004A110000}"/>
    <cellStyle name="Normal 2 5 4 3 4 3 2" xfId="14399" xr:uid="{5C184AFC-92B2-4B60-9060-5377ACD6D9E8}"/>
    <cellStyle name="Normal 2 5 4 3 4 4" xfId="10181" xr:uid="{DCA459BB-DCAF-4F9F-A144-4259AF3E4318}"/>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62132FED-7774-4C99-8178-662C50490F62}"/>
    <cellStyle name="Normal 2 5 4 3 5 2 3" xfId="12739" xr:uid="{48BD8A94-45C7-4537-91E2-AEA6C80D2FB7}"/>
    <cellStyle name="Normal 2 5 4 3 5 3" xfId="6362" xr:uid="{00000000-0005-0000-0000-00004E110000}"/>
    <cellStyle name="Normal 2 5 4 3 5 3 2" xfId="14812" xr:uid="{94F18A6B-4701-43AE-82E4-DA47DD617A2E}"/>
    <cellStyle name="Normal 2 5 4 3 5 4" xfId="10594" xr:uid="{446CA6AE-5D65-4E07-9A6B-02CD8E45B371}"/>
    <cellStyle name="Normal 2 5 4 3 6" xfId="2492" xr:uid="{00000000-0005-0000-0000-00004F110000}"/>
    <cellStyle name="Normal 2 5 4 3 6 2" xfId="6775" xr:uid="{00000000-0005-0000-0000-000050110000}"/>
    <cellStyle name="Normal 2 5 4 3 6 2 2" xfId="15225" xr:uid="{0F4E5C28-CE25-41AF-9BCE-4DDB28B8B0E5}"/>
    <cellStyle name="Normal 2 5 4 3 6 3" xfId="11007" xr:uid="{33885B82-5F6C-4BD3-89E9-E5AEB23B3914}"/>
    <cellStyle name="Normal 2 5 4 3 7" xfId="4709" xr:uid="{00000000-0005-0000-0000-000051110000}"/>
    <cellStyle name="Normal 2 5 4 3 7 2" xfId="13159" xr:uid="{39D97C52-3C59-4E70-B9BF-A8CC5524B8D3}"/>
    <cellStyle name="Normal 2 5 4 3 8" xfId="8941" xr:uid="{0879FC53-DBDF-4722-9D7B-4442EF1BCB09}"/>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7D7B53EB-7043-43E3-925B-40432B2927DF}"/>
    <cellStyle name="Normal 2 5 4 4 2 3" xfId="11497" xr:uid="{AF6CD6A4-4751-4EE1-9EC0-650F5AD5AB09}"/>
    <cellStyle name="Normal 2 5 4 4 3" xfId="5120" xr:uid="{00000000-0005-0000-0000-000055110000}"/>
    <cellStyle name="Normal 2 5 4 4 3 2" xfId="13570" xr:uid="{E947253D-2894-4D5E-9687-863D3F2D48EA}"/>
    <cellStyle name="Normal 2 5 4 4 4" xfId="9352" xr:uid="{2E9E7C39-8C40-4AB7-A731-4854B4DC7B58}"/>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8BACBED4-6FB1-4CB2-88B5-A647C59FCD1F}"/>
    <cellStyle name="Normal 2 5 4 5 2 3" xfId="11910" xr:uid="{741D5DD8-34A1-423D-9BC3-3BA16AF557F8}"/>
    <cellStyle name="Normal 2 5 4 5 3" xfId="5533" xr:uid="{00000000-0005-0000-0000-000059110000}"/>
    <cellStyle name="Normal 2 5 4 5 3 2" xfId="13983" xr:uid="{486A9D9B-A9B0-486D-8378-30FBC6E2AF2C}"/>
    <cellStyle name="Normal 2 5 4 5 4" xfId="9765" xr:uid="{A7F204DC-4669-4855-A75B-84C92C613670}"/>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2DD3C041-2F8A-4A24-A668-F51F331A0A5F}"/>
    <cellStyle name="Normal 2 5 4 6 2 3" xfId="12323" xr:uid="{EFD77D54-9C61-47F5-9CCE-8E62063E484F}"/>
    <cellStyle name="Normal 2 5 4 6 3" xfId="5946" xr:uid="{00000000-0005-0000-0000-00005D110000}"/>
    <cellStyle name="Normal 2 5 4 6 3 2" xfId="14396" xr:uid="{D73665D4-CB93-4828-92DC-F8BF97444EF5}"/>
    <cellStyle name="Normal 2 5 4 6 4" xfId="10178" xr:uid="{8BE1C383-5B8A-41C4-8BD7-E1C9BB957B8D}"/>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4D7B842A-EF96-4DEC-B9EA-6FDD704B98ED}"/>
    <cellStyle name="Normal 2 5 4 7 2 3" xfId="12736" xr:uid="{C5FD1EB5-FEEC-4C02-8909-6C66CC8957C3}"/>
    <cellStyle name="Normal 2 5 4 7 3" xfId="6359" xr:uid="{00000000-0005-0000-0000-000061110000}"/>
    <cellStyle name="Normal 2 5 4 7 3 2" xfId="14809" xr:uid="{E330BD36-08E2-4231-BA34-4A852A1EA21A}"/>
    <cellStyle name="Normal 2 5 4 7 4" xfId="10591" xr:uid="{F3C69C5C-7E83-4F34-87A6-E6D1E6D86963}"/>
    <cellStyle name="Normal 2 5 4 8" xfId="2489" xr:uid="{00000000-0005-0000-0000-000062110000}"/>
    <cellStyle name="Normal 2 5 4 8 2" xfId="6772" xr:uid="{00000000-0005-0000-0000-000063110000}"/>
    <cellStyle name="Normal 2 5 4 8 2 2" xfId="15222" xr:uid="{980DBA60-6841-44AA-A08D-D89B2A75ED8E}"/>
    <cellStyle name="Normal 2 5 4 8 3" xfId="11004" xr:uid="{058F2330-50C3-4174-9942-E674F29D4104}"/>
    <cellStyle name="Normal 2 5 4 9" xfId="4706" xr:uid="{00000000-0005-0000-0000-000064110000}"/>
    <cellStyle name="Normal 2 5 4 9 2" xfId="13156" xr:uid="{E47D1C01-EF45-4B90-A751-E00940094EF4}"/>
    <cellStyle name="Normal 2 5 5" xfId="803" xr:uid="{00000000-0005-0000-0000-000065110000}"/>
    <cellStyle name="Normal 2 5 5 2" xfId="3042" xr:uid="{00000000-0005-0000-0000-000066110000}"/>
    <cellStyle name="Normal 2 5 5 2 2" xfId="7264" xr:uid="{00000000-0005-0000-0000-000067110000}"/>
    <cellStyle name="Normal 2 5 5 2 2 2" xfId="15714" xr:uid="{808D7B36-93A0-41FA-ADE6-30BE80B4DBC1}"/>
    <cellStyle name="Normal 2 5 5 2 3" xfId="11496" xr:uid="{B85C9483-EFE6-42AC-852D-C3BB6C4EE234}"/>
    <cellStyle name="Normal 2 5 5 3" xfId="5119" xr:uid="{00000000-0005-0000-0000-000068110000}"/>
    <cellStyle name="Normal 2 5 5 3 2" xfId="13569" xr:uid="{10B61668-40B2-4F40-90F0-434CB6CDFA74}"/>
    <cellStyle name="Normal 2 5 5 4" xfId="9351" xr:uid="{4860082A-BB90-4E29-B537-E48FBFB190E0}"/>
    <cellStyle name="Normal 2 5 6" xfId="1225" xr:uid="{00000000-0005-0000-0000-000069110000}"/>
    <cellStyle name="Normal 2 5 6 2" xfId="3455" xr:uid="{00000000-0005-0000-0000-00006A110000}"/>
    <cellStyle name="Normal 2 5 6 2 2" xfId="7677" xr:uid="{00000000-0005-0000-0000-00006B110000}"/>
    <cellStyle name="Normal 2 5 6 2 2 2" xfId="16127" xr:uid="{650CF25E-91E5-4BF0-A622-52D2FE43AD8F}"/>
    <cellStyle name="Normal 2 5 6 2 3" xfId="11909" xr:uid="{68691E4F-E6B6-44E7-AB2C-F5B1770CB34A}"/>
    <cellStyle name="Normal 2 5 6 3" xfId="5532" xr:uid="{00000000-0005-0000-0000-00006C110000}"/>
    <cellStyle name="Normal 2 5 6 3 2" xfId="13982" xr:uid="{EE4CFF4E-A104-45E2-B90E-29A77BCF9130}"/>
    <cellStyle name="Normal 2 5 6 4" xfId="9764" xr:uid="{E2731A39-BC58-4BAC-BCC3-9542C5C95C69}"/>
    <cellStyle name="Normal 2 5 7" xfId="1638" xr:uid="{00000000-0005-0000-0000-00006D110000}"/>
    <cellStyle name="Normal 2 5 7 2" xfId="3868" xr:uid="{00000000-0005-0000-0000-00006E110000}"/>
    <cellStyle name="Normal 2 5 7 2 2" xfId="8090" xr:uid="{00000000-0005-0000-0000-00006F110000}"/>
    <cellStyle name="Normal 2 5 7 2 2 2" xfId="16540" xr:uid="{F0B875AD-F6BE-4DA7-AC82-EDF157528584}"/>
    <cellStyle name="Normal 2 5 7 2 3" xfId="12322" xr:uid="{FD2DDEA4-E59D-4B94-AAE2-F358EFFF52FA}"/>
    <cellStyle name="Normal 2 5 7 3" xfId="5945" xr:uid="{00000000-0005-0000-0000-000070110000}"/>
    <cellStyle name="Normal 2 5 7 3 2" xfId="14395" xr:uid="{7FEEE207-4422-44B7-8F9B-E8F7911764B3}"/>
    <cellStyle name="Normal 2 5 7 4" xfId="10177" xr:uid="{04C1940F-44BE-4217-86F4-0A4B04510A29}"/>
    <cellStyle name="Normal 2 5 8" xfId="2052" xr:uid="{00000000-0005-0000-0000-000071110000}"/>
    <cellStyle name="Normal 2 5 8 2" xfId="4281" xr:uid="{00000000-0005-0000-0000-000072110000}"/>
    <cellStyle name="Normal 2 5 8 2 2" xfId="8503" xr:uid="{00000000-0005-0000-0000-000073110000}"/>
    <cellStyle name="Normal 2 5 8 2 2 2" xfId="16953" xr:uid="{1B69B73F-D140-499F-A712-A5B985D9E771}"/>
    <cellStyle name="Normal 2 5 8 2 3" xfId="12735" xr:uid="{320A3B1F-35AC-4601-B658-DDE4874050CA}"/>
    <cellStyle name="Normal 2 5 8 3" xfId="6358" xr:uid="{00000000-0005-0000-0000-000074110000}"/>
    <cellStyle name="Normal 2 5 8 3 2" xfId="14808" xr:uid="{6BFE48B4-8E00-4F21-8DA5-493AEEC8CC15}"/>
    <cellStyle name="Normal 2 5 8 4" xfId="10590" xr:uid="{01F35C00-E0B1-4F44-B99E-4EC0B0E0BEA9}"/>
    <cellStyle name="Normal 2 5 9" xfId="2488" xr:uid="{00000000-0005-0000-0000-000075110000}"/>
    <cellStyle name="Normal 2 5 9 2" xfId="6771" xr:uid="{00000000-0005-0000-0000-000076110000}"/>
    <cellStyle name="Normal 2 5 9 2 2" xfId="15221" xr:uid="{88046F3C-C29F-44C6-8686-438B7BF6E9DE}"/>
    <cellStyle name="Normal 2 5 9 3" xfId="11003" xr:uid="{A2181BF2-FA17-4C57-B17D-6CB89C753939}"/>
    <cellStyle name="Normal 2 6" xfId="322" xr:uid="{00000000-0005-0000-0000-000077110000}"/>
    <cellStyle name="Normal 2 7" xfId="769" xr:uid="{00000000-0005-0000-0000-000078110000}"/>
    <cellStyle name="Normal 2 8" xfId="4495" xr:uid="{00000000-0005-0000-0000-000079110000}"/>
    <cellStyle name="Normal 2 8 2" xfId="12947" xr:uid="{38CBAF9F-30EC-44F6-A6D7-7E7DF63FA53F}"/>
    <cellStyle name="Normal 3" xfId="323" xr:uid="{00000000-0005-0000-0000-00007A110000}"/>
    <cellStyle name="Normal 3 2" xfId="324" xr:uid="{00000000-0005-0000-0000-00007B110000}"/>
    <cellStyle name="Normal 3 2 10" xfId="8942" xr:uid="{A864C0EA-9768-4F1A-B5F2-3B6552338A94}"/>
    <cellStyle name="Normal 3 2 2" xfId="325" xr:uid="{00000000-0005-0000-0000-00007C110000}"/>
    <cellStyle name="Normal 3 2 2 2" xfId="810" xr:uid="{00000000-0005-0000-0000-00007D110000}"/>
    <cellStyle name="Normal 3 2 3" xfId="326" xr:uid="{00000000-0005-0000-0000-00007E110000}"/>
    <cellStyle name="Normal 3 2 3 10" xfId="8943" xr:uid="{CB715F70-C966-4C4E-A326-FA0091566C9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53079BD1-1161-40EC-9876-1ADD99AE47B0}"/>
    <cellStyle name="Normal 3 2 3 2 2 2 2 3" xfId="11504" xr:uid="{7EAF9CBD-75AC-4718-9789-AD3F78A4DFAF}"/>
    <cellStyle name="Normal 3 2 3 2 2 2 3" xfId="5127" xr:uid="{00000000-0005-0000-0000-000084110000}"/>
    <cellStyle name="Normal 3 2 3 2 2 2 3 2" xfId="13577" xr:uid="{D42BC278-1420-4F68-9E02-83B532E0C0EB}"/>
    <cellStyle name="Normal 3 2 3 2 2 2 4" xfId="9359" xr:uid="{6574543C-D679-42B6-806E-13F4850CF9DE}"/>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84BC2D53-566D-4D86-A076-CBED568E7D16}"/>
    <cellStyle name="Normal 3 2 3 2 2 3 2 3" xfId="11917" xr:uid="{85476942-9A22-48BF-B9E9-9CA9BBB8EFCD}"/>
    <cellStyle name="Normal 3 2 3 2 2 3 3" xfId="5540" xr:uid="{00000000-0005-0000-0000-000088110000}"/>
    <cellStyle name="Normal 3 2 3 2 2 3 3 2" xfId="13990" xr:uid="{7E3896C3-7C06-4550-80A7-6AAFE844CC68}"/>
    <cellStyle name="Normal 3 2 3 2 2 3 4" xfId="9772" xr:uid="{4B58537F-4509-4C7C-B3E7-FC1899AF81E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40D976F0-01B5-4F5D-B40F-6FF70CE5B8E1}"/>
    <cellStyle name="Normal 3 2 3 2 2 4 2 3" xfId="12330" xr:uid="{1BA97B9F-6687-4476-A916-AF32F7A95F4C}"/>
    <cellStyle name="Normal 3 2 3 2 2 4 3" xfId="5953" xr:uid="{00000000-0005-0000-0000-00008C110000}"/>
    <cellStyle name="Normal 3 2 3 2 2 4 3 2" xfId="14403" xr:uid="{4690DD51-A83A-47DC-9509-6ADD78BFD5E3}"/>
    <cellStyle name="Normal 3 2 3 2 2 4 4" xfId="10185" xr:uid="{7B968C75-D60A-4F68-9F60-3B75DB6BE5D2}"/>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41E05E66-059F-4D26-8AC1-893288A7BE52}"/>
    <cellStyle name="Normal 3 2 3 2 2 5 2 3" xfId="12743" xr:uid="{5B1CAF27-7CF6-425B-AE9D-A0D306383A51}"/>
    <cellStyle name="Normal 3 2 3 2 2 5 3" xfId="6366" xr:uid="{00000000-0005-0000-0000-000090110000}"/>
    <cellStyle name="Normal 3 2 3 2 2 5 3 2" xfId="14816" xr:uid="{7E38B5A4-8BDB-4B41-B211-00B190301832}"/>
    <cellStyle name="Normal 3 2 3 2 2 5 4" xfId="10598" xr:uid="{B2695DBD-C168-4599-B1E0-EC14BC56FFD2}"/>
    <cellStyle name="Normal 3 2 3 2 2 6" xfId="2496" xr:uid="{00000000-0005-0000-0000-000091110000}"/>
    <cellStyle name="Normal 3 2 3 2 2 6 2" xfId="6779" xr:uid="{00000000-0005-0000-0000-000092110000}"/>
    <cellStyle name="Normal 3 2 3 2 2 6 2 2" xfId="15229" xr:uid="{974BA0AB-F209-4A49-8486-696E9D449E9F}"/>
    <cellStyle name="Normal 3 2 3 2 2 6 3" xfId="11011" xr:uid="{0DF6FF1D-D5D7-4966-8DF4-92EC51C37AB5}"/>
    <cellStyle name="Normal 3 2 3 2 2 7" xfId="4713" xr:uid="{00000000-0005-0000-0000-000093110000}"/>
    <cellStyle name="Normal 3 2 3 2 2 7 2" xfId="13163" xr:uid="{59CF4A3C-9BE9-4818-8D2C-80F52B72B11F}"/>
    <cellStyle name="Normal 3 2 3 2 2 8" xfId="8945" xr:uid="{69304311-116E-4352-8646-728E7C3DEDD0}"/>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273CA891-9CDE-41EB-8ADE-0C2A8A1C52CB}"/>
    <cellStyle name="Normal 3 2 3 2 3 2 3" xfId="11503" xr:uid="{FEE9E09A-5E5B-471E-AA6C-6E2A1490613E}"/>
    <cellStyle name="Normal 3 2 3 2 3 3" xfId="5126" xr:uid="{00000000-0005-0000-0000-000097110000}"/>
    <cellStyle name="Normal 3 2 3 2 3 3 2" xfId="13576" xr:uid="{7A064BC1-F9B3-45B7-9648-11639E560499}"/>
    <cellStyle name="Normal 3 2 3 2 3 4" xfId="9358" xr:uid="{6ABB8EE1-5D7B-4437-9056-84BD341C50AB}"/>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EECDF0CA-C874-4410-AC9A-7146B7F3B135}"/>
    <cellStyle name="Normal 3 2 3 2 4 2 3" xfId="11916" xr:uid="{9D6CAB82-0085-4D4B-8F61-607F33B83B43}"/>
    <cellStyle name="Normal 3 2 3 2 4 3" xfId="5539" xr:uid="{00000000-0005-0000-0000-00009B110000}"/>
    <cellStyle name="Normal 3 2 3 2 4 3 2" xfId="13989" xr:uid="{1C7F2727-7DBB-4240-9561-570BA2875314}"/>
    <cellStyle name="Normal 3 2 3 2 4 4" xfId="9771" xr:uid="{E516D436-89A0-4D42-ADBA-9143DB01862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9F6EA179-59D6-48E6-8CE1-A0898470107D}"/>
    <cellStyle name="Normal 3 2 3 2 5 2 3" xfId="12329" xr:uid="{64021FEC-AA0B-4BF0-B399-D562E8E08A80}"/>
    <cellStyle name="Normal 3 2 3 2 5 3" xfId="5952" xr:uid="{00000000-0005-0000-0000-00009F110000}"/>
    <cellStyle name="Normal 3 2 3 2 5 3 2" xfId="14402" xr:uid="{02962BD0-FD34-4D50-BEB8-B5953AF0D4FA}"/>
    <cellStyle name="Normal 3 2 3 2 5 4" xfId="10184" xr:uid="{6D093F0C-7D49-48D7-A53F-8727E6EEC991}"/>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DC4B2CA2-BC17-4F69-963B-89693F25A316}"/>
    <cellStyle name="Normal 3 2 3 2 6 2 3" xfId="12742" xr:uid="{D82B5714-29E5-4508-A095-255CCB88E461}"/>
    <cellStyle name="Normal 3 2 3 2 6 3" xfId="6365" xr:uid="{00000000-0005-0000-0000-0000A3110000}"/>
    <cellStyle name="Normal 3 2 3 2 6 3 2" xfId="14815" xr:uid="{A8398250-D1FA-42F9-BFA8-473941F58B20}"/>
    <cellStyle name="Normal 3 2 3 2 6 4" xfId="10597" xr:uid="{BA82C5C0-DD40-4F6B-AA18-4242226AA89F}"/>
    <cellStyle name="Normal 3 2 3 2 7" xfId="2495" xr:uid="{00000000-0005-0000-0000-0000A4110000}"/>
    <cellStyle name="Normal 3 2 3 2 7 2" xfId="6778" xr:uid="{00000000-0005-0000-0000-0000A5110000}"/>
    <cellStyle name="Normal 3 2 3 2 7 2 2" xfId="15228" xr:uid="{D7C16239-8851-4CC1-A9E9-344653D61C8B}"/>
    <cellStyle name="Normal 3 2 3 2 7 3" xfId="11010" xr:uid="{B6A3AF9F-0866-4E2B-847F-AC2CFE06DD35}"/>
    <cellStyle name="Normal 3 2 3 2 8" xfId="4712" xr:uid="{00000000-0005-0000-0000-0000A6110000}"/>
    <cellStyle name="Normal 3 2 3 2 8 2" xfId="13162" xr:uid="{BB5C997B-B6CD-47FA-B7F9-8EE562883FE7}"/>
    <cellStyle name="Normal 3 2 3 2 9" xfId="8944" xr:uid="{F74D478F-52EB-41F1-8F29-F278520B604E}"/>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0F4BA92D-7558-492F-BE9F-9B9610E0F3CC}"/>
    <cellStyle name="Normal 3 2 3 3 2 2 3" xfId="11505" xr:uid="{FD6F4C1E-A12E-4C8A-B8E3-6D4621168386}"/>
    <cellStyle name="Normal 3 2 3 3 2 3" xfId="5128" xr:uid="{00000000-0005-0000-0000-0000AB110000}"/>
    <cellStyle name="Normal 3 2 3 3 2 3 2" xfId="13578" xr:uid="{453911D7-46F0-44BA-9E62-072CA34FF1D5}"/>
    <cellStyle name="Normal 3 2 3 3 2 4" xfId="9360" xr:uid="{18CA6412-AF72-4FE6-807C-CCF66CC463F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209E9BFC-AF0D-4D40-93F7-2A5BA78E24BF}"/>
    <cellStyle name="Normal 3 2 3 3 3 2 3" xfId="11918" xr:uid="{3ADD2DC6-71C2-4736-B98F-EDC01B277C97}"/>
    <cellStyle name="Normal 3 2 3 3 3 3" xfId="5541" xr:uid="{00000000-0005-0000-0000-0000AF110000}"/>
    <cellStyle name="Normal 3 2 3 3 3 3 2" xfId="13991" xr:uid="{3DD379B5-19C7-4CA6-86DF-FE4F5E69BDD6}"/>
    <cellStyle name="Normal 3 2 3 3 3 4" xfId="9773" xr:uid="{233B90CC-B854-4E17-87F0-1AAFC31FE39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195F8364-9D50-441D-A028-E7A5847A9254}"/>
    <cellStyle name="Normal 3 2 3 3 4 2 3" xfId="12331" xr:uid="{B4E4D831-E2A8-4525-A443-785A8942F3E2}"/>
    <cellStyle name="Normal 3 2 3 3 4 3" xfId="5954" xr:uid="{00000000-0005-0000-0000-0000B3110000}"/>
    <cellStyle name="Normal 3 2 3 3 4 3 2" xfId="14404" xr:uid="{E28F612E-CA6D-48FA-ABCE-0291EBEAE1A0}"/>
    <cellStyle name="Normal 3 2 3 3 4 4" xfId="10186" xr:uid="{558A4933-AB09-41CF-88D8-C3D8A3481EB2}"/>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DE35CBBA-2A9F-46D7-976F-70F29A1718BE}"/>
    <cellStyle name="Normal 3 2 3 3 5 2 3" xfId="12744" xr:uid="{1D0256A9-28B0-49F5-8B26-4BDE5A48119E}"/>
    <cellStyle name="Normal 3 2 3 3 5 3" xfId="6367" xr:uid="{00000000-0005-0000-0000-0000B7110000}"/>
    <cellStyle name="Normal 3 2 3 3 5 3 2" xfId="14817" xr:uid="{501242E1-8028-4CA1-9446-DE7B366F875B}"/>
    <cellStyle name="Normal 3 2 3 3 5 4" xfId="10599" xr:uid="{CB54F446-56F8-46A9-B426-2CEE914ADC78}"/>
    <cellStyle name="Normal 3 2 3 3 6" xfId="2497" xr:uid="{00000000-0005-0000-0000-0000B8110000}"/>
    <cellStyle name="Normal 3 2 3 3 6 2" xfId="6780" xr:uid="{00000000-0005-0000-0000-0000B9110000}"/>
    <cellStyle name="Normal 3 2 3 3 6 2 2" xfId="15230" xr:uid="{E61C7C33-0049-4FBB-B858-3488F0332924}"/>
    <cellStyle name="Normal 3 2 3 3 6 3" xfId="11012" xr:uid="{053C8D99-4EE6-4459-8422-C2A9DBB9638B}"/>
    <cellStyle name="Normal 3 2 3 3 7" xfId="4714" xr:uid="{00000000-0005-0000-0000-0000BA110000}"/>
    <cellStyle name="Normal 3 2 3 3 7 2" xfId="13164" xr:uid="{F70B2AD0-9CA9-46F2-8753-38E09F43B1DB}"/>
    <cellStyle name="Normal 3 2 3 3 8" xfId="8946" xr:uid="{149C0CE5-EA49-41F7-B064-A8C4E4796815}"/>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DB17EC93-7C40-4877-BF47-170A246D336A}"/>
    <cellStyle name="Normal 3 2 3 4 2 3" xfId="11502" xr:uid="{31A90878-3873-4D40-98C6-B6985F39E7AE}"/>
    <cellStyle name="Normal 3 2 3 4 3" xfId="5125" xr:uid="{00000000-0005-0000-0000-0000BE110000}"/>
    <cellStyle name="Normal 3 2 3 4 3 2" xfId="13575" xr:uid="{9F5770DF-C1CC-4C7C-ADD6-BC75816BFFAC}"/>
    <cellStyle name="Normal 3 2 3 4 4" xfId="9357" xr:uid="{A8C89AE1-E51E-462E-9FA0-92C7810CC145}"/>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356C64BD-BBE2-4951-AC8F-72A38280805B}"/>
    <cellStyle name="Normal 3 2 3 5 2 3" xfId="11915" xr:uid="{EEE7FC5E-8E4F-43F4-AC61-263A05D5493D}"/>
    <cellStyle name="Normal 3 2 3 5 3" xfId="5538" xr:uid="{00000000-0005-0000-0000-0000C2110000}"/>
    <cellStyle name="Normal 3 2 3 5 3 2" xfId="13988" xr:uid="{80FC9FD7-72FC-424C-B912-557070174D05}"/>
    <cellStyle name="Normal 3 2 3 5 4" xfId="9770" xr:uid="{971BDF3F-C5BC-4829-9FC9-BB6E1F82C0C7}"/>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A89C0A53-918A-45C5-B0F7-287D8849BAF5}"/>
    <cellStyle name="Normal 3 2 3 6 2 3" xfId="12328" xr:uid="{AC263946-BB32-4097-BB20-4B15CE46CE7A}"/>
    <cellStyle name="Normal 3 2 3 6 3" xfId="5951" xr:uid="{00000000-0005-0000-0000-0000C6110000}"/>
    <cellStyle name="Normal 3 2 3 6 3 2" xfId="14401" xr:uid="{A232FD67-13CC-49E3-AC00-55DD4E5F108C}"/>
    <cellStyle name="Normal 3 2 3 6 4" xfId="10183" xr:uid="{811B8BA8-0455-4DFD-9FEA-7B34FD7F5CE9}"/>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A96E0AE6-E4EC-4806-9BC7-02A6F703F21D}"/>
    <cellStyle name="Normal 3 2 3 7 2 3" xfId="12741" xr:uid="{40C2B96D-5B81-49A4-9FD2-FFDB3F572927}"/>
    <cellStyle name="Normal 3 2 3 7 3" xfId="6364" xr:uid="{00000000-0005-0000-0000-0000CA110000}"/>
    <cellStyle name="Normal 3 2 3 7 3 2" xfId="14814" xr:uid="{0C7C0205-63B2-40C7-B2DF-B1A9CAB7002A}"/>
    <cellStyle name="Normal 3 2 3 7 4" xfId="10596" xr:uid="{57FE3DCB-F792-4788-BFE0-A035FD48D512}"/>
    <cellStyle name="Normal 3 2 3 8" xfId="2494" xr:uid="{00000000-0005-0000-0000-0000CB110000}"/>
    <cellStyle name="Normal 3 2 3 8 2" xfId="6777" xr:uid="{00000000-0005-0000-0000-0000CC110000}"/>
    <cellStyle name="Normal 3 2 3 8 2 2" xfId="15227" xr:uid="{D63D2909-351B-462A-B579-9068641B5909}"/>
    <cellStyle name="Normal 3 2 3 8 3" xfId="11009" xr:uid="{58554CBD-387A-4C93-986D-75B9B475E0C5}"/>
    <cellStyle name="Normal 3 2 3 9" xfId="4711" xr:uid="{00000000-0005-0000-0000-0000CD110000}"/>
    <cellStyle name="Normal 3 2 3 9 2" xfId="13161" xr:uid="{1B58B6D7-7EFE-45D7-984E-0F2CE06652DD}"/>
    <cellStyle name="Normal 3 2 4" xfId="809" xr:uid="{00000000-0005-0000-0000-0000CE110000}"/>
    <cellStyle name="Normal 3 2 4 2" xfId="3047" xr:uid="{00000000-0005-0000-0000-0000CF110000}"/>
    <cellStyle name="Normal 3 2 4 2 2" xfId="7269" xr:uid="{00000000-0005-0000-0000-0000D0110000}"/>
    <cellStyle name="Normal 3 2 4 2 2 2" xfId="15719" xr:uid="{5138A14C-D444-4477-B217-71A2B004A63A}"/>
    <cellStyle name="Normal 3 2 4 2 3" xfId="11501" xr:uid="{90DFB8E6-606A-43E3-A9AC-763D4F239D2E}"/>
    <cellStyle name="Normal 3 2 4 3" xfId="5124" xr:uid="{00000000-0005-0000-0000-0000D1110000}"/>
    <cellStyle name="Normal 3 2 4 3 2" xfId="13574" xr:uid="{52668D0D-4A65-4323-8EF3-781C0B6A5458}"/>
    <cellStyle name="Normal 3 2 4 4" xfId="9356" xr:uid="{BD54BF25-FB67-4C5F-A450-144EAEE75365}"/>
    <cellStyle name="Normal 3 2 5" xfId="1230" xr:uid="{00000000-0005-0000-0000-0000D2110000}"/>
    <cellStyle name="Normal 3 2 5 2" xfId="3460" xr:uid="{00000000-0005-0000-0000-0000D3110000}"/>
    <cellStyle name="Normal 3 2 5 2 2" xfId="7682" xr:uid="{00000000-0005-0000-0000-0000D4110000}"/>
    <cellStyle name="Normal 3 2 5 2 2 2" xfId="16132" xr:uid="{58B83733-CBAD-4ECD-A2ED-ED42D9861AD2}"/>
    <cellStyle name="Normal 3 2 5 2 3" xfId="11914" xr:uid="{00EF949C-88E7-4F9C-AEAB-CC9D72C927D2}"/>
    <cellStyle name="Normal 3 2 5 3" xfId="5537" xr:uid="{00000000-0005-0000-0000-0000D5110000}"/>
    <cellStyle name="Normal 3 2 5 3 2" xfId="13987" xr:uid="{B49C66C1-9D31-4DE3-B768-D4416B8568BC}"/>
    <cellStyle name="Normal 3 2 5 4" xfId="9769" xr:uid="{E8906D4D-7264-4470-A2BA-E1168416403E}"/>
    <cellStyle name="Normal 3 2 6" xfId="1643" xr:uid="{00000000-0005-0000-0000-0000D6110000}"/>
    <cellStyle name="Normal 3 2 6 2" xfId="3873" xr:uid="{00000000-0005-0000-0000-0000D7110000}"/>
    <cellStyle name="Normal 3 2 6 2 2" xfId="8095" xr:uid="{00000000-0005-0000-0000-0000D8110000}"/>
    <cellStyle name="Normal 3 2 6 2 2 2" xfId="16545" xr:uid="{10D684ED-F2D0-44C2-A4E2-AFAE27F44E48}"/>
    <cellStyle name="Normal 3 2 6 2 3" xfId="12327" xr:uid="{19D2177A-0440-46EB-913A-407B0FEDDB6C}"/>
    <cellStyle name="Normal 3 2 6 3" xfId="5950" xr:uid="{00000000-0005-0000-0000-0000D9110000}"/>
    <cellStyle name="Normal 3 2 6 3 2" xfId="14400" xr:uid="{FAAF081D-9DA4-47C6-AA69-A81F39DDB2A9}"/>
    <cellStyle name="Normal 3 2 6 4" xfId="10182" xr:uid="{89FEA852-7A77-4F67-89C4-D782E79D0902}"/>
    <cellStyle name="Normal 3 2 7" xfId="2057" xr:uid="{00000000-0005-0000-0000-0000DA110000}"/>
    <cellStyle name="Normal 3 2 7 2" xfId="4286" xr:uid="{00000000-0005-0000-0000-0000DB110000}"/>
    <cellStyle name="Normal 3 2 7 2 2" xfId="8508" xr:uid="{00000000-0005-0000-0000-0000DC110000}"/>
    <cellStyle name="Normal 3 2 7 2 2 2" xfId="16958" xr:uid="{C0BA383A-8241-4B6E-9823-5C53565F5367}"/>
    <cellStyle name="Normal 3 2 7 2 3" xfId="12740" xr:uid="{40947D57-797D-4BCE-A3F0-2647931287FB}"/>
    <cellStyle name="Normal 3 2 7 3" xfId="6363" xr:uid="{00000000-0005-0000-0000-0000DD110000}"/>
    <cellStyle name="Normal 3 2 7 3 2" xfId="14813" xr:uid="{B43194B0-5899-448B-A750-569CC1B0184D}"/>
    <cellStyle name="Normal 3 2 7 4" xfId="10595" xr:uid="{CCF43B24-D499-4CF1-B2A7-1C4A9AD66AA1}"/>
    <cellStyle name="Normal 3 2 8" xfId="2493" xr:uid="{00000000-0005-0000-0000-0000DE110000}"/>
    <cellStyle name="Normal 3 2 8 2" xfId="6776" xr:uid="{00000000-0005-0000-0000-0000DF110000}"/>
    <cellStyle name="Normal 3 2 8 2 2" xfId="15226" xr:uid="{ED256BC8-668C-4E3F-ACB0-53B266C3AFBE}"/>
    <cellStyle name="Normal 3 2 8 3" xfId="11008" xr:uid="{283DE0EB-B7F5-4CFC-83A0-1482F64FF63E}"/>
    <cellStyle name="Normal 3 2 9" xfId="4710" xr:uid="{00000000-0005-0000-0000-0000E0110000}"/>
    <cellStyle name="Normal 3 2 9 2" xfId="13160" xr:uid="{D5DF37C8-A6A2-49C1-AC23-4E0CC278EBF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92653B2E-F79D-4E84-ADF6-3EF23DABFA3B}"/>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BFD6D581-C0CC-4566-B13B-2E13C92CF07D}"/>
    <cellStyle name="Normal 4 2 2 10 2 3" xfId="12745" xr:uid="{0B6DEEDF-3206-4C34-95A1-5EE400220844}"/>
    <cellStyle name="Normal 4 2 2 10 3" xfId="6368" xr:uid="{00000000-0005-0000-0000-0000ED110000}"/>
    <cellStyle name="Normal 4 2 2 10 3 2" xfId="14818" xr:uid="{74EADFDC-262A-4522-99E2-6C6B3A933FAB}"/>
    <cellStyle name="Normal 4 2 2 10 4" xfId="10600" xr:uid="{E7404BEB-FCF3-436E-9309-25B55E7E5A47}"/>
    <cellStyle name="Normal 4 2 2 11" xfId="2498" xr:uid="{00000000-0005-0000-0000-0000EE110000}"/>
    <cellStyle name="Normal 4 2 2 11 2" xfId="6781" xr:uid="{00000000-0005-0000-0000-0000EF110000}"/>
    <cellStyle name="Normal 4 2 2 11 2 2" xfId="15231" xr:uid="{B97B4934-001B-4A2D-8E97-2DAF37AC4120}"/>
    <cellStyle name="Normal 4 2 2 11 3" xfId="11013" xr:uid="{8ED23F3F-54D6-4259-A1C8-EB51F2D65C23}"/>
    <cellStyle name="Normal 4 2 2 12" xfId="4716" xr:uid="{00000000-0005-0000-0000-0000F0110000}"/>
    <cellStyle name="Normal 4 2 2 12 2" xfId="13166" xr:uid="{F74F87E2-B4C5-41EA-AC7D-FDB94177872A}"/>
    <cellStyle name="Normal 4 2 2 13" xfId="8948" xr:uid="{E557794D-001D-4B38-B5A5-1B14EE40A22F}"/>
    <cellStyle name="Normal 4 2 2 2" xfId="338" xr:uid="{00000000-0005-0000-0000-0000F1110000}"/>
    <cellStyle name="Normal 4 2 2 3" xfId="339" xr:uid="{00000000-0005-0000-0000-0000F2110000}"/>
    <cellStyle name="Normal 4 2 2 3 10" xfId="4717" xr:uid="{00000000-0005-0000-0000-0000F3110000}"/>
    <cellStyle name="Normal 4 2 2 3 10 2" xfId="13167" xr:uid="{B5425889-3A61-4716-A06A-74CA26C9779B}"/>
    <cellStyle name="Normal 4 2 2 3 11" xfId="8949" xr:uid="{E9A87C30-11DD-497B-9EFD-B841C7AF4A4A}"/>
    <cellStyle name="Normal 4 2 2 3 2" xfId="340" xr:uid="{00000000-0005-0000-0000-0000F4110000}"/>
    <cellStyle name="Normal 4 2 2 3 2 10" xfId="8950" xr:uid="{E76031F6-ED7A-4AD5-A310-9A0A1D23A9E5}"/>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E6806BED-010B-4697-98D9-A9EFC1D706E7}"/>
    <cellStyle name="Normal 4 2 2 3 2 2 2 2 2 3" xfId="11510" xr:uid="{E0E1EA3E-58A6-4C86-8BF7-E71AA907125D}"/>
    <cellStyle name="Normal 4 2 2 3 2 2 2 2 3" xfId="5133" xr:uid="{00000000-0005-0000-0000-0000FA110000}"/>
    <cellStyle name="Normal 4 2 2 3 2 2 2 2 3 2" xfId="13583" xr:uid="{8650B276-728D-4285-98AE-C4F14283DB39}"/>
    <cellStyle name="Normal 4 2 2 3 2 2 2 2 4" xfId="9365" xr:uid="{699B8F97-4FFB-485C-9D8D-098BEA0D8CA2}"/>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5C8FCBC1-D22B-4A5C-8177-6655E4FE4BC0}"/>
    <cellStyle name="Normal 4 2 2 3 2 2 2 3 2 3" xfId="11923" xr:uid="{EF27A4FA-AAC3-4F74-9B99-F7C759D54D20}"/>
    <cellStyle name="Normal 4 2 2 3 2 2 2 3 3" xfId="5546" xr:uid="{00000000-0005-0000-0000-0000FE110000}"/>
    <cellStyle name="Normal 4 2 2 3 2 2 2 3 3 2" xfId="13996" xr:uid="{B00FBF24-8016-4B27-9DAB-C1ECFEA007AB}"/>
    <cellStyle name="Normal 4 2 2 3 2 2 2 3 4" xfId="9778" xr:uid="{DBF67DBA-D912-4C81-98E5-E45933AB101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26CEEF16-87C5-4DD0-A276-4693EC18462D}"/>
    <cellStyle name="Normal 4 2 2 3 2 2 2 4 2 3" xfId="12336" xr:uid="{FAC65500-11A5-496B-8831-8592E44B390F}"/>
    <cellStyle name="Normal 4 2 2 3 2 2 2 4 3" xfId="5959" xr:uid="{00000000-0005-0000-0000-000002120000}"/>
    <cellStyle name="Normal 4 2 2 3 2 2 2 4 3 2" xfId="14409" xr:uid="{C6FB06D2-790B-46F9-98DD-59EFA74076A5}"/>
    <cellStyle name="Normal 4 2 2 3 2 2 2 4 4" xfId="10191" xr:uid="{B0354A9C-1747-4F1A-B687-34A364C84D98}"/>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70702C02-FABB-4846-A649-8D8820BC41B5}"/>
    <cellStyle name="Normal 4 2 2 3 2 2 2 5 2 3" xfId="12749" xr:uid="{57B1C7B0-F822-43B4-8019-B1F6E06526C8}"/>
    <cellStyle name="Normal 4 2 2 3 2 2 2 5 3" xfId="6372" xr:uid="{00000000-0005-0000-0000-000006120000}"/>
    <cellStyle name="Normal 4 2 2 3 2 2 2 5 3 2" xfId="14822" xr:uid="{CC4F591A-92C3-4A70-B463-0B126E47790D}"/>
    <cellStyle name="Normal 4 2 2 3 2 2 2 5 4" xfId="10604" xr:uid="{32CC512B-80E4-4029-9B19-18448C2C158F}"/>
    <cellStyle name="Normal 4 2 2 3 2 2 2 6" xfId="2502" xr:uid="{00000000-0005-0000-0000-000007120000}"/>
    <cellStyle name="Normal 4 2 2 3 2 2 2 6 2" xfId="6785" xr:uid="{00000000-0005-0000-0000-000008120000}"/>
    <cellStyle name="Normal 4 2 2 3 2 2 2 6 2 2" xfId="15235" xr:uid="{F7EF0D89-BD67-4770-80A9-1AF3672C346A}"/>
    <cellStyle name="Normal 4 2 2 3 2 2 2 6 3" xfId="11017" xr:uid="{438A930E-D457-4189-B801-423D3B8BA7C3}"/>
    <cellStyle name="Normal 4 2 2 3 2 2 2 7" xfId="4720" xr:uid="{00000000-0005-0000-0000-000009120000}"/>
    <cellStyle name="Normal 4 2 2 3 2 2 2 7 2" xfId="13170" xr:uid="{79182226-EC5C-4D85-8B39-7BC499D36CD6}"/>
    <cellStyle name="Normal 4 2 2 3 2 2 2 8" xfId="8952" xr:uid="{5EAD2BC0-A961-404E-A8FD-F1D431CD82E6}"/>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BC2B6EA6-C183-4B23-BDD6-45BEC33C71FC}"/>
    <cellStyle name="Normal 4 2 2 3 2 2 3 2 3" xfId="11509" xr:uid="{4F82E1C9-F06D-4219-8F4E-8BB1127BAB41}"/>
    <cellStyle name="Normal 4 2 2 3 2 2 3 3" xfId="5132" xr:uid="{00000000-0005-0000-0000-00000D120000}"/>
    <cellStyle name="Normal 4 2 2 3 2 2 3 3 2" xfId="13582" xr:uid="{D8F46E57-03DB-451B-A770-BA91D20679CF}"/>
    <cellStyle name="Normal 4 2 2 3 2 2 3 4" xfId="9364" xr:uid="{45BD830D-A875-42F5-A007-804B77153009}"/>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8696885B-1BC2-43C7-B6C7-B83A61363C6F}"/>
    <cellStyle name="Normal 4 2 2 3 2 2 4 2 3" xfId="11922" xr:uid="{C04B6A3B-B7C7-4473-A5C9-5ADA396F6593}"/>
    <cellStyle name="Normal 4 2 2 3 2 2 4 3" xfId="5545" xr:uid="{00000000-0005-0000-0000-000011120000}"/>
    <cellStyle name="Normal 4 2 2 3 2 2 4 3 2" xfId="13995" xr:uid="{E081FFC6-D14E-4D11-A09C-43B32EA4C495}"/>
    <cellStyle name="Normal 4 2 2 3 2 2 4 4" xfId="9777" xr:uid="{DFAEA866-7804-42C1-9223-C2BCA0940B4D}"/>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053ED1AE-F93D-4946-872E-C4375A2C8A9F}"/>
    <cellStyle name="Normal 4 2 2 3 2 2 5 2 3" xfId="12335" xr:uid="{34256936-B05D-4670-AF2B-B0E36FEA326C}"/>
    <cellStyle name="Normal 4 2 2 3 2 2 5 3" xfId="5958" xr:uid="{00000000-0005-0000-0000-000015120000}"/>
    <cellStyle name="Normal 4 2 2 3 2 2 5 3 2" xfId="14408" xr:uid="{4B1CA309-019F-4281-9082-E4926C53CAC7}"/>
    <cellStyle name="Normal 4 2 2 3 2 2 5 4" xfId="10190" xr:uid="{F81E2C70-E4DF-4BE6-A35E-7448C5F4908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84F21B02-21CA-4F2C-857A-84FF49F98615}"/>
    <cellStyle name="Normal 4 2 2 3 2 2 6 2 3" xfId="12748" xr:uid="{C5506141-63E5-4726-B6F5-E40D9E5539FE}"/>
    <cellStyle name="Normal 4 2 2 3 2 2 6 3" xfId="6371" xr:uid="{00000000-0005-0000-0000-000019120000}"/>
    <cellStyle name="Normal 4 2 2 3 2 2 6 3 2" xfId="14821" xr:uid="{76F7D0FC-9BBB-45DB-936E-057AF3010B50}"/>
    <cellStyle name="Normal 4 2 2 3 2 2 6 4" xfId="10603" xr:uid="{920B7E86-0E3B-4AF3-8A1A-981336550F66}"/>
    <cellStyle name="Normal 4 2 2 3 2 2 7" xfId="2501" xr:uid="{00000000-0005-0000-0000-00001A120000}"/>
    <cellStyle name="Normal 4 2 2 3 2 2 7 2" xfId="6784" xr:uid="{00000000-0005-0000-0000-00001B120000}"/>
    <cellStyle name="Normal 4 2 2 3 2 2 7 2 2" xfId="15234" xr:uid="{DAF34C85-FB97-4999-9CE1-AACA791D3CD8}"/>
    <cellStyle name="Normal 4 2 2 3 2 2 7 3" xfId="11016" xr:uid="{ECAF28A5-B992-4D6A-A3F3-AE95E68733DF}"/>
    <cellStyle name="Normal 4 2 2 3 2 2 8" xfId="4719" xr:uid="{00000000-0005-0000-0000-00001C120000}"/>
    <cellStyle name="Normal 4 2 2 3 2 2 8 2" xfId="13169" xr:uid="{B25D04C3-D88C-47CD-98E7-848CDD432A38}"/>
    <cellStyle name="Normal 4 2 2 3 2 2 9" xfId="8951" xr:uid="{4DEC1F73-A08D-4D35-AEF4-901A642FC13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EB297950-46FB-4E25-975A-3F8DFE1A7994}"/>
    <cellStyle name="Normal 4 2 2 3 2 3 2 2 3" xfId="11511" xr:uid="{E31057DF-EC11-4775-9BE3-A2A93309991F}"/>
    <cellStyle name="Normal 4 2 2 3 2 3 2 3" xfId="5134" xr:uid="{00000000-0005-0000-0000-000021120000}"/>
    <cellStyle name="Normal 4 2 2 3 2 3 2 3 2" xfId="13584" xr:uid="{AAFD8DF7-ED8A-43F1-8E4E-9816738CD10A}"/>
    <cellStyle name="Normal 4 2 2 3 2 3 2 4" xfId="9366" xr:uid="{CD624BF8-312C-43A2-B137-588C3796478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694618E7-D26A-4B03-B0F4-D8F4BBEFA745}"/>
    <cellStyle name="Normal 4 2 2 3 2 3 3 2 3" xfId="11924" xr:uid="{CDDB0CD1-A5E0-4BB0-A4C8-ADE38B7F7CAC}"/>
    <cellStyle name="Normal 4 2 2 3 2 3 3 3" xfId="5547" xr:uid="{00000000-0005-0000-0000-000025120000}"/>
    <cellStyle name="Normal 4 2 2 3 2 3 3 3 2" xfId="13997" xr:uid="{D0A6AF37-5432-420F-8410-1698E1EA6950}"/>
    <cellStyle name="Normal 4 2 2 3 2 3 3 4" xfId="9779" xr:uid="{66CE1C4F-1551-41E2-9D7B-D5F1ACF796A4}"/>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5B156CEC-E3E0-4B00-A65F-D946D47A5142}"/>
    <cellStyle name="Normal 4 2 2 3 2 3 4 2 3" xfId="12337" xr:uid="{B82405F8-F0B6-4296-970E-E041985B59AC}"/>
    <cellStyle name="Normal 4 2 2 3 2 3 4 3" xfId="5960" xr:uid="{00000000-0005-0000-0000-000029120000}"/>
    <cellStyle name="Normal 4 2 2 3 2 3 4 3 2" xfId="14410" xr:uid="{FBF23448-A1F4-4138-91E8-7851BC0D751A}"/>
    <cellStyle name="Normal 4 2 2 3 2 3 4 4" xfId="10192" xr:uid="{7D3B1890-6FE1-4792-B23F-C99BD1C7B7D2}"/>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B607CB6A-0D87-4B27-A6EF-71C1AA583F1D}"/>
    <cellStyle name="Normal 4 2 2 3 2 3 5 2 3" xfId="12750" xr:uid="{22904709-9C23-4209-B96C-D8ED2F6018A9}"/>
    <cellStyle name="Normal 4 2 2 3 2 3 5 3" xfId="6373" xr:uid="{00000000-0005-0000-0000-00002D120000}"/>
    <cellStyle name="Normal 4 2 2 3 2 3 5 3 2" xfId="14823" xr:uid="{9945C971-9BB8-41C1-AA08-7979C506145B}"/>
    <cellStyle name="Normal 4 2 2 3 2 3 5 4" xfId="10605" xr:uid="{25447028-D96A-4FA0-ABC4-E1BB76F993D3}"/>
    <cellStyle name="Normal 4 2 2 3 2 3 6" xfId="2503" xr:uid="{00000000-0005-0000-0000-00002E120000}"/>
    <cellStyle name="Normal 4 2 2 3 2 3 6 2" xfId="6786" xr:uid="{00000000-0005-0000-0000-00002F120000}"/>
    <cellStyle name="Normal 4 2 2 3 2 3 6 2 2" xfId="15236" xr:uid="{DC3EC97E-01E1-4F42-89E1-2F94CCBDB709}"/>
    <cellStyle name="Normal 4 2 2 3 2 3 6 3" xfId="11018" xr:uid="{CDD547A2-7E97-4F5C-93FA-FDA4073B2C74}"/>
    <cellStyle name="Normal 4 2 2 3 2 3 7" xfId="4721" xr:uid="{00000000-0005-0000-0000-000030120000}"/>
    <cellStyle name="Normal 4 2 2 3 2 3 7 2" xfId="13171" xr:uid="{D374EA80-54CA-4D36-904E-CF16D9D47589}"/>
    <cellStyle name="Normal 4 2 2 3 2 3 8" xfId="8953" xr:uid="{F2709DEC-0E67-4DEE-925A-3E413806A225}"/>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567BE97F-494C-496F-8A91-B1F6CC774101}"/>
    <cellStyle name="Normal 4 2 2 3 2 4 2 3" xfId="11508" xr:uid="{CCC62987-A0E3-45C6-86F9-A0E20E421D47}"/>
    <cellStyle name="Normal 4 2 2 3 2 4 3" xfId="5131" xr:uid="{00000000-0005-0000-0000-000034120000}"/>
    <cellStyle name="Normal 4 2 2 3 2 4 3 2" xfId="13581" xr:uid="{AAA288E1-77F4-4932-B9A4-211C03F83A55}"/>
    <cellStyle name="Normal 4 2 2 3 2 4 4" xfId="9363" xr:uid="{8C0328A6-1A83-421E-B12C-749BFB09D916}"/>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98831E87-82B7-4AA7-87E8-08DDBF1A8633}"/>
    <cellStyle name="Normal 4 2 2 3 2 5 2 3" xfId="11921" xr:uid="{84F4E42A-EC1E-4044-8604-7C3158BFDF02}"/>
    <cellStyle name="Normal 4 2 2 3 2 5 3" xfId="5544" xr:uid="{00000000-0005-0000-0000-000038120000}"/>
    <cellStyle name="Normal 4 2 2 3 2 5 3 2" xfId="13994" xr:uid="{5CC63357-73D3-4EFF-90F0-8C13C41AAE4E}"/>
    <cellStyle name="Normal 4 2 2 3 2 5 4" xfId="9776" xr:uid="{574BCF47-340B-408A-B9F8-18CDE66E703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52B07E91-CD8B-4A6B-8EC2-F1BB3658A01B}"/>
    <cellStyle name="Normal 4 2 2 3 2 6 2 3" xfId="12334" xr:uid="{DA310AF6-A01F-4D93-9888-921CCCE6FDE1}"/>
    <cellStyle name="Normal 4 2 2 3 2 6 3" xfId="5957" xr:uid="{00000000-0005-0000-0000-00003C120000}"/>
    <cellStyle name="Normal 4 2 2 3 2 6 3 2" xfId="14407" xr:uid="{5F5A4B1E-A1A6-4FA1-9527-FDEC4D85F00D}"/>
    <cellStyle name="Normal 4 2 2 3 2 6 4" xfId="10189" xr:uid="{DB724E19-6CBE-454C-81DB-A35C421B7611}"/>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7E5140FF-137A-40E6-8450-656C3E729CD2}"/>
    <cellStyle name="Normal 4 2 2 3 2 7 2 3" xfId="12747" xr:uid="{E830C3C9-FEF8-4568-81EF-110C989D9CA4}"/>
    <cellStyle name="Normal 4 2 2 3 2 7 3" xfId="6370" xr:uid="{00000000-0005-0000-0000-000040120000}"/>
    <cellStyle name="Normal 4 2 2 3 2 7 3 2" xfId="14820" xr:uid="{E625A69C-3517-4E30-A70C-C1E09A5586A4}"/>
    <cellStyle name="Normal 4 2 2 3 2 7 4" xfId="10602" xr:uid="{DD3AF8F2-52F3-46AF-9DB8-83C484A4D96C}"/>
    <cellStyle name="Normal 4 2 2 3 2 8" xfId="2500" xr:uid="{00000000-0005-0000-0000-000041120000}"/>
    <cellStyle name="Normal 4 2 2 3 2 8 2" xfId="6783" xr:uid="{00000000-0005-0000-0000-000042120000}"/>
    <cellStyle name="Normal 4 2 2 3 2 8 2 2" xfId="15233" xr:uid="{B5772FF5-26EE-4346-AC87-BC8978D2CF25}"/>
    <cellStyle name="Normal 4 2 2 3 2 8 3" xfId="11015" xr:uid="{52434ACB-6331-4DBC-920B-F5232A8EAEBD}"/>
    <cellStyle name="Normal 4 2 2 3 2 9" xfId="4718" xr:uid="{00000000-0005-0000-0000-000043120000}"/>
    <cellStyle name="Normal 4 2 2 3 2 9 2" xfId="13168" xr:uid="{A2338C79-8AF7-4472-BEC0-A82BE73007F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B460EDF6-1C50-4FFF-A066-C2540BF6B1BB}"/>
    <cellStyle name="Normal 4 2 2 3 3 2 2 2 3" xfId="11513" xr:uid="{B571F8B3-F6C7-4EC7-919F-710C7D2CF606}"/>
    <cellStyle name="Normal 4 2 2 3 3 2 2 3" xfId="5136" xr:uid="{00000000-0005-0000-0000-000049120000}"/>
    <cellStyle name="Normal 4 2 2 3 3 2 2 3 2" xfId="13586" xr:uid="{160FD190-2D27-407F-8D0B-A4201D6E6D23}"/>
    <cellStyle name="Normal 4 2 2 3 3 2 2 4" xfId="9368" xr:uid="{1B24F29D-9399-4131-8ED0-4627426A38B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B54B61C2-CB01-4702-AABD-AC310058A61F}"/>
    <cellStyle name="Normal 4 2 2 3 3 2 3 2 3" xfId="11926" xr:uid="{0C526461-983E-4D6D-999C-64A98F9B7FE4}"/>
    <cellStyle name="Normal 4 2 2 3 3 2 3 3" xfId="5549" xr:uid="{00000000-0005-0000-0000-00004D120000}"/>
    <cellStyle name="Normal 4 2 2 3 3 2 3 3 2" xfId="13999" xr:uid="{54FA3A4D-33C4-4C05-89A7-D49DB6D18BDB}"/>
    <cellStyle name="Normal 4 2 2 3 3 2 3 4" xfId="9781" xr:uid="{BA45BBFB-5A74-41D9-A066-4A3B1CC2DE91}"/>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EC06E8DF-D4C3-4281-BFAD-E438F7BD2112}"/>
    <cellStyle name="Normal 4 2 2 3 3 2 4 2 3" xfId="12339" xr:uid="{24F27BF2-2AA5-43F7-8C35-1C275DF4BA14}"/>
    <cellStyle name="Normal 4 2 2 3 3 2 4 3" xfId="5962" xr:uid="{00000000-0005-0000-0000-000051120000}"/>
    <cellStyle name="Normal 4 2 2 3 3 2 4 3 2" xfId="14412" xr:uid="{60B76956-FD27-4CFD-AD45-1FCD09C01E96}"/>
    <cellStyle name="Normal 4 2 2 3 3 2 4 4" xfId="10194" xr:uid="{4D339804-AB87-48F2-99EB-9EC8F977717B}"/>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FC6DFBE5-0FDF-45EE-8A0A-83751C72988F}"/>
    <cellStyle name="Normal 4 2 2 3 3 2 5 2 3" xfId="12752" xr:uid="{C9191D4E-E5E6-42E8-B1A5-30FD7548BBD7}"/>
    <cellStyle name="Normal 4 2 2 3 3 2 5 3" xfId="6375" xr:uid="{00000000-0005-0000-0000-000055120000}"/>
    <cellStyle name="Normal 4 2 2 3 3 2 5 3 2" xfId="14825" xr:uid="{91C1B3A0-DF97-4FFE-9B98-B57977DEA78A}"/>
    <cellStyle name="Normal 4 2 2 3 3 2 5 4" xfId="10607" xr:uid="{B4AAA9A9-FB78-4360-8647-6D65ED567334}"/>
    <cellStyle name="Normal 4 2 2 3 3 2 6" xfId="2505" xr:uid="{00000000-0005-0000-0000-000056120000}"/>
    <cellStyle name="Normal 4 2 2 3 3 2 6 2" xfId="6788" xr:uid="{00000000-0005-0000-0000-000057120000}"/>
    <cellStyle name="Normal 4 2 2 3 3 2 6 2 2" xfId="15238" xr:uid="{D2A5AAFF-7BFA-4269-8D6E-E6055AB21DDA}"/>
    <cellStyle name="Normal 4 2 2 3 3 2 6 3" xfId="11020" xr:uid="{3ABBB614-1224-47C9-912D-4950EDFB7C91}"/>
    <cellStyle name="Normal 4 2 2 3 3 2 7" xfId="4723" xr:uid="{00000000-0005-0000-0000-000058120000}"/>
    <cellStyle name="Normal 4 2 2 3 3 2 7 2" xfId="13173" xr:uid="{89517BF0-802A-49A8-A2AC-56428498C0EB}"/>
    <cellStyle name="Normal 4 2 2 3 3 2 8" xfId="8955" xr:uid="{4AB3995C-3E1E-4447-8187-21B367063AD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EE64A357-8778-4F0B-B307-B49DB6C8D03B}"/>
    <cellStyle name="Normal 4 2 2 3 3 3 2 3" xfId="11512" xr:uid="{646D7A46-0164-479A-BAE1-B56BF9AFE8DB}"/>
    <cellStyle name="Normal 4 2 2 3 3 3 3" xfId="5135" xr:uid="{00000000-0005-0000-0000-00005C120000}"/>
    <cellStyle name="Normal 4 2 2 3 3 3 3 2" xfId="13585" xr:uid="{B7D6129B-FF75-4FB4-88C9-62BB1C495934}"/>
    <cellStyle name="Normal 4 2 2 3 3 3 4" xfId="9367" xr:uid="{633822E3-42B3-4C42-9970-BF88D93F9806}"/>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0CF44F7E-22AF-43DF-B611-90CF724B7E88}"/>
    <cellStyle name="Normal 4 2 2 3 3 4 2 3" xfId="11925" xr:uid="{8E1B10D0-E054-4DBB-BD20-2E78B2BF0EB3}"/>
    <cellStyle name="Normal 4 2 2 3 3 4 3" xfId="5548" xr:uid="{00000000-0005-0000-0000-000060120000}"/>
    <cellStyle name="Normal 4 2 2 3 3 4 3 2" xfId="13998" xr:uid="{792D9EA3-A124-4EC4-827E-1A3D6B18AFC8}"/>
    <cellStyle name="Normal 4 2 2 3 3 4 4" xfId="9780" xr:uid="{779B7E7E-0483-4013-9BA8-D9F381365DBB}"/>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6079F863-4621-405B-A099-70DBC76F678E}"/>
    <cellStyle name="Normal 4 2 2 3 3 5 2 3" xfId="12338" xr:uid="{ED391382-86F2-4E00-B7B8-E1AF1138DBB6}"/>
    <cellStyle name="Normal 4 2 2 3 3 5 3" xfId="5961" xr:uid="{00000000-0005-0000-0000-000064120000}"/>
    <cellStyle name="Normal 4 2 2 3 3 5 3 2" xfId="14411" xr:uid="{5A84D129-DBDD-4173-BB4B-B9247547B484}"/>
    <cellStyle name="Normal 4 2 2 3 3 5 4" xfId="10193" xr:uid="{803EE004-66F3-4A32-8811-0A74FADE71B9}"/>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485F0C6F-9635-4B16-9C1C-BB73EDA8E762}"/>
    <cellStyle name="Normal 4 2 2 3 3 6 2 3" xfId="12751" xr:uid="{E739F233-C948-4267-9FBA-08343A5DEBD8}"/>
    <cellStyle name="Normal 4 2 2 3 3 6 3" xfId="6374" xr:uid="{00000000-0005-0000-0000-000068120000}"/>
    <cellStyle name="Normal 4 2 2 3 3 6 3 2" xfId="14824" xr:uid="{90DDCDEF-8ACF-454D-B5A6-4BD56193E751}"/>
    <cellStyle name="Normal 4 2 2 3 3 6 4" xfId="10606" xr:uid="{2F03178C-ACCF-4529-B064-4B5595284C1C}"/>
    <cellStyle name="Normal 4 2 2 3 3 7" xfId="2504" xr:uid="{00000000-0005-0000-0000-000069120000}"/>
    <cellStyle name="Normal 4 2 2 3 3 7 2" xfId="6787" xr:uid="{00000000-0005-0000-0000-00006A120000}"/>
    <cellStyle name="Normal 4 2 2 3 3 7 2 2" xfId="15237" xr:uid="{738C6E5C-2F0F-4EB3-8841-EF70831469AA}"/>
    <cellStyle name="Normal 4 2 2 3 3 7 3" xfId="11019" xr:uid="{ECC89504-1A48-4CE8-BF47-6F949644566C}"/>
    <cellStyle name="Normal 4 2 2 3 3 8" xfId="4722" xr:uid="{00000000-0005-0000-0000-00006B120000}"/>
    <cellStyle name="Normal 4 2 2 3 3 8 2" xfId="13172" xr:uid="{8BBEC9FE-B44E-4446-94BA-99FBE7159DA1}"/>
    <cellStyle name="Normal 4 2 2 3 3 9" xfId="8954" xr:uid="{D741D4B7-8820-49A5-A6AD-4041FCB14227}"/>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E8C3EAA4-0B21-40AF-A785-1687AF8665D9}"/>
    <cellStyle name="Normal 4 2 2 3 4 2 2 3" xfId="11514" xr:uid="{29B58F5C-9F68-4530-B0F7-C001A22B878C}"/>
    <cellStyle name="Normal 4 2 2 3 4 2 3" xfId="5137" xr:uid="{00000000-0005-0000-0000-000070120000}"/>
    <cellStyle name="Normal 4 2 2 3 4 2 3 2" xfId="13587" xr:uid="{78F863A5-997F-4E10-A1C7-DD82BD43B985}"/>
    <cellStyle name="Normal 4 2 2 3 4 2 4" xfId="9369" xr:uid="{B2932481-196D-4B2C-ABA7-FFC881D3297B}"/>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E51EF160-C3FF-46E0-8022-88C73C14AAE3}"/>
    <cellStyle name="Normal 4 2 2 3 4 3 2 3" xfId="11927" xr:uid="{7A136BF8-E4A9-403C-8C30-D7F844CF826F}"/>
    <cellStyle name="Normal 4 2 2 3 4 3 3" xfId="5550" xr:uid="{00000000-0005-0000-0000-000074120000}"/>
    <cellStyle name="Normal 4 2 2 3 4 3 3 2" xfId="14000" xr:uid="{6A02CD04-0EB4-427E-99C0-AA4CCABCD730}"/>
    <cellStyle name="Normal 4 2 2 3 4 3 4" xfId="9782" xr:uid="{D14A4F42-39BC-4879-8C7B-3B8610F9E7DB}"/>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FD3F3FDB-502B-4C50-AA3B-8E35A8DA4F60}"/>
    <cellStyle name="Normal 4 2 2 3 4 4 2 3" xfId="12340" xr:uid="{D05BA275-BDDE-467F-A2E7-2B850E40DF8B}"/>
    <cellStyle name="Normal 4 2 2 3 4 4 3" xfId="5963" xr:uid="{00000000-0005-0000-0000-000078120000}"/>
    <cellStyle name="Normal 4 2 2 3 4 4 3 2" xfId="14413" xr:uid="{0F607B8C-4B00-4DF8-A52B-E6BF6620FAE2}"/>
    <cellStyle name="Normal 4 2 2 3 4 4 4" xfId="10195" xr:uid="{A2BC0921-44FF-46F8-A142-618B494041B5}"/>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69808DC5-2280-4AE2-BAA3-0285CDB23720}"/>
    <cellStyle name="Normal 4 2 2 3 4 5 2 3" xfId="12753" xr:uid="{039B984A-000A-4D6A-9706-A431C34C7BFA}"/>
    <cellStyle name="Normal 4 2 2 3 4 5 3" xfId="6376" xr:uid="{00000000-0005-0000-0000-00007C120000}"/>
    <cellStyle name="Normal 4 2 2 3 4 5 3 2" xfId="14826" xr:uid="{A5D9EFFF-734E-475E-8176-E4473C78D403}"/>
    <cellStyle name="Normal 4 2 2 3 4 5 4" xfId="10608" xr:uid="{649934CB-11E6-4EF4-A533-60DAC3E03EBD}"/>
    <cellStyle name="Normal 4 2 2 3 4 6" xfId="2506" xr:uid="{00000000-0005-0000-0000-00007D120000}"/>
    <cellStyle name="Normal 4 2 2 3 4 6 2" xfId="6789" xr:uid="{00000000-0005-0000-0000-00007E120000}"/>
    <cellStyle name="Normal 4 2 2 3 4 6 2 2" xfId="15239" xr:uid="{2E2DC156-A911-4982-B90C-9485451D71EE}"/>
    <cellStyle name="Normal 4 2 2 3 4 6 3" xfId="11021" xr:uid="{8455C1D9-7C3D-456D-8E01-503C25C496B6}"/>
    <cellStyle name="Normal 4 2 2 3 4 7" xfId="4724" xr:uid="{00000000-0005-0000-0000-00007F120000}"/>
    <cellStyle name="Normal 4 2 2 3 4 7 2" xfId="13174" xr:uid="{F8ECB9D0-289E-4357-AFB8-C94128005DE7}"/>
    <cellStyle name="Normal 4 2 2 3 4 8" xfId="8956" xr:uid="{F625A652-A764-4B9D-838A-44E03F686A1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61AB580E-469C-4509-B416-61E4C1A1F21E}"/>
    <cellStyle name="Normal 4 2 2 3 5 2 3" xfId="11507" xr:uid="{12512D66-EF25-4921-AF8F-9067DD7AA76C}"/>
    <cellStyle name="Normal 4 2 2 3 5 3" xfId="5130" xr:uid="{00000000-0005-0000-0000-000083120000}"/>
    <cellStyle name="Normal 4 2 2 3 5 3 2" xfId="13580" xr:uid="{E6D626BC-EC61-4876-B720-0D033CDBE14A}"/>
    <cellStyle name="Normal 4 2 2 3 5 4" xfId="9362" xr:uid="{8E0EC384-50DA-4F55-B76A-04632FD8C22A}"/>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DFBDB04E-0B21-4439-8A5B-B202BFB3925F}"/>
    <cellStyle name="Normal 4 2 2 3 6 2 3" xfId="11920" xr:uid="{DD4B7CEE-41CD-4C2E-A976-CB5BC8CDBD09}"/>
    <cellStyle name="Normal 4 2 2 3 6 3" xfId="5543" xr:uid="{00000000-0005-0000-0000-000087120000}"/>
    <cellStyle name="Normal 4 2 2 3 6 3 2" xfId="13993" xr:uid="{C93969FC-EE7E-42F4-B051-2D8A00CFC059}"/>
    <cellStyle name="Normal 4 2 2 3 6 4" xfId="9775" xr:uid="{4AB545FF-F2C6-4FB9-AE63-A37C441DD69B}"/>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402D0C52-5554-4013-81D0-F2300532AC2C}"/>
    <cellStyle name="Normal 4 2 2 3 7 2 3" xfId="12333" xr:uid="{9B41EBFF-4E79-4820-AB1D-7C2E21B383A5}"/>
    <cellStyle name="Normal 4 2 2 3 7 3" xfId="5956" xr:uid="{00000000-0005-0000-0000-00008B120000}"/>
    <cellStyle name="Normal 4 2 2 3 7 3 2" xfId="14406" xr:uid="{6A606E4E-4AF4-46E2-91C1-9FE1BA6577EE}"/>
    <cellStyle name="Normal 4 2 2 3 7 4" xfId="10188" xr:uid="{083E6FEA-F67C-46B4-8739-DFBC09559871}"/>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E56B9529-CB3C-4851-BF77-7D804C267A64}"/>
    <cellStyle name="Normal 4 2 2 3 8 2 3" xfId="12746" xr:uid="{A6274E5B-BF51-4C93-BD31-C2535B81D0BC}"/>
    <cellStyle name="Normal 4 2 2 3 8 3" xfId="6369" xr:uid="{00000000-0005-0000-0000-00008F120000}"/>
    <cellStyle name="Normal 4 2 2 3 8 3 2" xfId="14819" xr:uid="{9D1DBD66-9091-4AEB-8424-E1CCEBB30598}"/>
    <cellStyle name="Normal 4 2 2 3 8 4" xfId="10601" xr:uid="{A648D67A-2481-4C9C-8675-93451A803A62}"/>
    <cellStyle name="Normal 4 2 2 3 9" xfId="2499" xr:uid="{00000000-0005-0000-0000-000090120000}"/>
    <cellStyle name="Normal 4 2 2 3 9 2" xfId="6782" xr:uid="{00000000-0005-0000-0000-000091120000}"/>
    <cellStyle name="Normal 4 2 2 3 9 2 2" xfId="15232" xr:uid="{50A0EFBE-6184-431E-8506-603C79F1BBC0}"/>
    <cellStyle name="Normal 4 2 2 3 9 3" xfId="11014" xr:uid="{5DB6A586-3E42-461E-82CC-E459DED51166}"/>
    <cellStyle name="Normal 4 2 2 4" xfId="347" xr:uid="{00000000-0005-0000-0000-000092120000}"/>
    <cellStyle name="Normal 4 2 2 4 10" xfId="8957" xr:uid="{B330BFF0-45CE-4790-AC44-B7C31FE511B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E558E33E-70CA-4783-8CD1-6E83D0FE7D6E}"/>
    <cellStyle name="Normal 4 2 2 4 2 2 2 2 3" xfId="11517" xr:uid="{BAC71E84-9F31-419E-9B1A-264F47E63CE3}"/>
    <cellStyle name="Normal 4 2 2 4 2 2 2 3" xfId="5140" xr:uid="{00000000-0005-0000-0000-000098120000}"/>
    <cellStyle name="Normal 4 2 2 4 2 2 2 3 2" xfId="13590" xr:uid="{C6167D6C-EA1F-4D5C-B246-F253D47B63EF}"/>
    <cellStyle name="Normal 4 2 2 4 2 2 2 4" xfId="9372" xr:uid="{1E216F54-6EB8-4B5E-B3DC-8E13507B717F}"/>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333509E7-B712-4530-AC85-5328D1BFB0EC}"/>
    <cellStyle name="Normal 4 2 2 4 2 2 3 2 3" xfId="11930" xr:uid="{1F73ADFF-F8B0-48A7-9A81-856AAC4C4DCD}"/>
    <cellStyle name="Normal 4 2 2 4 2 2 3 3" xfId="5553" xr:uid="{00000000-0005-0000-0000-00009C120000}"/>
    <cellStyle name="Normal 4 2 2 4 2 2 3 3 2" xfId="14003" xr:uid="{0426B44B-5FF3-45F7-BDDC-7BB561EE909F}"/>
    <cellStyle name="Normal 4 2 2 4 2 2 3 4" xfId="9785" xr:uid="{27ACA5DA-1BEE-4B21-B048-C5BB2D7BAE36}"/>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A58E527A-E154-4758-BB4C-D890918C0DAF}"/>
    <cellStyle name="Normal 4 2 2 4 2 2 4 2 3" xfId="12343" xr:uid="{1E289714-789A-49BB-B800-E53F07B9FBED}"/>
    <cellStyle name="Normal 4 2 2 4 2 2 4 3" xfId="5966" xr:uid="{00000000-0005-0000-0000-0000A0120000}"/>
    <cellStyle name="Normal 4 2 2 4 2 2 4 3 2" xfId="14416" xr:uid="{1B723158-97E5-4F53-8A93-16C648A46626}"/>
    <cellStyle name="Normal 4 2 2 4 2 2 4 4" xfId="10198" xr:uid="{E538F3F9-6B18-428F-8691-945FEE9A6701}"/>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1C2BA5DD-31F9-48EB-8888-6F57775DF013}"/>
    <cellStyle name="Normal 4 2 2 4 2 2 5 2 3" xfId="12756" xr:uid="{B520A99B-DD6D-44AE-AD5C-DABDF7A48DCA}"/>
    <cellStyle name="Normal 4 2 2 4 2 2 5 3" xfId="6379" xr:uid="{00000000-0005-0000-0000-0000A4120000}"/>
    <cellStyle name="Normal 4 2 2 4 2 2 5 3 2" xfId="14829" xr:uid="{FD139130-D3DD-4911-9DD2-3129DFF890D2}"/>
    <cellStyle name="Normal 4 2 2 4 2 2 5 4" xfId="10611" xr:uid="{A6176CB3-8896-4447-B39B-728DF36EF50A}"/>
    <cellStyle name="Normal 4 2 2 4 2 2 6" xfId="2509" xr:uid="{00000000-0005-0000-0000-0000A5120000}"/>
    <cellStyle name="Normal 4 2 2 4 2 2 6 2" xfId="6792" xr:uid="{00000000-0005-0000-0000-0000A6120000}"/>
    <cellStyle name="Normal 4 2 2 4 2 2 6 2 2" xfId="15242" xr:uid="{71AFCF64-4718-4DD0-8845-6A6DB9285D06}"/>
    <cellStyle name="Normal 4 2 2 4 2 2 6 3" xfId="11024" xr:uid="{E3F9F760-0554-4971-8901-1C69391CC653}"/>
    <cellStyle name="Normal 4 2 2 4 2 2 7" xfId="4727" xr:uid="{00000000-0005-0000-0000-0000A7120000}"/>
    <cellStyle name="Normal 4 2 2 4 2 2 7 2" xfId="13177" xr:uid="{12C18C9E-47C1-427D-BC84-62CD3C0C6AB1}"/>
    <cellStyle name="Normal 4 2 2 4 2 2 8" xfId="8959" xr:uid="{CE413436-FAA3-4A92-9D7D-587842CD6B2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DCE50E1D-E516-4A59-9A75-AD9E418CE26F}"/>
    <cellStyle name="Normal 4 2 2 4 2 3 2 3" xfId="11516" xr:uid="{4F0AA04C-3AF2-4A63-BA53-4986E96F0C6C}"/>
    <cellStyle name="Normal 4 2 2 4 2 3 3" xfId="5139" xr:uid="{00000000-0005-0000-0000-0000AB120000}"/>
    <cellStyle name="Normal 4 2 2 4 2 3 3 2" xfId="13589" xr:uid="{1D4953BE-2FC1-42EB-BC73-4564F0F54CD7}"/>
    <cellStyle name="Normal 4 2 2 4 2 3 4" xfId="9371" xr:uid="{FF0D1D7A-04D3-4903-9246-65EB4EDC78C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7AAC5287-E256-4A7E-8095-FDC26D3D9473}"/>
    <cellStyle name="Normal 4 2 2 4 2 4 2 3" xfId="11929" xr:uid="{DB5C5C6C-4D3A-4318-BE28-54E26FF6A93E}"/>
    <cellStyle name="Normal 4 2 2 4 2 4 3" xfId="5552" xr:uid="{00000000-0005-0000-0000-0000AF120000}"/>
    <cellStyle name="Normal 4 2 2 4 2 4 3 2" xfId="14002" xr:uid="{830A83BA-B0FA-4619-96E2-E15FF02549B5}"/>
    <cellStyle name="Normal 4 2 2 4 2 4 4" xfId="9784" xr:uid="{6D86CBFC-798B-4E09-BDB1-644B99909A6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289D04D1-277A-4B29-9033-3FD6FA1A3C25}"/>
    <cellStyle name="Normal 4 2 2 4 2 5 2 3" xfId="12342" xr:uid="{9FEB7ADD-FCE7-453C-A754-B1398E747410}"/>
    <cellStyle name="Normal 4 2 2 4 2 5 3" xfId="5965" xr:uid="{00000000-0005-0000-0000-0000B3120000}"/>
    <cellStyle name="Normal 4 2 2 4 2 5 3 2" xfId="14415" xr:uid="{A5932C71-DA9E-4BB1-B50B-7C8E8A9A8310}"/>
    <cellStyle name="Normal 4 2 2 4 2 5 4" xfId="10197" xr:uid="{A2A33DD4-5F54-4225-B1C2-1BC6B941CAB2}"/>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757997F3-7EC5-44CC-B2DA-13CCB14E5707}"/>
    <cellStyle name="Normal 4 2 2 4 2 6 2 3" xfId="12755" xr:uid="{182DFBC5-A4AA-4455-AFB4-173B23AFDF34}"/>
    <cellStyle name="Normal 4 2 2 4 2 6 3" xfId="6378" xr:uid="{00000000-0005-0000-0000-0000B7120000}"/>
    <cellStyle name="Normal 4 2 2 4 2 6 3 2" xfId="14828" xr:uid="{211521E5-05FA-4EDD-A7F7-965743C406F5}"/>
    <cellStyle name="Normal 4 2 2 4 2 6 4" xfId="10610" xr:uid="{FB865F11-D63E-45C5-BAEE-8926DFBFFA79}"/>
    <cellStyle name="Normal 4 2 2 4 2 7" xfId="2508" xr:uid="{00000000-0005-0000-0000-0000B8120000}"/>
    <cellStyle name="Normal 4 2 2 4 2 7 2" xfId="6791" xr:uid="{00000000-0005-0000-0000-0000B9120000}"/>
    <cellStyle name="Normal 4 2 2 4 2 7 2 2" xfId="15241" xr:uid="{F3CF415C-BBE2-4B5B-8919-1721B9EB68F8}"/>
    <cellStyle name="Normal 4 2 2 4 2 7 3" xfId="11023" xr:uid="{6C47165B-E3A4-46A7-9A90-89595A58BE5C}"/>
    <cellStyle name="Normal 4 2 2 4 2 8" xfId="4726" xr:uid="{00000000-0005-0000-0000-0000BA120000}"/>
    <cellStyle name="Normal 4 2 2 4 2 8 2" xfId="13176" xr:uid="{BE668302-B7DF-4EEA-A5F6-383AD6D2DF90}"/>
    <cellStyle name="Normal 4 2 2 4 2 9" xfId="8958" xr:uid="{439DE063-032E-44F2-A551-B1875E56E4FE}"/>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AA318BCE-AAF5-4167-9A9D-FC6EDA8EFC71}"/>
    <cellStyle name="Normal 4 2 2 4 3 2 2 3" xfId="11518" xr:uid="{C3432BC6-78AD-4A98-88EC-E31CDC5F9B4F}"/>
    <cellStyle name="Normal 4 2 2 4 3 2 3" xfId="5141" xr:uid="{00000000-0005-0000-0000-0000BF120000}"/>
    <cellStyle name="Normal 4 2 2 4 3 2 3 2" xfId="13591" xr:uid="{8A8D27F5-E360-43AA-8517-E437F6EA9666}"/>
    <cellStyle name="Normal 4 2 2 4 3 2 4" xfId="9373" xr:uid="{7E6C8D3D-BF23-44F4-9A4C-BFCDCB6376F5}"/>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A9D73A7D-59DC-4AC4-B6F0-B71929D58B31}"/>
    <cellStyle name="Normal 4 2 2 4 3 3 2 3" xfId="11931" xr:uid="{6132F7A6-24C3-4FB5-8B5E-6ED4671F0A10}"/>
    <cellStyle name="Normal 4 2 2 4 3 3 3" xfId="5554" xr:uid="{00000000-0005-0000-0000-0000C3120000}"/>
    <cellStyle name="Normal 4 2 2 4 3 3 3 2" xfId="14004" xr:uid="{777CB90B-C6A4-450B-BB5E-5A0449213A9E}"/>
    <cellStyle name="Normal 4 2 2 4 3 3 4" xfId="9786" xr:uid="{A0DD6E25-CA3B-455A-A7D6-DE91A4E70F3B}"/>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3E7C9F2D-4879-4103-8322-35F62630800C}"/>
    <cellStyle name="Normal 4 2 2 4 3 4 2 3" xfId="12344" xr:uid="{828E083A-7E63-418C-878C-6A24C624FE20}"/>
    <cellStyle name="Normal 4 2 2 4 3 4 3" xfId="5967" xr:uid="{00000000-0005-0000-0000-0000C7120000}"/>
    <cellStyle name="Normal 4 2 2 4 3 4 3 2" xfId="14417" xr:uid="{DFF784D2-EB47-4600-927A-808C3F0439BE}"/>
    <cellStyle name="Normal 4 2 2 4 3 4 4" xfId="10199" xr:uid="{9846B316-44BB-4CA1-A7D9-D8903116DA0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62C1FED3-EC67-4D66-97D3-49DC54AFA114}"/>
    <cellStyle name="Normal 4 2 2 4 3 5 2 3" xfId="12757" xr:uid="{7363922D-0DE1-4058-99C2-674D94CCF95A}"/>
    <cellStyle name="Normal 4 2 2 4 3 5 3" xfId="6380" xr:uid="{00000000-0005-0000-0000-0000CB120000}"/>
    <cellStyle name="Normal 4 2 2 4 3 5 3 2" xfId="14830" xr:uid="{62901A56-6080-481D-88C5-3F3EF690C9DF}"/>
    <cellStyle name="Normal 4 2 2 4 3 5 4" xfId="10612" xr:uid="{A7239361-4019-4E0B-9285-E7ED47FCAF50}"/>
    <cellStyle name="Normal 4 2 2 4 3 6" xfId="2510" xr:uid="{00000000-0005-0000-0000-0000CC120000}"/>
    <cellStyle name="Normal 4 2 2 4 3 6 2" xfId="6793" xr:uid="{00000000-0005-0000-0000-0000CD120000}"/>
    <cellStyle name="Normal 4 2 2 4 3 6 2 2" xfId="15243" xr:uid="{5335E187-6F67-4B42-8BA8-A4055FA59B8D}"/>
    <cellStyle name="Normal 4 2 2 4 3 6 3" xfId="11025" xr:uid="{25150743-6B3D-4814-ACBA-47BD7244CC50}"/>
    <cellStyle name="Normal 4 2 2 4 3 7" xfId="4728" xr:uid="{00000000-0005-0000-0000-0000CE120000}"/>
    <cellStyle name="Normal 4 2 2 4 3 7 2" xfId="13178" xr:uid="{5E81D79D-3AEC-43EA-9C6F-D336E7BCF054}"/>
    <cellStyle name="Normal 4 2 2 4 3 8" xfId="8960" xr:uid="{0453999A-BF10-4E0C-BE99-2E3E73623CC8}"/>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5FDA9A49-A3CC-4A75-BA75-0E79F02525D7}"/>
    <cellStyle name="Normal 4 2 2 4 4 2 3" xfId="11515" xr:uid="{A9DFB8A7-01F3-4F3F-890F-95DF8E88CBC7}"/>
    <cellStyle name="Normal 4 2 2 4 4 3" xfId="5138" xr:uid="{00000000-0005-0000-0000-0000D2120000}"/>
    <cellStyle name="Normal 4 2 2 4 4 3 2" xfId="13588" xr:uid="{BF7B60F3-697B-499C-B071-8DB59CD8D91C}"/>
    <cellStyle name="Normal 4 2 2 4 4 4" xfId="9370" xr:uid="{2DADA204-B9B5-40BA-8E0A-6614A46A2798}"/>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26F9A4CA-C7D4-4811-AA09-6399ACF48E4A}"/>
    <cellStyle name="Normal 4 2 2 4 5 2 3" xfId="11928" xr:uid="{73467588-E06A-47DB-A049-481CAD0A89D2}"/>
    <cellStyle name="Normal 4 2 2 4 5 3" xfId="5551" xr:uid="{00000000-0005-0000-0000-0000D6120000}"/>
    <cellStyle name="Normal 4 2 2 4 5 3 2" xfId="14001" xr:uid="{36503402-C77F-4D6B-9162-8AD138164C26}"/>
    <cellStyle name="Normal 4 2 2 4 5 4" xfId="9783" xr:uid="{B2679475-0AEB-4184-8D44-F85319BB4BE3}"/>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387F52C2-2642-4E39-8EA9-AEB8F393DCD4}"/>
    <cellStyle name="Normal 4 2 2 4 6 2 3" xfId="12341" xr:uid="{483A44A8-72CA-4C14-9094-7359BB1AB76F}"/>
    <cellStyle name="Normal 4 2 2 4 6 3" xfId="5964" xr:uid="{00000000-0005-0000-0000-0000DA120000}"/>
    <cellStyle name="Normal 4 2 2 4 6 3 2" xfId="14414" xr:uid="{634B8B00-2DA4-4989-8994-724C25E22D02}"/>
    <cellStyle name="Normal 4 2 2 4 6 4" xfId="10196" xr:uid="{380A1D66-642F-4033-A4F1-8625F381EA7C}"/>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6E157373-6E06-4611-8269-A99D8401BD2E}"/>
    <cellStyle name="Normal 4 2 2 4 7 2 3" xfId="12754" xr:uid="{9530155F-F3E0-40A5-AE38-B08134F2924D}"/>
    <cellStyle name="Normal 4 2 2 4 7 3" xfId="6377" xr:uid="{00000000-0005-0000-0000-0000DE120000}"/>
    <cellStyle name="Normal 4 2 2 4 7 3 2" xfId="14827" xr:uid="{0311C5BD-324D-4964-AE2B-35A588B5C5E7}"/>
    <cellStyle name="Normal 4 2 2 4 7 4" xfId="10609" xr:uid="{D3C64A36-AA6E-4676-8694-3B8440C14BCA}"/>
    <cellStyle name="Normal 4 2 2 4 8" xfId="2507" xr:uid="{00000000-0005-0000-0000-0000DF120000}"/>
    <cellStyle name="Normal 4 2 2 4 8 2" xfId="6790" xr:uid="{00000000-0005-0000-0000-0000E0120000}"/>
    <cellStyle name="Normal 4 2 2 4 8 2 2" xfId="15240" xr:uid="{2393CFD7-C79E-4812-A2AE-C9D70AAF52B0}"/>
    <cellStyle name="Normal 4 2 2 4 8 3" xfId="11022" xr:uid="{A042D4DC-B090-40D1-B64C-7210F949A2B1}"/>
    <cellStyle name="Normal 4 2 2 4 9" xfId="4725" xr:uid="{00000000-0005-0000-0000-0000E1120000}"/>
    <cellStyle name="Normal 4 2 2 4 9 2" xfId="13175" xr:uid="{7DEBC2A2-10D7-4EAB-BCC4-8B291A3D204E}"/>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3D5E793E-CF9C-4E12-ADE0-BC618F88D81A}"/>
    <cellStyle name="Normal 4 2 2 5 2 2 2 3" xfId="11520" xr:uid="{4BDDAD20-DADE-4919-9E46-34BCCBDF4405}"/>
    <cellStyle name="Normal 4 2 2 5 2 2 3" xfId="5143" xr:uid="{00000000-0005-0000-0000-0000E7120000}"/>
    <cellStyle name="Normal 4 2 2 5 2 2 3 2" xfId="13593" xr:uid="{8D938628-3D77-4634-80F6-42F9998025C2}"/>
    <cellStyle name="Normal 4 2 2 5 2 2 4" xfId="9375" xr:uid="{FE3C2445-A2F3-4FF2-B073-B37F6E9F42A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A72D9923-DCCE-4C4A-84E5-F5737F345A9A}"/>
    <cellStyle name="Normal 4 2 2 5 2 3 2 3" xfId="11933" xr:uid="{7938A878-B0C1-4D7B-8686-08D8A27745AF}"/>
    <cellStyle name="Normal 4 2 2 5 2 3 3" xfId="5556" xr:uid="{00000000-0005-0000-0000-0000EB120000}"/>
    <cellStyle name="Normal 4 2 2 5 2 3 3 2" xfId="14006" xr:uid="{B605F7EC-7B2E-4430-B413-2B6FD4CAB556}"/>
    <cellStyle name="Normal 4 2 2 5 2 3 4" xfId="9788" xr:uid="{03CD27D6-5089-4ABE-9B01-38DC6C09D7B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F2A86EA3-294C-446F-BEB3-8DA3EDDF15F6}"/>
    <cellStyle name="Normal 4 2 2 5 2 4 2 3" xfId="12346" xr:uid="{10F3B079-605D-45D2-AE8A-257F419072DE}"/>
    <cellStyle name="Normal 4 2 2 5 2 4 3" xfId="5969" xr:uid="{00000000-0005-0000-0000-0000EF120000}"/>
    <cellStyle name="Normal 4 2 2 5 2 4 3 2" xfId="14419" xr:uid="{2CA42469-9DB8-4481-983B-ABF2F817EA09}"/>
    <cellStyle name="Normal 4 2 2 5 2 4 4" xfId="10201" xr:uid="{10DC5F40-C326-44E2-A9B5-C707B6E102B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124868C2-C3E2-40FC-96EC-67EFFCEDEE89}"/>
    <cellStyle name="Normal 4 2 2 5 2 5 2 3" xfId="12759" xr:uid="{F661669A-587D-4CEB-86AC-F39531D64034}"/>
    <cellStyle name="Normal 4 2 2 5 2 5 3" xfId="6382" xr:uid="{00000000-0005-0000-0000-0000F3120000}"/>
    <cellStyle name="Normal 4 2 2 5 2 5 3 2" xfId="14832" xr:uid="{4D057C16-3373-4B28-97B8-A678E154E5B9}"/>
    <cellStyle name="Normal 4 2 2 5 2 5 4" xfId="10614" xr:uid="{297C9826-A466-4F8A-BC9A-FAB304EDE35A}"/>
    <cellStyle name="Normal 4 2 2 5 2 6" xfId="2512" xr:uid="{00000000-0005-0000-0000-0000F4120000}"/>
    <cellStyle name="Normal 4 2 2 5 2 6 2" xfId="6795" xr:uid="{00000000-0005-0000-0000-0000F5120000}"/>
    <cellStyle name="Normal 4 2 2 5 2 6 2 2" xfId="15245" xr:uid="{97D4C526-920D-4F75-9072-AF828DDC55B8}"/>
    <cellStyle name="Normal 4 2 2 5 2 6 3" xfId="11027" xr:uid="{7FD0D6B7-5506-4E91-8297-B0B4E076675C}"/>
    <cellStyle name="Normal 4 2 2 5 2 7" xfId="4730" xr:uid="{00000000-0005-0000-0000-0000F6120000}"/>
    <cellStyle name="Normal 4 2 2 5 2 7 2" xfId="13180" xr:uid="{CB1FAD09-EC69-478F-8017-AC58ACA5C059}"/>
    <cellStyle name="Normal 4 2 2 5 2 8" xfId="8962" xr:uid="{0C71A0D6-1D66-4758-8D73-D87FE11BB6D3}"/>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AB71A066-05F2-430E-B90C-E39CEF010D03}"/>
    <cellStyle name="Normal 4 2 2 5 3 2 3" xfId="11519" xr:uid="{11A45DC2-6C89-426A-9822-EB8891D64825}"/>
    <cellStyle name="Normal 4 2 2 5 3 3" xfId="5142" xr:uid="{00000000-0005-0000-0000-0000FA120000}"/>
    <cellStyle name="Normal 4 2 2 5 3 3 2" xfId="13592" xr:uid="{7A6175DD-4D38-4BE2-845F-E5B51FC55BF0}"/>
    <cellStyle name="Normal 4 2 2 5 3 4" xfId="9374" xr:uid="{67628CA7-FD19-430C-851C-75B1B444763A}"/>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6E5FCBED-257D-435F-B580-8826467F9A68}"/>
    <cellStyle name="Normal 4 2 2 5 4 2 3" xfId="11932" xr:uid="{34D10BB5-3934-449E-986A-4C80D1002FE1}"/>
    <cellStyle name="Normal 4 2 2 5 4 3" xfId="5555" xr:uid="{00000000-0005-0000-0000-0000FE120000}"/>
    <cellStyle name="Normal 4 2 2 5 4 3 2" xfId="14005" xr:uid="{0AC9FEC4-33E9-44D8-9B4B-5283BF058AEE}"/>
    <cellStyle name="Normal 4 2 2 5 4 4" xfId="9787" xr:uid="{8F0E950A-BC30-477F-BD8E-33805AFF54F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1D542E80-F991-459C-9948-4F45D9AC1864}"/>
    <cellStyle name="Normal 4 2 2 5 5 2 3" xfId="12345" xr:uid="{EAB80F45-9765-48AA-891A-A8FAB38A8472}"/>
    <cellStyle name="Normal 4 2 2 5 5 3" xfId="5968" xr:uid="{00000000-0005-0000-0000-000002130000}"/>
    <cellStyle name="Normal 4 2 2 5 5 3 2" xfId="14418" xr:uid="{48630201-29FC-48B8-9D9A-9F32B6957DC1}"/>
    <cellStyle name="Normal 4 2 2 5 5 4" xfId="10200" xr:uid="{993D74FB-3E7B-4D1B-A8F2-C300564192AB}"/>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EBBA6BA2-676B-495F-BCE4-3FEF499F2BC8}"/>
    <cellStyle name="Normal 4 2 2 5 6 2 3" xfId="12758" xr:uid="{A75AE729-0828-4BEC-AC51-C94CCF375810}"/>
    <cellStyle name="Normal 4 2 2 5 6 3" xfId="6381" xr:uid="{00000000-0005-0000-0000-000006130000}"/>
    <cellStyle name="Normal 4 2 2 5 6 3 2" xfId="14831" xr:uid="{C28A07B1-C218-48F3-8958-FA15A5D6B551}"/>
    <cellStyle name="Normal 4 2 2 5 6 4" xfId="10613" xr:uid="{3C8466DA-A5C5-497D-BD5F-FEFF67D128A2}"/>
    <cellStyle name="Normal 4 2 2 5 7" xfId="2511" xr:uid="{00000000-0005-0000-0000-000007130000}"/>
    <cellStyle name="Normal 4 2 2 5 7 2" xfId="6794" xr:uid="{00000000-0005-0000-0000-000008130000}"/>
    <cellStyle name="Normal 4 2 2 5 7 2 2" xfId="15244" xr:uid="{5149B341-F8CB-4984-84A9-646F58E8D7F6}"/>
    <cellStyle name="Normal 4 2 2 5 7 3" xfId="11026" xr:uid="{0156D7DD-9BD1-4B59-9286-9DCBC00CB1AE}"/>
    <cellStyle name="Normal 4 2 2 5 8" xfId="4729" xr:uid="{00000000-0005-0000-0000-000009130000}"/>
    <cellStyle name="Normal 4 2 2 5 8 2" xfId="13179" xr:uid="{AE4F1C3F-F8E7-43CA-84CB-6F5132778674}"/>
    <cellStyle name="Normal 4 2 2 5 9" xfId="8961" xr:uid="{F7E875A1-4332-4E77-80CB-418AB3D03297}"/>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CDDF48FB-8A90-4562-9420-52FC74232049}"/>
    <cellStyle name="Normal 4 2 2 6 2 2 3" xfId="11521" xr:uid="{EFED21B7-1F8B-4CB2-9429-1CB2DD5C2960}"/>
    <cellStyle name="Normal 4 2 2 6 2 3" xfId="5144" xr:uid="{00000000-0005-0000-0000-00000E130000}"/>
    <cellStyle name="Normal 4 2 2 6 2 3 2" xfId="13594" xr:uid="{D489C5B0-644E-4B85-99E7-C8FEC6E5921A}"/>
    <cellStyle name="Normal 4 2 2 6 2 4" xfId="9376" xr:uid="{DBE2701E-2848-4F05-8A70-6791B1A0BA56}"/>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843C5E75-E71B-41F9-BE49-2EDE6BA4A19D}"/>
    <cellStyle name="Normal 4 2 2 6 3 2 3" xfId="11934" xr:uid="{EB83AEED-AF29-4EC2-A74D-0CBBE34FB4B9}"/>
    <cellStyle name="Normal 4 2 2 6 3 3" xfId="5557" xr:uid="{00000000-0005-0000-0000-000012130000}"/>
    <cellStyle name="Normal 4 2 2 6 3 3 2" xfId="14007" xr:uid="{AAC2A0B2-62DC-46C5-90A1-950EDEAA9941}"/>
    <cellStyle name="Normal 4 2 2 6 3 4" xfId="9789" xr:uid="{CA89CB1F-9944-48CE-8BCF-C2F84FAB3A9D}"/>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B208704D-8301-442D-9413-71337F848E85}"/>
    <cellStyle name="Normal 4 2 2 6 4 2 3" xfId="12347" xr:uid="{ABC170B1-1B3F-42BC-A783-9A4AB9C87B8E}"/>
    <cellStyle name="Normal 4 2 2 6 4 3" xfId="5970" xr:uid="{00000000-0005-0000-0000-000016130000}"/>
    <cellStyle name="Normal 4 2 2 6 4 3 2" xfId="14420" xr:uid="{8720CF7F-BA51-4111-BA72-8FABFAD4502E}"/>
    <cellStyle name="Normal 4 2 2 6 4 4" xfId="10202" xr:uid="{3ED3213D-2765-46BB-A454-F2F72F53C9F6}"/>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43898DCF-7F9E-41A0-96AF-5D185B754840}"/>
    <cellStyle name="Normal 4 2 2 6 5 2 3" xfId="12760" xr:uid="{D8C90EBF-09E5-4833-AB32-4B1F3FD3BF0A}"/>
    <cellStyle name="Normal 4 2 2 6 5 3" xfId="6383" xr:uid="{00000000-0005-0000-0000-00001A130000}"/>
    <cellStyle name="Normal 4 2 2 6 5 3 2" xfId="14833" xr:uid="{1F80D257-50F9-4270-A359-09DA70DA5865}"/>
    <cellStyle name="Normal 4 2 2 6 5 4" xfId="10615" xr:uid="{E5130A8F-8150-465F-A390-C95CA0D1ADDD}"/>
    <cellStyle name="Normal 4 2 2 6 6" xfId="2513" xr:uid="{00000000-0005-0000-0000-00001B130000}"/>
    <cellStyle name="Normal 4 2 2 6 6 2" xfId="6796" xr:uid="{00000000-0005-0000-0000-00001C130000}"/>
    <cellStyle name="Normal 4 2 2 6 6 2 2" xfId="15246" xr:uid="{2B54E9E8-9288-4EA5-B3E6-74C67F04DC8F}"/>
    <cellStyle name="Normal 4 2 2 6 6 3" xfId="11028" xr:uid="{312BCB54-A877-4DAD-8DC9-53351D4BBD56}"/>
    <cellStyle name="Normal 4 2 2 6 7" xfId="4731" xr:uid="{00000000-0005-0000-0000-00001D130000}"/>
    <cellStyle name="Normal 4 2 2 6 7 2" xfId="13181" xr:uid="{0E5AAEA2-D0FC-4994-8A52-451A3256D207}"/>
    <cellStyle name="Normal 4 2 2 6 8" xfId="8963" xr:uid="{AB0F2FC5-3F61-4237-BACE-99D931B57B82}"/>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B9FCA4D4-4D0F-4151-8A27-2CAEFC537771}"/>
    <cellStyle name="Normal 4 2 2 7 2 3" xfId="11506" xr:uid="{F6E4DE98-D972-4E53-A730-8EDD7425D749}"/>
    <cellStyle name="Normal 4 2 2 7 3" xfId="5129" xr:uid="{00000000-0005-0000-0000-000021130000}"/>
    <cellStyle name="Normal 4 2 2 7 3 2" xfId="13579" xr:uid="{8941011F-81C2-47AA-A992-5EA6665C44BE}"/>
    <cellStyle name="Normal 4 2 2 7 4" xfId="9361" xr:uid="{E5C5C6AA-3FE2-409B-B224-466D486AD70C}"/>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06CC7694-4B58-4EB2-8BD1-16E09858FCD2}"/>
    <cellStyle name="Normal 4 2 2 8 2 3" xfId="11919" xr:uid="{F2DD7DEC-4EC5-4289-96AF-75290F61AF38}"/>
    <cellStyle name="Normal 4 2 2 8 3" xfId="5542" xr:uid="{00000000-0005-0000-0000-000025130000}"/>
    <cellStyle name="Normal 4 2 2 8 3 2" xfId="13992" xr:uid="{6F5D97A9-B46D-436E-B963-DC4910DB97C9}"/>
    <cellStyle name="Normal 4 2 2 8 4" xfId="9774" xr:uid="{50DF6460-3073-4EFD-993B-91C0093CF74C}"/>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16389105-1C5C-47B0-8A20-444242C9A999}"/>
    <cellStyle name="Normal 4 2 2 9 2 3" xfId="12332" xr:uid="{D2B8AEA6-C76B-4DA3-AED5-0A12FE9790DE}"/>
    <cellStyle name="Normal 4 2 2 9 3" xfId="5955" xr:uid="{00000000-0005-0000-0000-000029130000}"/>
    <cellStyle name="Normal 4 2 2 9 3 2" xfId="14405" xr:uid="{2D65FEF5-6671-428D-907A-3E7B082B1753}"/>
    <cellStyle name="Normal 4 2 2 9 4" xfId="10187" xr:uid="{4BB2C131-038C-46EB-B848-AA1EE027C3EC}"/>
    <cellStyle name="Normal 4 2 3" xfId="354" xr:uid="{00000000-0005-0000-0000-00002A130000}"/>
    <cellStyle name="Normal 4 2 4" xfId="355" xr:uid="{00000000-0005-0000-0000-00002B130000}"/>
    <cellStyle name="Normal 4 2 4 10" xfId="4732" xr:uid="{00000000-0005-0000-0000-00002C130000}"/>
    <cellStyle name="Normal 4 2 4 10 2" xfId="13182" xr:uid="{CFA5050C-8D0D-4050-8372-F10B60247234}"/>
    <cellStyle name="Normal 4 2 4 11" xfId="8964" xr:uid="{9F745DEB-7D54-4200-B68A-6B256D0E5FEF}"/>
    <cellStyle name="Normal 4 2 4 2" xfId="356" xr:uid="{00000000-0005-0000-0000-00002D130000}"/>
    <cellStyle name="Normal 4 2 4 2 10" xfId="8965" xr:uid="{3EEA88AC-A94F-41AA-ACA6-D1D891148948}"/>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6E617F89-BFD8-457F-90B1-34B2C5386290}"/>
    <cellStyle name="Normal 4 2 4 2 2 2 2 2 3" xfId="11525" xr:uid="{74ADE981-74CB-46F3-B2D4-28CEC3D7B91E}"/>
    <cellStyle name="Normal 4 2 4 2 2 2 2 3" xfId="5148" xr:uid="{00000000-0005-0000-0000-000033130000}"/>
    <cellStyle name="Normal 4 2 4 2 2 2 2 3 2" xfId="13598" xr:uid="{BB553A4C-F3C9-409C-ADEB-6FBC03A38574}"/>
    <cellStyle name="Normal 4 2 4 2 2 2 2 4" xfId="9380" xr:uid="{74C6BD80-651F-439F-BCE6-3971921B584A}"/>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A7F540FB-DEEE-4D6C-80A0-9F6E1FAA9526}"/>
    <cellStyle name="Normal 4 2 4 2 2 2 3 2 3" xfId="11938" xr:uid="{01783096-2E35-4106-885B-07C69C8734A8}"/>
    <cellStyle name="Normal 4 2 4 2 2 2 3 3" xfId="5561" xr:uid="{00000000-0005-0000-0000-000037130000}"/>
    <cellStyle name="Normal 4 2 4 2 2 2 3 3 2" xfId="14011" xr:uid="{7034CCD7-EFB3-40B9-887A-2D690C1B8DA3}"/>
    <cellStyle name="Normal 4 2 4 2 2 2 3 4" xfId="9793" xr:uid="{A818F7A6-01EE-49B4-BA56-3C1DBC014FCA}"/>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D86906AC-D6E8-473D-8F8B-97C5197FD125}"/>
    <cellStyle name="Normal 4 2 4 2 2 2 4 2 3" xfId="12351" xr:uid="{A326F89E-BDF7-40C2-B8A0-C6BE3D108469}"/>
    <cellStyle name="Normal 4 2 4 2 2 2 4 3" xfId="5974" xr:uid="{00000000-0005-0000-0000-00003B130000}"/>
    <cellStyle name="Normal 4 2 4 2 2 2 4 3 2" xfId="14424" xr:uid="{D8C62E5C-B067-4291-B510-4179E597890F}"/>
    <cellStyle name="Normal 4 2 4 2 2 2 4 4" xfId="10206" xr:uid="{6595D102-A311-4D30-827E-F48140B057E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17D7EC67-4177-4904-874B-38E9FA43879E}"/>
    <cellStyle name="Normal 4 2 4 2 2 2 5 2 3" xfId="12764" xr:uid="{30FD78F1-BDF0-40DD-B85C-E699DF7A2C6A}"/>
    <cellStyle name="Normal 4 2 4 2 2 2 5 3" xfId="6387" xr:uid="{00000000-0005-0000-0000-00003F130000}"/>
    <cellStyle name="Normal 4 2 4 2 2 2 5 3 2" xfId="14837" xr:uid="{A96EFF4E-4343-42DB-80F3-44F1126B1F2B}"/>
    <cellStyle name="Normal 4 2 4 2 2 2 5 4" xfId="10619" xr:uid="{B884C51A-2560-41C9-BED0-D337A1A51299}"/>
    <cellStyle name="Normal 4 2 4 2 2 2 6" xfId="2517" xr:uid="{00000000-0005-0000-0000-000040130000}"/>
    <cellStyle name="Normal 4 2 4 2 2 2 6 2" xfId="6800" xr:uid="{00000000-0005-0000-0000-000041130000}"/>
    <cellStyle name="Normal 4 2 4 2 2 2 6 2 2" xfId="15250" xr:uid="{9A665F5E-1EC1-4EB8-AF14-FA3937E4C41C}"/>
    <cellStyle name="Normal 4 2 4 2 2 2 6 3" xfId="11032" xr:uid="{19C7F965-FEFC-4692-86BD-169FDA951C85}"/>
    <cellStyle name="Normal 4 2 4 2 2 2 7" xfId="4735" xr:uid="{00000000-0005-0000-0000-000042130000}"/>
    <cellStyle name="Normal 4 2 4 2 2 2 7 2" xfId="13185" xr:uid="{5CFD4459-B5DD-4B6E-8917-13A7643D529A}"/>
    <cellStyle name="Normal 4 2 4 2 2 2 8" xfId="8967" xr:uid="{E0CA356E-3DDF-4070-A140-1E133EA9C899}"/>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C68E759C-5C71-4331-B965-9476020C7D57}"/>
    <cellStyle name="Normal 4 2 4 2 2 3 2 3" xfId="11524" xr:uid="{8121146C-E2AA-4424-B732-44A516AFCDE3}"/>
    <cellStyle name="Normal 4 2 4 2 2 3 3" xfId="5147" xr:uid="{00000000-0005-0000-0000-000046130000}"/>
    <cellStyle name="Normal 4 2 4 2 2 3 3 2" xfId="13597" xr:uid="{1E8D695F-047E-4477-8946-0436824AF4A0}"/>
    <cellStyle name="Normal 4 2 4 2 2 3 4" xfId="9379" xr:uid="{A0CA0D6C-880B-4B62-9068-275D2DC0888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CC7EABDA-3CBC-4423-96AD-538EBCB20642}"/>
    <cellStyle name="Normal 4 2 4 2 2 4 2 3" xfId="11937" xr:uid="{D648F4B2-F080-4355-8C7C-30E8CCFF82F4}"/>
    <cellStyle name="Normal 4 2 4 2 2 4 3" xfId="5560" xr:uid="{00000000-0005-0000-0000-00004A130000}"/>
    <cellStyle name="Normal 4 2 4 2 2 4 3 2" xfId="14010" xr:uid="{5754D678-8AA8-4574-81C7-BEBDDAF77C73}"/>
    <cellStyle name="Normal 4 2 4 2 2 4 4" xfId="9792" xr:uid="{6BCDD9F3-B555-4517-AA41-04CB7A59A07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8518F213-0A45-45B8-B87F-110C20A3B421}"/>
    <cellStyle name="Normal 4 2 4 2 2 5 2 3" xfId="12350" xr:uid="{A88FE127-97F3-4592-8D59-874FF7E6F446}"/>
    <cellStyle name="Normal 4 2 4 2 2 5 3" xfId="5973" xr:uid="{00000000-0005-0000-0000-00004E130000}"/>
    <cellStyle name="Normal 4 2 4 2 2 5 3 2" xfId="14423" xr:uid="{3EA5F6C7-61D4-4D0D-8BBF-6AE313A9F7EA}"/>
    <cellStyle name="Normal 4 2 4 2 2 5 4" xfId="10205" xr:uid="{5248FDF3-2BA9-4681-82B2-DF4365158FCE}"/>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C0912CCF-3905-4971-BBE0-5644C0437F16}"/>
    <cellStyle name="Normal 4 2 4 2 2 6 2 3" xfId="12763" xr:uid="{E3A0267F-7BB9-4144-83E6-C9FBFC7BA774}"/>
    <cellStyle name="Normal 4 2 4 2 2 6 3" xfId="6386" xr:uid="{00000000-0005-0000-0000-000052130000}"/>
    <cellStyle name="Normal 4 2 4 2 2 6 3 2" xfId="14836" xr:uid="{EE381320-095C-42FB-8045-8A201479637A}"/>
    <cellStyle name="Normal 4 2 4 2 2 6 4" xfId="10618" xr:uid="{26043962-6CE4-4D3E-BD0F-DEA9044303C3}"/>
    <cellStyle name="Normal 4 2 4 2 2 7" xfId="2516" xr:uid="{00000000-0005-0000-0000-000053130000}"/>
    <cellStyle name="Normal 4 2 4 2 2 7 2" xfId="6799" xr:uid="{00000000-0005-0000-0000-000054130000}"/>
    <cellStyle name="Normal 4 2 4 2 2 7 2 2" xfId="15249" xr:uid="{9319FBE9-9EED-44A5-AB0C-FD3D03DA892A}"/>
    <cellStyle name="Normal 4 2 4 2 2 7 3" xfId="11031" xr:uid="{6681767D-F102-44F8-AFB5-A92CE57890EC}"/>
    <cellStyle name="Normal 4 2 4 2 2 8" xfId="4734" xr:uid="{00000000-0005-0000-0000-000055130000}"/>
    <cellStyle name="Normal 4 2 4 2 2 8 2" xfId="13184" xr:uid="{FA5ECA1D-69F0-4BFD-ACD9-E1C6FB7CAEEC}"/>
    <cellStyle name="Normal 4 2 4 2 2 9" xfId="8966" xr:uid="{FCE0047A-5926-46EF-B423-BA7A5E4AFDBC}"/>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1D04E0E7-CCFB-4C4A-8B83-39FB32302AD0}"/>
    <cellStyle name="Normal 4 2 4 2 3 2 2 3" xfId="11526" xr:uid="{1770F622-0C13-4848-99B7-F63E4F7A3CEF}"/>
    <cellStyle name="Normal 4 2 4 2 3 2 3" xfId="5149" xr:uid="{00000000-0005-0000-0000-00005A130000}"/>
    <cellStyle name="Normal 4 2 4 2 3 2 3 2" xfId="13599" xr:uid="{E4C427CA-FDDE-47EC-B7E6-D6189D2D57E0}"/>
    <cellStyle name="Normal 4 2 4 2 3 2 4" xfId="9381" xr:uid="{B75C8791-270F-4837-92E3-A6F30F9956FF}"/>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D75D5894-2312-4AFD-A7DF-ED31656DC9AE}"/>
    <cellStyle name="Normal 4 2 4 2 3 3 2 3" xfId="11939" xr:uid="{E7DD6C5C-FCE8-4BAB-A333-A7D6D0BB2EFA}"/>
    <cellStyle name="Normal 4 2 4 2 3 3 3" xfId="5562" xr:uid="{00000000-0005-0000-0000-00005E130000}"/>
    <cellStyle name="Normal 4 2 4 2 3 3 3 2" xfId="14012" xr:uid="{56397FCA-E706-475A-9928-417F1ECF1081}"/>
    <cellStyle name="Normal 4 2 4 2 3 3 4" xfId="9794" xr:uid="{309ED75C-F14E-4287-A6D3-4F28DEEBE402}"/>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BFE9F07E-C772-46BF-9BD0-7A898735358B}"/>
    <cellStyle name="Normal 4 2 4 2 3 4 2 3" xfId="12352" xr:uid="{F396B03B-03DC-4D1C-B282-E5E75CC7DA15}"/>
    <cellStyle name="Normal 4 2 4 2 3 4 3" xfId="5975" xr:uid="{00000000-0005-0000-0000-000062130000}"/>
    <cellStyle name="Normal 4 2 4 2 3 4 3 2" xfId="14425" xr:uid="{2011FBDE-4699-432C-B8A8-07E68955579A}"/>
    <cellStyle name="Normal 4 2 4 2 3 4 4" xfId="10207" xr:uid="{FF8449DB-A343-429F-99CF-BF8B343CC8C1}"/>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08C4C134-2405-43C3-8F5B-004AD9CA08D0}"/>
    <cellStyle name="Normal 4 2 4 2 3 5 2 3" xfId="12765" xr:uid="{164ADD25-0E1B-4D03-BD5D-31D3C5CC7B94}"/>
    <cellStyle name="Normal 4 2 4 2 3 5 3" xfId="6388" xr:uid="{00000000-0005-0000-0000-000066130000}"/>
    <cellStyle name="Normal 4 2 4 2 3 5 3 2" xfId="14838" xr:uid="{56372B47-2A21-4D2D-9167-05F6D64CF3D0}"/>
    <cellStyle name="Normal 4 2 4 2 3 5 4" xfId="10620" xr:uid="{021D0A31-5A3D-4CAC-96C3-0E90301BD183}"/>
    <cellStyle name="Normal 4 2 4 2 3 6" xfId="2518" xr:uid="{00000000-0005-0000-0000-000067130000}"/>
    <cellStyle name="Normal 4 2 4 2 3 6 2" xfId="6801" xr:uid="{00000000-0005-0000-0000-000068130000}"/>
    <cellStyle name="Normal 4 2 4 2 3 6 2 2" xfId="15251" xr:uid="{C112C81A-1D00-4269-922D-3A1FD9E2B392}"/>
    <cellStyle name="Normal 4 2 4 2 3 6 3" xfId="11033" xr:uid="{B6507576-2781-4EF8-91B6-F2312FEBB52B}"/>
    <cellStyle name="Normal 4 2 4 2 3 7" xfId="4736" xr:uid="{00000000-0005-0000-0000-000069130000}"/>
    <cellStyle name="Normal 4 2 4 2 3 7 2" xfId="13186" xr:uid="{695B9A93-873A-4798-B18E-D481C34695F8}"/>
    <cellStyle name="Normal 4 2 4 2 3 8" xfId="8968" xr:uid="{A35884CC-C541-4D7C-AB6A-2BC62832DA25}"/>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AC830E9F-B487-4975-B58A-743E759398BF}"/>
    <cellStyle name="Normal 4 2 4 2 4 2 3" xfId="11523" xr:uid="{2D3CD549-624A-46C8-BFAF-957D326B9927}"/>
    <cellStyle name="Normal 4 2 4 2 4 3" xfId="5146" xr:uid="{00000000-0005-0000-0000-00006D130000}"/>
    <cellStyle name="Normal 4 2 4 2 4 3 2" xfId="13596" xr:uid="{930DFF14-61A5-42B3-A87E-8C1563F5B7D9}"/>
    <cellStyle name="Normal 4 2 4 2 4 4" xfId="9378" xr:uid="{65E86289-B768-4E09-8D7D-B5C66EACA1C1}"/>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5FCFBA50-CAC2-43AF-B3B9-935B1374F32C}"/>
    <cellStyle name="Normal 4 2 4 2 5 2 3" xfId="11936" xr:uid="{ABD8A736-1D69-44D3-895E-DF3DEB406613}"/>
    <cellStyle name="Normal 4 2 4 2 5 3" xfId="5559" xr:uid="{00000000-0005-0000-0000-000071130000}"/>
    <cellStyle name="Normal 4 2 4 2 5 3 2" xfId="14009" xr:uid="{049F0DFF-308E-416E-A752-5A38190317E2}"/>
    <cellStyle name="Normal 4 2 4 2 5 4" xfId="9791" xr:uid="{EA678D19-B448-4350-9005-FE6019B2CEAB}"/>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7130834E-651F-4BD4-98DC-05692751DEEF}"/>
    <cellStyle name="Normal 4 2 4 2 6 2 3" xfId="12349" xr:uid="{87E27263-C4D3-41FB-A824-0AA8007EC04B}"/>
    <cellStyle name="Normal 4 2 4 2 6 3" xfId="5972" xr:uid="{00000000-0005-0000-0000-000075130000}"/>
    <cellStyle name="Normal 4 2 4 2 6 3 2" xfId="14422" xr:uid="{5AB2040C-A27C-41EB-85C7-166B7837404E}"/>
    <cellStyle name="Normal 4 2 4 2 6 4" xfId="10204" xr:uid="{DDA57AA5-F63E-487F-B72E-5586495F7C1B}"/>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B527BD18-9789-414A-913B-9B844433FF7C}"/>
    <cellStyle name="Normal 4 2 4 2 7 2 3" xfId="12762" xr:uid="{59F2C140-D411-4E3B-A3D6-E27DF1FAF585}"/>
    <cellStyle name="Normal 4 2 4 2 7 3" xfId="6385" xr:uid="{00000000-0005-0000-0000-000079130000}"/>
    <cellStyle name="Normal 4 2 4 2 7 3 2" xfId="14835" xr:uid="{1CE79100-9E8E-4E13-8505-319C013D9A11}"/>
    <cellStyle name="Normal 4 2 4 2 7 4" xfId="10617" xr:uid="{B23E60E1-5988-4E05-9932-4FD72C5D0EC6}"/>
    <cellStyle name="Normal 4 2 4 2 8" xfId="2515" xr:uid="{00000000-0005-0000-0000-00007A130000}"/>
    <cellStyle name="Normal 4 2 4 2 8 2" xfId="6798" xr:uid="{00000000-0005-0000-0000-00007B130000}"/>
    <cellStyle name="Normal 4 2 4 2 8 2 2" xfId="15248" xr:uid="{6CAB8D6D-A142-4FC1-B961-420D9C946189}"/>
    <cellStyle name="Normal 4 2 4 2 8 3" xfId="11030" xr:uid="{2BA28694-55E2-4E48-B1A1-8C5C84839162}"/>
    <cellStyle name="Normal 4 2 4 2 9" xfId="4733" xr:uid="{00000000-0005-0000-0000-00007C130000}"/>
    <cellStyle name="Normal 4 2 4 2 9 2" xfId="13183" xr:uid="{5004A8F7-E4D0-46FA-A6D8-0E0AED3B0B1E}"/>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CEC60BFA-088B-4FE4-B975-577C3CBFB9D8}"/>
    <cellStyle name="Normal 4 2 4 3 2 2 2 3" xfId="11528" xr:uid="{7CD87346-3902-4503-A2F1-B7BBF0EA3A82}"/>
    <cellStyle name="Normal 4 2 4 3 2 2 3" xfId="5151" xr:uid="{00000000-0005-0000-0000-000082130000}"/>
    <cellStyle name="Normal 4 2 4 3 2 2 3 2" xfId="13601" xr:uid="{DBE984C3-746A-433C-9D68-56391A1322F4}"/>
    <cellStyle name="Normal 4 2 4 3 2 2 4" xfId="9383" xr:uid="{AA6CD139-65F5-4F92-9A97-0A85EDAB61F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E2B1950B-A293-473F-BBFC-545637E59043}"/>
    <cellStyle name="Normal 4 2 4 3 2 3 2 3" xfId="11941" xr:uid="{E1E1448F-2CCB-48C7-8404-7D16E411074D}"/>
    <cellStyle name="Normal 4 2 4 3 2 3 3" xfId="5564" xr:uid="{00000000-0005-0000-0000-000086130000}"/>
    <cellStyle name="Normal 4 2 4 3 2 3 3 2" xfId="14014" xr:uid="{DBB6BB0F-B2ED-4AF2-A5C9-2941C878B47C}"/>
    <cellStyle name="Normal 4 2 4 3 2 3 4" xfId="9796" xr:uid="{F1B24A25-5477-48B8-8D17-CEF900CD8157}"/>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0652799E-7187-4857-8A9A-98EFC566DA25}"/>
    <cellStyle name="Normal 4 2 4 3 2 4 2 3" xfId="12354" xr:uid="{1DBFA934-3394-4613-8E9C-91DB6EF43825}"/>
    <cellStyle name="Normal 4 2 4 3 2 4 3" xfId="5977" xr:uid="{00000000-0005-0000-0000-00008A130000}"/>
    <cellStyle name="Normal 4 2 4 3 2 4 3 2" xfId="14427" xr:uid="{3F479D11-40F3-47F0-89FF-EB20A28071E4}"/>
    <cellStyle name="Normal 4 2 4 3 2 4 4" xfId="10209" xr:uid="{6F8B7CE0-E95C-46CD-A20B-79CE3772F1F2}"/>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006A2794-1646-4476-B6AF-CDBC86432EEC}"/>
    <cellStyle name="Normal 4 2 4 3 2 5 2 3" xfId="12767" xr:uid="{E92BD806-5360-4205-8310-AEB06E2AA755}"/>
    <cellStyle name="Normal 4 2 4 3 2 5 3" xfId="6390" xr:uid="{00000000-0005-0000-0000-00008E130000}"/>
    <cellStyle name="Normal 4 2 4 3 2 5 3 2" xfId="14840" xr:uid="{F2194169-ED5A-493C-9DDA-0A3C92E3AFE2}"/>
    <cellStyle name="Normal 4 2 4 3 2 5 4" xfId="10622" xr:uid="{80FB35E1-9F73-48B8-9B96-3A3D09D1581B}"/>
    <cellStyle name="Normal 4 2 4 3 2 6" xfId="2520" xr:uid="{00000000-0005-0000-0000-00008F130000}"/>
    <cellStyle name="Normal 4 2 4 3 2 6 2" xfId="6803" xr:uid="{00000000-0005-0000-0000-000090130000}"/>
    <cellStyle name="Normal 4 2 4 3 2 6 2 2" xfId="15253" xr:uid="{FECD5C97-90D8-4D2B-92E4-C921AEEA8954}"/>
    <cellStyle name="Normal 4 2 4 3 2 6 3" xfId="11035" xr:uid="{A43B2D13-BC3F-4059-A2C7-E57A236802E9}"/>
    <cellStyle name="Normal 4 2 4 3 2 7" xfId="4738" xr:uid="{00000000-0005-0000-0000-000091130000}"/>
    <cellStyle name="Normal 4 2 4 3 2 7 2" xfId="13188" xr:uid="{03D989D1-A11D-4288-87AF-C82165FCD34A}"/>
    <cellStyle name="Normal 4 2 4 3 2 8" xfId="8970" xr:uid="{94823C5A-6DD3-4B06-9DCD-04C453093B4B}"/>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2AE939D2-CD92-4E99-A849-C613B1594122}"/>
    <cellStyle name="Normal 4 2 4 3 3 2 3" xfId="11527" xr:uid="{B5ED850D-E90D-48CB-925C-B37138047E82}"/>
    <cellStyle name="Normal 4 2 4 3 3 3" xfId="5150" xr:uid="{00000000-0005-0000-0000-000095130000}"/>
    <cellStyle name="Normal 4 2 4 3 3 3 2" xfId="13600" xr:uid="{7CD59892-014B-45CF-8A73-4DA5BB57702A}"/>
    <cellStyle name="Normal 4 2 4 3 3 4" xfId="9382" xr:uid="{02D33816-C12A-4825-8986-162768B018A9}"/>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C81E85EC-8EF2-40D7-AFAA-0AC681D9AEEC}"/>
    <cellStyle name="Normal 4 2 4 3 4 2 3" xfId="11940" xr:uid="{47E7EACA-6611-45DE-BC3E-CB49C99472EF}"/>
    <cellStyle name="Normal 4 2 4 3 4 3" xfId="5563" xr:uid="{00000000-0005-0000-0000-000099130000}"/>
    <cellStyle name="Normal 4 2 4 3 4 3 2" xfId="14013" xr:uid="{52288D5E-B1C2-420F-89CC-F5F9B555A775}"/>
    <cellStyle name="Normal 4 2 4 3 4 4" xfId="9795" xr:uid="{A852C627-981D-4E35-90E3-E9366A59F368}"/>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FD25BCF6-B352-445B-A764-9E2FC88D8513}"/>
    <cellStyle name="Normal 4 2 4 3 5 2 3" xfId="12353" xr:uid="{3A3C9396-BD71-47CD-B8F1-A5CAB7460E73}"/>
    <cellStyle name="Normal 4 2 4 3 5 3" xfId="5976" xr:uid="{00000000-0005-0000-0000-00009D130000}"/>
    <cellStyle name="Normal 4 2 4 3 5 3 2" xfId="14426" xr:uid="{27B99E81-3BA3-4E44-908B-4DE8C231A6DA}"/>
    <cellStyle name="Normal 4 2 4 3 5 4" xfId="10208" xr:uid="{DE56AB28-EF2B-4EFB-9A4B-E4FCD0434F75}"/>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1472BB82-75F6-4814-A660-DCB07D78F2C9}"/>
    <cellStyle name="Normal 4 2 4 3 6 2 3" xfId="12766" xr:uid="{FF5DCDCF-F686-4A0C-9B09-711F8142B36E}"/>
    <cellStyle name="Normal 4 2 4 3 6 3" xfId="6389" xr:uid="{00000000-0005-0000-0000-0000A1130000}"/>
    <cellStyle name="Normal 4 2 4 3 6 3 2" xfId="14839" xr:uid="{8F3DF186-D065-4520-995C-1CC4D3FFFDEF}"/>
    <cellStyle name="Normal 4 2 4 3 6 4" xfId="10621" xr:uid="{369A5960-775C-4D94-A0BC-35A918F9B36D}"/>
    <cellStyle name="Normal 4 2 4 3 7" xfId="2519" xr:uid="{00000000-0005-0000-0000-0000A2130000}"/>
    <cellStyle name="Normal 4 2 4 3 7 2" xfId="6802" xr:uid="{00000000-0005-0000-0000-0000A3130000}"/>
    <cellStyle name="Normal 4 2 4 3 7 2 2" xfId="15252" xr:uid="{067BD454-AFD9-430D-A1FF-2FCA6469484A}"/>
    <cellStyle name="Normal 4 2 4 3 7 3" xfId="11034" xr:uid="{B1C9059E-2789-40E2-8293-4944930E7FCA}"/>
    <cellStyle name="Normal 4 2 4 3 8" xfId="4737" xr:uid="{00000000-0005-0000-0000-0000A4130000}"/>
    <cellStyle name="Normal 4 2 4 3 8 2" xfId="13187" xr:uid="{6808F0F0-6FB1-49CE-9264-E07C7F0827F2}"/>
    <cellStyle name="Normal 4 2 4 3 9" xfId="8969" xr:uid="{F433CE1F-4081-4759-B027-B0256839E00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2B0E7476-200C-4C3F-AACA-78B2074EA159}"/>
    <cellStyle name="Normal 4 2 4 4 2 2 3" xfId="11529" xr:uid="{D4AB1AE5-60E6-4C89-A951-88272D20BE09}"/>
    <cellStyle name="Normal 4 2 4 4 2 3" xfId="5152" xr:uid="{00000000-0005-0000-0000-0000A9130000}"/>
    <cellStyle name="Normal 4 2 4 4 2 3 2" xfId="13602" xr:uid="{E4643F51-EFDD-4CB5-992E-1E4279601FB6}"/>
    <cellStyle name="Normal 4 2 4 4 2 4" xfId="9384" xr:uid="{BD5C5580-28FD-4A2E-856A-43C21E2C18BD}"/>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4B316A1-4A22-45AB-A12D-D8998CF50DA9}"/>
    <cellStyle name="Normal 4 2 4 4 3 2 3" xfId="11942" xr:uid="{8D5CBFEC-4EFF-46CE-BC98-249818E0AE66}"/>
    <cellStyle name="Normal 4 2 4 4 3 3" xfId="5565" xr:uid="{00000000-0005-0000-0000-0000AD130000}"/>
    <cellStyle name="Normal 4 2 4 4 3 3 2" xfId="14015" xr:uid="{D681DA35-29B2-4A41-9185-2027369A31A7}"/>
    <cellStyle name="Normal 4 2 4 4 3 4" xfId="9797" xr:uid="{764B916F-C272-4DF4-8684-B114D72F6270}"/>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DCB165CF-655B-48D2-ABAB-D1F88EAE2F1F}"/>
    <cellStyle name="Normal 4 2 4 4 4 2 3" xfId="12355" xr:uid="{13E5D675-A37D-4ACB-A846-E47DDD9D3DEA}"/>
    <cellStyle name="Normal 4 2 4 4 4 3" xfId="5978" xr:uid="{00000000-0005-0000-0000-0000B1130000}"/>
    <cellStyle name="Normal 4 2 4 4 4 3 2" xfId="14428" xr:uid="{DCCEB08A-88A5-4E59-AB76-AED44516F26A}"/>
    <cellStyle name="Normal 4 2 4 4 4 4" xfId="10210" xr:uid="{AA2A10DA-A39E-42E5-B1B2-B4C39B2C62C8}"/>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5E4EE11F-79FA-4FAB-95A2-4E067010C55A}"/>
    <cellStyle name="Normal 4 2 4 4 5 2 3" xfId="12768" xr:uid="{86892FA1-9E31-42D1-95C4-7CD850AEFC1F}"/>
    <cellStyle name="Normal 4 2 4 4 5 3" xfId="6391" xr:uid="{00000000-0005-0000-0000-0000B5130000}"/>
    <cellStyle name="Normal 4 2 4 4 5 3 2" xfId="14841" xr:uid="{AD1E4822-94E8-46F2-9ED8-CC7B5A52A7A0}"/>
    <cellStyle name="Normal 4 2 4 4 5 4" xfId="10623" xr:uid="{0550DFBE-7DAD-46CF-8D4F-8FA270D9CFFC}"/>
    <cellStyle name="Normal 4 2 4 4 6" xfId="2521" xr:uid="{00000000-0005-0000-0000-0000B6130000}"/>
    <cellStyle name="Normal 4 2 4 4 6 2" xfId="6804" xr:uid="{00000000-0005-0000-0000-0000B7130000}"/>
    <cellStyle name="Normal 4 2 4 4 6 2 2" xfId="15254" xr:uid="{6F2C4501-9796-42F9-A791-481EB75EABD4}"/>
    <cellStyle name="Normal 4 2 4 4 6 3" xfId="11036" xr:uid="{2E7D95AB-F1AB-455E-BAAF-F5BFC87362AA}"/>
    <cellStyle name="Normal 4 2 4 4 7" xfId="4739" xr:uid="{00000000-0005-0000-0000-0000B8130000}"/>
    <cellStyle name="Normal 4 2 4 4 7 2" xfId="13189" xr:uid="{4E32E9A3-9704-4371-94B7-5C23DA61F523}"/>
    <cellStyle name="Normal 4 2 4 4 8" xfId="8971" xr:uid="{F58C0ACB-2524-4BE8-A851-FCF673F96BEE}"/>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289A8766-133D-41F5-949C-9A50B920E230}"/>
    <cellStyle name="Normal 4 2 4 5 2 3" xfId="11522" xr:uid="{4C7914A2-1D19-4B56-916D-34D478603110}"/>
    <cellStyle name="Normal 4 2 4 5 3" xfId="5145" xr:uid="{00000000-0005-0000-0000-0000BC130000}"/>
    <cellStyle name="Normal 4 2 4 5 3 2" xfId="13595" xr:uid="{AF52C8D6-EF8D-4DFE-BC2C-E6655F1CC563}"/>
    <cellStyle name="Normal 4 2 4 5 4" xfId="9377" xr:uid="{C15ED5E3-8189-4A91-8DDA-29CA4E734361}"/>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AAA33812-5F58-4287-BFB4-19B3AD466DC5}"/>
    <cellStyle name="Normal 4 2 4 6 2 3" xfId="11935" xr:uid="{0ECD21D4-41D7-432B-9D1B-E9C9541E9EAC}"/>
    <cellStyle name="Normal 4 2 4 6 3" xfId="5558" xr:uid="{00000000-0005-0000-0000-0000C0130000}"/>
    <cellStyle name="Normal 4 2 4 6 3 2" xfId="14008" xr:uid="{FE1CFA03-F4F3-401B-A90A-2D91E32F12FB}"/>
    <cellStyle name="Normal 4 2 4 6 4" xfId="9790" xr:uid="{D7BCA04D-0925-4A29-B3E4-267A0BCA8B65}"/>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0B63702E-3E4B-4C48-856D-99F0F70C347F}"/>
    <cellStyle name="Normal 4 2 4 7 2 3" xfId="12348" xr:uid="{97ADF46D-F664-4B5D-BDC0-60C93DEA6F43}"/>
    <cellStyle name="Normal 4 2 4 7 3" xfId="5971" xr:uid="{00000000-0005-0000-0000-0000C4130000}"/>
    <cellStyle name="Normal 4 2 4 7 3 2" xfId="14421" xr:uid="{2706321B-7FBF-48F2-8DB0-C15D4CFF3057}"/>
    <cellStyle name="Normal 4 2 4 7 4" xfId="10203" xr:uid="{F370DCB4-3121-4F18-A3D1-8BA1995FCD7E}"/>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9848DFC8-5210-40A6-BFE9-33735C4DDA52}"/>
    <cellStyle name="Normal 4 2 4 8 2 3" xfId="12761" xr:uid="{BB53AB2E-8845-4582-91B2-EC25621F3BCD}"/>
    <cellStyle name="Normal 4 2 4 8 3" xfId="6384" xr:uid="{00000000-0005-0000-0000-0000C8130000}"/>
    <cellStyle name="Normal 4 2 4 8 3 2" xfId="14834" xr:uid="{81774759-34A7-48B4-85D8-67FFAE603047}"/>
    <cellStyle name="Normal 4 2 4 8 4" xfId="10616" xr:uid="{8F4E484F-4BA5-4CBF-A3C1-B44EE105F847}"/>
    <cellStyle name="Normal 4 2 4 9" xfId="2514" xr:uid="{00000000-0005-0000-0000-0000C9130000}"/>
    <cellStyle name="Normal 4 2 4 9 2" xfId="6797" xr:uid="{00000000-0005-0000-0000-0000CA130000}"/>
    <cellStyle name="Normal 4 2 4 9 2 2" xfId="15247" xr:uid="{876C0B2E-D560-4B4F-A679-6AE15D39D0EE}"/>
    <cellStyle name="Normal 4 2 4 9 3" xfId="11029" xr:uid="{8F0640FD-72E9-4D55-9085-00FA070072F4}"/>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4DEA8FAE-8CCD-49E0-BE0C-C1EFDF63C747}"/>
    <cellStyle name="Normal 4 2 5 2 2 2 3" xfId="11531" xr:uid="{C5F6E6EA-685E-4594-BCA4-F8698FF9B6C3}"/>
    <cellStyle name="Normal 4 2 5 2 2 3" xfId="5154" xr:uid="{00000000-0005-0000-0000-0000D0130000}"/>
    <cellStyle name="Normal 4 2 5 2 2 3 2" xfId="13604" xr:uid="{38980F56-BBBE-400C-9789-4E1ED666481A}"/>
    <cellStyle name="Normal 4 2 5 2 2 4" xfId="9386" xr:uid="{CD8ADC8D-6739-4F10-8232-DC6031FEE06F}"/>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195E2BB6-7AD5-40D1-9B04-0DAE5547D006}"/>
    <cellStyle name="Normal 4 2 5 2 3 2 3" xfId="11944" xr:uid="{0A126F27-9141-42C8-BE2E-08B4B59B023F}"/>
    <cellStyle name="Normal 4 2 5 2 3 3" xfId="5567" xr:uid="{00000000-0005-0000-0000-0000D4130000}"/>
    <cellStyle name="Normal 4 2 5 2 3 3 2" xfId="14017" xr:uid="{2B0A6DCE-6F07-45B6-8E84-ED496DAC0340}"/>
    <cellStyle name="Normal 4 2 5 2 3 4" xfId="9799" xr:uid="{1D774744-4CC4-4096-9522-E1E35C8C445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F43A4B6C-BCD6-4D33-A5EE-E73F2A411065}"/>
    <cellStyle name="Normal 4 2 5 2 4 2 3" xfId="12357" xr:uid="{2C586FEF-2B4B-4789-A339-86F0CF7602B2}"/>
    <cellStyle name="Normal 4 2 5 2 4 3" xfId="5980" xr:uid="{00000000-0005-0000-0000-0000D8130000}"/>
    <cellStyle name="Normal 4 2 5 2 4 3 2" xfId="14430" xr:uid="{17498595-1005-4C5A-BC94-01AAD4EEFD94}"/>
    <cellStyle name="Normal 4 2 5 2 4 4" xfId="10212" xr:uid="{03333DDE-A71A-4A20-88A5-FA0914C92615}"/>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5453C01C-C018-4212-B423-4D859664F5DF}"/>
    <cellStyle name="Normal 4 2 5 2 5 2 3" xfId="12770" xr:uid="{874C8BED-57FF-40EF-8858-99E25FC543CB}"/>
    <cellStyle name="Normal 4 2 5 2 5 3" xfId="6393" xr:uid="{00000000-0005-0000-0000-0000DC130000}"/>
    <cellStyle name="Normal 4 2 5 2 5 3 2" xfId="14843" xr:uid="{B908915D-0FCD-4321-889A-9805022BE7EA}"/>
    <cellStyle name="Normal 4 2 5 2 5 4" xfId="10625" xr:uid="{F8427C71-23B2-4260-87F8-AA927F62A135}"/>
    <cellStyle name="Normal 4 2 5 2 6" xfId="2523" xr:uid="{00000000-0005-0000-0000-0000DD130000}"/>
    <cellStyle name="Normal 4 2 5 2 6 2" xfId="6806" xr:uid="{00000000-0005-0000-0000-0000DE130000}"/>
    <cellStyle name="Normal 4 2 5 2 6 2 2" xfId="15256" xr:uid="{C706AA25-6728-4EDC-959E-4B6F16D01BD7}"/>
    <cellStyle name="Normal 4 2 5 2 6 3" xfId="11038" xr:uid="{9D8A2A23-8719-494B-B631-2219EFD09F85}"/>
    <cellStyle name="Normal 4 2 5 2 7" xfId="4741" xr:uid="{00000000-0005-0000-0000-0000DF130000}"/>
    <cellStyle name="Normal 4 2 5 2 7 2" xfId="13191" xr:uid="{4D11BCC6-8897-4C16-B7C2-6E865F5BDD2B}"/>
    <cellStyle name="Normal 4 2 5 2 8" xfId="8973" xr:uid="{A5103EBA-E490-411F-B71D-3C9C61FAF24C}"/>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8617FAE0-52F5-426F-AE58-A386F7BCD0BF}"/>
    <cellStyle name="Normal 4 2 5 3 2 3" xfId="11530" xr:uid="{6DB1096A-E966-4F84-8359-8670E6D06054}"/>
    <cellStyle name="Normal 4 2 5 3 3" xfId="5153" xr:uid="{00000000-0005-0000-0000-0000E3130000}"/>
    <cellStyle name="Normal 4 2 5 3 3 2" xfId="13603" xr:uid="{3B0938A3-86D8-4D59-8DFC-71ECDFEF5BA2}"/>
    <cellStyle name="Normal 4 2 5 3 4" xfId="9385" xr:uid="{5241B291-B15F-45FD-AC13-ACE83F91CE1B}"/>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DFB9E46D-7D5A-4A52-A426-18E744912AE1}"/>
    <cellStyle name="Normal 4 2 5 4 2 3" xfId="11943" xr:uid="{10181E6C-CAB8-459A-A6F5-A2F9F60C100E}"/>
    <cellStyle name="Normal 4 2 5 4 3" xfId="5566" xr:uid="{00000000-0005-0000-0000-0000E7130000}"/>
    <cellStyle name="Normal 4 2 5 4 3 2" xfId="14016" xr:uid="{B6B0CF2E-69B3-42C2-AAF1-CB8141EBA145}"/>
    <cellStyle name="Normal 4 2 5 4 4" xfId="9798" xr:uid="{7C827F36-0E27-4F73-9B60-7912A64DD79D}"/>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4C29DA66-8336-41E5-8914-07202D1626EE}"/>
    <cellStyle name="Normal 4 2 5 5 2 3" xfId="12356" xr:uid="{D3F3A4DB-2006-4182-A82C-E1D1A112C19B}"/>
    <cellStyle name="Normal 4 2 5 5 3" xfId="5979" xr:uid="{00000000-0005-0000-0000-0000EB130000}"/>
    <cellStyle name="Normal 4 2 5 5 3 2" xfId="14429" xr:uid="{5B6C9AA4-D361-4CBD-AEAE-EAD9F119B764}"/>
    <cellStyle name="Normal 4 2 5 5 4" xfId="10211" xr:uid="{1D770ABE-7301-40BA-8042-424E29B85ED2}"/>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EEEDC4AA-6392-4DBE-AD7B-C3CDFEBF097E}"/>
    <cellStyle name="Normal 4 2 5 6 2 3" xfId="12769" xr:uid="{A1839A54-0C04-4937-9891-92EF92CFD81A}"/>
    <cellStyle name="Normal 4 2 5 6 3" xfId="6392" xr:uid="{00000000-0005-0000-0000-0000EF130000}"/>
    <cellStyle name="Normal 4 2 5 6 3 2" xfId="14842" xr:uid="{944F75A3-2F5A-4ADF-A5B8-6AB287A214AF}"/>
    <cellStyle name="Normal 4 2 5 6 4" xfId="10624" xr:uid="{E32F5F87-08EC-412E-B0F8-BD8A61053E58}"/>
    <cellStyle name="Normal 4 2 5 7" xfId="2522" xr:uid="{00000000-0005-0000-0000-0000F0130000}"/>
    <cellStyle name="Normal 4 2 5 7 2" xfId="6805" xr:uid="{00000000-0005-0000-0000-0000F1130000}"/>
    <cellStyle name="Normal 4 2 5 7 2 2" xfId="15255" xr:uid="{B5EDC3A1-C2DB-48AE-A7BB-1B4B339593D9}"/>
    <cellStyle name="Normal 4 2 5 7 3" xfId="11037" xr:uid="{7D890957-AE92-4823-8C7E-918F95FD8726}"/>
    <cellStyle name="Normal 4 2 5 8" xfId="4740" xr:uid="{00000000-0005-0000-0000-0000F2130000}"/>
    <cellStyle name="Normal 4 2 5 8 2" xfId="13190" xr:uid="{5BD762F6-BA71-4463-AA84-33870364AF7A}"/>
    <cellStyle name="Normal 4 2 5 9" xfId="8972" xr:uid="{F013BB44-9393-47FD-AB6A-342B5AB23E16}"/>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C32D3352-2FF2-4F65-B523-DA6899481694}"/>
    <cellStyle name="Normal 4 2 6 2 2 3" xfId="11532" xr:uid="{B9583FF1-8AEF-4FD6-8331-3E622709CAE4}"/>
    <cellStyle name="Normal 4 2 6 2 3" xfId="5155" xr:uid="{00000000-0005-0000-0000-0000F7130000}"/>
    <cellStyle name="Normal 4 2 6 2 3 2" xfId="13605" xr:uid="{AA9EDEC9-2E62-4CFE-A4A3-2C1C3170BFA9}"/>
    <cellStyle name="Normal 4 2 6 2 4" xfId="9387" xr:uid="{57B11E8A-012C-477A-A7F1-AB4C69A7995C}"/>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6896D249-9CCC-4585-8984-8E5D78103749}"/>
    <cellStyle name="Normal 4 2 6 3 2 3" xfId="11945" xr:uid="{842A71BF-451B-4321-A118-9A8E0D0FB8E7}"/>
    <cellStyle name="Normal 4 2 6 3 3" xfId="5568" xr:uid="{00000000-0005-0000-0000-0000FB130000}"/>
    <cellStyle name="Normal 4 2 6 3 3 2" xfId="14018" xr:uid="{640F03F0-D98C-4FA1-A956-BF6F02C9FD41}"/>
    <cellStyle name="Normal 4 2 6 3 4" xfId="9800" xr:uid="{C232909D-F836-4E16-B697-381D5281B3C7}"/>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868C117F-D7C9-487A-9BEB-27646C510866}"/>
    <cellStyle name="Normal 4 2 6 4 2 3" xfId="12358" xr:uid="{0A5167FF-D441-4540-84B6-1B9BFAF9C5AD}"/>
    <cellStyle name="Normal 4 2 6 4 3" xfId="5981" xr:uid="{00000000-0005-0000-0000-0000FF130000}"/>
    <cellStyle name="Normal 4 2 6 4 3 2" xfId="14431" xr:uid="{0D2E379F-160D-4346-9ACD-4B27FDCAA08F}"/>
    <cellStyle name="Normal 4 2 6 4 4" xfId="10213" xr:uid="{9CB93242-0C30-4853-9DE8-4C2525DF05E9}"/>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F4405B9A-E189-4244-AB82-04766AFBC83D}"/>
    <cellStyle name="Normal 4 2 6 5 2 3" xfId="12771" xr:uid="{734B29AC-CC8E-4D39-A9AE-5DAB2F0CEEC1}"/>
    <cellStyle name="Normal 4 2 6 5 3" xfId="6394" xr:uid="{00000000-0005-0000-0000-000003140000}"/>
    <cellStyle name="Normal 4 2 6 5 3 2" xfId="14844" xr:uid="{1ADBB266-7133-46A5-AF34-9FD6FBC02BE6}"/>
    <cellStyle name="Normal 4 2 6 5 4" xfId="10626" xr:uid="{685284A8-5AD5-403B-9A64-ACE86DC05CAF}"/>
    <cellStyle name="Normal 4 2 6 6" xfId="2524" xr:uid="{00000000-0005-0000-0000-000004140000}"/>
    <cellStyle name="Normal 4 2 6 6 2" xfId="6807" xr:uid="{00000000-0005-0000-0000-000005140000}"/>
    <cellStyle name="Normal 4 2 6 6 2 2" xfId="15257" xr:uid="{15631B61-BF2A-4428-B0B2-04A24EEC3BC1}"/>
    <cellStyle name="Normal 4 2 6 6 3" xfId="11039" xr:uid="{F7456906-C949-44D2-BDE4-D84DEFAA4872}"/>
    <cellStyle name="Normal 4 2 6 7" xfId="4742" xr:uid="{00000000-0005-0000-0000-000006140000}"/>
    <cellStyle name="Normal 4 2 6 7 2" xfId="13192" xr:uid="{4A782EAB-9E03-43E3-9A1B-1C757B84C18E}"/>
    <cellStyle name="Normal 4 2 6 8" xfId="8974" xr:uid="{5653B4AF-20AB-44FC-AAAD-FCCFAC9C3720}"/>
    <cellStyle name="Normal 4 3" xfId="366" xr:uid="{00000000-0005-0000-0000-000007140000}"/>
    <cellStyle name="Normal 4 3 10" xfId="8975" xr:uid="{5E6F42EE-3D82-4A81-8576-D3F2F18EE3D5}"/>
    <cellStyle name="Normal 4 3 2" xfId="367" xr:uid="{00000000-0005-0000-0000-000008140000}"/>
    <cellStyle name="Normal 4 3 2 2" xfId="368" xr:uid="{00000000-0005-0000-0000-000009140000}"/>
    <cellStyle name="Normal 4 3 2 2 2" xfId="369" xr:uid="{00000000-0005-0000-0000-00000A140000}"/>
    <cellStyle name="Normal 4 3 2 2 2 10" xfId="8976" xr:uid="{AB91DA5A-4E8E-4B0A-974C-8C6A6E6A5559}"/>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AA4A4519-40ED-4352-98D5-2AEF5B148B3C}"/>
    <cellStyle name="Normal 4 3 2 2 2 2 2 2 2 3" xfId="11536" xr:uid="{83CE95CD-0491-4DEC-8575-CF7B780ABAA0}"/>
    <cellStyle name="Normal 4 3 2 2 2 2 2 2 3" xfId="5159" xr:uid="{00000000-0005-0000-0000-000010140000}"/>
    <cellStyle name="Normal 4 3 2 2 2 2 2 2 3 2" xfId="13609" xr:uid="{343A0637-F3A8-4495-9321-72D9F058F61C}"/>
    <cellStyle name="Normal 4 3 2 2 2 2 2 2 4" xfId="9391" xr:uid="{BAC6E917-6B79-4EE3-B604-017D9EA1E90C}"/>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22F56038-37A7-4C4F-8613-811141DBBAAF}"/>
    <cellStyle name="Normal 4 3 2 2 2 2 2 3 2 3" xfId="11949" xr:uid="{AE7B9E57-49B3-443C-8D90-A3424C4821D8}"/>
    <cellStyle name="Normal 4 3 2 2 2 2 2 3 3" xfId="5572" xr:uid="{00000000-0005-0000-0000-000014140000}"/>
    <cellStyle name="Normal 4 3 2 2 2 2 2 3 3 2" xfId="14022" xr:uid="{95B0C322-8F2E-46F3-A6F7-6402342E79A4}"/>
    <cellStyle name="Normal 4 3 2 2 2 2 2 3 4" xfId="9804" xr:uid="{5C37622B-24DA-46E8-ACF5-8F151539FE21}"/>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B2681171-D134-4461-8EE2-15598C2F7736}"/>
    <cellStyle name="Normal 4 3 2 2 2 2 2 4 2 3" xfId="12362" xr:uid="{6568439F-2C1F-478F-9476-7F341A943E1C}"/>
    <cellStyle name="Normal 4 3 2 2 2 2 2 4 3" xfId="5985" xr:uid="{00000000-0005-0000-0000-000018140000}"/>
    <cellStyle name="Normal 4 3 2 2 2 2 2 4 3 2" xfId="14435" xr:uid="{4468FDE5-F6B9-4112-B293-EEF56FCF08B8}"/>
    <cellStyle name="Normal 4 3 2 2 2 2 2 4 4" xfId="10217" xr:uid="{45B3C99B-A0FD-443A-BD9E-4B560C58444A}"/>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8B6E57C3-1216-4349-848B-6490CF4472FF}"/>
    <cellStyle name="Normal 4 3 2 2 2 2 2 5 2 3" xfId="12775" xr:uid="{59BBEF67-86AB-426F-BB22-D7BE7B2A0664}"/>
    <cellStyle name="Normal 4 3 2 2 2 2 2 5 3" xfId="6398" xr:uid="{00000000-0005-0000-0000-00001C140000}"/>
    <cellStyle name="Normal 4 3 2 2 2 2 2 5 3 2" xfId="14848" xr:uid="{B6D09F13-EF02-4735-8096-91BE63DE035F}"/>
    <cellStyle name="Normal 4 3 2 2 2 2 2 5 4" xfId="10630" xr:uid="{37B8E029-2089-4A37-B6EA-3D1D536F9FF1}"/>
    <cellStyle name="Normal 4 3 2 2 2 2 2 6" xfId="2528" xr:uid="{00000000-0005-0000-0000-00001D140000}"/>
    <cellStyle name="Normal 4 3 2 2 2 2 2 6 2" xfId="6811" xr:uid="{00000000-0005-0000-0000-00001E140000}"/>
    <cellStyle name="Normal 4 3 2 2 2 2 2 6 2 2" xfId="15261" xr:uid="{A612BAD4-6422-48E1-BCFE-A4D6BD5798FE}"/>
    <cellStyle name="Normal 4 3 2 2 2 2 2 6 3" xfId="11043" xr:uid="{B5B22557-81C5-4362-B88F-B3864AFFFD96}"/>
    <cellStyle name="Normal 4 3 2 2 2 2 2 7" xfId="4746" xr:uid="{00000000-0005-0000-0000-00001F140000}"/>
    <cellStyle name="Normal 4 3 2 2 2 2 2 7 2" xfId="13196" xr:uid="{2D2CC6A9-AA26-4EDF-94AE-529D77589522}"/>
    <cellStyle name="Normal 4 3 2 2 2 2 2 8" xfId="8978" xr:uid="{80425AA0-0263-4DD3-A68C-AE7D4EB4D1A2}"/>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15AA3DB8-5BFF-41C1-9DE0-367C9851DE8F}"/>
    <cellStyle name="Normal 4 3 2 2 2 2 3 2 3" xfId="11535" xr:uid="{F62E3591-BA71-4069-BA0D-C46D86BF36D7}"/>
    <cellStyle name="Normal 4 3 2 2 2 2 3 3" xfId="5158" xr:uid="{00000000-0005-0000-0000-000023140000}"/>
    <cellStyle name="Normal 4 3 2 2 2 2 3 3 2" xfId="13608" xr:uid="{46AA0C5C-9208-4BD5-A443-396169010A39}"/>
    <cellStyle name="Normal 4 3 2 2 2 2 3 4" xfId="9390" xr:uid="{7037DFC6-7763-45B7-8416-B1DE7CC117CA}"/>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444A1D4F-7E33-4415-BB45-52610C6A2DF7}"/>
    <cellStyle name="Normal 4 3 2 2 2 2 4 2 3" xfId="11948" xr:uid="{7174191F-FBFF-4FF2-B618-4F4493F8E65F}"/>
    <cellStyle name="Normal 4 3 2 2 2 2 4 3" xfId="5571" xr:uid="{00000000-0005-0000-0000-000027140000}"/>
    <cellStyle name="Normal 4 3 2 2 2 2 4 3 2" xfId="14021" xr:uid="{C7A65BA7-6C8F-4C68-8101-82478096E016}"/>
    <cellStyle name="Normal 4 3 2 2 2 2 4 4" xfId="9803" xr:uid="{2791AB45-8935-4B57-B9E1-6AB786968C5C}"/>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647EAFE9-2C78-4113-AD29-23CE4AEB778A}"/>
    <cellStyle name="Normal 4 3 2 2 2 2 5 2 3" xfId="12361" xr:uid="{9249009C-05AD-4E11-9E8B-75E6B6677261}"/>
    <cellStyle name="Normal 4 3 2 2 2 2 5 3" xfId="5984" xr:uid="{00000000-0005-0000-0000-00002B140000}"/>
    <cellStyle name="Normal 4 3 2 2 2 2 5 3 2" xfId="14434" xr:uid="{B7380645-FFAE-4B7E-ABAA-804BE772C69F}"/>
    <cellStyle name="Normal 4 3 2 2 2 2 5 4" xfId="10216" xr:uid="{3FA7B802-DD8E-4A9A-9992-2497AC95AA6B}"/>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63139A83-9D08-4B7D-9696-BBA326E870C8}"/>
    <cellStyle name="Normal 4 3 2 2 2 2 6 2 3" xfId="12774" xr:uid="{81B6A6D4-61B5-46F6-B84D-1147A9FA30CB}"/>
    <cellStyle name="Normal 4 3 2 2 2 2 6 3" xfId="6397" xr:uid="{00000000-0005-0000-0000-00002F140000}"/>
    <cellStyle name="Normal 4 3 2 2 2 2 6 3 2" xfId="14847" xr:uid="{7D5DB888-5155-4FB3-8E11-F5C087D6A8B9}"/>
    <cellStyle name="Normal 4 3 2 2 2 2 6 4" xfId="10629" xr:uid="{7C8243C6-6495-4716-A255-932539954E31}"/>
    <cellStyle name="Normal 4 3 2 2 2 2 7" xfId="2527" xr:uid="{00000000-0005-0000-0000-000030140000}"/>
    <cellStyle name="Normal 4 3 2 2 2 2 7 2" xfId="6810" xr:uid="{00000000-0005-0000-0000-000031140000}"/>
    <cellStyle name="Normal 4 3 2 2 2 2 7 2 2" xfId="15260" xr:uid="{42D28091-2D91-4C33-97FA-8D3A02223EE9}"/>
    <cellStyle name="Normal 4 3 2 2 2 2 7 3" xfId="11042" xr:uid="{F57B5C23-5F3F-43C8-8246-9B0DD3F41C4A}"/>
    <cellStyle name="Normal 4 3 2 2 2 2 8" xfId="4745" xr:uid="{00000000-0005-0000-0000-000032140000}"/>
    <cellStyle name="Normal 4 3 2 2 2 2 8 2" xfId="13195" xr:uid="{46703867-7883-42AB-AB29-8EC4F4F36E71}"/>
    <cellStyle name="Normal 4 3 2 2 2 2 9" xfId="8977" xr:uid="{44F57961-12FD-4AA1-801E-1F653EAA849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00B813E2-7EA9-4E43-9FA3-AEDDC5527DCB}"/>
    <cellStyle name="Normal 4 3 2 2 2 3 2 2 3" xfId="11537" xr:uid="{02C12F0A-C665-4708-96CF-C24263B07E76}"/>
    <cellStyle name="Normal 4 3 2 2 2 3 2 3" xfId="5160" xr:uid="{00000000-0005-0000-0000-000037140000}"/>
    <cellStyle name="Normal 4 3 2 2 2 3 2 3 2" xfId="13610" xr:uid="{535E9CDE-E042-4389-8F8C-B9C1B0CFF7E2}"/>
    <cellStyle name="Normal 4 3 2 2 2 3 2 4" xfId="9392" xr:uid="{D6493802-E2AE-43B8-87D3-4F6F51FBAA9E}"/>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3382A2AB-B48E-45B7-A3C1-8B5E5EB03005}"/>
    <cellStyle name="Normal 4 3 2 2 2 3 3 2 3" xfId="11950" xr:uid="{780E9638-B3FF-4748-B6DA-0F5C88FAA638}"/>
    <cellStyle name="Normal 4 3 2 2 2 3 3 3" xfId="5573" xr:uid="{00000000-0005-0000-0000-00003B140000}"/>
    <cellStyle name="Normal 4 3 2 2 2 3 3 3 2" xfId="14023" xr:uid="{A6E158D6-7E62-42E7-A19F-E55EC5840CE9}"/>
    <cellStyle name="Normal 4 3 2 2 2 3 3 4" xfId="9805" xr:uid="{1B23CF50-D251-4D83-928A-8BD09199DF86}"/>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D65C5433-BF02-4742-AD02-4A3BAF4CAE3B}"/>
    <cellStyle name="Normal 4 3 2 2 2 3 4 2 3" xfId="12363" xr:uid="{4BCE9BC6-8E31-4ED6-A6A1-6C461C84B4AB}"/>
    <cellStyle name="Normal 4 3 2 2 2 3 4 3" xfId="5986" xr:uid="{00000000-0005-0000-0000-00003F140000}"/>
    <cellStyle name="Normal 4 3 2 2 2 3 4 3 2" xfId="14436" xr:uid="{56F506A9-551E-4070-A381-62759A894301}"/>
    <cellStyle name="Normal 4 3 2 2 2 3 4 4" xfId="10218" xr:uid="{66C81780-85A3-46D0-A785-7D2862C379D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D3FB3C25-0A3D-4F44-9F56-DCF86620B951}"/>
    <cellStyle name="Normal 4 3 2 2 2 3 5 2 3" xfId="12776" xr:uid="{8383FD5A-A1A7-4373-B53F-143BFC056780}"/>
    <cellStyle name="Normal 4 3 2 2 2 3 5 3" xfId="6399" xr:uid="{00000000-0005-0000-0000-000043140000}"/>
    <cellStyle name="Normal 4 3 2 2 2 3 5 3 2" xfId="14849" xr:uid="{81AC8002-C187-4CD6-81EE-3311E00FC223}"/>
    <cellStyle name="Normal 4 3 2 2 2 3 5 4" xfId="10631" xr:uid="{0848B1C5-FF51-49A4-B082-4E820ED77298}"/>
    <cellStyle name="Normal 4 3 2 2 2 3 6" xfId="2529" xr:uid="{00000000-0005-0000-0000-000044140000}"/>
    <cellStyle name="Normal 4 3 2 2 2 3 6 2" xfId="6812" xr:uid="{00000000-0005-0000-0000-000045140000}"/>
    <cellStyle name="Normal 4 3 2 2 2 3 6 2 2" xfId="15262" xr:uid="{8886FBF6-EF57-4AF5-8BFA-F8EDE68D2A5A}"/>
    <cellStyle name="Normal 4 3 2 2 2 3 6 3" xfId="11044" xr:uid="{5D1AB74D-FA90-4848-BAD6-3888647360D1}"/>
    <cellStyle name="Normal 4 3 2 2 2 3 7" xfId="4747" xr:uid="{00000000-0005-0000-0000-000046140000}"/>
    <cellStyle name="Normal 4 3 2 2 2 3 7 2" xfId="13197" xr:uid="{3A4E01EA-C382-44A5-B2A8-322DFCF1F0C9}"/>
    <cellStyle name="Normal 4 3 2 2 2 3 8" xfId="8979" xr:uid="{9E228050-4B56-4FA7-BE96-DD3E499B3D1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FC6859EF-4EAF-4923-BFDB-55A5CA579FC7}"/>
    <cellStyle name="Normal 4 3 2 2 2 4 2 3" xfId="11534" xr:uid="{3033769F-2DDD-4A70-BD8D-FB601106D4F6}"/>
    <cellStyle name="Normal 4 3 2 2 2 4 3" xfId="5157" xr:uid="{00000000-0005-0000-0000-00004A140000}"/>
    <cellStyle name="Normal 4 3 2 2 2 4 3 2" xfId="13607" xr:uid="{241DA4A8-4347-4DF7-A710-CDFB238F5D24}"/>
    <cellStyle name="Normal 4 3 2 2 2 4 4" xfId="9389" xr:uid="{C2346EDD-7BBE-4B1D-B671-18493503F8D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9A4D2AF1-9B9A-43C2-8A45-BF6FAA70ACBF}"/>
    <cellStyle name="Normal 4 3 2 2 2 5 2 3" xfId="11947" xr:uid="{2A091CF6-8D04-4A42-8D2D-606960B208C5}"/>
    <cellStyle name="Normal 4 3 2 2 2 5 3" xfId="5570" xr:uid="{00000000-0005-0000-0000-00004E140000}"/>
    <cellStyle name="Normal 4 3 2 2 2 5 3 2" xfId="14020" xr:uid="{7C73E3EF-DC4A-4C7E-A004-839C8CA21A4D}"/>
    <cellStyle name="Normal 4 3 2 2 2 5 4" xfId="9802" xr:uid="{757A1C58-CE21-4EF9-8182-1C6A2932E07C}"/>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3397B3D8-374E-4FDB-ADF1-D746F3A54674}"/>
    <cellStyle name="Normal 4 3 2 2 2 6 2 3" xfId="12360" xr:uid="{F3AA6C32-5A01-475C-8AAB-18F43F190AF4}"/>
    <cellStyle name="Normal 4 3 2 2 2 6 3" xfId="5983" xr:uid="{00000000-0005-0000-0000-000052140000}"/>
    <cellStyle name="Normal 4 3 2 2 2 6 3 2" xfId="14433" xr:uid="{075A06DD-4E6F-4D23-AD02-81156BC3A79A}"/>
    <cellStyle name="Normal 4 3 2 2 2 6 4" xfId="10215" xr:uid="{AA15EAF0-39FB-47E2-B5C5-7955F154900A}"/>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90001BA7-DD07-4E40-8C77-B6A87EAC8F8A}"/>
    <cellStyle name="Normal 4 3 2 2 2 7 2 3" xfId="12773" xr:uid="{20E4EEBC-BDD5-411F-9B45-75591AF1F815}"/>
    <cellStyle name="Normal 4 3 2 2 2 7 3" xfId="6396" xr:uid="{00000000-0005-0000-0000-000056140000}"/>
    <cellStyle name="Normal 4 3 2 2 2 7 3 2" xfId="14846" xr:uid="{709081B3-CD60-4E13-A8AE-9D474732A226}"/>
    <cellStyle name="Normal 4 3 2 2 2 7 4" xfId="10628" xr:uid="{3F8D07F3-4AD8-4E7F-B2FD-A5A5542866ED}"/>
    <cellStyle name="Normal 4 3 2 2 2 8" xfId="2526" xr:uid="{00000000-0005-0000-0000-000057140000}"/>
    <cellStyle name="Normal 4 3 2 2 2 8 2" xfId="6809" xr:uid="{00000000-0005-0000-0000-000058140000}"/>
    <cellStyle name="Normal 4 3 2 2 2 8 2 2" xfId="15259" xr:uid="{02F1C887-15D8-4AFF-9040-3D88E73A107B}"/>
    <cellStyle name="Normal 4 3 2 2 2 8 3" xfId="11041" xr:uid="{1CBA3100-44FA-4503-A940-AAC9927F1239}"/>
    <cellStyle name="Normal 4 3 2 2 2 9" xfId="4744" xr:uid="{00000000-0005-0000-0000-000059140000}"/>
    <cellStyle name="Normal 4 3 2 2 2 9 2" xfId="13194" xr:uid="{0A4EFB02-2756-4CF6-98DE-DAB26E476B7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05B4E36E-6E70-4F45-A2F4-918F27428FD9}"/>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493F5F1C-FC6C-4D1E-92E9-76728BDDFB46}"/>
    <cellStyle name="Normal 4 3 3 2 2 2 2 3" xfId="11540" xr:uid="{DFE0F2EC-3DFB-43A2-B6E6-521A9B97A7D5}"/>
    <cellStyle name="Normal 4 3 3 2 2 2 3" xfId="5163" xr:uid="{00000000-0005-0000-0000-000063140000}"/>
    <cellStyle name="Normal 4 3 3 2 2 2 3 2" xfId="13613" xr:uid="{C073114A-4020-45C6-ABA3-4F12C502F537}"/>
    <cellStyle name="Normal 4 3 3 2 2 2 4" xfId="9395" xr:uid="{8BA0A97C-8862-47D7-9EC7-7EE581B4458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98C76365-8711-40FA-9738-A6536581222A}"/>
    <cellStyle name="Normal 4 3 3 2 2 3 2 3" xfId="11953" xr:uid="{956FA943-C948-486E-9CF8-8757D0289F2E}"/>
    <cellStyle name="Normal 4 3 3 2 2 3 3" xfId="5576" xr:uid="{00000000-0005-0000-0000-000067140000}"/>
    <cellStyle name="Normal 4 3 3 2 2 3 3 2" xfId="14026" xr:uid="{35B1AA21-D67F-4734-AC7A-9E232603D943}"/>
    <cellStyle name="Normal 4 3 3 2 2 3 4" xfId="9808" xr:uid="{3F1F2BD2-8CB3-4293-9E7B-77B87172C1E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04E190C1-62B2-4692-9657-60C25746C744}"/>
    <cellStyle name="Normal 4 3 3 2 2 4 2 3" xfId="12366" xr:uid="{653B02BE-3D3A-43C0-82BE-5625765ECFB8}"/>
    <cellStyle name="Normal 4 3 3 2 2 4 3" xfId="5989" xr:uid="{00000000-0005-0000-0000-00006B140000}"/>
    <cellStyle name="Normal 4 3 3 2 2 4 3 2" xfId="14439" xr:uid="{5E3D5380-8839-443F-B3CC-60AEF996F2DF}"/>
    <cellStyle name="Normal 4 3 3 2 2 4 4" xfId="10221" xr:uid="{37DF0D23-9796-4482-9E91-F4F02F4F2CF7}"/>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3738E6FA-8C2D-4FA1-A702-4AD306B53C55}"/>
    <cellStyle name="Normal 4 3 3 2 2 5 2 3" xfId="12779" xr:uid="{E496E168-2AB4-449F-BA07-32E26690982F}"/>
    <cellStyle name="Normal 4 3 3 2 2 5 3" xfId="6402" xr:uid="{00000000-0005-0000-0000-00006F140000}"/>
    <cellStyle name="Normal 4 3 3 2 2 5 3 2" xfId="14852" xr:uid="{51E7C969-90ED-476A-8945-CD65A72E42FE}"/>
    <cellStyle name="Normal 4 3 3 2 2 5 4" xfId="10634" xr:uid="{A2023729-0A98-4566-B08B-3A99BFC75EAB}"/>
    <cellStyle name="Normal 4 3 3 2 2 6" xfId="2532" xr:uid="{00000000-0005-0000-0000-000070140000}"/>
    <cellStyle name="Normal 4 3 3 2 2 6 2" xfId="6815" xr:uid="{00000000-0005-0000-0000-000071140000}"/>
    <cellStyle name="Normal 4 3 3 2 2 6 2 2" xfId="15265" xr:uid="{FDECCF8F-083F-41FE-8A5A-E3D6712C83D5}"/>
    <cellStyle name="Normal 4 3 3 2 2 6 3" xfId="11047" xr:uid="{7E14D985-95B4-4864-9023-D3D5CB1F16DF}"/>
    <cellStyle name="Normal 4 3 3 2 2 7" xfId="4750" xr:uid="{00000000-0005-0000-0000-000072140000}"/>
    <cellStyle name="Normal 4 3 3 2 2 7 2" xfId="13200" xr:uid="{E477B44E-4F4B-4373-982E-D0FDA9EDCDED}"/>
    <cellStyle name="Normal 4 3 3 2 2 8" xfId="8982" xr:uid="{143B06A0-4A84-4764-B2C8-645929974557}"/>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DEAAF822-657F-40AA-A18F-A4B489A30D2A}"/>
    <cellStyle name="Normal 4 3 3 2 3 2 3" xfId="11539" xr:uid="{163FD261-B5AA-4990-B308-C1831839B931}"/>
    <cellStyle name="Normal 4 3 3 2 3 3" xfId="5162" xr:uid="{00000000-0005-0000-0000-000076140000}"/>
    <cellStyle name="Normal 4 3 3 2 3 3 2" xfId="13612" xr:uid="{7A87786E-390F-4C4A-8632-EF57BBEBF82C}"/>
    <cellStyle name="Normal 4 3 3 2 3 4" xfId="9394" xr:uid="{01CFCFAD-9FD8-4087-8109-96FF13219BA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0F10D081-2DF5-4A37-BC58-FACCEAD0BCFA}"/>
    <cellStyle name="Normal 4 3 3 2 4 2 3" xfId="11952" xr:uid="{A5D0EE12-C92F-44F4-8319-15C88FDF9F6C}"/>
    <cellStyle name="Normal 4 3 3 2 4 3" xfId="5575" xr:uid="{00000000-0005-0000-0000-00007A140000}"/>
    <cellStyle name="Normal 4 3 3 2 4 3 2" xfId="14025" xr:uid="{7825063C-463A-4A1B-987F-8E341CDA3ABA}"/>
    <cellStyle name="Normal 4 3 3 2 4 4" xfId="9807" xr:uid="{727497BC-A640-4770-BE4E-51AC41B7B1A4}"/>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EE7A761B-4F5B-4B73-9595-810A805B7008}"/>
    <cellStyle name="Normal 4 3 3 2 5 2 3" xfId="12365" xr:uid="{14D16B00-2A37-4DE5-98B5-5E2AE172EAF3}"/>
    <cellStyle name="Normal 4 3 3 2 5 3" xfId="5988" xr:uid="{00000000-0005-0000-0000-00007E140000}"/>
    <cellStyle name="Normal 4 3 3 2 5 3 2" xfId="14438" xr:uid="{411DAAC5-6D38-4077-8F6C-4D366658CE74}"/>
    <cellStyle name="Normal 4 3 3 2 5 4" xfId="10220" xr:uid="{EE3B9FAF-A956-4224-9CF4-98DEF7544798}"/>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66C7BEE8-5B22-4113-A836-8C6238A4B0EC}"/>
    <cellStyle name="Normal 4 3 3 2 6 2 3" xfId="12778" xr:uid="{75E7B6E5-4BC6-49D9-A239-1B0D00F6FA2F}"/>
    <cellStyle name="Normal 4 3 3 2 6 3" xfId="6401" xr:uid="{00000000-0005-0000-0000-000082140000}"/>
    <cellStyle name="Normal 4 3 3 2 6 3 2" xfId="14851" xr:uid="{8BB1645A-A963-4EC8-9C99-7C9D09C60401}"/>
    <cellStyle name="Normal 4 3 3 2 6 4" xfId="10633" xr:uid="{D6B0F124-BFE3-4E0F-ACE1-6FB544B5B2DF}"/>
    <cellStyle name="Normal 4 3 3 2 7" xfId="2531" xr:uid="{00000000-0005-0000-0000-000083140000}"/>
    <cellStyle name="Normal 4 3 3 2 7 2" xfId="6814" xr:uid="{00000000-0005-0000-0000-000084140000}"/>
    <cellStyle name="Normal 4 3 3 2 7 2 2" xfId="15264" xr:uid="{B6E68346-6C3E-4DAB-8C82-FC582E3948B6}"/>
    <cellStyle name="Normal 4 3 3 2 7 3" xfId="11046" xr:uid="{FCA65D28-C473-438D-8936-F455CB747398}"/>
    <cellStyle name="Normal 4 3 3 2 8" xfId="4749" xr:uid="{00000000-0005-0000-0000-000085140000}"/>
    <cellStyle name="Normal 4 3 3 2 8 2" xfId="13199" xr:uid="{BEED150D-11D7-46BF-84D4-1297D41C111C}"/>
    <cellStyle name="Normal 4 3 3 2 9" xfId="8981" xr:uid="{E5ABF7A1-E11C-4202-9EE1-F3FCA7BB71B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FD41E9C0-9F1F-43CF-A8F0-6D2379C23C46}"/>
    <cellStyle name="Normal 4 3 3 3 2 2 3" xfId="11541" xr:uid="{AF636474-8CFC-430C-A120-3114E728F30D}"/>
    <cellStyle name="Normal 4 3 3 3 2 3" xfId="5164" xr:uid="{00000000-0005-0000-0000-00008A140000}"/>
    <cellStyle name="Normal 4 3 3 3 2 3 2" xfId="13614" xr:uid="{11A38874-46A3-4481-BC99-109F003F4B9E}"/>
    <cellStyle name="Normal 4 3 3 3 2 4" xfId="9396" xr:uid="{960E562E-8C56-4BBE-94BE-0A2BFAFDAD46}"/>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720DA341-F57D-4888-AB28-87949CB179BD}"/>
    <cellStyle name="Normal 4 3 3 3 3 2 3" xfId="11954" xr:uid="{0D3A0B64-5897-4ED0-AA22-77D1656CB995}"/>
    <cellStyle name="Normal 4 3 3 3 3 3" xfId="5577" xr:uid="{00000000-0005-0000-0000-00008E140000}"/>
    <cellStyle name="Normal 4 3 3 3 3 3 2" xfId="14027" xr:uid="{EC2FEB97-35C2-4642-A1A9-92AFDDC222B4}"/>
    <cellStyle name="Normal 4 3 3 3 3 4" xfId="9809" xr:uid="{5C5DB6E7-B08C-4229-A608-E2AB998894D2}"/>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9CDAE119-BF8F-4345-85B7-1B545FEAD2CE}"/>
    <cellStyle name="Normal 4 3 3 3 4 2 3" xfId="12367" xr:uid="{1DFFCB51-8E85-4A4B-854E-070A6C88E650}"/>
    <cellStyle name="Normal 4 3 3 3 4 3" xfId="5990" xr:uid="{00000000-0005-0000-0000-000092140000}"/>
    <cellStyle name="Normal 4 3 3 3 4 3 2" xfId="14440" xr:uid="{BA554368-D1D4-4908-925E-AD45C10C23ED}"/>
    <cellStyle name="Normal 4 3 3 3 4 4" xfId="10222" xr:uid="{D4021D26-4020-47C6-8F08-89AB7B03814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A2DB1A1E-C90E-47AA-A89E-002B37C7801C}"/>
    <cellStyle name="Normal 4 3 3 3 5 2 3" xfId="12780" xr:uid="{24464623-DC84-4E31-AB73-24B08BFB79FD}"/>
    <cellStyle name="Normal 4 3 3 3 5 3" xfId="6403" xr:uid="{00000000-0005-0000-0000-000096140000}"/>
    <cellStyle name="Normal 4 3 3 3 5 3 2" xfId="14853" xr:uid="{4B1E2610-30B5-4031-8F4E-173B4475B658}"/>
    <cellStyle name="Normal 4 3 3 3 5 4" xfId="10635" xr:uid="{DEC00FC0-A0EE-4C92-901E-CD864F7013AF}"/>
    <cellStyle name="Normal 4 3 3 3 6" xfId="2533" xr:uid="{00000000-0005-0000-0000-000097140000}"/>
    <cellStyle name="Normal 4 3 3 3 6 2" xfId="6816" xr:uid="{00000000-0005-0000-0000-000098140000}"/>
    <cellStyle name="Normal 4 3 3 3 6 2 2" xfId="15266" xr:uid="{4528509E-0D67-4A17-AE3A-ABD179960479}"/>
    <cellStyle name="Normal 4 3 3 3 6 3" xfId="11048" xr:uid="{F4767730-349D-4105-91D0-E3A07D307623}"/>
    <cellStyle name="Normal 4 3 3 3 7" xfId="4751" xr:uid="{00000000-0005-0000-0000-000099140000}"/>
    <cellStyle name="Normal 4 3 3 3 7 2" xfId="13201" xr:uid="{0DF1B28C-69A7-4682-BDBE-572571CB7533}"/>
    <cellStyle name="Normal 4 3 3 3 8" xfId="8983" xr:uid="{9365ACED-6FAF-4E24-AD9F-E074FE353948}"/>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EE921108-C26B-4C82-9D65-D66C65DC864A}"/>
    <cellStyle name="Normal 4 3 3 4 2 3" xfId="11538" xr:uid="{8B88B1F3-FE75-4EDD-95C4-936701EA7A0E}"/>
    <cellStyle name="Normal 4 3 3 4 3" xfId="5161" xr:uid="{00000000-0005-0000-0000-00009D140000}"/>
    <cellStyle name="Normal 4 3 3 4 3 2" xfId="13611" xr:uid="{876F54AB-D845-4592-835F-3D2B06BBDC28}"/>
    <cellStyle name="Normal 4 3 3 4 4" xfId="9393" xr:uid="{1A9E6CF0-ED19-4BE4-A33D-DC012EB56F25}"/>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8DEC87C8-A9A6-41C3-9CF3-38EEEF387311}"/>
    <cellStyle name="Normal 4 3 3 5 2 3" xfId="11951" xr:uid="{69312C23-5155-47C6-9855-06FBB22AB2D7}"/>
    <cellStyle name="Normal 4 3 3 5 3" xfId="5574" xr:uid="{00000000-0005-0000-0000-0000A1140000}"/>
    <cellStyle name="Normal 4 3 3 5 3 2" xfId="14024" xr:uid="{16E6C275-1EBA-4369-8473-A8344CB0630A}"/>
    <cellStyle name="Normal 4 3 3 5 4" xfId="9806" xr:uid="{067741C4-5225-48B4-930B-73DAFA10C58F}"/>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91F0CF85-6CED-4E10-A8CF-806BD4CDD339}"/>
    <cellStyle name="Normal 4 3 3 6 2 3" xfId="12364" xr:uid="{0E3F4B36-70BA-45A7-A4A7-009C407E2601}"/>
    <cellStyle name="Normal 4 3 3 6 3" xfId="5987" xr:uid="{00000000-0005-0000-0000-0000A5140000}"/>
    <cellStyle name="Normal 4 3 3 6 3 2" xfId="14437" xr:uid="{9BD004DF-0E4B-491D-9579-95585984FC76}"/>
    <cellStyle name="Normal 4 3 3 6 4" xfId="10219" xr:uid="{BD201B16-E6FC-4744-8734-8556CDBBFC12}"/>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3CEDE532-DEB0-4023-A3FE-C708CE93F4DE}"/>
    <cellStyle name="Normal 4 3 3 7 2 3" xfId="12777" xr:uid="{B11CFB39-8CE5-44D6-80BD-CC73FE20F1F7}"/>
    <cellStyle name="Normal 4 3 3 7 3" xfId="6400" xr:uid="{00000000-0005-0000-0000-0000A9140000}"/>
    <cellStyle name="Normal 4 3 3 7 3 2" xfId="14850" xr:uid="{06B645E3-BED0-4711-89AF-5FE3CF85A623}"/>
    <cellStyle name="Normal 4 3 3 7 4" xfId="10632" xr:uid="{7EAEF0F5-4BBC-42A8-A426-4211FFF33B8F}"/>
    <cellStyle name="Normal 4 3 3 8" xfId="2530" xr:uid="{00000000-0005-0000-0000-0000AA140000}"/>
    <cellStyle name="Normal 4 3 3 8 2" xfId="6813" xr:uid="{00000000-0005-0000-0000-0000AB140000}"/>
    <cellStyle name="Normal 4 3 3 8 2 2" xfId="15263" xr:uid="{A9B538F7-1192-4B93-9418-49BD4E0198BA}"/>
    <cellStyle name="Normal 4 3 3 8 3" xfId="11045" xr:uid="{62213763-518C-45C8-A120-9CFC3EC73055}"/>
    <cellStyle name="Normal 4 3 3 9" xfId="4748" xr:uid="{00000000-0005-0000-0000-0000AC140000}"/>
    <cellStyle name="Normal 4 3 3 9 2" xfId="13198" xr:uid="{B8DCEEEB-E9C9-490A-99E4-D7876F9CE4F6}"/>
    <cellStyle name="Normal 4 3 4" xfId="842" xr:uid="{00000000-0005-0000-0000-0000AD140000}"/>
    <cellStyle name="Normal 4 3 4 2" xfId="3079" xr:uid="{00000000-0005-0000-0000-0000AE140000}"/>
    <cellStyle name="Normal 4 3 4 2 2" xfId="7301" xr:uid="{00000000-0005-0000-0000-0000AF140000}"/>
    <cellStyle name="Normal 4 3 4 2 2 2" xfId="15751" xr:uid="{2D3A84B2-0AB3-4C32-8D5E-3277E7F7E12D}"/>
    <cellStyle name="Normal 4 3 4 2 3" xfId="11533" xr:uid="{FAC7C372-27C3-4AF2-8121-B061EF1BFC98}"/>
    <cellStyle name="Normal 4 3 4 3" xfId="5156" xr:uid="{00000000-0005-0000-0000-0000B0140000}"/>
    <cellStyle name="Normal 4 3 4 3 2" xfId="13606" xr:uid="{484E559C-75CA-4592-B3C7-9C9324201A5F}"/>
    <cellStyle name="Normal 4 3 4 4" xfId="9388" xr:uid="{C0AB8D7D-9850-4D03-A8D6-6FF3FE08E935}"/>
    <cellStyle name="Normal 4 3 5" xfId="1262" xr:uid="{00000000-0005-0000-0000-0000B1140000}"/>
    <cellStyle name="Normal 4 3 5 2" xfId="3492" xr:uid="{00000000-0005-0000-0000-0000B2140000}"/>
    <cellStyle name="Normal 4 3 5 2 2" xfId="7714" xr:uid="{00000000-0005-0000-0000-0000B3140000}"/>
    <cellStyle name="Normal 4 3 5 2 2 2" xfId="16164" xr:uid="{D132BAAD-3184-4EFC-B9BD-7C37B56BD9B9}"/>
    <cellStyle name="Normal 4 3 5 2 3" xfId="11946" xr:uid="{B1F2309F-B26C-48E8-8514-64CC73901AD3}"/>
    <cellStyle name="Normal 4 3 5 3" xfId="5569" xr:uid="{00000000-0005-0000-0000-0000B4140000}"/>
    <cellStyle name="Normal 4 3 5 3 2" xfId="14019" xr:uid="{ACAB70BB-1CF3-43C1-B720-12E2934CB18B}"/>
    <cellStyle name="Normal 4 3 5 4" xfId="9801" xr:uid="{A4449E38-3732-4BD2-8D1D-3AB5723D6B59}"/>
    <cellStyle name="Normal 4 3 6" xfId="1675" xr:uid="{00000000-0005-0000-0000-0000B5140000}"/>
    <cellStyle name="Normal 4 3 6 2" xfId="3905" xr:uid="{00000000-0005-0000-0000-0000B6140000}"/>
    <cellStyle name="Normal 4 3 6 2 2" xfId="8127" xr:uid="{00000000-0005-0000-0000-0000B7140000}"/>
    <cellStyle name="Normal 4 3 6 2 2 2" xfId="16577" xr:uid="{C65A0889-7046-4740-A3E5-6D0C1A66E56E}"/>
    <cellStyle name="Normal 4 3 6 2 3" xfId="12359" xr:uid="{998C20E2-18DF-4982-A463-37099DB705F5}"/>
    <cellStyle name="Normal 4 3 6 3" xfId="5982" xr:uid="{00000000-0005-0000-0000-0000B8140000}"/>
    <cellStyle name="Normal 4 3 6 3 2" xfId="14432" xr:uid="{1CC10808-D574-4EE7-BFCA-1216261FA931}"/>
    <cellStyle name="Normal 4 3 6 4" xfId="10214" xr:uid="{02347A85-7406-4928-885F-9CCF9073F205}"/>
    <cellStyle name="Normal 4 3 7" xfId="2089" xr:uid="{00000000-0005-0000-0000-0000B9140000}"/>
    <cellStyle name="Normal 4 3 7 2" xfId="4318" xr:uid="{00000000-0005-0000-0000-0000BA140000}"/>
    <cellStyle name="Normal 4 3 7 2 2" xfId="8540" xr:uid="{00000000-0005-0000-0000-0000BB140000}"/>
    <cellStyle name="Normal 4 3 7 2 2 2" xfId="16990" xr:uid="{EDD5B5B9-49E7-4643-8711-24CDC1F54ED8}"/>
    <cellStyle name="Normal 4 3 7 2 3" xfId="12772" xr:uid="{E070A1E3-1F68-4B02-8C90-69DD02431CD1}"/>
    <cellStyle name="Normal 4 3 7 3" xfId="6395" xr:uid="{00000000-0005-0000-0000-0000BC140000}"/>
    <cellStyle name="Normal 4 3 7 3 2" xfId="14845" xr:uid="{86BE22F6-C05D-40FB-A2EA-049BB0D18EF6}"/>
    <cellStyle name="Normal 4 3 7 4" xfId="10627" xr:uid="{6334B51A-2EDF-453E-BA4C-A31F3B74BB91}"/>
    <cellStyle name="Normal 4 3 8" xfId="2525" xr:uid="{00000000-0005-0000-0000-0000BD140000}"/>
    <cellStyle name="Normal 4 3 8 2" xfId="6808" xr:uid="{00000000-0005-0000-0000-0000BE140000}"/>
    <cellStyle name="Normal 4 3 8 2 2" xfId="15258" xr:uid="{9FC94DA5-4811-4411-8A06-850C3DC67F91}"/>
    <cellStyle name="Normal 4 3 8 3" xfId="11040" xr:uid="{06ABDE02-85C8-4023-9D9D-4702B46B6EC7}"/>
    <cellStyle name="Normal 4 3 9" xfId="4743" xr:uid="{00000000-0005-0000-0000-0000BF140000}"/>
    <cellStyle name="Normal 4 3 9 2" xfId="13193" xr:uid="{EC10582C-8E96-4611-8FA7-1EE4E024453A}"/>
    <cellStyle name="Normal 4 4" xfId="378" xr:uid="{00000000-0005-0000-0000-0000C0140000}"/>
    <cellStyle name="Normal 4 4 10" xfId="2534" xr:uid="{00000000-0005-0000-0000-0000C1140000}"/>
    <cellStyle name="Normal 4 4 10 2" xfId="6817" xr:uid="{00000000-0005-0000-0000-0000C2140000}"/>
    <cellStyle name="Normal 4 4 10 2 2" xfId="15267" xr:uid="{58B0396F-0C59-49F1-9413-5905DAD06C77}"/>
    <cellStyle name="Normal 4 4 10 3" xfId="11049" xr:uid="{A1861BF0-6291-4EAD-82FB-B7D887B1A3C7}"/>
    <cellStyle name="Normal 4 4 11" xfId="4752" xr:uid="{00000000-0005-0000-0000-0000C3140000}"/>
    <cellStyle name="Normal 4 4 11 2" xfId="13202" xr:uid="{727FD64D-674A-449B-9A39-DAE89823ABA4}"/>
    <cellStyle name="Normal 4 4 12" xfId="8984" xr:uid="{CE6E0611-F7B0-49D4-827F-0409D8AF6177}"/>
    <cellStyle name="Normal 4 4 2" xfId="379" xr:uid="{00000000-0005-0000-0000-0000C4140000}"/>
    <cellStyle name="Normal 4 4 2 10" xfId="4753" xr:uid="{00000000-0005-0000-0000-0000C5140000}"/>
    <cellStyle name="Normal 4 4 2 10 2" xfId="13203" xr:uid="{4670597B-FD30-4F0A-B1DD-ABAFB8FDC754}"/>
    <cellStyle name="Normal 4 4 2 11" xfId="8985" xr:uid="{27BDC6A1-FE06-467F-BFDA-A3B4E11DE0C4}"/>
    <cellStyle name="Normal 4 4 2 2" xfId="380" xr:uid="{00000000-0005-0000-0000-0000C6140000}"/>
    <cellStyle name="Normal 4 4 2 2 10" xfId="8986" xr:uid="{23ADF74F-EF87-4E97-8294-EBD55765FA98}"/>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079FA50A-8AF2-408A-8277-D0E98499473A}"/>
    <cellStyle name="Normal 4 4 2 2 2 2 2 2 3" xfId="11546" xr:uid="{26B784BC-0237-4675-8EEF-9F23EB328A7C}"/>
    <cellStyle name="Normal 4 4 2 2 2 2 2 3" xfId="5169" xr:uid="{00000000-0005-0000-0000-0000CC140000}"/>
    <cellStyle name="Normal 4 4 2 2 2 2 2 3 2" xfId="13619" xr:uid="{FE471DEA-EAD4-4BC5-9793-751BBADBAAC5}"/>
    <cellStyle name="Normal 4 4 2 2 2 2 2 4" xfId="9401" xr:uid="{939952DD-2D78-49FF-AA32-45A41F75747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0142DE39-FC85-4BB7-91E3-2E1DCDC2842C}"/>
    <cellStyle name="Normal 4 4 2 2 2 2 3 2 3" xfId="11959" xr:uid="{C09A9443-CC01-4312-9A36-A961944ADB35}"/>
    <cellStyle name="Normal 4 4 2 2 2 2 3 3" xfId="5582" xr:uid="{00000000-0005-0000-0000-0000D0140000}"/>
    <cellStyle name="Normal 4 4 2 2 2 2 3 3 2" xfId="14032" xr:uid="{7E616F20-AF7E-47FD-94AE-B9F657596E78}"/>
    <cellStyle name="Normal 4 4 2 2 2 2 3 4" xfId="9814" xr:uid="{3CE62EC3-86EA-47A9-B089-1287F018F94E}"/>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BE3EFFD7-5648-4CB6-B05F-11A5AEBA636E}"/>
    <cellStyle name="Normal 4 4 2 2 2 2 4 2 3" xfId="12372" xr:uid="{360BE30C-0DBE-4DD2-BA14-C58060700AA4}"/>
    <cellStyle name="Normal 4 4 2 2 2 2 4 3" xfId="5995" xr:uid="{00000000-0005-0000-0000-0000D4140000}"/>
    <cellStyle name="Normal 4 4 2 2 2 2 4 3 2" xfId="14445" xr:uid="{09EE9461-1E4E-4E89-BDF2-2BDCB41DDFDA}"/>
    <cellStyle name="Normal 4 4 2 2 2 2 4 4" xfId="10227" xr:uid="{D78D528F-632B-4ACF-8113-B1EF136463AD}"/>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7F035A55-47EB-4C58-AF4E-D0EA06691965}"/>
    <cellStyle name="Normal 4 4 2 2 2 2 5 2 3" xfId="12785" xr:uid="{59D17A1F-8AB1-4538-887B-0D6D3F96670B}"/>
    <cellStyle name="Normal 4 4 2 2 2 2 5 3" xfId="6408" xr:uid="{00000000-0005-0000-0000-0000D8140000}"/>
    <cellStyle name="Normal 4 4 2 2 2 2 5 3 2" xfId="14858" xr:uid="{49C54C82-18D3-4E61-A964-CDC3759A6980}"/>
    <cellStyle name="Normal 4 4 2 2 2 2 5 4" xfId="10640" xr:uid="{215C570E-B173-40F8-A345-C3EEABB7A7BF}"/>
    <cellStyle name="Normal 4 4 2 2 2 2 6" xfId="2538" xr:uid="{00000000-0005-0000-0000-0000D9140000}"/>
    <cellStyle name="Normal 4 4 2 2 2 2 6 2" xfId="6821" xr:uid="{00000000-0005-0000-0000-0000DA140000}"/>
    <cellStyle name="Normal 4 4 2 2 2 2 6 2 2" xfId="15271" xr:uid="{401FB9C7-0F4C-4B35-859C-B9CF1A311FA2}"/>
    <cellStyle name="Normal 4 4 2 2 2 2 6 3" xfId="11053" xr:uid="{9BBD1CF5-CA7E-40F0-9E9F-FC0C32087BB6}"/>
    <cellStyle name="Normal 4 4 2 2 2 2 7" xfId="4756" xr:uid="{00000000-0005-0000-0000-0000DB140000}"/>
    <cellStyle name="Normal 4 4 2 2 2 2 7 2" xfId="13206" xr:uid="{A47E214C-3DDB-4EBF-9C0A-C32CB24F554B}"/>
    <cellStyle name="Normal 4 4 2 2 2 2 8" xfId="8988" xr:uid="{7F58B57B-5EAF-492A-8B65-CD8967182FB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B70810EE-D2C3-4D11-879C-6AE2947116CA}"/>
    <cellStyle name="Normal 4 4 2 2 2 3 2 3" xfId="11545" xr:uid="{9A8EF12A-DDCD-4EB3-BE73-917AD46609D3}"/>
    <cellStyle name="Normal 4 4 2 2 2 3 3" xfId="5168" xr:uid="{00000000-0005-0000-0000-0000DF140000}"/>
    <cellStyle name="Normal 4 4 2 2 2 3 3 2" xfId="13618" xr:uid="{0DDF4DF1-2443-4B16-9A99-6437A0B92587}"/>
    <cellStyle name="Normal 4 4 2 2 2 3 4" xfId="9400" xr:uid="{DE16E3F0-780B-454A-9DA4-9539C06BAFD5}"/>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B2E31D34-F313-411A-8A6D-CABDF808F7D1}"/>
    <cellStyle name="Normal 4 4 2 2 2 4 2 3" xfId="11958" xr:uid="{1C5BD989-2056-43C2-9C64-466795E4688F}"/>
    <cellStyle name="Normal 4 4 2 2 2 4 3" xfId="5581" xr:uid="{00000000-0005-0000-0000-0000E3140000}"/>
    <cellStyle name="Normal 4 4 2 2 2 4 3 2" xfId="14031" xr:uid="{0B3C3F1C-2D87-4A39-A106-DDA8528D6C29}"/>
    <cellStyle name="Normal 4 4 2 2 2 4 4" xfId="9813" xr:uid="{D4273417-BD4F-41C4-AF66-A96B6BBD453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91F201F3-29CA-43F1-BF16-D04DD4E3CC1E}"/>
    <cellStyle name="Normal 4 4 2 2 2 5 2 3" xfId="12371" xr:uid="{DA9F0A74-BC53-4818-A2AF-6254694E80FE}"/>
    <cellStyle name="Normal 4 4 2 2 2 5 3" xfId="5994" xr:uid="{00000000-0005-0000-0000-0000E7140000}"/>
    <cellStyle name="Normal 4 4 2 2 2 5 3 2" xfId="14444" xr:uid="{66C382F9-9D31-4867-93BF-45DB176D1D6D}"/>
    <cellStyle name="Normal 4 4 2 2 2 5 4" xfId="10226" xr:uid="{E59F69ED-7585-4978-9230-55B10967EC0D}"/>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6D8F9B4D-95BA-4F02-9BAD-8A6B1ECABD7D}"/>
    <cellStyle name="Normal 4 4 2 2 2 6 2 3" xfId="12784" xr:uid="{BDE63879-0A0A-4C7B-A8DD-C550F58EF005}"/>
    <cellStyle name="Normal 4 4 2 2 2 6 3" xfId="6407" xr:uid="{00000000-0005-0000-0000-0000EB140000}"/>
    <cellStyle name="Normal 4 4 2 2 2 6 3 2" xfId="14857" xr:uid="{C11ED82A-DBE8-4DE1-B605-FF3875D21A77}"/>
    <cellStyle name="Normal 4 4 2 2 2 6 4" xfId="10639" xr:uid="{28137A42-3C43-45C1-AA58-8548688FFE83}"/>
    <cellStyle name="Normal 4 4 2 2 2 7" xfId="2537" xr:uid="{00000000-0005-0000-0000-0000EC140000}"/>
    <cellStyle name="Normal 4 4 2 2 2 7 2" xfId="6820" xr:uid="{00000000-0005-0000-0000-0000ED140000}"/>
    <cellStyle name="Normal 4 4 2 2 2 7 2 2" xfId="15270" xr:uid="{B6F3069C-A69A-483D-A244-4324E9630159}"/>
    <cellStyle name="Normal 4 4 2 2 2 7 3" xfId="11052" xr:uid="{9729F04E-9759-497F-81CD-99A7F7783FD2}"/>
    <cellStyle name="Normal 4 4 2 2 2 8" xfId="4755" xr:uid="{00000000-0005-0000-0000-0000EE140000}"/>
    <cellStyle name="Normal 4 4 2 2 2 8 2" xfId="13205" xr:uid="{A949BD8C-3E0D-4A40-AA65-9B3C9BD849AF}"/>
    <cellStyle name="Normal 4 4 2 2 2 9" xfId="8987" xr:uid="{1C45B97E-7FAD-4B6E-9499-FE2F0CE041D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4834F620-FF7F-47F0-9FA0-50651C6E0D99}"/>
    <cellStyle name="Normal 4 4 2 2 3 2 2 3" xfId="11547" xr:uid="{517351E7-94A6-4175-977D-7270615538A1}"/>
    <cellStyle name="Normal 4 4 2 2 3 2 3" xfId="5170" xr:uid="{00000000-0005-0000-0000-0000F3140000}"/>
    <cellStyle name="Normal 4 4 2 2 3 2 3 2" xfId="13620" xr:uid="{894FF02A-FE7E-4CFB-858C-CEC72D0D5906}"/>
    <cellStyle name="Normal 4 4 2 2 3 2 4" xfId="9402" xr:uid="{0D0C54FE-B01D-4DE1-ABA2-030D9520AD09}"/>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37C5AE86-4313-45A1-BE8E-792758F18CE3}"/>
    <cellStyle name="Normal 4 4 2 2 3 3 2 3" xfId="11960" xr:uid="{CFC70DCD-16B0-4A40-BA16-35EE24DB5E45}"/>
    <cellStyle name="Normal 4 4 2 2 3 3 3" xfId="5583" xr:uid="{00000000-0005-0000-0000-0000F7140000}"/>
    <cellStyle name="Normal 4 4 2 2 3 3 3 2" xfId="14033" xr:uid="{FBEB9F31-07EB-4E2C-9ACA-DD2482222F14}"/>
    <cellStyle name="Normal 4 4 2 2 3 3 4" xfId="9815" xr:uid="{38530F59-22EE-40A3-A84B-5B7F6CD1723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2ECF361B-03AB-49A3-87AA-761C917FAB9C}"/>
    <cellStyle name="Normal 4 4 2 2 3 4 2 3" xfId="12373" xr:uid="{86B136DA-9E9D-4DF7-9071-AD18FF5A957B}"/>
    <cellStyle name="Normal 4 4 2 2 3 4 3" xfId="5996" xr:uid="{00000000-0005-0000-0000-0000FB140000}"/>
    <cellStyle name="Normal 4 4 2 2 3 4 3 2" xfId="14446" xr:uid="{2D17EA94-B576-4678-BCD9-93F6E9168607}"/>
    <cellStyle name="Normal 4 4 2 2 3 4 4" xfId="10228" xr:uid="{2EB94414-4C46-4ABD-929E-C583FC3FA727}"/>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12329F07-54A7-40E2-8D14-20D8AD5BADC8}"/>
    <cellStyle name="Normal 4 4 2 2 3 5 2 3" xfId="12786" xr:uid="{B6E2DBF9-B207-46E1-AD1B-BC2788612984}"/>
    <cellStyle name="Normal 4 4 2 2 3 5 3" xfId="6409" xr:uid="{00000000-0005-0000-0000-0000FF140000}"/>
    <cellStyle name="Normal 4 4 2 2 3 5 3 2" xfId="14859" xr:uid="{C5343DA0-C35D-4B53-8C67-5AD58365CB5A}"/>
    <cellStyle name="Normal 4 4 2 2 3 5 4" xfId="10641" xr:uid="{8BFE7A37-6982-4927-8452-020C3DBD0FB5}"/>
    <cellStyle name="Normal 4 4 2 2 3 6" xfId="2539" xr:uid="{00000000-0005-0000-0000-000000150000}"/>
    <cellStyle name="Normal 4 4 2 2 3 6 2" xfId="6822" xr:uid="{00000000-0005-0000-0000-000001150000}"/>
    <cellStyle name="Normal 4 4 2 2 3 6 2 2" xfId="15272" xr:uid="{13FDB4A8-0146-49DE-8525-52B00728D4E7}"/>
    <cellStyle name="Normal 4 4 2 2 3 6 3" xfId="11054" xr:uid="{8D80B247-1067-4FF9-897F-CD2CE61C936C}"/>
    <cellStyle name="Normal 4 4 2 2 3 7" xfId="4757" xr:uid="{00000000-0005-0000-0000-000002150000}"/>
    <cellStyle name="Normal 4 4 2 2 3 7 2" xfId="13207" xr:uid="{FB9D7C67-45EA-4324-80B5-8CD1AFCE1887}"/>
    <cellStyle name="Normal 4 4 2 2 3 8" xfId="8989" xr:uid="{868461DA-8630-4796-867B-88EA3BBC8458}"/>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9A6C0394-3FA3-462B-8BAF-35B7F05D7A1E}"/>
    <cellStyle name="Normal 4 4 2 2 4 2 3" xfId="11544" xr:uid="{8025BC8C-B47C-483A-81CC-CD5FA98FCC64}"/>
    <cellStyle name="Normal 4 4 2 2 4 3" xfId="5167" xr:uid="{00000000-0005-0000-0000-000006150000}"/>
    <cellStyle name="Normal 4 4 2 2 4 3 2" xfId="13617" xr:uid="{84EE4AE1-BBB9-417E-8A97-18B56A498C1C}"/>
    <cellStyle name="Normal 4 4 2 2 4 4" xfId="9399" xr:uid="{42721DC7-5981-4BBE-85E5-16633DCE2E41}"/>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BEA213F6-69D5-49FE-AAC0-8B1185D32B38}"/>
    <cellStyle name="Normal 4 4 2 2 5 2 3" xfId="11957" xr:uid="{60BC5063-584D-4A83-A3AB-A2143E27CE39}"/>
    <cellStyle name="Normal 4 4 2 2 5 3" xfId="5580" xr:uid="{00000000-0005-0000-0000-00000A150000}"/>
    <cellStyle name="Normal 4 4 2 2 5 3 2" xfId="14030" xr:uid="{D469043D-AF70-4CBE-AC07-F3143806E5CA}"/>
    <cellStyle name="Normal 4 4 2 2 5 4" xfId="9812" xr:uid="{B741B7A4-DC5B-4021-8240-299800362CB2}"/>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7080F959-322F-419D-BB09-E6EF7CA77EC5}"/>
    <cellStyle name="Normal 4 4 2 2 6 2 3" xfId="12370" xr:uid="{1052C636-A470-4F00-BA7E-A56186D63655}"/>
    <cellStyle name="Normal 4 4 2 2 6 3" xfId="5993" xr:uid="{00000000-0005-0000-0000-00000E150000}"/>
    <cellStyle name="Normal 4 4 2 2 6 3 2" xfId="14443" xr:uid="{5F2A4A53-5ABE-4897-92C1-29BB75231143}"/>
    <cellStyle name="Normal 4 4 2 2 6 4" xfId="10225" xr:uid="{10DA119A-0043-4226-BD50-8F86ED1C0981}"/>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A0BC9924-4BEA-4410-B0FC-194D6DC7E82B}"/>
    <cellStyle name="Normal 4 4 2 2 7 2 3" xfId="12783" xr:uid="{88B481B7-962C-4303-B9A0-ACA0E8EE121C}"/>
    <cellStyle name="Normal 4 4 2 2 7 3" xfId="6406" xr:uid="{00000000-0005-0000-0000-000012150000}"/>
    <cellStyle name="Normal 4 4 2 2 7 3 2" xfId="14856" xr:uid="{05F5EB60-542D-44A1-A001-BC0ED30F8CAE}"/>
    <cellStyle name="Normal 4 4 2 2 7 4" xfId="10638" xr:uid="{C90E470D-9B48-4F56-B53D-25AABB233780}"/>
    <cellStyle name="Normal 4 4 2 2 8" xfId="2536" xr:uid="{00000000-0005-0000-0000-000013150000}"/>
    <cellStyle name="Normal 4 4 2 2 8 2" xfId="6819" xr:uid="{00000000-0005-0000-0000-000014150000}"/>
    <cellStyle name="Normal 4 4 2 2 8 2 2" xfId="15269" xr:uid="{E73CB37D-9A92-439E-BB60-F32A526B76B9}"/>
    <cellStyle name="Normal 4 4 2 2 8 3" xfId="11051" xr:uid="{A8714F43-5171-46FD-80CB-151B61E7979D}"/>
    <cellStyle name="Normal 4 4 2 2 9" xfId="4754" xr:uid="{00000000-0005-0000-0000-000015150000}"/>
    <cellStyle name="Normal 4 4 2 2 9 2" xfId="13204" xr:uid="{B3BEDF76-F820-46F4-9251-F58269001F5D}"/>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25130083-78D7-440E-B785-9D6235D0777D}"/>
    <cellStyle name="Normal 4 4 2 3 2 2 2 3" xfId="11549" xr:uid="{1DAA5F21-38D2-4484-9045-9C610F838D11}"/>
    <cellStyle name="Normal 4 4 2 3 2 2 3" xfId="5172" xr:uid="{00000000-0005-0000-0000-00001B150000}"/>
    <cellStyle name="Normal 4 4 2 3 2 2 3 2" xfId="13622" xr:uid="{0AC36E12-5A9C-484B-840C-DD3F4C5AF949}"/>
    <cellStyle name="Normal 4 4 2 3 2 2 4" xfId="9404" xr:uid="{4DF6AC3D-F551-4BCD-A083-58B325CAC75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98DA9E53-4CE8-4F70-AB21-322F695907F0}"/>
    <cellStyle name="Normal 4 4 2 3 2 3 2 3" xfId="11962" xr:uid="{DFA89BE2-B8CD-4C4E-A62C-35DD0AE3E64A}"/>
    <cellStyle name="Normal 4 4 2 3 2 3 3" xfId="5585" xr:uid="{00000000-0005-0000-0000-00001F150000}"/>
    <cellStyle name="Normal 4 4 2 3 2 3 3 2" xfId="14035" xr:uid="{860FD2C1-0426-4EA9-9FB7-2F6EFEFD1E84}"/>
    <cellStyle name="Normal 4 4 2 3 2 3 4" xfId="9817" xr:uid="{12283FC0-55AA-4CBE-84EC-8A6AFF8D9EC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03B79798-E4CD-41AB-966A-5300A8B0B16E}"/>
    <cellStyle name="Normal 4 4 2 3 2 4 2 3" xfId="12375" xr:uid="{F756CBC6-31F9-4E5F-ACD5-364FD34FDA9B}"/>
    <cellStyle name="Normal 4 4 2 3 2 4 3" xfId="5998" xr:uid="{00000000-0005-0000-0000-000023150000}"/>
    <cellStyle name="Normal 4 4 2 3 2 4 3 2" xfId="14448" xr:uid="{140B96F2-0272-4831-B5C5-D808CE37107B}"/>
    <cellStyle name="Normal 4 4 2 3 2 4 4" xfId="10230" xr:uid="{E809D3F8-BA05-4006-B8D3-8648F4E99645}"/>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2D050895-C4E7-4C6A-82D6-6976E269D3B1}"/>
    <cellStyle name="Normal 4 4 2 3 2 5 2 3" xfId="12788" xr:uid="{9D64956E-85D6-4966-8BDF-391DE427A849}"/>
    <cellStyle name="Normal 4 4 2 3 2 5 3" xfId="6411" xr:uid="{00000000-0005-0000-0000-000027150000}"/>
    <cellStyle name="Normal 4 4 2 3 2 5 3 2" xfId="14861" xr:uid="{2A2DEC43-1336-4D0C-97CE-593FB327907E}"/>
    <cellStyle name="Normal 4 4 2 3 2 5 4" xfId="10643" xr:uid="{4EBC6C5F-F89F-42E8-A47D-1263061907F9}"/>
    <cellStyle name="Normal 4 4 2 3 2 6" xfId="2541" xr:uid="{00000000-0005-0000-0000-000028150000}"/>
    <cellStyle name="Normal 4 4 2 3 2 6 2" xfId="6824" xr:uid="{00000000-0005-0000-0000-000029150000}"/>
    <cellStyle name="Normal 4 4 2 3 2 6 2 2" xfId="15274" xr:uid="{BE756189-4DF1-4DCB-9745-A0B69C860322}"/>
    <cellStyle name="Normal 4 4 2 3 2 6 3" xfId="11056" xr:uid="{EB5BDF8D-E589-45A3-9F55-F0928F90BFFD}"/>
    <cellStyle name="Normal 4 4 2 3 2 7" xfId="4759" xr:uid="{00000000-0005-0000-0000-00002A150000}"/>
    <cellStyle name="Normal 4 4 2 3 2 7 2" xfId="13209" xr:uid="{F928FEEF-93FD-411B-A33C-CC71EEF6C365}"/>
    <cellStyle name="Normal 4 4 2 3 2 8" xfId="8991" xr:uid="{8D177496-4F02-4080-A045-BD0EE379D48B}"/>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04F09B9E-D650-4918-941E-B15DCB6DF1E8}"/>
    <cellStyle name="Normal 4 4 2 3 3 2 3" xfId="11548" xr:uid="{302F3991-F79C-4E29-BEDA-DF09D5D89D0C}"/>
    <cellStyle name="Normal 4 4 2 3 3 3" xfId="5171" xr:uid="{00000000-0005-0000-0000-00002E150000}"/>
    <cellStyle name="Normal 4 4 2 3 3 3 2" xfId="13621" xr:uid="{AFE02AAF-050C-44E0-ABF6-9E380E0D2283}"/>
    <cellStyle name="Normal 4 4 2 3 3 4" xfId="9403" xr:uid="{B1651F4F-8475-452E-AFA4-CA484D5DA3BD}"/>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60698D80-FA64-4DD3-A99C-5945E9531FA1}"/>
    <cellStyle name="Normal 4 4 2 3 4 2 3" xfId="11961" xr:uid="{E5951581-9BE7-491E-80A5-0663AB963A65}"/>
    <cellStyle name="Normal 4 4 2 3 4 3" xfId="5584" xr:uid="{00000000-0005-0000-0000-000032150000}"/>
    <cellStyle name="Normal 4 4 2 3 4 3 2" xfId="14034" xr:uid="{9679CC49-99F4-48C5-9883-261084F661CC}"/>
    <cellStyle name="Normal 4 4 2 3 4 4" xfId="9816" xr:uid="{BCD68681-2721-44B0-87E2-57FCB242AAB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E871511F-2A75-42E1-974B-8E31BA48BE73}"/>
    <cellStyle name="Normal 4 4 2 3 5 2 3" xfId="12374" xr:uid="{39F7D5AE-D780-4304-895D-783C128DF1F9}"/>
    <cellStyle name="Normal 4 4 2 3 5 3" xfId="5997" xr:uid="{00000000-0005-0000-0000-000036150000}"/>
    <cellStyle name="Normal 4 4 2 3 5 3 2" xfId="14447" xr:uid="{38C250C3-F674-4345-B62D-F7BA5CEE376A}"/>
    <cellStyle name="Normal 4 4 2 3 5 4" xfId="10229" xr:uid="{52CECE38-C8CA-4A08-8D59-2C503C98B93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20F5CBDC-62B5-43C3-B0B8-2A193C9D6592}"/>
    <cellStyle name="Normal 4 4 2 3 6 2 3" xfId="12787" xr:uid="{BBDB1C9B-7555-45EE-B074-8027D0040BF0}"/>
    <cellStyle name="Normal 4 4 2 3 6 3" xfId="6410" xr:uid="{00000000-0005-0000-0000-00003A150000}"/>
    <cellStyle name="Normal 4 4 2 3 6 3 2" xfId="14860" xr:uid="{4EE3B829-6362-4760-9355-489312BC2EE1}"/>
    <cellStyle name="Normal 4 4 2 3 6 4" xfId="10642" xr:uid="{2AFC4EFA-B113-4F81-9AE6-AF3C9975450B}"/>
    <cellStyle name="Normal 4 4 2 3 7" xfId="2540" xr:uid="{00000000-0005-0000-0000-00003B150000}"/>
    <cellStyle name="Normal 4 4 2 3 7 2" xfId="6823" xr:uid="{00000000-0005-0000-0000-00003C150000}"/>
    <cellStyle name="Normal 4 4 2 3 7 2 2" xfId="15273" xr:uid="{D06C663C-0522-47F2-BEF7-BFA61B1FA928}"/>
    <cellStyle name="Normal 4 4 2 3 7 3" xfId="11055" xr:uid="{5CC74055-6045-4B54-99AE-BB29ECB0B439}"/>
    <cellStyle name="Normal 4 4 2 3 8" xfId="4758" xr:uid="{00000000-0005-0000-0000-00003D150000}"/>
    <cellStyle name="Normal 4 4 2 3 8 2" xfId="13208" xr:uid="{C499731E-57EF-4FB8-ABEB-52C0381C425B}"/>
    <cellStyle name="Normal 4 4 2 3 9" xfId="8990" xr:uid="{98497BE8-4452-481D-A64D-33A092D6510F}"/>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D2C69A37-8FAA-4FE3-A66E-946B41A64D77}"/>
    <cellStyle name="Normal 4 4 2 4 2 2 3" xfId="11550" xr:uid="{5EE1D43D-F191-4D2D-A604-9849BEF04FDC}"/>
    <cellStyle name="Normal 4 4 2 4 2 3" xfId="5173" xr:uid="{00000000-0005-0000-0000-000042150000}"/>
    <cellStyle name="Normal 4 4 2 4 2 3 2" xfId="13623" xr:uid="{902D2E0A-6E74-4BA4-9AE9-F558DEE4FF06}"/>
    <cellStyle name="Normal 4 4 2 4 2 4" xfId="9405" xr:uid="{515401A8-ADDD-4E0B-A6D4-798896A14F4D}"/>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34D47ECD-55BB-43FE-BFE4-1F2D3F0B5DC0}"/>
    <cellStyle name="Normal 4 4 2 4 3 2 3" xfId="11963" xr:uid="{E0BFD107-F832-4561-A0F5-6D68BD1CED30}"/>
    <cellStyle name="Normal 4 4 2 4 3 3" xfId="5586" xr:uid="{00000000-0005-0000-0000-000046150000}"/>
    <cellStyle name="Normal 4 4 2 4 3 3 2" xfId="14036" xr:uid="{776381AE-3300-464A-B52B-45F2A12A89E6}"/>
    <cellStyle name="Normal 4 4 2 4 3 4" xfId="9818" xr:uid="{F89EF0FC-8878-4F1B-8BE9-EB8137471F91}"/>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3D8A0174-7D1B-4EFE-8887-14AF1C6D1D27}"/>
    <cellStyle name="Normal 4 4 2 4 4 2 3" xfId="12376" xr:uid="{EB17EEEA-A70E-425C-93DD-1A20EDDBDA7B}"/>
    <cellStyle name="Normal 4 4 2 4 4 3" xfId="5999" xr:uid="{00000000-0005-0000-0000-00004A150000}"/>
    <cellStyle name="Normal 4 4 2 4 4 3 2" xfId="14449" xr:uid="{89A90E3D-330A-47BD-8362-BBE6B615D214}"/>
    <cellStyle name="Normal 4 4 2 4 4 4" xfId="10231" xr:uid="{55ECE44F-99B8-4A67-985F-BE0C6154258B}"/>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93E7017C-5FDC-487F-A0F2-79A68545BAE3}"/>
    <cellStyle name="Normal 4 4 2 4 5 2 3" xfId="12789" xr:uid="{BACCABC1-C43C-4D3F-B9D4-4DF0D51125F1}"/>
    <cellStyle name="Normal 4 4 2 4 5 3" xfId="6412" xr:uid="{00000000-0005-0000-0000-00004E150000}"/>
    <cellStyle name="Normal 4 4 2 4 5 3 2" xfId="14862" xr:uid="{94C9BC9C-04D4-4AD4-A1C2-E1526373FE02}"/>
    <cellStyle name="Normal 4 4 2 4 5 4" xfId="10644" xr:uid="{D8FB27A9-E259-4EF7-AE4D-DC0303EB5557}"/>
    <cellStyle name="Normal 4 4 2 4 6" xfId="2542" xr:uid="{00000000-0005-0000-0000-00004F150000}"/>
    <cellStyle name="Normal 4 4 2 4 6 2" xfId="6825" xr:uid="{00000000-0005-0000-0000-000050150000}"/>
    <cellStyle name="Normal 4 4 2 4 6 2 2" xfId="15275" xr:uid="{4AFE5739-D53D-4CBE-A735-5FF70A678F90}"/>
    <cellStyle name="Normal 4 4 2 4 6 3" xfId="11057" xr:uid="{FCA10240-54DD-4B00-9E56-BE24A0E3E931}"/>
    <cellStyle name="Normal 4 4 2 4 7" xfId="4760" xr:uid="{00000000-0005-0000-0000-000051150000}"/>
    <cellStyle name="Normal 4 4 2 4 7 2" xfId="13210" xr:uid="{8021C12E-FA1C-4323-850F-813CA176E89D}"/>
    <cellStyle name="Normal 4 4 2 4 8" xfId="8992" xr:uid="{5CAF191A-24F2-4ED8-B9C6-E5BAC3B77878}"/>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21FFD329-7862-4B8F-B822-4463F02A5DBE}"/>
    <cellStyle name="Normal 4 4 2 5 2 3" xfId="11543" xr:uid="{0DE58716-23F0-44AD-A6C0-5FB489BC934A}"/>
    <cellStyle name="Normal 4 4 2 5 3" xfId="5166" xr:uid="{00000000-0005-0000-0000-000055150000}"/>
    <cellStyle name="Normal 4 4 2 5 3 2" xfId="13616" xr:uid="{8343A13F-B774-47C7-8F1E-003A1B383F66}"/>
    <cellStyle name="Normal 4 4 2 5 4" xfId="9398" xr:uid="{E766D96D-4614-48F4-A2C6-EB2CDC3FD497}"/>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5EABCD24-94D6-4163-ABFA-202E53ED0628}"/>
    <cellStyle name="Normal 4 4 2 6 2 3" xfId="11956" xr:uid="{4AFBB45C-77D8-48D4-BFDA-35C63FA3D8CC}"/>
    <cellStyle name="Normal 4 4 2 6 3" xfId="5579" xr:uid="{00000000-0005-0000-0000-000059150000}"/>
    <cellStyle name="Normal 4 4 2 6 3 2" xfId="14029" xr:uid="{6DD29232-6779-4ADC-99C7-7A06CBC01C75}"/>
    <cellStyle name="Normal 4 4 2 6 4" xfId="9811" xr:uid="{3A923CD0-35C2-428B-BA10-A9E65408A6CC}"/>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F8A5A70A-9DD8-4F7E-9428-1EA58B38D54A}"/>
    <cellStyle name="Normal 4 4 2 7 2 3" xfId="12369" xr:uid="{A5FEADAC-23A2-4418-86A1-FE98B7F0C1EE}"/>
    <cellStyle name="Normal 4 4 2 7 3" xfId="5992" xr:uid="{00000000-0005-0000-0000-00005D150000}"/>
    <cellStyle name="Normal 4 4 2 7 3 2" xfId="14442" xr:uid="{BF9D6C8D-A2D3-44C5-B5A0-3CF349EF43B7}"/>
    <cellStyle name="Normal 4 4 2 7 4" xfId="10224" xr:uid="{7AF345E9-F733-4ACD-BFE6-12B03A1D0602}"/>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BD18123D-D4ED-40D2-B41F-F44271EFF4B2}"/>
    <cellStyle name="Normal 4 4 2 8 2 3" xfId="12782" xr:uid="{45BEA569-29E1-454B-854C-EF147CEB1F16}"/>
    <cellStyle name="Normal 4 4 2 8 3" xfId="6405" xr:uid="{00000000-0005-0000-0000-000061150000}"/>
    <cellStyle name="Normal 4 4 2 8 3 2" xfId="14855" xr:uid="{79EC87D4-9D1B-4D9B-9065-26DA46FF4E38}"/>
    <cellStyle name="Normal 4 4 2 8 4" xfId="10637" xr:uid="{254A25A5-A9AB-4480-9281-DE8A4A5D685A}"/>
    <cellStyle name="Normal 4 4 2 9" xfId="2535" xr:uid="{00000000-0005-0000-0000-000062150000}"/>
    <cellStyle name="Normal 4 4 2 9 2" xfId="6818" xr:uid="{00000000-0005-0000-0000-000063150000}"/>
    <cellStyle name="Normal 4 4 2 9 2 2" xfId="15268" xr:uid="{A2D39F8D-03C3-46AE-AAAA-4EB45677B4E9}"/>
    <cellStyle name="Normal 4 4 2 9 3" xfId="11050" xr:uid="{C691EE71-1411-4B39-A39D-98CA3E722785}"/>
    <cellStyle name="Normal 4 4 3" xfId="387" xr:uid="{00000000-0005-0000-0000-000064150000}"/>
    <cellStyle name="Normal 4 4 3 10" xfId="8993" xr:uid="{E26B48C9-2D59-4563-B274-3064D09DC14E}"/>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6270B8D4-8D38-4D7F-8C8B-B9AABC6B2610}"/>
    <cellStyle name="Normal 4 4 3 2 2 2 2 3" xfId="11553" xr:uid="{4E6D02C9-598F-44BC-8D55-C3E4F4C61A69}"/>
    <cellStyle name="Normal 4 4 3 2 2 2 3" xfId="5176" xr:uid="{00000000-0005-0000-0000-00006A150000}"/>
    <cellStyle name="Normal 4 4 3 2 2 2 3 2" xfId="13626" xr:uid="{96DE3A23-0720-41B7-9540-6743A8E74564}"/>
    <cellStyle name="Normal 4 4 3 2 2 2 4" xfId="9408" xr:uid="{9DDC5A59-3BA3-4286-BD31-FA46E6AA0D4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4CE1E16B-84B3-4A15-9283-31689E130BA4}"/>
    <cellStyle name="Normal 4 4 3 2 2 3 2 3" xfId="11966" xr:uid="{7D939141-ACA9-48A8-A4E1-2E09FCFB5965}"/>
    <cellStyle name="Normal 4 4 3 2 2 3 3" xfId="5589" xr:uid="{00000000-0005-0000-0000-00006E150000}"/>
    <cellStyle name="Normal 4 4 3 2 2 3 3 2" xfId="14039" xr:uid="{ADD597B1-7083-47D2-8686-2CD784B951AD}"/>
    <cellStyle name="Normal 4 4 3 2 2 3 4" xfId="9821" xr:uid="{89351F9F-9DF9-4C17-860D-57E1B73F2F72}"/>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BE404B13-1B1C-42BF-A782-E0B71637EE35}"/>
    <cellStyle name="Normal 4 4 3 2 2 4 2 3" xfId="12379" xr:uid="{83A87239-8D8F-4F79-A14D-C665F85A0E71}"/>
    <cellStyle name="Normal 4 4 3 2 2 4 3" xfId="6002" xr:uid="{00000000-0005-0000-0000-000072150000}"/>
    <cellStyle name="Normal 4 4 3 2 2 4 3 2" xfId="14452" xr:uid="{EE2732FB-E20F-4B53-92AF-D0BEDE0FE2EB}"/>
    <cellStyle name="Normal 4 4 3 2 2 4 4" xfId="10234" xr:uid="{5C8F5040-6A4C-4EF4-A6C2-4BFA1B506492}"/>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6A1C9348-60C4-4680-8FD2-D6A6C408188A}"/>
    <cellStyle name="Normal 4 4 3 2 2 5 2 3" xfId="12792" xr:uid="{111CFD61-5B14-4594-90E0-9D93EE18438C}"/>
    <cellStyle name="Normal 4 4 3 2 2 5 3" xfId="6415" xr:uid="{00000000-0005-0000-0000-000076150000}"/>
    <cellStyle name="Normal 4 4 3 2 2 5 3 2" xfId="14865" xr:uid="{8F179B2D-54A0-4EAD-8BB8-9D6F92A61ED1}"/>
    <cellStyle name="Normal 4 4 3 2 2 5 4" xfId="10647" xr:uid="{41ED2ADD-D42E-40F0-B00B-3D967B31AC45}"/>
    <cellStyle name="Normal 4 4 3 2 2 6" xfId="2545" xr:uid="{00000000-0005-0000-0000-000077150000}"/>
    <cellStyle name="Normal 4 4 3 2 2 6 2" xfId="6828" xr:uid="{00000000-0005-0000-0000-000078150000}"/>
    <cellStyle name="Normal 4 4 3 2 2 6 2 2" xfId="15278" xr:uid="{F32009D1-667A-451D-977E-797501A0F245}"/>
    <cellStyle name="Normal 4 4 3 2 2 6 3" xfId="11060" xr:uid="{BD3C0E3C-E9DE-4DCD-B049-D7F2A0547C57}"/>
    <cellStyle name="Normal 4 4 3 2 2 7" xfId="4763" xr:uid="{00000000-0005-0000-0000-000079150000}"/>
    <cellStyle name="Normal 4 4 3 2 2 7 2" xfId="13213" xr:uid="{FB8AC425-DF6D-4EA3-A703-54885B748A66}"/>
    <cellStyle name="Normal 4 4 3 2 2 8" xfId="8995" xr:uid="{E8ED4069-9C83-48AE-8096-BD6487D3489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0C4B00C9-3881-4E0C-BABD-CFC4D661CBC8}"/>
    <cellStyle name="Normal 4 4 3 2 3 2 3" xfId="11552" xr:uid="{D503E157-CD93-4030-B14F-1649767D6E3E}"/>
    <cellStyle name="Normal 4 4 3 2 3 3" xfId="5175" xr:uid="{00000000-0005-0000-0000-00007D150000}"/>
    <cellStyle name="Normal 4 4 3 2 3 3 2" xfId="13625" xr:uid="{B15F0F4C-AB56-42D9-A9C6-D7D410B96665}"/>
    <cellStyle name="Normal 4 4 3 2 3 4" xfId="9407" xr:uid="{87251AD2-6947-463A-BF0A-6FC2D760EBC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BBC438EE-A993-4704-BB1C-987C10498B85}"/>
    <cellStyle name="Normal 4 4 3 2 4 2 3" xfId="11965" xr:uid="{8F594DE0-1BCD-42DA-94B0-4DD7195795B5}"/>
    <cellStyle name="Normal 4 4 3 2 4 3" xfId="5588" xr:uid="{00000000-0005-0000-0000-000081150000}"/>
    <cellStyle name="Normal 4 4 3 2 4 3 2" xfId="14038" xr:uid="{CABFB47C-8AAE-4C1D-9B01-C31C88290C85}"/>
    <cellStyle name="Normal 4 4 3 2 4 4" xfId="9820" xr:uid="{F69630C0-4F33-49A4-BF28-DF2EF45E6DE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EF8CB7EC-5FFB-45BF-B7C6-D865F65E37BA}"/>
    <cellStyle name="Normal 4 4 3 2 5 2 3" xfId="12378" xr:uid="{C380663E-08C5-4B14-86AF-A04226D22D5D}"/>
    <cellStyle name="Normal 4 4 3 2 5 3" xfId="6001" xr:uid="{00000000-0005-0000-0000-000085150000}"/>
    <cellStyle name="Normal 4 4 3 2 5 3 2" xfId="14451" xr:uid="{14CD7E13-D35D-47CB-B329-50AA01CEED9D}"/>
    <cellStyle name="Normal 4 4 3 2 5 4" xfId="10233" xr:uid="{5457DB64-193F-4A54-803E-B3B3FC488701}"/>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0C46850F-87F3-49BF-A627-B0EA80B32BEA}"/>
    <cellStyle name="Normal 4 4 3 2 6 2 3" xfId="12791" xr:uid="{05B7E476-B967-48B8-A8B6-F6937496D721}"/>
    <cellStyle name="Normal 4 4 3 2 6 3" xfId="6414" xr:uid="{00000000-0005-0000-0000-000089150000}"/>
    <cellStyle name="Normal 4 4 3 2 6 3 2" xfId="14864" xr:uid="{FE2720D0-49B4-458D-963D-D6E055D417D5}"/>
    <cellStyle name="Normal 4 4 3 2 6 4" xfId="10646" xr:uid="{20FE3156-59F0-4FE7-A29D-7888D4981D49}"/>
    <cellStyle name="Normal 4 4 3 2 7" xfId="2544" xr:uid="{00000000-0005-0000-0000-00008A150000}"/>
    <cellStyle name="Normal 4 4 3 2 7 2" xfId="6827" xr:uid="{00000000-0005-0000-0000-00008B150000}"/>
    <cellStyle name="Normal 4 4 3 2 7 2 2" xfId="15277" xr:uid="{20C22BF3-2468-41CF-B619-64A52A79EE5B}"/>
    <cellStyle name="Normal 4 4 3 2 7 3" xfId="11059" xr:uid="{91B9C319-4A9B-45B5-B7DC-114D438C7EEC}"/>
    <cellStyle name="Normal 4 4 3 2 8" xfId="4762" xr:uid="{00000000-0005-0000-0000-00008C150000}"/>
    <cellStyle name="Normal 4 4 3 2 8 2" xfId="13212" xr:uid="{6E1AA5D6-DED2-4B3A-BD12-83E9FEF1AC5E}"/>
    <cellStyle name="Normal 4 4 3 2 9" xfId="8994" xr:uid="{B8D5B64C-B41B-4271-B7E1-03BA5409DFD9}"/>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D34D88A7-6643-4C42-8EE4-58DA8E6A4074}"/>
    <cellStyle name="Normal 4 4 3 3 2 2 3" xfId="11554" xr:uid="{44279D46-D182-499D-86B1-7495E43CD522}"/>
    <cellStyle name="Normal 4 4 3 3 2 3" xfId="5177" xr:uid="{00000000-0005-0000-0000-000091150000}"/>
    <cellStyle name="Normal 4 4 3 3 2 3 2" xfId="13627" xr:uid="{559DD7B4-294B-47EE-AAC6-E90565692054}"/>
    <cellStyle name="Normal 4 4 3 3 2 4" xfId="9409" xr:uid="{51D8530A-80A5-4C36-9EBA-1EDD534C2716}"/>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F3F21490-5A3F-435B-9E79-5A8C0DEFA41A}"/>
    <cellStyle name="Normal 4 4 3 3 3 2 3" xfId="11967" xr:uid="{A4FDD9EA-8F1C-4762-8461-2E0A9C00A5D2}"/>
    <cellStyle name="Normal 4 4 3 3 3 3" xfId="5590" xr:uid="{00000000-0005-0000-0000-000095150000}"/>
    <cellStyle name="Normal 4 4 3 3 3 3 2" xfId="14040" xr:uid="{04B02178-ACDE-4EEF-BF17-C1F183B0DC4C}"/>
    <cellStyle name="Normal 4 4 3 3 3 4" xfId="9822" xr:uid="{201AD02C-337C-43BB-B3D5-255AF20A4404}"/>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80086EC6-6BAB-46EB-928B-A829616371AF}"/>
    <cellStyle name="Normal 4 4 3 3 4 2 3" xfId="12380" xr:uid="{E6CD7FAF-B7C9-43AD-BA62-9682A828FA3E}"/>
    <cellStyle name="Normal 4 4 3 3 4 3" xfId="6003" xr:uid="{00000000-0005-0000-0000-000099150000}"/>
    <cellStyle name="Normal 4 4 3 3 4 3 2" xfId="14453" xr:uid="{D48B5FE9-FB78-4E97-AAAB-96686724C02A}"/>
    <cellStyle name="Normal 4 4 3 3 4 4" xfId="10235" xr:uid="{B7CA0EF1-07B7-4D77-9DD7-7D5A6FF6EF45}"/>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EBDD044B-9174-472A-A9AF-31E4B68BD01D}"/>
    <cellStyle name="Normal 4 4 3 3 5 2 3" xfId="12793" xr:uid="{FE1F9277-5B89-4D8C-AF0D-DBAA202F5F7F}"/>
    <cellStyle name="Normal 4 4 3 3 5 3" xfId="6416" xr:uid="{00000000-0005-0000-0000-00009D150000}"/>
    <cellStyle name="Normal 4 4 3 3 5 3 2" xfId="14866" xr:uid="{57CA9FA3-6F19-4866-8DC1-61E5F0C517F5}"/>
    <cellStyle name="Normal 4 4 3 3 5 4" xfId="10648" xr:uid="{03C17208-AA92-49C2-919D-66D2CA19EC25}"/>
    <cellStyle name="Normal 4 4 3 3 6" xfId="2546" xr:uid="{00000000-0005-0000-0000-00009E150000}"/>
    <cellStyle name="Normal 4 4 3 3 6 2" xfId="6829" xr:uid="{00000000-0005-0000-0000-00009F150000}"/>
    <cellStyle name="Normal 4 4 3 3 6 2 2" xfId="15279" xr:uid="{BB0C534F-7E9D-4FF2-97DD-10C0D2E23CB9}"/>
    <cellStyle name="Normal 4 4 3 3 6 3" xfId="11061" xr:uid="{9F432D4F-4076-410B-9FCD-E2FE78E004EE}"/>
    <cellStyle name="Normal 4 4 3 3 7" xfId="4764" xr:uid="{00000000-0005-0000-0000-0000A0150000}"/>
    <cellStyle name="Normal 4 4 3 3 7 2" xfId="13214" xr:uid="{AC191DE0-C556-4E37-B57E-DFD8B5005766}"/>
    <cellStyle name="Normal 4 4 3 3 8" xfId="8996" xr:uid="{080C5ACC-76A5-4231-8D50-24D2564D5AFB}"/>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8AB4EFBF-3553-4DDB-B9FF-196C7F5AA614}"/>
    <cellStyle name="Normal 4 4 3 4 2 3" xfId="11551" xr:uid="{13F7FA60-6D5D-4B4E-ADA8-BE9842278675}"/>
    <cellStyle name="Normal 4 4 3 4 3" xfId="5174" xr:uid="{00000000-0005-0000-0000-0000A4150000}"/>
    <cellStyle name="Normal 4 4 3 4 3 2" xfId="13624" xr:uid="{CCF3876B-CD5A-4997-801C-D9287A2DC6CC}"/>
    <cellStyle name="Normal 4 4 3 4 4" xfId="9406" xr:uid="{F78F3140-45FC-45FF-A323-C5138DB1B575}"/>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E6583995-8B3C-42A9-9259-9B36997216A5}"/>
    <cellStyle name="Normal 4 4 3 5 2 3" xfId="11964" xr:uid="{DDC765E7-C6D8-46A2-8E07-C1E223037768}"/>
    <cellStyle name="Normal 4 4 3 5 3" xfId="5587" xr:uid="{00000000-0005-0000-0000-0000A8150000}"/>
    <cellStyle name="Normal 4 4 3 5 3 2" xfId="14037" xr:uid="{4CDA2480-68C0-406F-9D6A-CADDE90C82AE}"/>
    <cellStyle name="Normal 4 4 3 5 4" xfId="9819" xr:uid="{0992440E-5CFB-47F1-9AD4-89C3A3E3C3DE}"/>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37D18BDF-BA28-4CA8-A6A7-3B55ED0306BB}"/>
    <cellStyle name="Normal 4 4 3 6 2 3" xfId="12377" xr:uid="{B4432071-FBF6-4F58-B016-F53897C86AF5}"/>
    <cellStyle name="Normal 4 4 3 6 3" xfId="6000" xr:uid="{00000000-0005-0000-0000-0000AC150000}"/>
    <cellStyle name="Normal 4 4 3 6 3 2" xfId="14450" xr:uid="{86704E50-08B9-4952-9259-B077F6985873}"/>
    <cellStyle name="Normal 4 4 3 6 4" xfId="10232" xr:uid="{1D236B2A-FF87-433A-8380-984666E6F4F9}"/>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712F3D7B-39E1-4F52-A2F8-94E7C6753ACF}"/>
    <cellStyle name="Normal 4 4 3 7 2 3" xfId="12790" xr:uid="{0E1A9B0A-68AA-4078-B90F-F319DF81F4F5}"/>
    <cellStyle name="Normal 4 4 3 7 3" xfId="6413" xr:uid="{00000000-0005-0000-0000-0000B0150000}"/>
    <cellStyle name="Normal 4 4 3 7 3 2" xfId="14863" xr:uid="{87FC4257-9C55-4447-AAA7-04381D06E456}"/>
    <cellStyle name="Normal 4 4 3 7 4" xfId="10645" xr:uid="{516E0134-FDB2-4997-A220-41BA3AB913E7}"/>
    <cellStyle name="Normal 4 4 3 8" xfId="2543" xr:uid="{00000000-0005-0000-0000-0000B1150000}"/>
    <cellStyle name="Normal 4 4 3 8 2" xfId="6826" xr:uid="{00000000-0005-0000-0000-0000B2150000}"/>
    <cellStyle name="Normal 4 4 3 8 2 2" xfId="15276" xr:uid="{F422CDBF-D5DA-4AC4-8F64-415FA1E87A57}"/>
    <cellStyle name="Normal 4 4 3 8 3" xfId="11058" xr:uid="{5ACB50AC-D96F-4931-B54D-1600B00B0EC2}"/>
    <cellStyle name="Normal 4 4 3 9" xfId="4761" xr:uid="{00000000-0005-0000-0000-0000B3150000}"/>
    <cellStyle name="Normal 4 4 3 9 2" xfId="13211" xr:uid="{9673D047-DAF1-488B-83AE-11485F5DDB84}"/>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7261C3F4-ACE9-42EF-92B4-B8FE3D460D77}"/>
    <cellStyle name="Normal 4 4 4 2 2 2 3" xfId="11556" xr:uid="{4B3B9353-490A-44F1-8DC1-1282B50B35E3}"/>
    <cellStyle name="Normal 4 4 4 2 2 3" xfId="5179" xr:uid="{00000000-0005-0000-0000-0000B9150000}"/>
    <cellStyle name="Normal 4 4 4 2 2 3 2" xfId="13629" xr:uid="{15637C99-5E94-48DC-8EDB-98AF39C0F368}"/>
    <cellStyle name="Normal 4 4 4 2 2 4" xfId="9411" xr:uid="{E10EA375-94AE-40AA-A270-9BC9D73A58ED}"/>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7D2C6368-1548-4252-BDA0-3E8E070936E0}"/>
    <cellStyle name="Normal 4 4 4 2 3 2 3" xfId="11969" xr:uid="{86E3F9D0-8430-485E-A9C6-EC9EE1BD8217}"/>
    <cellStyle name="Normal 4 4 4 2 3 3" xfId="5592" xr:uid="{00000000-0005-0000-0000-0000BD150000}"/>
    <cellStyle name="Normal 4 4 4 2 3 3 2" xfId="14042" xr:uid="{A9F448B2-251A-47A6-8896-DF408F3E6EEA}"/>
    <cellStyle name="Normal 4 4 4 2 3 4" xfId="9824" xr:uid="{C9A79D02-9D29-4E4D-B250-CE693A74B2C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E9F3341F-6C42-4F5F-B89E-9F171E38E10D}"/>
    <cellStyle name="Normal 4 4 4 2 4 2 3" xfId="12382" xr:uid="{12362894-2D39-4ED5-96EA-821278C19F94}"/>
    <cellStyle name="Normal 4 4 4 2 4 3" xfId="6005" xr:uid="{00000000-0005-0000-0000-0000C1150000}"/>
    <cellStyle name="Normal 4 4 4 2 4 3 2" xfId="14455" xr:uid="{91632918-3FCB-49AB-BECD-3819E88F881B}"/>
    <cellStyle name="Normal 4 4 4 2 4 4" xfId="10237" xr:uid="{91335DC5-0875-41AF-91A6-7FC578A77766}"/>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01BA7BBC-D7B8-4433-A093-161ECA54DF75}"/>
    <cellStyle name="Normal 4 4 4 2 5 2 3" xfId="12795" xr:uid="{CFDD275D-F4AF-4E7F-B462-6D65509DDF80}"/>
    <cellStyle name="Normal 4 4 4 2 5 3" xfId="6418" xr:uid="{00000000-0005-0000-0000-0000C5150000}"/>
    <cellStyle name="Normal 4 4 4 2 5 3 2" xfId="14868" xr:uid="{7DE6B6DB-97FA-4255-A05E-2B9DB36DCDF6}"/>
    <cellStyle name="Normal 4 4 4 2 5 4" xfId="10650" xr:uid="{98463D1B-9C67-46BA-9C9A-262490FC3835}"/>
    <cellStyle name="Normal 4 4 4 2 6" xfId="2548" xr:uid="{00000000-0005-0000-0000-0000C6150000}"/>
    <cellStyle name="Normal 4 4 4 2 6 2" xfId="6831" xr:uid="{00000000-0005-0000-0000-0000C7150000}"/>
    <cellStyle name="Normal 4 4 4 2 6 2 2" xfId="15281" xr:uid="{74ED0773-35C8-4976-8DD5-5D423CE0EF98}"/>
    <cellStyle name="Normal 4 4 4 2 6 3" xfId="11063" xr:uid="{9474E4E0-3AA7-40AC-95C0-2F0F04CEAA02}"/>
    <cellStyle name="Normal 4 4 4 2 7" xfId="4766" xr:uid="{00000000-0005-0000-0000-0000C8150000}"/>
    <cellStyle name="Normal 4 4 4 2 7 2" xfId="13216" xr:uid="{E4F5B9F3-F195-451B-B9AB-DFAAB90E3284}"/>
    <cellStyle name="Normal 4 4 4 2 8" xfId="8998" xr:uid="{42B2749E-B5ED-4BFA-84DE-CA869066F252}"/>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82C62268-5F69-4508-89DB-36C5FF794ACE}"/>
    <cellStyle name="Normal 4 4 4 3 2 3" xfId="11555" xr:uid="{61449D7D-3BB8-4470-9894-8A893B2DC373}"/>
    <cellStyle name="Normal 4 4 4 3 3" xfId="5178" xr:uid="{00000000-0005-0000-0000-0000CC150000}"/>
    <cellStyle name="Normal 4 4 4 3 3 2" xfId="13628" xr:uid="{034CA51A-F39E-4DA4-93CD-487FA024F32C}"/>
    <cellStyle name="Normal 4 4 4 3 4" xfId="9410" xr:uid="{0EF9A6A8-F57C-4E4B-B108-E4DC390E77C3}"/>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02EA6D53-9AA9-4886-B092-12EB4F8F923D}"/>
    <cellStyle name="Normal 4 4 4 4 2 3" xfId="11968" xr:uid="{1B2EEDA2-F72D-4F03-8126-238C163DD63A}"/>
    <cellStyle name="Normal 4 4 4 4 3" xfId="5591" xr:uid="{00000000-0005-0000-0000-0000D0150000}"/>
    <cellStyle name="Normal 4 4 4 4 3 2" xfId="14041" xr:uid="{053A54F3-3472-43BF-A158-F6493AE99955}"/>
    <cellStyle name="Normal 4 4 4 4 4" xfId="9823" xr:uid="{D0F2107C-3A77-47D7-830D-77D05E343C24}"/>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1690CF4D-9A9E-4A22-BC6D-B63DE05E7040}"/>
    <cellStyle name="Normal 4 4 4 5 2 3" xfId="12381" xr:uid="{AB207396-CE3C-43BC-98CE-8C7CAB16C86A}"/>
    <cellStyle name="Normal 4 4 4 5 3" xfId="6004" xr:uid="{00000000-0005-0000-0000-0000D4150000}"/>
    <cellStyle name="Normal 4 4 4 5 3 2" xfId="14454" xr:uid="{BF27DF4C-09A0-4A38-BE3B-483CC560BBB4}"/>
    <cellStyle name="Normal 4 4 4 5 4" xfId="10236" xr:uid="{9322C798-DABF-4AE6-A185-3CAE94563DC4}"/>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B774BAE9-A544-4BB4-B41D-1B72ED37ED91}"/>
    <cellStyle name="Normal 4 4 4 6 2 3" xfId="12794" xr:uid="{D7970D6B-3B38-430A-ADE5-26E07B3497EE}"/>
    <cellStyle name="Normal 4 4 4 6 3" xfId="6417" xr:uid="{00000000-0005-0000-0000-0000D8150000}"/>
    <cellStyle name="Normal 4 4 4 6 3 2" xfId="14867" xr:uid="{AB0A71A2-8FF1-4CFA-BB0A-C6027091FDE4}"/>
    <cellStyle name="Normal 4 4 4 6 4" xfId="10649" xr:uid="{6C8E87DE-B595-43FA-BB2A-248EDF10DDF4}"/>
    <cellStyle name="Normal 4 4 4 7" xfId="2547" xr:uid="{00000000-0005-0000-0000-0000D9150000}"/>
    <cellStyle name="Normal 4 4 4 7 2" xfId="6830" xr:uid="{00000000-0005-0000-0000-0000DA150000}"/>
    <cellStyle name="Normal 4 4 4 7 2 2" xfId="15280" xr:uid="{032C74DA-E909-4E60-8E66-7C9294101FCF}"/>
    <cellStyle name="Normal 4 4 4 7 3" xfId="11062" xr:uid="{3243CC60-A13C-46B3-93A4-8C1A8DB8474F}"/>
    <cellStyle name="Normal 4 4 4 8" xfId="4765" xr:uid="{00000000-0005-0000-0000-0000DB150000}"/>
    <cellStyle name="Normal 4 4 4 8 2" xfId="13215" xr:uid="{6B9B6C59-C5E9-4991-A89C-ABC87F95F450}"/>
    <cellStyle name="Normal 4 4 4 9" xfId="8997" xr:uid="{5D2AE547-FE03-48B1-A859-D29A1E83C12A}"/>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CC851518-ACB3-4DD9-931E-252388035BB7}"/>
    <cellStyle name="Normal 4 4 5 2 2 3" xfId="11557" xr:uid="{172CDBCF-8FB7-4728-B146-A4EC725D5D59}"/>
    <cellStyle name="Normal 4 4 5 2 3" xfId="5180" xr:uid="{00000000-0005-0000-0000-0000E0150000}"/>
    <cellStyle name="Normal 4 4 5 2 3 2" xfId="13630" xr:uid="{71D4FE08-DC31-41BB-A52C-BDB05CDBF0AE}"/>
    <cellStyle name="Normal 4 4 5 2 4" xfId="9412" xr:uid="{EFC3D206-4EAE-48AD-88D9-E86AC2C2D476}"/>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613C0391-E118-4D98-A824-27B298FBB0B6}"/>
    <cellStyle name="Normal 4 4 5 3 2 3" xfId="11970" xr:uid="{8CFB10E0-C7CB-4886-8158-2A94D99571B4}"/>
    <cellStyle name="Normal 4 4 5 3 3" xfId="5593" xr:uid="{00000000-0005-0000-0000-0000E4150000}"/>
    <cellStyle name="Normal 4 4 5 3 3 2" xfId="14043" xr:uid="{92D2C0D3-E3A2-4DFC-B428-10B25675FA87}"/>
    <cellStyle name="Normal 4 4 5 3 4" xfId="9825" xr:uid="{A347335A-7D81-4786-B3D6-DE7435603656}"/>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BA3FB692-0D11-489A-B4D0-97B17A21C9B9}"/>
    <cellStyle name="Normal 4 4 5 4 2 3" xfId="12383" xr:uid="{917F0ACA-4B9B-4E3A-8333-64070AE984A1}"/>
    <cellStyle name="Normal 4 4 5 4 3" xfId="6006" xr:uid="{00000000-0005-0000-0000-0000E8150000}"/>
    <cellStyle name="Normal 4 4 5 4 3 2" xfId="14456" xr:uid="{FA8D2BC4-7C1E-4C25-AB43-E4C7FAED856A}"/>
    <cellStyle name="Normal 4 4 5 4 4" xfId="10238" xr:uid="{42697B38-768B-41DC-80A1-9076E0EF24BB}"/>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11D89DBE-FECE-4745-AFA9-15E0F92FD966}"/>
    <cellStyle name="Normal 4 4 5 5 2 3" xfId="12796" xr:uid="{EC15F548-F89C-4502-B88B-1F4447ED337F}"/>
    <cellStyle name="Normal 4 4 5 5 3" xfId="6419" xr:uid="{00000000-0005-0000-0000-0000EC150000}"/>
    <cellStyle name="Normal 4 4 5 5 3 2" xfId="14869" xr:uid="{B2FD6526-03CE-44EF-8E15-2013CFD59BC2}"/>
    <cellStyle name="Normal 4 4 5 5 4" xfId="10651" xr:uid="{974A5CCF-C572-48BB-8C8B-7BFA0C15754F}"/>
    <cellStyle name="Normal 4 4 5 6" xfId="2549" xr:uid="{00000000-0005-0000-0000-0000ED150000}"/>
    <cellStyle name="Normal 4 4 5 6 2" xfId="6832" xr:uid="{00000000-0005-0000-0000-0000EE150000}"/>
    <cellStyle name="Normal 4 4 5 6 2 2" xfId="15282" xr:uid="{04EDA494-1E18-4DD7-99C5-87B7EBC19E70}"/>
    <cellStyle name="Normal 4 4 5 6 3" xfId="11064" xr:uid="{C9E2545A-1724-48A6-AA2D-BDB7F0EEDBAE}"/>
    <cellStyle name="Normal 4 4 5 7" xfId="4767" xr:uid="{00000000-0005-0000-0000-0000EF150000}"/>
    <cellStyle name="Normal 4 4 5 7 2" xfId="13217" xr:uid="{999D8ECA-18E6-42E8-8CA5-946D22A43F60}"/>
    <cellStyle name="Normal 4 4 5 8" xfId="8999" xr:uid="{95DC4EF2-6AA6-43A4-AE75-1522784A5E87}"/>
    <cellStyle name="Normal 4 4 6" xfId="853" xr:uid="{00000000-0005-0000-0000-0000F0150000}"/>
    <cellStyle name="Normal 4 4 6 2" xfId="3088" xr:uid="{00000000-0005-0000-0000-0000F1150000}"/>
    <cellStyle name="Normal 4 4 6 2 2" xfId="7310" xr:uid="{00000000-0005-0000-0000-0000F2150000}"/>
    <cellStyle name="Normal 4 4 6 2 2 2" xfId="15760" xr:uid="{05646D2C-9081-4175-BCDC-CB4EFB29215A}"/>
    <cellStyle name="Normal 4 4 6 2 3" xfId="11542" xr:uid="{0BF8F838-037E-4DDF-869A-03486FB93DDD}"/>
    <cellStyle name="Normal 4 4 6 3" xfId="5165" xr:uid="{00000000-0005-0000-0000-0000F3150000}"/>
    <cellStyle name="Normal 4 4 6 3 2" xfId="13615" xr:uid="{B2F18BAD-6838-4888-A37D-C3A694AB3940}"/>
    <cellStyle name="Normal 4 4 6 4" xfId="9397" xr:uid="{3E978D14-55FE-4411-9A83-13FD8B0BF589}"/>
    <cellStyle name="Normal 4 4 7" xfId="1271" xr:uid="{00000000-0005-0000-0000-0000F4150000}"/>
    <cellStyle name="Normal 4 4 7 2" xfId="3501" xr:uid="{00000000-0005-0000-0000-0000F5150000}"/>
    <cellStyle name="Normal 4 4 7 2 2" xfId="7723" xr:uid="{00000000-0005-0000-0000-0000F6150000}"/>
    <cellStyle name="Normal 4 4 7 2 2 2" xfId="16173" xr:uid="{681F8695-7C8E-4B8B-8D2E-ADF52119F0A8}"/>
    <cellStyle name="Normal 4 4 7 2 3" xfId="11955" xr:uid="{DEBAE235-46AC-480C-AB7A-33BC0ACE729B}"/>
    <cellStyle name="Normal 4 4 7 3" xfId="5578" xr:uid="{00000000-0005-0000-0000-0000F7150000}"/>
    <cellStyle name="Normal 4 4 7 3 2" xfId="14028" xr:uid="{2EF9A7DE-DBEA-4F39-8DF9-814FA45E31D4}"/>
    <cellStyle name="Normal 4 4 7 4" xfId="9810" xr:uid="{BCE7156A-F151-420F-A148-2393994B2C4E}"/>
    <cellStyle name="Normal 4 4 8" xfId="1684" xr:uid="{00000000-0005-0000-0000-0000F8150000}"/>
    <cellStyle name="Normal 4 4 8 2" xfId="3914" xr:uid="{00000000-0005-0000-0000-0000F9150000}"/>
    <cellStyle name="Normal 4 4 8 2 2" xfId="8136" xr:uid="{00000000-0005-0000-0000-0000FA150000}"/>
    <cellStyle name="Normal 4 4 8 2 2 2" xfId="16586" xr:uid="{7B12E6E9-0160-495E-8B72-3E2E5B5B6053}"/>
    <cellStyle name="Normal 4 4 8 2 3" xfId="12368" xr:uid="{8FB24F4A-174E-430E-9797-49619BEC6E27}"/>
    <cellStyle name="Normal 4 4 8 3" xfId="5991" xr:uid="{00000000-0005-0000-0000-0000FB150000}"/>
    <cellStyle name="Normal 4 4 8 3 2" xfId="14441" xr:uid="{67D9E1A5-1A11-4DC9-B8A1-4404939F5DB7}"/>
    <cellStyle name="Normal 4 4 8 4" xfId="10223" xr:uid="{6D2A3B9C-F50D-4521-8F24-3FBFA8059B49}"/>
    <cellStyle name="Normal 4 4 9" xfId="2098" xr:uid="{00000000-0005-0000-0000-0000FC150000}"/>
    <cellStyle name="Normal 4 4 9 2" xfId="4327" xr:uid="{00000000-0005-0000-0000-0000FD150000}"/>
    <cellStyle name="Normal 4 4 9 2 2" xfId="8549" xr:uid="{00000000-0005-0000-0000-0000FE150000}"/>
    <cellStyle name="Normal 4 4 9 2 2 2" xfId="16999" xr:uid="{45FA1C9F-29EA-4ABB-9499-F7550E104EA9}"/>
    <cellStyle name="Normal 4 4 9 2 3" xfId="12781" xr:uid="{1D0E2F26-17C7-4E20-A484-62BAAA0D7DA3}"/>
    <cellStyle name="Normal 4 4 9 3" xfId="6404" xr:uid="{00000000-0005-0000-0000-0000FF150000}"/>
    <cellStyle name="Normal 4 4 9 3 2" xfId="14854" xr:uid="{5D937D59-E16E-4D10-A5D9-F0D103602FE3}"/>
    <cellStyle name="Normal 4 4 9 4" xfId="10636" xr:uid="{B4343A67-BE19-4AFE-83AB-23C70559D9C5}"/>
    <cellStyle name="Normal 4 5" xfId="394" xr:uid="{00000000-0005-0000-0000-000000160000}"/>
    <cellStyle name="Normal 4 6" xfId="395" xr:uid="{00000000-0005-0000-0000-000001160000}"/>
    <cellStyle name="Normal 4 6 10" xfId="4768" xr:uid="{00000000-0005-0000-0000-000002160000}"/>
    <cellStyle name="Normal 4 6 10 2" xfId="13218" xr:uid="{F60C3F10-BCDC-4A40-90AC-C1B29F8E20E7}"/>
    <cellStyle name="Normal 4 6 11" xfId="9000" xr:uid="{F5905A87-0698-48AB-AEEE-40639868065D}"/>
    <cellStyle name="Normal 4 6 2" xfId="396" xr:uid="{00000000-0005-0000-0000-000003160000}"/>
    <cellStyle name="Normal 4 6 2 10" xfId="9001" xr:uid="{55992DB2-209F-43C3-9893-8B093313920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DBBDF606-43A5-44B6-B76D-D2ABBA2BBF8D}"/>
    <cellStyle name="Normal 4 6 2 2 2 2 2 3" xfId="11561" xr:uid="{295A0151-3B6E-492F-BBDA-E77C72C19838}"/>
    <cellStyle name="Normal 4 6 2 2 2 2 3" xfId="5184" xr:uid="{00000000-0005-0000-0000-000009160000}"/>
    <cellStyle name="Normal 4 6 2 2 2 2 3 2" xfId="13634" xr:uid="{3DC7568E-8F3D-4AD9-89A1-BEAABB153B8A}"/>
    <cellStyle name="Normal 4 6 2 2 2 2 4" xfId="9416" xr:uid="{EAED61D8-5175-47D2-A059-7D2884A0BCE4}"/>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DD8197CD-73FC-4E05-906B-671659555300}"/>
    <cellStyle name="Normal 4 6 2 2 2 3 2 3" xfId="11974" xr:uid="{88897D16-2142-440B-B5F6-470618EF99E9}"/>
    <cellStyle name="Normal 4 6 2 2 2 3 3" xfId="5597" xr:uid="{00000000-0005-0000-0000-00000D160000}"/>
    <cellStyle name="Normal 4 6 2 2 2 3 3 2" xfId="14047" xr:uid="{9CEE6B86-9480-4FDC-A393-5F627EEFE537}"/>
    <cellStyle name="Normal 4 6 2 2 2 3 4" xfId="9829" xr:uid="{FCA6652C-E03B-4365-9B5C-7F950ABB9579}"/>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4C1EDB41-5A90-49EB-9612-4D16790E9855}"/>
    <cellStyle name="Normal 4 6 2 2 2 4 2 3" xfId="12387" xr:uid="{28D349BB-C812-4329-869B-DD8C7F919EF2}"/>
    <cellStyle name="Normal 4 6 2 2 2 4 3" xfId="6010" xr:uid="{00000000-0005-0000-0000-000011160000}"/>
    <cellStyle name="Normal 4 6 2 2 2 4 3 2" xfId="14460" xr:uid="{ECF7268E-B9DE-492C-8B66-26B195D52A33}"/>
    <cellStyle name="Normal 4 6 2 2 2 4 4" xfId="10242" xr:uid="{2D9E8B56-8E55-4CCB-8D75-C99AB0ECA6F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6ACB1B67-EA40-408B-84E4-08ECE6056129}"/>
    <cellStyle name="Normal 4 6 2 2 2 5 2 3" xfId="12800" xr:uid="{F17FFA24-57A7-45BB-B854-C86779680075}"/>
    <cellStyle name="Normal 4 6 2 2 2 5 3" xfId="6423" xr:uid="{00000000-0005-0000-0000-000015160000}"/>
    <cellStyle name="Normal 4 6 2 2 2 5 3 2" xfId="14873" xr:uid="{582AB6F8-291D-4B37-8DFF-6D5686AB212E}"/>
    <cellStyle name="Normal 4 6 2 2 2 5 4" xfId="10655" xr:uid="{12EF1B64-322F-439C-99C2-6D6C61696BE8}"/>
    <cellStyle name="Normal 4 6 2 2 2 6" xfId="2553" xr:uid="{00000000-0005-0000-0000-000016160000}"/>
    <cellStyle name="Normal 4 6 2 2 2 6 2" xfId="6836" xr:uid="{00000000-0005-0000-0000-000017160000}"/>
    <cellStyle name="Normal 4 6 2 2 2 6 2 2" xfId="15286" xr:uid="{8F959FD0-E243-4B23-AD33-E876C043C28D}"/>
    <cellStyle name="Normal 4 6 2 2 2 6 3" xfId="11068" xr:uid="{4F155327-EF5D-47A7-9839-B09CDF66C1C5}"/>
    <cellStyle name="Normal 4 6 2 2 2 7" xfId="4771" xr:uid="{00000000-0005-0000-0000-000018160000}"/>
    <cellStyle name="Normal 4 6 2 2 2 7 2" xfId="13221" xr:uid="{9F67065E-7B1F-416D-A14C-FF5F38697483}"/>
    <cellStyle name="Normal 4 6 2 2 2 8" xfId="9003" xr:uid="{311F374C-4843-4A3C-994E-04452FF66C91}"/>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A5F615E0-9742-464E-A3DE-36FCEE128BFC}"/>
    <cellStyle name="Normal 4 6 2 2 3 2 3" xfId="11560" xr:uid="{23AECC0A-E49A-4345-B444-E966FD81F48E}"/>
    <cellStyle name="Normal 4 6 2 2 3 3" xfId="5183" xr:uid="{00000000-0005-0000-0000-00001C160000}"/>
    <cellStyle name="Normal 4 6 2 2 3 3 2" xfId="13633" xr:uid="{9D4F2340-C2F2-4E7D-9427-73C28D5FDF73}"/>
    <cellStyle name="Normal 4 6 2 2 3 4" xfId="9415" xr:uid="{38C9C6EE-E549-4DCA-893A-C0939DE0E50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3C67F4A6-A47F-4E01-BF61-83585E46576A}"/>
    <cellStyle name="Normal 4 6 2 2 4 2 3" xfId="11973" xr:uid="{2F3C9906-9F32-4DEC-8A92-73BE02097EE5}"/>
    <cellStyle name="Normal 4 6 2 2 4 3" xfId="5596" xr:uid="{00000000-0005-0000-0000-000020160000}"/>
    <cellStyle name="Normal 4 6 2 2 4 3 2" xfId="14046" xr:uid="{942FD32C-813A-495C-AB84-C5DDB0568F02}"/>
    <cellStyle name="Normal 4 6 2 2 4 4" xfId="9828" xr:uid="{870842D4-F268-43F7-9666-5720EC283198}"/>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85374ADA-D435-44D3-B976-01930AB854B7}"/>
    <cellStyle name="Normal 4 6 2 2 5 2 3" xfId="12386" xr:uid="{469DBCE1-511E-49A8-B594-5AB3BC47BA53}"/>
    <cellStyle name="Normal 4 6 2 2 5 3" xfId="6009" xr:uid="{00000000-0005-0000-0000-000024160000}"/>
    <cellStyle name="Normal 4 6 2 2 5 3 2" xfId="14459" xr:uid="{A7E5E832-981E-4D62-AF0F-740B3372E078}"/>
    <cellStyle name="Normal 4 6 2 2 5 4" xfId="10241" xr:uid="{E32E4A20-5358-4D0B-9AA7-3D0EB1C19425}"/>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A56156FE-CE0B-4188-A677-64944B68A51C}"/>
    <cellStyle name="Normal 4 6 2 2 6 2 3" xfId="12799" xr:uid="{CE7D05A0-5259-4212-B786-A5A2B48F79B2}"/>
    <cellStyle name="Normal 4 6 2 2 6 3" xfId="6422" xr:uid="{00000000-0005-0000-0000-000028160000}"/>
    <cellStyle name="Normal 4 6 2 2 6 3 2" xfId="14872" xr:uid="{5D2F7826-5545-4840-83ED-3B9C367B4D81}"/>
    <cellStyle name="Normal 4 6 2 2 6 4" xfId="10654" xr:uid="{253E43EA-AAC3-4C12-9506-DACF318FB727}"/>
    <cellStyle name="Normal 4 6 2 2 7" xfId="2552" xr:uid="{00000000-0005-0000-0000-000029160000}"/>
    <cellStyle name="Normal 4 6 2 2 7 2" xfId="6835" xr:uid="{00000000-0005-0000-0000-00002A160000}"/>
    <cellStyle name="Normal 4 6 2 2 7 2 2" xfId="15285" xr:uid="{DC7A7345-E2AE-4F59-9F9B-C44A788ED591}"/>
    <cellStyle name="Normal 4 6 2 2 7 3" xfId="11067" xr:uid="{268765B3-2368-4B05-B411-C35A85A77994}"/>
    <cellStyle name="Normal 4 6 2 2 8" xfId="4770" xr:uid="{00000000-0005-0000-0000-00002B160000}"/>
    <cellStyle name="Normal 4 6 2 2 8 2" xfId="13220" xr:uid="{36CF683E-8AE8-4B97-B385-CA4DCCCF4912}"/>
    <cellStyle name="Normal 4 6 2 2 9" xfId="9002" xr:uid="{180AB872-EC65-47DE-A8EA-4F4102FD9676}"/>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7645AD3E-BEB1-45D1-B9AA-C5FF8858D7AF}"/>
    <cellStyle name="Normal 4 6 2 3 2 2 3" xfId="11562" xr:uid="{409108CF-ACF2-4610-9080-3EBDFEF266A3}"/>
    <cellStyle name="Normal 4 6 2 3 2 3" xfId="5185" xr:uid="{00000000-0005-0000-0000-000030160000}"/>
    <cellStyle name="Normal 4 6 2 3 2 3 2" xfId="13635" xr:uid="{EA50D345-6B85-46CD-B2E3-1CBFB9B4EBBF}"/>
    <cellStyle name="Normal 4 6 2 3 2 4" xfId="9417" xr:uid="{5B7CE633-6E99-4ABA-B226-14F398DBABA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57ED6CE2-F2B2-425E-8239-7EDC469BC0E9}"/>
    <cellStyle name="Normal 4 6 2 3 3 2 3" xfId="11975" xr:uid="{C3DEFF1D-8784-445B-AB69-1309FD5E25B1}"/>
    <cellStyle name="Normal 4 6 2 3 3 3" xfId="5598" xr:uid="{00000000-0005-0000-0000-000034160000}"/>
    <cellStyle name="Normal 4 6 2 3 3 3 2" xfId="14048" xr:uid="{C35E048C-3F4D-4C7B-8486-D60F9EF6E2E9}"/>
    <cellStyle name="Normal 4 6 2 3 3 4" xfId="9830" xr:uid="{F1CAF72E-FB28-49D6-8967-BC0862C35E5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2440F22A-1AE1-4D7F-8347-C05A8B510E2F}"/>
    <cellStyle name="Normal 4 6 2 3 4 2 3" xfId="12388" xr:uid="{88A4234F-D5CC-4B5B-87C1-1FC55798B375}"/>
    <cellStyle name="Normal 4 6 2 3 4 3" xfId="6011" xr:uid="{00000000-0005-0000-0000-000038160000}"/>
    <cellStyle name="Normal 4 6 2 3 4 3 2" xfId="14461" xr:uid="{1CDA47AF-A3BF-4D64-A603-B61EB9FD84F6}"/>
    <cellStyle name="Normal 4 6 2 3 4 4" xfId="10243" xr:uid="{0B947B3E-02E6-4DE1-A03B-87671615B884}"/>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4BA32901-CAE9-4625-953E-5849A7653C6E}"/>
    <cellStyle name="Normal 4 6 2 3 5 2 3" xfId="12801" xr:uid="{E7BFA573-355D-4DB5-AB72-532F1A09C585}"/>
    <cellStyle name="Normal 4 6 2 3 5 3" xfId="6424" xr:uid="{00000000-0005-0000-0000-00003C160000}"/>
    <cellStyle name="Normal 4 6 2 3 5 3 2" xfId="14874" xr:uid="{7056D51D-089F-4E4C-89C1-F5798EA9A0FF}"/>
    <cellStyle name="Normal 4 6 2 3 5 4" xfId="10656" xr:uid="{4AC1E18F-A709-4AF4-B2D9-2C12F6850A7D}"/>
    <cellStyle name="Normal 4 6 2 3 6" xfId="2554" xr:uid="{00000000-0005-0000-0000-00003D160000}"/>
    <cellStyle name="Normal 4 6 2 3 6 2" xfId="6837" xr:uid="{00000000-0005-0000-0000-00003E160000}"/>
    <cellStyle name="Normal 4 6 2 3 6 2 2" xfId="15287" xr:uid="{3A3E349F-3825-4CDB-8984-040CADFE3BA5}"/>
    <cellStyle name="Normal 4 6 2 3 6 3" xfId="11069" xr:uid="{6C763352-A58E-4B5D-A027-6AEBA2B3729C}"/>
    <cellStyle name="Normal 4 6 2 3 7" xfId="4772" xr:uid="{00000000-0005-0000-0000-00003F160000}"/>
    <cellStyle name="Normal 4 6 2 3 7 2" xfId="13222" xr:uid="{7CA05B59-35AC-43F9-9E13-1373A00C6257}"/>
    <cellStyle name="Normal 4 6 2 3 8" xfId="9004" xr:uid="{73D59FFA-2DCF-41A2-AEFD-EEA486B34A6B}"/>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12345A0A-0482-413E-BBE9-1B1665A4C420}"/>
    <cellStyle name="Normal 4 6 2 4 2 3" xfId="11559" xr:uid="{4B9167BB-1347-4752-AC9F-C24862AC61FB}"/>
    <cellStyle name="Normal 4 6 2 4 3" xfId="5182" xr:uid="{00000000-0005-0000-0000-000043160000}"/>
    <cellStyle name="Normal 4 6 2 4 3 2" xfId="13632" xr:uid="{B7CF2BBC-EE4B-4DD1-9C17-B5F55366EBFA}"/>
    <cellStyle name="Normal 4 6 2 4 4" xfId="9414" xr:uid="{8A15FBBB-1AFD-4F8A-89F8-5348A267BC04}"/>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F3B7CD59-5142-4D24-9956-70BDD029CA4F}"/>
    <cellStyle name="Normal 4 6 2 5 2 3" xfId="11972" xr:uid="{1EAB7925-9486-42CB-9C44-B1C1FFF06A15}"/>
    <cellStyle name="Normal 4 6 2 5 3" xfId="5595" xr:uid="{00000000-0005-0000-0000-000047160000}"/>
    <cellStyle name="Normal 4 6 2 5 3 2" xfId="14045" xr:uid="{079E3D8C-E221-4F73-BC25-21E738DD3F1C}"/>
    <cellStyle name="Normal 4 6 2 5 4" xfId="9827" xr:uid="{D9D2887B-B68E-4447-9008-D9D8C3DD4F90}"/>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6A535387-4FA9-4A3B-893E-B3AB2575E5C7}"/>
    <cellStyle name="Normal 4 6 2 6 2 3" xfId="12385" xr:uid="{90600497-1C22-445B-B333-7C4B5C811D4C}"/>
    <cellStyle name="Normal 4 6 2 6 3" xfId="6008" xr:uid="{00000000-0005-0000-0000-00004B160000}"/>
    <cellStyle name="Normal 4 6 2 6 3 2" xfId="14458" xr:uid="{F93842F5-1E6C-46CF-B067-C01A3FDF0882}"/>
    <cellStyle name="Normal 4 6 2 6 4" xfId="10240" xr:uid="{26A9A95A-D142-4073-A3AA-2437E71F065A}"/>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3D42DA28-2B48-42F4-B63A-7C482C05209D}"/>
    <cellStyle name="Normal 4 6 2 7 2 3" xfId="12798" xr:uid="{17218697-67A9-4227-9708-8F17D2456210}"/>
    <cellStyle name="Normal 4 6 2 7 3" xfId="6421" xr:uid="{00000000-0005-0000-0000-00004F160000}"/>
    <cellStyle name="Normal 4 6 2 7 3 2" xfId="14871" xr:uid="{A28B2835-A1A4-4060-B7C0-F9757E506E29}"/>
    <cellStyle name="Normal 4 6 2 7 4" xfId="10653" xr:uid="{89667A7E-1C9D-477A-BB37-92CF1B34652D}"/>
    <cellStyle name="Normal 4 6 2 8" xfId="2551" xr:uid="{00000000-0005-0000-0000-000050160000}"/>
    <cellStyle name="Normal 4 6 2 8 2" xfId="6834" xr:uid="{00000000-0005-0000-0000-000051160000}"/>
    <cellStyle name="Normal 4 6 2 8 2 2" xfId="15284" xr:uid="{485FD068-7748-4A03-ABA1-F80EFE0FD56D}"/>
    <cellStyle name="Normal 4 6 2 8 3" xfId="11066" xr:uid="{7BA7BB90-497C-4B24-B071-06CEBC5083DF}"/>
    <cellStyle name="Normal 4 6 2 9" xfId="4769" xr:uid="{00000000-0005-0000-0000-000052160000}"/>
    <cellStyle name="Normal 4 6 2 9 2" xfId="13219" xr:uid="{9E1B3DC8-99DC-4E20-929E-82DBED652E6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FF09DBD3-C9D7-455C-82D6-B9AE122B4E9B}"/>
    <cellStyle name="Normal 4 6 3 2 2 2 3" xfId="11564" xr:uid="{7A5271B8-C257-4013-8E70-4403A4C9AD4A}"/>
    <cellStyle name="Normal 4 6 3 2 2 3" xfId="5187" xr:uid="{00000000-0005-0000-0000-000058160000}"/>
    <cellStyle name="Normal 4 6 3 2 2 3 2" xfId="13637" xr:uid="{68DBCD48-B025-4186-9417-F1BF6F22D575}"/>
    <cellStyle name="Normal 4 6 3 2 2 4" xfId="9419" xr:uid="{EC802FA1-9B9E-4128-AC3D-6C29E344894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4AAAE8AB-6D21-4D22-A020-D1A804C80334}"/>
    <cellStyle name="Normal 4 6 3 2 3 2 3" xfId="11977" xr:uid="{54FCB12F-1C6D-4B8B-92DE-8C197D0A12D6}"/>
    <cellStyle name="Normal 4 6 3 2 3 3" xfId="5600" xr:uid="{00000000-0005-0000-0000-00005C160000}"/>
    <cellStyle name="Normal 4 6 3 2 3 3 2" xfId="14050" xr:uid="{D69E822A-D3C8-402C-8E77-31E885351112}"/>
    <cellStyle name="Normal 4 6 3 2 3 4" xfId="9832" xr:uid="{E9DD137F-C1B3-4803-A623-98DBCBB027ED}"/>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9E04B168-DB56-4E54-8A5B-8E5A84290B35}"/>
    <cellStyle name="Normal 4 6 3 2 4 2 3" xfId="12390" xr:uid="{0200AD23-CD35-437F-A1BA-5DDCA173EBDA}"/>
    <cellStyle name="Normal 4 6 3 2 4 3" xfId="6013" xr:uid="{00000000-0005-0000-0000-000060160000}"/>
    <cellStyle name="Normal 4 6 3 2 4 3 2" xfId="14463" xr:uid="{BFBE7BF5-DD32-44EB-9E53-2204C4162746}"/>
    <cellStyle name="Normal 4 6 3 2 4 4" xfId="10245" xr:uid="{B290C57C-E2DE-432A-9CEE-FD329233595E}"/>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A7C2C86C-07B2-4E09-8DF6-1C677590DB35}"/>
    <cellStyle name="Normal 4 6 3 2 5 2 3" xfId="12803" xr:uid="{06486E04-1346-47C8-9A74-2E2032F28682}"/>
    <cellStyle name="Normal 4 6 3 2 5 3" xfId="6426" xr:uid="{00000000-0005-0000-0000-000064160000}"/>
    <cellStyle name="Normal 4 6 3 2 5 3 2" xfId="14876" xr:uid="{282C85D5-D41F-4FA6-86B0-5816A485430E}"/>
    <cellStyle name="Normal 4 6 3 2 5 4" xfId="10658" xr:uid="{3C28AD18-4839-4C0D-BE6C-658AFFED1989}"/>
    <cellStyle name="Normal 4 6 3 2 6" xfId="2556" xr:uid="{00000000-0005-0000-0000-000065160000}"/>
    <cellStyle name="Normal 4 6 3 2 6 2" xfId="6839" xr:uid="{00000000-0005-0000-0000-000066160000}"/>
    <cellStyle name="Normal 4 6 3 2 6 2 2" xfId="15289" xr:uid="{58058FEE-6C4E-4434-8D07-1FF5D21C9D12}"/>
    <cellStyle name="Normal 4 6 3 2 6 3" xfId="11071" xr:uid="{0EF61DE0-5E4D-42F0-AA00-0565BD4B9412}"/>
    <cellStyle name="Normal 4 6 3 2 7" xfId="4774" xr:uid="{00000000-0005-0000-0000-000067160000}"/>
    <cellStyle name="Normal 4 6 3 2 7 2" xfId="13224" xr:uid="{A14DCF3E-E96F-42AF-9576-1FF8054C649D}"/>
    <cellStyle name="Normal 4 6 3 2 8" xfId="9006" xr:uid="{FB207383-8858-43E1-BBB8-4EE3E5B3E694}"/>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55AD72CF-A9F1-4ED3-9AE2-4CEA7199DEE4}"/>
    <cellStyle name="Normal 4 6 3 3 2 3" xfId="11563" xr:uid="{7B88ECB9-8562-46D0-8D6F-8A7683040F28}"/>
    <cellStyle name="Normal 4 6 3 3 3" xfId="5186" xr:uid="{00000000-0005-0000-0000-00006B160000}"/>
    <cellStyle name="Normal 4 6 3 3 3 2" xfId="13636" xr:uid="{E1F38BE5-8168-4413-81A8-CEC2DBF58012}"/>
    <cellStyle name="Normal 4 6 3 3 4" xfId="9418" xr:uid="{616717AF-D631-44C0-8BB0-CC9D1636482B}"/>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D688F359-B543-42BD-AD79-10C9C5B269D6}"/>
    <cellStyle name="Normal 4 6 3 4 2 3" xfId="11976" xr:uid="{60B9CA0F-E013-4CD7-9754-BFB6581E76B8}"/>
    <cellStyle name="Normal 4 6 3 4 3" xfId="5599" xr:uid="{00000000-0005-0000-0000-00006F160000}"/>
    <cellStyle name="Normal 4 6 3 4 3 2" xfId="14049" xr:uid="{AF452410-ABAD-418C-8756-4D1C251F227F}"/>
    <cellStyle name="Normal 4 6 3 4 4" xfId="9831" xr:uid="{1BDFDC5A-BBB2-4117-AD18-1B769F6415CD}"/>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90350E8D-3252-4A21-A784-542C75EAC964}"/>
    <cellStyle name="Normal 4 6 3 5 2 3" xfId="12389" xr:uid="{465CAAA7-5D83-4284-9BAD-8BC3F2242FFF}"/>
    <cellStyle name="Normal 4 6 3 5 3" xfId="6012" xr:uid="{00000000-0005-0000-0000-000073160000}"/>
    <cellStyle name="Normal 4 6 3 5 3 2" xfId="14462" xr:uid="{82AFC4B8-AA37-473D-86E1-5F1B153D37D7}"/>
    <cellStyle name="Normal 4 6 3 5 4" xfId="10244" xr:uid="{E2F1737F-8B30-409F-8325-E72DE71220B4}"/>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79D79D6A-F5FF-4C43-A13B-04C586FEDE2C}"/>
    <cellStyle name="Normal 4 6 3 6 2 3" xfId="12802" xr:uid="{1C92D033-5987-4596-9485-299C13C3A20C}"/>
    <cellStyle name="Normal 4 6 3 6 3" xfId="6425" xr:uid="{00000000-0005-0000-0000-000077160000}"/>
    <cellStyle name="Normal 4 6 3 6 3 2" xfId="14875" xr:uid="{4490062E-AFEE-45D8-B17C-5B32F32A561A}"/>
    <cellStyle name="Normal 4 6 3 6 4" xfId="10657" xr:uid="{713E4227-6E93-49B0-A107-22F3CBBC1EDD}"/>
    <cellStyle name="Normal 4 6 3 7" xfId="2555" xr:uid="{00000000-0005-0000-0000-000078160000}"/>
    <cellStyle name="Normal 4 6 3 7 2" xfId="6838" xr:uid="{00000000-0005-0000-0000-000079160000}"/>
    <cellStyle name="Normal 4 6 3 7 2 2" xfId="15288" xr:uid="{889A79C9-B31C-4999-B60C-76460DEE7771}"/>
    <cellStyle name="Normal 4 6 3 7 3" xfId="11070" xr:uid="{A5D1F92B-704A-44B3-B5B8-AC50EB583C9E}"/>
    <cellStyle name="Normal 4 6 3 8" xfId="4773" xr:uid="{00000000-0005-0000-0000-00007A160000}"/>
    <cellStyle name="Normal 4 6 3 8 2" xfId="13223" xr:uid="{A6992CFF-1473-441E-BCED-ED01E2A19BBA}"/>
    <cellStyle name="Normal 4 6 3 9" xfId="9005" xr:uid="{9E6E92C3-1AEE-43E9-BF98-7F32420C8FFF}"/>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E58B1673-6D85-4D90-B313-C17C3051CDC3}"/>
    <cellStyle name="Normal 4 6 4 2 2 3" xfId="11565" xr:uid="{CDDF7E2B-750B-4DC4-A0C8-15588C5B3B51}"/>
    <cellStyle name="Normal 4 6 4 2 3" xfId="5188" xr:uid="{00000000-0005-0000-0000-00007F160000}"/>
    <cellStyle name="Normal 4 6 4 2 3 2" xfId="13638" xr:uid="{25C4C925-ADA5-4C38-B8E5-95D996B3B741}"/>
    <cellStyle name="Normal 4 6 4 2 4" xfId="9420" xr:uid="{A708B043-D613-4FBE-825C-488288CE8A72}"/>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D9DDFC08-EFE5-4113-B039-7A7027379C05}"/>
    <cellStyle name="Normal 4 6 4 3 2 3" xfId="11978" xr:uid="{723A309D-BFD2-45B7-BD0D-C44100A66E51}"/>
    <cellStyle name="Normal 4 6 4 3 3" xfId="5601" xr:uid="{00000000-0005-0000-0000-000083160000}"/>
    <cellStyle name="Normal 4 6 4 3 3 2" xfId="14051" xr:uid="{012C782A-2222-48B3-AA1D-023844650FF6}"/>
    <cellStyle name="Normal 4 6 4 3 4" xfId="9833" xr:uid="{0FDFC86D-5B33-4856-9FAC-95DA9C585916}"/>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4A631FBB-5C27-48F6-A040-C0D7BBAFD7BA}"/>
    <cellStyle name="Normal 4 6 4 4 2 3" xfId="12391" xr:uid="{6BB3A62E-A8A9-4111-8F51-367BF77C531F}"/>
    <cellStyle name="Normal 4 6 4 4 3" xfId="6014" xr:uid="{00000000-0005-0000-0000-000087160000}"/>
    <cellStyle name="Normal 4 6 4 4 3 2" xfId="14464" xr:uid="{90E46450-3D70-4D9A-B5CE-598925B52C60}"/>
    <cellStyle name="Normal 4 6 4 4 4" xfId="10246" xr:uid="{60C16FA5-488A-4074-804B-78755F13D795}"/>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970BB0A5-BB58-4EE0-8C66-7E1EC5C8CA0A}"/>
    <cellStyle name="Normal 4 6 4 5 2 3" xfId="12804" xr:uid="{825473D9-5A38-40F0-986E-CF5971282B9C}"/>
    <cellStyle name="Normal 4 6 4 5 3" xfId="6427" xr:uid="{00000000-0005-0000-0000-00008B160000}"/>
    <cellStyle name="Normal 4 6 4 5 3 2" xfId="14877" xr:uid="{7E9F55AB-5026-4A6A-8721-24431086821B}"/>
    <cellStyle name="Normal 4 6 4 5 4" xfId="10659" xr:uid="{A80C26E6-54F5-485A-BEF8-7936365D96F5}"/>
    <cellStyle name="Normal 4 6 4 6" xfId="2557" xr:uid="{00000000-0005-0000-0000-00008C160000}"/>
    <cellStyle name="Normal 4 6 4 6 2" xfId="6840" xr:uid="{00000000-0005-0000-0000-00008D160000}"/>
    <cellStyle name="Normal 4 6 4 6 2 2" xfId="15290" xr:uid="{A6754C3D-F81C-4876-8846-F148D841D8F7}"/>
    <cellStyle name="Normal 4 6 4 6 3" xfId="11072" xr:uid="{19BCA7DC-DBC1-4FF0-B0BF-A5AA0FF6726B}"/>
    <cellStyle name="Normal 4 6 4 7" xfId="4775" xr:uid="{00000000-0005-0000-0000-00008E160000}"/>
    <cellStyle name="Normal 4 6 4 7 2" xfId="13225" xr:uid="{5D5DA1D2-E250-4C56-9779-C88510392D56}"/>
    <cellStyle name="Normal 4 6 4 8" xfId="9007" xr:uid="{11FBFBDE-E8AE-4CCC-99BC-2FC37F99D791}"/>
    <cellStyle name="Normal 4 6 5" xfId="869" xr:uid="{00000000-0005-0000-0000-00008F160000}"/>
    <cellStyle name="Normal 4 6 5 2" xfId="3104" xr:uid="{00000000-0005-0000-0000-000090160000}"/>
    <cellStyle name="Normal 4 6 5 2 2" xfId="7326" xr:uid="{00000000-0005-0000-0000-000091160000}"/>
    <cellStyle name="Normal 4 6 5 2 2 2" xfId="15776" xr:uid="{87FB14E9-1842-4424-9830-97D43C73A068}"/>
    <cellStyle name="Normal 4 6 5 2 3" xfId="11558" xr:uid="{A9E12126-CA9E-4F0F-9972-B3EE5B64CCC6}"/>
    <cellStyle name="Normal 4 6 5 3" xfId="5181" xr:uid="{00000000-0005-0000-0000-000092160000}"/>
    <cellStyle name="Normal 4 6 5 3 2" xfId="13631" xr:uid="{C302DF5B-54A2-4592-BF76-F711F09884E3}"/>
    <cellStyle name="Normal 4 6 5 4" xfId="9413" xr:uid="{16C5F96F-2696-4DE4-BD16-EE5A10D34CCA}"/>
    <cellStyle name="Normal 4 6 6" xfId="1287" xr:uid="{00000000-0005-0000-0000-000093160000}"/>
    <cellStyle name="Normal 4 6 6 2" xfId="3517" xr:uid="{00000000-0005-0000-0000-000094160000}"/>
    <cellStyle name="Normal 4 6 6 2 2" xfId="7739" xr:uid="{00000000-0005-0000-0000-000095160000}"/>
    <cellStyle name="Normal 4 6 6 2 2 2" xfId="16189" xr:uid="{3E386389-01C0-4948-9D88-F30D1D350844}"/>
    <cellStyle name="Normal 4 6 6 2 3" xfId="11971" xr:uid="{87C7B76E-43DC-4A93-9245-CA642AE46360}"/>
    <cellStyle name="Normal 4 6 6 3" xfId="5594" xr:uid="{00000000-0005-0000-0000-000096160000}"/>
    <cellStyle name="Normal 4 6 6 3 2" xfId="14044" xr:uid="{C003784B-E2E6-47F3-90FF-3488AD291967}"/>
    <cellStyle name="Normal 4 6 6 4" xfId="9826" xr:uid="{2351066D-3FE3-4BA5-B0AF-21933BA8AA7B}"/>
    <cellStyle name="Normal 4 6 7" xfId="1700" xr:uid="{00000000-0005-0000-0000-000097160000}"/>
    <cellStyle name="Normal 4 6 7 2" xfId="3930" xr:uid="{00000000-0005-0000-0000-000098160000}"/>
    <cellStyle name="Normal 4 6 7 2 2" xfId="8152" xr:uid="{00000000-0005-0000-0000-000099160000}"/>
    <cellStyle name="Normal 4 6 7 2 2 2" xfId="16602" xr:uid="{6C5AF6EE-3A37-4CBE-88EF-FA50E4F2E64E}"/>
    <cellStyle name="Normal 4 6 7 2 3" xfId="12384" xr:uid="{CDC79DB1-1134-4465-99E4-4C3AFC23914D}"/>
    <cellStyle name="Normal 4 6 7 3" xfId="6007" xr:uid="{00000000-0005-0000-0000-00009A160000}"/>
    <cellStyle name="Normal 4 6 7 3 2" xfId="14457" xr:uid="{8FDD6DEF-EC38-4B5D-924F-85FAF720F146}"/>
    <cellStyle name="Normal 4 6 7 4" xfId="10239" xr:uid="{93ED0F24-1836-473E-8DD8-43E98CFFA619}"/>
    <cellStyle name="Normal 4 6 8" xfId="2114" xr:uid="{00000000-0005-0000-0000-00009B160000}"/>
    <cellStyle name="Normal 4 6 8 2" xfId="4343" xr:uid="{00000000-0005-0000-0000-00009C160000}"/>
    <cellStyle name="Normal 4 6 8 2 2" xfId="8565" xr:uid="{00000000-0005-0000-0000-00009D160000}"/>
    <cellStyle name="Normal 4 6 8 2 2 2" xfId="17015" xr:uid="{64986BC8-6BAA-433A-8F9E-D6567CCAAD98}"/>
    <cellStyle name="Normal 4 6 8 2 3" xfId="12797" xr:uid="{195D4594-9E95-46E6-9436-ECDBA865A71E}"/>
    <cellStyle name="Normal 4 6 8 3" xfId="6420" xr:uid="{00000000-0005-0000-0000-00009E160000}"/>
    <cellStyle name="Normal 4 6 8 3 2" xfId="14870" xr:uid="{E0A9A4C8-C982-4A34-8ADA-9659144254B6}"/>
    <cellStyle name="Normal 4 6 8 4" xfId="10652" xr:uid="{C697AB6F-C119-4CFA-BE3D-7DFED23F8F66}"/>
    <cellStyle name="Normal 4 6 9" xfId="2550" xr:uid="{00000000-0005-0000-0000-00009F160000}"/>
    <cellStyle name="Normal 4 6 9 2" xfId="6833" xr:uid="{00000000-0005-0000-0000-0000A0160000}"/>
    <cellStyle name="Normal 4 6 9 2 2" xfId="15283" xr:uid="{318AFECD-9613-4B5B-8E85-C6503157E9A4}"/>
    <cellStyle name="Normal 4 6 9 3" xfId="11065" xr:uid="{2C903BBB-6718-46A0-A3B3-BE5AD163C15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DB6BA8E3-8F08-4A47-B526-0B98B7E03E23}"/>
    <cellStyle name="Normal 4 7 2 2 2 3" xfId="11567" xr:uid="{270DEA40-43B1-4350-AA43-D687C532FC47}"/>
    <cellStyle name="Normal 4 7 2 2 3" xfId="5190" xr:uid="{00000000-0005-0000-0000-0000A6160000}"/>
    <cellStyle name="Normal 4 7 2 2 3 2" xfId="13640" xr:uid="{D6240092-684F-4585-BE0C-50C13B489D97}"/>
    <cellStyle name="Normal 4 7 2 2 4" xfId="9422" xr:uid="{57B20435-EBC2-452A-8827-094DC5706083}"/>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2297B1FD-711B-4841-8C7D-4918B0FF5479}"/>
    <cellStyle name="Normal 4 7 2 3 2 3" xfId="11980" xr:uid="{655D163C-63E9-4C8E-B544-F89517281DC8}"/>
    <cellStyle name="Normal 4 7 2 3 3" xfId="5603" xr:uid="{00000000-0005-0000-0000-0000AA160000}"/>
    <cellStyle name="Normal 4 7 2 3 3 2" xfId="14053" xr:uid="{E67E7C99-A62E-4599-8A4B-5EF4B4DC4BFA}"/>
    <cellStyle name="Normal 4 7 2 3 4" xfId="9835" xr:uid="{B033E78C-253C-4A07-9671-F9E52D0C56AA}"/>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1D21F26E-685F-412B-9371-460452AD9FB9}"/>
    <cellStyle name="Normal 4 7 2 4 2 3" xfId="12393" xr:uid="{9E4B48F2-C30E-49CA-879E-5FED329358B8}"/>
    <cellStyle name="Normal 4 7 2 4 3" xfId="6016" xr:uid="{00000000-0005-0000-0000-0000AE160000}"/>
    <cellStyle name="Normal 4 7 2 4 3 2" xfId="14466" xr:uid="{F138CFF0-4E00-4686-9521-3653A7F63A96}"/>
    <cellStyle name="Normal 4 7 2 4 4" xfId="10248" xr:uid="{10D872FF-5B61-4465-A758-92D3EE2C1FA4}"/>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14B90DA3-24CA-425C-8203-176435719412}"/>
    <cellStyle name="Normal 4 7 2 5 2 3" xfId="12806" xr:uid="{C66E67A9-21E9-4493-91FB-D3D4A552778D}"/>
    <cellStyle name="Normal 4 7 2 5 3" xfId="6429" xr:uid="{00000000-0005-0000-0000-0000B2160000}"/>
    <cellStyle name="Normal 4 7 2 5 3 2" xfId="14879" xr:uid="{DB660F82-7A65-47BA-BDCB-07846BCB1F81}"/>
    <cellStyle name="Normal 4 7 2 5 4" xfId="10661" xr:uid="{FF24F7C7-2C79-4496-B57E-970C35FAE129}"/>
    <cellStyle name="Normal 4 7 2 6" xfId="2559" xr:uid="{00000000-0005-0000-0000-0000B3160000}"/>
    <cellStyle name="Normal 4 7 2 6 2" xfId="6842" xr:uid="{00000000-0005-0000-0000-0000B4160000}"/>
    <cellStyle name="Normal 4 7 2 6 2 2" xfId="15292" xr:uid="{97EC6565-881C-47C5-8D1C-FF44345C3B00}"/>
    <cellStyle name="Normal 4 7 2 6 3" xfId="11074" xr:uid="{5D83FDE0-7340-4B59-AF58-552A6E9E3C2A}"/>
    <cellStyle name="Normal 4 7 2 7" xfId="4777" xr:uid="{00000000-0005-0000-0000-0000B5160000}"/>
    <cellStyle name="Normal 4 7 2 7 2" xfId="13227" xr:uid="{23AEE455-E344-4CE2-A27D-15630BC05B4A}"/>
    <cellStyle name="Normal 4 7 2 8" xfId="9009" xr:uid="{E0EBEFB5-24D5-4EBD-9595-C35EB6CC3F5A}"/>
    <cellStyle name="Normal 4 7 3" xfId="877" xr:uid="{00000000-0005-0000-0000-0000B6160000}"/>
    <cellStyle name="Normal 4 7 3 2" xfId="3112" xr:uid="{00000000-0005-0000-0000-0000B7160000}"/>
    <cellStyle name="Normal 4 7 3 2 2" xfId="7334" xr:uid="{00000000-0005-0000-0000-0000B8160000}"/>
    <cellStyle name="Normal 4 7 3 2 2 2" xfId="15784" xr:uid="{B0742CBC-98E7-4F42-AF91-1F7408BC8908}"/>
    <cellStyle name="Normal 4 7 3 2 3" xfId="11566" xr:uid="{D2FF530A-1376-4EED-BEDF-25A507352B7E}"/>
    <cellStyle name="Normal 4 7 3 3" xfId="5189" xr:uid="{00000000-0005-0000-0000-0000B9160000}"/>
    <cellStyle name="Normal 4 7 3 3 2" xfId="13639" xr:uid="{2091D3C5-B9B4-48B7-9CB3-E1A71B735BFE}"/>
    <cellStyle name="Normal 4 7 3 4" xfId="9421" xr:uid="{97B47E5F-C812-4598-8FD7-841F60ED7705}"/>
    <cellStyle name="Normal 4 7 4" xfId="1295" xr:uid="{00000000-0005-0000-0000-0000BA160000}"/>
    <cellStyle name="Normal 4 7 4 2" xfId="3525" xr:uid="{00000000-0005-0000-0000-0000BB160000}"/>
    <cellStyle name="Normal 4 7 4 2 2" xfId="7747" xr:uid="{00000000-0005-0000-0000-0000BC160000}"/>
    <cellStyle name="Normal 4 7 4 2 2 2" xfId="16197" xr:uid="{947A5CFC-C066-4D25-B7EC-CE90DC8C875D}"/>
    <cellStyle name="Normal 4 7 4 2 3" xfId="11979" xr:uid="{08E3A63D-51F5-491B-A626-69CAD0B8FF30}"/>
    <cellStyle name="Normal 4 7 4 3" xfId="5602" xr:uid="{00000000-0005-0000-0000-0000BD160000}"/>
    <cellStyle name="Normal 4 7 4 3 2" xfId="14052" xr:uid="{EE69D1E2-AA7F-49D7-B37D-86F2202720FC}"/>
    <cellStyle name="Normal 4 7 4 4" xfId="9834" xr:uid="{43875730-4484-4241-A8EE-1C00502FED1D}"/>
    <cellStyle name="Normal 4 7 5" xfId="1708" xr:uid="{00000000-0005-0000-0000-0000BE160000}"/>
    <cellStyle name="Normal 4 7 5 2" xfId="3938" xr:uid="{00000000-0005-0000-0000-0000BF160000}"/>
    <cellStyle name="Normal 4 7 5 2 2" xfId="8160" xr:uid="{00000000-0005-0000-0000-0000C0160000}"/>
    <cellStyle name="Normal 4 7 5 2 2 2" xfId="16610" xr:uid="{0C2826F1-10BB-4507-A5B0-7A0728AC5ECF}"/>
    <cellStyle name="Normal 4 7 5 2 3" xfId="12392" xr:uid="{A5519D5A-10AC-445D-9F49-4FB29ADA8EA8}"/>
    <cellStyle name="Normal 4 7 5 3" xfId="6015" xr:uid="{00000000-0005-0000-0000-0000C1160000}"/>
    <cellStyle name="Normal 4 7 5 3 2" xfId="14465" xr:uid="{05CC9628-2313-46DA-9ED6-A3CDA37E990D}"/>
    <cellStyle name="Normal 4 7 5 4" xfId="10247" xr:uid="{1FA8E42B-95BD-4638-8870-FC05FFD65AB9}"/>
    <cellStyle name="Normal 4 7 6" xfId="2122" xr:uid="{00000000-0005-0000-0000-0000C2160000}"/>
    <cellStyle name="Normal 4 7 6 2" xfId="4351" xr:uid="{00000000-0005-0000-0000-0000C3160000}"/>
    <cellStyle name="Normal 4 7 6 2 2" xfId="8573" xr:uid="{00000000-0005-0000-0000-0000C4160000}"/>
    <cellStyle name="Normal 4 7 6 2 2 2" xfId="17023" xr:uid="{8129E336-40E3-4013-9867-85ABBBBDFB4A}"/>
    <cellStyle name="Normal 4 7 6 2 3" xfId="12805" xr:uid="{CABC7329-BEA3-4CB3-B0A0-0B49C020D11E}"/>
    <cellStyle name="Normal 4 7 6 3" xfId="6428" xr:uid="{00000000-0005-0000-0000-0000C5160000}"/>
    <cellStyle name="Normal 4 7 6 3 2" xfId="14878" xr:uid="{2BCFB718-16D1-4787-8C67-4B8511432A19}"/>
    <cellStyle name="Normal 4 7 6 4" xfId="10660" xr:uid="{FFAED1D5-DA4D-40CA-AF63-A97310EB367F}"/>
    <cellStyle name="Normal 4 7 7" xfId="2558" xr:uid="{00000000-0005-0000-0000-0000C6160000}"/>
    <cellStyle name="Normal 4 7 7 2" xfId="6841" xr:uid="{00000000-0005-0000-0000-0000C7160000}"/>
    <cellStyle name="Normal 4 7 7 2 2" xfId="15291" xr:uid="{93A1212E-A27B-4AFE-843E-770B6D610ACE}"/>
    <cellStyle name="Normal 4 7 7 3" xfId="11073" xr:uid="{D49CAE2D-F496-4E28-BFC9-415C282625D1}"/>
    <cellStyle name="Normal 4 7 8" xfId="4776" xr:uid="{00000000-0005-0000-0000-0000C8160000}"/>
    <cellStyle name="Normal 4 7 8 2" xfId="13226" xr:uid="{BF90FA6F-64B9-41B7-B2AA-99FFA3FC6148}"/>
    <cellStyle name="Normal 4 7 9" xfId="9008" xr:uid="{6ADE85AF-91B3-4E1E-A19A-0A97C1DFE219}"/>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F094C378-3BBF-4573-8CF8-EA62A1A41C21}"/>
    <cellStyle name="Normal 4 8 2 2 3" xfId="11568" xr:uid="{99968AD7-6F8D-470F-B675-F89B4DCBF550}"/>
    <cellStyle name="Normal 4 8 2 3" xfId="5191" xr:uid="{00000000-0005-0000-0000-0000CD160000}"/>
    <cellStyle name="Normal 4 8 2 3 2" xfId="13641" xr:uid="{AA44F530-2165-432B-BE28-2B61C182AC62}"/>
    <cellStyle name="Normal 4 8 2 4" xfId="9423" xr:uid="{0669CAB4-EE25-42BE-AE87-339EF1847029}"/>
    <cellStyle name="Normal 4 8 3" xfId="1297" xr:uid="{00000000-0005-0000-0000-0000CE160000}"/>
    <cellStyle name="Normal 4 8 3 2" xfId="3527" xr:uid="{00000000-0005-0000-0000-0000CF160000}"/>
    <cellStyle name="Normal 4 8 3 2 2" xfId="7749" xr:uid="{00000000-0005-0000-0000-0000D0160000}"/>
    <cellStyle name="Normal 4 8 3 2 2 2" xfId="16199" xr:uid="{A621BB19-578B-4F09-84AE-7E022708047A}"/>
    <cellStyle name="Normal 4 8 3 2 3" xfId="11981" xr:uid="{F2C52348-EBFD-4309-89B0-2547FADC8C1B}"/>
    <cellStyle name="Normal 4 8 3 3" xfId="5604" xr:uid="{00000000-0005-0000-0000-0000D1160000}"/>
    <cellStyle name="Normal 4 8 3 3 2" xfId="14054" xr:uid="{BF195DA0-55CB-483E-BA58-CEA686D87CF2}"/>
    <cellStyle name="Normal 4 8 3 4" xfId="9836" xr:uid="{3D2A4672-3A04-448E-95BC-2996C23F5772}"/>
    <cellStyle name="Normal 4 8 4" xfId="1710" xr:uid="{00000000-0005-0000-0000-0000D2160000}"/>
    <cellStyle name="Normal 4 8 4 2" xfId="3940" xr:uid="{00000000-0005-0000-0000-0000D3160000}"/>
    <cellStyle name="Normal 4 8 4 2 2" xfId="8162" xr:uid="{00000000-0005-0000-0000-0000D4160000}"/>
    <cellStyle name="Normal 4 8 4 2 2 2" xfId="16612" xr:uid="{36115469-C5B2-4281-BAB4-46B17E85344A}"/>
    <cellStyle name="Normal 4 8 4 2 3" xfId="12394" xr:uid="{34ED5866-7514-49E0-82E2-057B96930191}"/>
    <cellStyle name="Normal 4 8 4 3" xfId="6017" xr:uid="{00000000-0005-0000-0000-0000D5160000}"/>
    <cellStyle name="Normal 4 8 4 3 2" xfId="14467" xr:uid="{88E73E81-FD71-4A8F-A808-A09BD9A34920}"/>
    <cellStyle name="Normal 4 8 4 4" xfId="10249" xr:uid="{EC2942B6-B76C-4E36-8BD4-F172B3E98A61}"/>
    <cellStyle name="Normal 4 8 5" xfId="2124" xr:uid="{00000000-0005-0000-0000-0000D6160000}"/>
    <cellStyle name="Normal 4 8 5 2" xfId="4353" xr:uid="{00000000-0005-0000-0000-0000D7160000}"/>
    <cellStyle name="Normal 4 8 5 2 2" xfId="8575" xr:uid="{00000000-0005-0000-0000-0000D8160000}"/>
    <cellStyle name="Normal 4 8 5 2 2 2" xfId="17025" xr:uid="{857226C6-44F8-406B-B453-5A9B091920C7}"/>
    <cellStyle name="Normal 4 8 5 2 3" xfId="12807" xr:uid="{73ED50E0-DC97-40C7-81EA-898741064456}"/>
    <cellStyle name="Normal 4 8 5 3" xfId="6430" xr:uid="{00000000-0005-0000-0000-0000D9160000}"/>
    <cellStyle name="Normal 4 8 5 3 2" xfId="14880" xr:uid="{C01654D1-B029-4D42-8D9E-3606A2480E3D}"/>
    <cellStyle name="Normal 4 8 5 4" xfId="10662" xr:uid="{1C2C9DDF-F9AA-4D4E-802C-2440CB8D49A9}"/>
    <cellStyle name="Normal 4 8 6" xfId="2560" xr:uid="{00000000-0005-0000-0000-0000DA160000}"/>
    <cellStyle name="Normal 4 8 6 2" xfId="6843" xr:uid="{00000000-0005-0000-0000-0000DB160000}"/>
    <cellStyle name="Normal 4 8 6 2 2" xfId="15293" xr:uid="{B793B28B-8563-4198-AB10-78DA765A86E1}"/>
    <cellStyle name="Normal 4 8 6 3" xfId="11075" xr:uid="{DEDC1C5E-89AF-4C4E-BE98-F7E8B7E77E1C}"/>
    <cellStyle name="Normal 4 8 7" xfId="4778" xr:uid="{00000000-0005-0000-0000-0000DC160000}"/>
    <cellStyle name="Normal 4 8 7 2" xfId="13228" xr:uid="{165ADC87-B473-4861-8EBB-D137F3F18650}"/>
    <cellStyle name="Normal 4 8 8" xfId="9010" xr:uid="{4BBF6723-8F57-4E52-82D8-CDAED7279346}"/>
    <cellStyle name="Normal 4 9" xfId="4715" xr:uid="{00000000-0005-0000-0000-0000DD160000}"/>
    <cellStyle name="Normal 4 9 2" xfId="13165" xr:uid="{20CF56D8-8395-45C8-9E82-37CC053F273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44ECEDB1-0950-4D7E-AB68-C1A3E0A4DC3A}"/>
    <cellStyle name="Normal 5 10 2 3" xfId="12395" xr:uid="{35417E45-7FFA-4ED2-A711-872CE0398A18}"/>
    <cellStyle name="Normal 5 10 3" xfId="6018" xr:uid="{00000000-0005-0000-0000-0000E2160000}"/>
    <cellStyle name="Normal 5 10 3 2" xfId="14468" xr:uid="{8F76B496-4323-49C6-8422-28815AA4EFE9}"/>
    <cellStyle name="Normal 5 10 4" xfId="10250" xr:uid="{D10A6B27-CEB1-41F5-ABC0-8A460C1F9B3F}"/>
    <cellStyle name="Normal 5 11" xfId="2125" xr:uid="{00000000-0005-0000-0000-0000E3160000}"/>
    <cellStyle name="Normal 5 11 2" xfId="4354" xr:uid="{00000000-0005-0000-0000-0000E4160000}"/>
    <cellStyle name="Normal 5 11 2 2" xfId="8576" xr:uid="{00000000-0005-0000-0000-0000E5160000}"/>
    <cellStyle name="Normal 5 11 2 2 2" xfId="17026" xr:uid="{03669162-0D94-4F39-B9C8-8FB425DD8D27}"/>
    <cellStyle name="Normal 5 11 2 3" xfId="12808" xr:uid="{F1A814A5-9F68-4826-8B98-85D6814282CC}"/>
    <cellStyle name="Normal 5 11 3" xfId="6431" xr:uid="{00000000-0005-0000-0000-0000E6160000}"/>
    <cellStyle name="Normal 5 11 3 2" xfId="14881" xr:uid="{0ED3EC2A-893B-4C42-ACF1-943605336154}"/>
    <cellStyle name="Normal 5 11 4" xfId="10663" xr:uid="{D0CB5D2F-E1EE-4232-B3BC-93AFFC5B1115}"/>
    <cellStyle name="Normal 5 12" xfId="2561" xr:uid="{00000000-0005-0000-0000-0000E7160000}"/>
    <cellStyle name="Normal 5 12 2" xfId="6844" xr:uid="{00000000-0005-0000-0000-0000E8160000}"/>
    <cellStyle name="Normal 5 12 2 2" xfId="15294" xr:uid="{8CF57404-A258-429C-832C-A4A73A0BE2E9}"/>
    <cellStyle name="Normal 5 12 3" xfId="11076" xr:uid="{87F8293B-8E6C-4AC0-AA8E-4D446CBEFDFB}"/>
    <cellStyle name="Normal 5 13" xfId="4779" xr:uid="{00000000-0005-0000-0000-0000E9160000}"/>
    <cellStyle name="Normal 5 13 2" xfId="13229" xr:uid="{7B6BE105-E669-44C9-83D6-514F0D0E0FCC}"/>
    <cellStyle name="Normal 5 14" xfId="9011" xr:uid="{1234B1CC-0F4E-47C1-ACC0-7CB45D7F1D4E}"/>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F0049BE0-A733-41D0-A75E-D51973F95754}"/>
    <cellStyle name="Normal 5 2 10 2 3" xfId="12809" xr:uid="{36075027-F0A0-4812-A736-C19DE5D54B60}"/>
    <cellStyle name="Normal 5 2 10 3" xfId="6432" xr:uid="{00000000-0005-0000-0000-0000EE160000}"/>
    <cellStyle name="Normal 5 2 10 3 2" xfId="14882" xr:uid="{5602CD8F-892F-4255-A0AB-9494C6EE747A}"/>
    <cellStyle name="Normal 5 2 10 4" xfId="10664" xr:uid="{8FE47B3F-6AF6-4C5D-A4DB-6897A6F5F875}"/>
    <cellStyle name="Normal 5 2 11" xfId="2562" xr:uid="{00000000-0005-0000-0000-0000EF160000}"/>
    <cellStyle name="Normal 5 2 11 2" xfId="6845" xr:uid="{00000000-0005-0000-0000-0000F0160000}"/>
    <cellStyle name="Normal 5 2 11 2 2" xfId="15295" xr:uid="{35480A1E-25A6-48B2-899B-A1ADA83F9AC8}"/>
    <cellStyle name="Normal 5 2 11 3" xfId="11077" xr:uid="{F7867515-7472-4E2E-B7A6-BE9EAD22A45A}"/>
    <cellStyle name="Normal 5 2 12" xfId="4780" xr:uid="{00000000-0005-0000-0000-0000F1160000}"/>
    <cellStyle name="Normal 5 2 12 2" xfId="13230" xr:uid="{A0E14BC3-8A44-4183-8442-6DAF7F409D2A}"/>
    <cellStyle name="Normal 5 2 13" xfId="9012" xr:uid="{C943648E-AD19-486B-85A3-31E1E46D3891}"/>
    <cellStyle name="Normal 5 2 2" xfId="408" xr:uid="{00000000-0005-0000-0000-0000F2160000}"/>
    <cellStyle name="Normal 5 2 2 10" xfId="2563" xr:uid="{00000000-0005-0000-0000-0000F3160000}"/>
    <cellStyle name="Normal 5 2 2 10 2" xfId="6846" xr:uid="{00000000-0005-0000-0000-0000F4160000}"/>
    <cellStyle name="Normal 5 2 2 10 2 2" xfId="15296" xr:uid="{071134A2-911D-44BF-ADBF-0F9CC63028DE}"/>
    <cellStyle name="Normal 5 2 2 10 3" xfId="11078" xr:uid="{EEEB9155-8159-4B92-B244-1E1D44E6A4EC}"/>
    <cellStyle name="Normal 5 2 2 11" xfId="4781" xr:uid="{00000000-0005-0000-0000-0000F5160000}"/>
    <cellStyle name="Normal 5 2 2 11 2" xfId="13231" xr:uid="{462E26A5-3CAB-4739-9F67-7657607898BA}"/>
    <cellStyle name="Normal 5 2 2 12" xfId="9013" xr:uid="{291C06A2-E4F2-450E-A779-1B8DD9A52A0E}"/>
    <cellStyle name="Normal 5 2 2 2" xfId="409" xr:uid="{00000000-0005-0000-0000-0000F6160000}"/>
    <cellStyle name="Normal 5 2 2 2 10" xfId="4782" xr:uid="{00000000-0005-0000-0000-0000F7160000}"/>
    <cellStyle name="Normal 5 2 2 2 10 2" xfId="13232" xr:uid="{7EE10770-0858-4F02-BD48-F597BEE514C1}"/>
    <cellStyle name="Normal 5 2 2 2 11" xfId="9014" xr:uid="{06561E46-C578-4E9D-912B-18C7CAD26866}"/>
    <cellStyle name="Normal 5 2 2 2 2" xfId="410" xr:uid="{00000000-0005-0000-0000-0000F8160000}"/>
    <cellStyle name="Normal 5 2 2 2 2 10" xfId="9015" xr:uid="{3AD4991F-B786-44F2-BF8E-519D6590897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52153BB5-5FC2-4162-8B21-8D70D9F74EFD}"/>
    <cellStyle name="Normal 5 2 2 2 2 2 2 2 2 3" xfId="11575" xr:uid="{DA6D6F8D-D1BB-4BF1-AF3F-AC2A5D066CA0}"/>
    <cellStyle name="Normal 5 2 2 2 2 2 2 2 3" xfId="5198" xr:uid="{00000000-0005-0000-0000-0000FE160000}"/>
    <cellStyle name="Normal 5 2 2 2 2 2 2 2 3 2" xfId="13648" xr:uid="{2444DD05-22C6-40BB-9210-5964A6594100}"/>
    <cellStyle name="Normal 5 2 2 2 2 2 2 2 4" xfId="9430" xr:uid="{F08B11DC-E42B-4BB6-9D50-BE7F4D460F3D}"/>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975152C4-2C79-4F37-AFA1-3538407C2DCD}"/>
    <cellStyle name="Normal 5 2 2 2 2 2 2 3 2 3" xfId="11988" xr:uid="{01122C89-67BC-4511-B24D-630F75BD935C}"/>
    <cellStyle name="Normal 5 2 2 2 2 2 2 3 3" xfId="5611" xr:uid="{00000000-0005-0000-0000-000002170000}"/>
    <cellStyle name="Normal 5 2 2 2 2 2 2 3 3 2" xfId="14061" xr:uid="{8DBDB247-0E5C-4C77-BD65-F11A47366A98}"/>
    <cellStyle name="Normal 5 2 2 2 2 2 2 3 4" xfId="9843" xr:uid="{6E3AC8D4-78BE-4FFE-B12F-7484971EF74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7A73DC2A-FE16-4880-A669-5F81C99AC932}"/>
    <cellStyle name="Normal 5 2 2 2 2 2 2 4 2 3" xfId="12401" xr:uid="{075B6ABB-22FA-4092-9C56-7CCEC160E6F5}"/>
    <cellStyle name="Normal 5 2 2 2 2 2 2 4 3" xfId="6024" xr:uid="{00000000-0005-0000-0000-000006170000}"/>
    <cellStyle name="Normal 5 2 2 2 2 2 2 4 3 2" xfId="14474" xr:uid="{0D5D5B25-A959-4269-9E8E-5B1770270EB6}"/>
    <cellStyle name="Normal 5 2 2 2 2 2 2 4 4" xfId="10256" xr:uid="{9BC10829-14C1-4E11-8145-1FF4019BC57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118B26CD-14CD-49D8-BD5C-06636899F56B}"/>
    <cellStyle name="Normal 5 2 2 2 2 2 2 5 2 3" xfId="12814" xr:uid="{79A7C9BB-06B6-4A19-A805-EB5E07ED2225}"/>
    <cellStyle name="Normal 5 2 2 2 2 2 2 5 3" xfId="6437" xr:uid="{00000000-0005-0000-0000-00000A170000}"/>
    <cellStyle name="Normal 5 2 2 2 2 2 2 5 3 2" xfId="14887" xr:uid="{7C778144-41F6-400E-98F6-646FAB1902EF}"/>
    <cellStyle name="Normal 5 2 2 2 2 2 2 5 4" xfId="10669" xr:uid="{1717C8A5-D286-45EA-929A-2C45D3D48BA5}"/>
    <cellStyle name="Normal 5 2 2 2 2 2 2 6" xfId="2567" xr:uid="{00000000-0005-0000-0000-00000B170000}"/>
    <cellStyle name="Normal 5 2 2 2 2 2 2 6 2" xfId="6850" xr:uid="{00000000-0005-0000-0000-00000C170000}"/>
    <cellStyle name="Normal 5 2 2 2 2 2 2 6 2 2" xfId="15300" xr:uid="{EF9DFBCE-A316-4904-8D5F-7733C5DF1350}"/>
    <cellStyle name="Normal 5 2 2 2 2 2 2 6 3" xfId="11082" xr:uid="{6693F1CA-DDE1-4070-948B-035D12BDA3F3}"/>
    <cellStyle name="Normal 5 2 2 2 2 2 2 7" xfId="4785" xr:uid="{00000000-0005-0000-0000-00000D170000}"/>
    <cellStyle name="Normal 5 2 2 2 2 2 2 7 2" xfId="13235" xr:uid="{6A54E612-CEF2-41B6-998F-BE43BDD3053A}"/>
    <cellStyle name="Normal 5 2 2 2 2 2 2 8" xfId="9017" xr:uid="{4E41A186-8000-4AC2-8C24-40CE4273A24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A2006189-873F-4E55-ADCE-74D10871157A}"/>
    <cellStyle name="Normal 5 2 2 2 2 2 3 2 3" xfId="11574" xr:uid="{2B8E1E4B-E8E0-413D-903D-695B65342C33}"/>
    <cellStyle name="Normal 5 2 2 2 2 2 3 3" xfId="5197" xr:uid="{00000000-0005-0000-0000-000011170000}"/>
    <cellStyle name="Normal 5 2 2 2 2 2 3 3 2" xfId="13647" xr:uid="{A68F9EF8-F047-4C09-A89C-EC0425D9CA2B}"/>
    <cellStyle name="Normal 5 2 2 2 2 2 3 4" xfId="9429" xr:uid="{0E4D634B-A72A-481B-B21F-A106B2BDBC95}"/>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250BA300-71BB-4BED-A356-3492A3FDB678}"/>
    <cellStyle name="Normal 5 2 2 2 2 2 4 2 3" xfId="11987" xr:uid="{06B236BB-2DCF-49C2-A1C2-79390FB2CEFA}"/>
    <cellStyle name="Normal 5 2 2 2 2 2 4 3" xfId="5610" xr:uid="{00000000-0005-0000-0000-000015170000}"/>
    <cellStyle name="Normal 5 2 2 2 2 2 4 3 2" xfId="14060" xr:uid="{AF07E1B1-1BC6-4212-B886-112A4A32614D}"/>
    <cellStyle name="Normal 5 2 2 2 2 2 4 4" xfId="9842" xr:uid="{0B040A60-6F62-414C-BB7D-00B0CFCECC48}"/>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2BF1EFA0-DD8F-42E8-9A31-2F2DC0F8ACF6}"/>
    <cellStyle name="Normal 5 2 2 2 2 2 5 2 3" xfId="12400" xr:uid="{56AFB734-B080-435B-98F0-F2064F1B9F14}"/>
    <cellStyle name="Normal 5 2 2 2 2 2 5 3" xfId="6023" xr:uid="{00000000-0005-0000-0000-000019170000}"/>
    <cellStyle name="Normal 5 2 2 2 2 2 5 3 2" xfId="14473" xr:uid="{19A41521-B09C-465E-A888-6148D82699F8}"/>
    <cellStyle name="Normal 5 2 2 2 2 2 5 4" xfId="10255" xr:uid="{0B1A3EF0-3AC9-40E3-9397-9089FAC12012}"/>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07211E5A-242C-4358-B23C-7F77DDE2FE8C}"/>
    <cellStyle name="Normal 5 2 2 2 2 2 6 2 3" xfId="12813" xr:uid="{4B47D192-A75E-43F6-B6CE-680F10A8A722}"/>
    <cellStyle name="Normal 5 2 2 2 2 2 6 3" xfId="6436" xr:uid="{00000000-0005-0000-0000-00001D170000}"/>
    <cellStyle name="Normal 5 2 2 2 2 2 6 3 2" xfId="14886" xr:uid="{2AED4BBE-D43D-4C12-A2A0-3BC6A6AE95BB}"/>
    <cellStyle name="Normal 5 2 2 2 2 2 6 4" xfId="10668" xr:uid="{4FE6CF23-0FDC-4DDE-91ED-FA1903DCA1BC}"/>
    <cellStyle name="Normal 5 2 2 2 2 2 7" xfId="2566" xr:uid="{00000000-0005-0000-0000-00001E170000}"/>
    <cellStyle name="Normal 5 2 2 2 2 2 7 2" xfId="6849" xr:uid="{00000000-0005-0000-0000-00001F170000}"/>
    <cellStyle name="Normal 5 2 2 2 2 2 7 2 2" xfId="15299" xr:uid="{D25C7761-F622-4999-A4CD-9A74CF85659C}"/>
    <cellStyle name="Normal 5 2 2 2 2 2 7 3" xfId="11081" xr:uid="{759877E6-5595-46A4-B120-538C5E5C98DC}"/>
    <cellStyle name="Normal 5 2 2 2 2 2 8" xfId="4784" xr:uid="{00000000-0005-0000-0000-000020170000}"/>
    <cellStyle name="Normal 5 2 2 2 2 2 8 2" xfId="13234" xr:uid="{4C0D00D2-DC6D-4502-9963-F31B48622CA3}"/>
    <cellStyle name="Normal 5 2 2 2 2 2 9" xfId="9016" xr:uid="{EEABBE4E-B330-4CE1-B221-664171F10C5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3DAB4376-0C0D-4EBA-B590-8EDF58D628B7}"/>
    <cellStyle name="Normal 5 2 2 2 2 3 2 2 3" xfId="11576" xr:uid="{1C5EE63D-4690-409A-B591-4F71AAFA4B17}"/>
    <cellStyle name="Normal 5 2 2 2 2 3 2 3" xfId="5199" xr:uid="{00000000-0005-0000-0000-000025170000}"/>
    <cellStyle name="Normal 5 2 2 2 2 3 2 3 2" xfId="13649" xr:uid="{8874B6BC-F2D3-4C3B-BBD3-83AEAC93129D}"/>
    <cellStyle name="Normal 5 2 2 2 2 3 2 4" xfId="9431" xr:uid="{7DED8FF6-E810-48C7-91DF-A49FA3D9D0E9}"/>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848BAC5A-E910-4DA3-B73E-455C2819F71F}"/>
    <cellStyle name="Normal 5 2 2 2 2 3 3 2 3" xfId="11989" xr:uid="{AED97591-7CAC-4DF6-B828-9275182CA859}"/>
    <cellStyle name="Normal 5 2 2 2 2 3 3 3" xfId="5612" xr:uid="{00000000-0005-0000-0000-000029170000}"/>
    <cellStyle name="Normal 5 2 2 2 2 3 3 3 2" xfId="14062" xr:uid="{F3A79DA7-02B0-4297-9AA7-32F584272B86}"/>
    <cellStyle name="Normal 5 2 2 2 2 3 3 4" xfId="9844" xr:uid="{24165F1D-1A18-4F54-BD04-363D799B4212}"/>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09A69044-C244-41F3-9768-00E620827B7F}"/>
    <cellStyle name="Normal 5 2 2 2 2 3 4 2 3" xfId="12402" xr:uid="{61CFCF67-4BC8-4FEA-BDD5-C9F250E0E834}"/>
    <cellStyle name="Normal 5 2 2 2 2 3 4 3" xfId="6025" xr:uid="{00000000-0005-0000-0000-00002D170000}"/>
    <cellStyle name="Normal 5 2 2 2 2 3 4 3 2" xfId="14475" xr:uid="{0805124C-6550-47AA-9B90-980E578E7C45}"/>
    <cellStyle name="Normal 5 2 2 2 2 3 4 4" xfId="10257" xr:uid="{9387BFEA-DD0A-4FF8-9A9B-4BEB4E8499F2}"/>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75529C42-999A-4233-8588-DFAD92FFA5AB}"/>
    <cellStyle name="Normal 5 2 2 2 2 3 5 2 3" xfId="12815" xr:uid="{4C191908-3E1C-47B8-92D1-0A64B3230982}"/>
    <cellStyle name="Normal 5 2 2 2 2 3 5 3" xfId="6438" xr:uid="{00000000-0005-0000-0000-000031170000}"/>
    <cellStyle name="Normal 5 2 2 2 2 3 5 3 2" xfId="14888" xr:uid="{FE6461E4-F7AF-4E12-A3BF-8FCDE4C1BB3F}"/>
    <cellStyle name="Normal 5 2 2 2 2 3 5 4" xfId="10670" xr:uid="{C51CDD31-8A79-46B2-AC8C-3B8AF62D145F}"/>
    <cellStyle name="Normal 5 2 2 2 2 3 6" xfId="2568" xr:uid="{00000000-0005-0000-0000-000032170000}"/>
    <cellStyle name="Normal 5 2 2 2 2 3 6 2" xfId="6851" xr:uid="{00000000-0005-0000-0000-000033170000}"/>
    <cellStyle name="Normal 5 2 2 2 2 3 6 2 2" xfId="15301" xr:uid="{CB578AAB-158D-4CF1-92DD-3C2D08A72726}"/>
    <cellStyle name="Normal 5 2 2 2 2 3 6 3" xfId="11083" xr:uid="{6D94CB02-9428-4507-ACDE-6A8D929E8832}"/>
    <cellStyle name="Normal 5 2 2 2 2 3 7" xfId="4786" xr:uid="{00000000-0005-0000-0000-000034170000}"/>
    <cellStyle name="Normal 5 2 2 2 2 3 7 2" xfId="13236" xr:uid="{14CBA617-6563-4589-97C9-4218D58FFF68}"/>
    <cellStyle name="Normal 5 2 2 2 2 3 8" xfId="9018" xr:uid="{8D7D717A-9302-4E4E-8ACA-9355C3167812}"/>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80CC263F-E685-4910-B053-D9A6F8D89E72}"/>
    <cellStyle name="Normal 5 2 2 2 2 4 2 3" xfId="11573" xr:uid="{D1911DD0-0537-4F7A-B648-5DCDF8465A3A}"/>
    <cellStyle name="Normal 5 2 2 2 2 4 3" xfId="5196" xr:uid="{00000000-0005-0000-0000-000038170000}"/>
    <cellStyle name="Normal 5 2 2 2 2 4 3 2" xfId="13646" xr:uid="{3D2DAE2D-2F21-4A3B-BC9F-FC664082D493}"/>
    <cellStyle name="Normal 5 2 2 2 2 4 4" xfId="9428" xr:uid="{D3822199-A420-4E0A-9F9E-6CB3F2498DF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BFA49673-6FF2-408D-9612-7CBFC72FF9A8}"/>
    <cellStyle name="Normal 5 2 2 2 2 5 2 3" xfId="11986" xr:uid="{4F30C095-9D84-4CFB-B52B-6AFDA5B1FDAD}"/>
    <cellStyle name="Normal 5 2 2 2 2 5 3" xfId="5609" xr:uid="{00000000-0005-0000-0000-00003C170000}"/>
    <cellStyle name="Normal 5 2 2 2 2 5 3 2" xfId="14059" xr:uid="{54B48515-2C3B-4362-AB36-E4424389813C}"/>
    <cellStyle name="Normal 5 2 2 2 2 5 4" xfId="9841" xr:uid="{BEAE2C9C-9EC0-4B44-8C0D-74766DE1D3B5}"/>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DC808BA5-954C-4651-8F51-891B74B11D05}"/>
    <cellStyle name="Normal 5 2 2 2 2 6 2 3" xfId="12399" xr:uid="{26B204E3-8CC9-40AE-A833-DB409E9E22DA}"/>
    <cellStyle name="Normal 5 2 2 2 2 6 3" xfId="6022" xr:uid="{00000000-0005-0000-0000-000040170000}"/>
    <cellStyle name="Normal 5 2 2 2 2 6 3 2" xfId="14472" xr:uid="{D1E32CFE-A1A5-4A6F-ACFC-A000970B3695}"/>
    <cellStyle name="Normal 5 2 2 2 2 6 4" xfId="10254" xr:uid="{7E86772A-6509-4283-9E05-3A71B4802C6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12928BBB-199C-49CA-8897-F4122D2F63B0}"/>
    <cellStyle name="Normal 5 2 2 2 2 7 2 3" xfId="12812" xr:uid="{2E24B2AC-A890-4B35-9306-0C94243DCB30}"/>
    <cellStyle name="Normal 5 2 2 2 2 7 3" xfId="6435" xr:uid="{00000000-0005-0000-0000-000044170000}"/>
    <cellStyle name="Normal 5 2 2 2 2 7 3 2" xfId="14885" xr:uid="{988322A5-3009-43D4-BDE9-30702AB34D1B}"/>
    <cellStyle name="Normal 5 2 2 2 2 7 4" xfId="10667" xr:uid="{2322EE84-BC88-4896-B4D5-C8256ABEB13D}"/>
    <cellStyle name="Normal 5 2 2 2 2 8" xfId="2565" xr:uid="{00000000-0005-0000-0000-000045170000}"/>
    <cellStyle name="Normal 5 2 2 2 2 8 2" xfId="6848" xr:uid="{00000000-0005-0000-0000-000046170000}"/>
    <cellStyle name="Normal 5 2 2 2 2 8 2 2" xfId="15298" xr:uid="{E7B052BD-37C8-4F97-9E72-5DE57BD27C83}"/>
    <cellStyle name="Normal 5 2 2 2 2 8 3" xfId="11080" xr:uid="{6F1F5A91-7A0E-4095-B46C-773660D304CA}"/>
    <cellStyle name="Normal 5 2 2 2 2 9" xfId="4783" xr:uid="{00000000-0005-0000-0000-000047170000}"/>
    <cellStyle name="Normal 5 2 2 2 2 9 2" xfId="13233" xr:uid="{AC120490-704A-4284-8AEE-1A4C2D7050FA}"/>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9FAA6FF2-D501-40C5-A92D-DD94F6802583}"/>
    <cellStyle name="Normal 5 2 2 2 3 2 2 2 3" xfId="11578" xr:uid="{B3AA5F4C-8F38-4210-8B4F-38B305D2E59D}"/>
    <cellStyle name="Normal 5 2 2 2 3 2 2 3" xfId="5201" xr:uid="{00000000-0005-0000-0000-00004D170000}"/>
    <cellStyle name="Normal 5 2 2 2 3 2 2 3 2" xfId="13651" xr:uid="{C565ABB0-D665-462F-91A1-AFE31B6CBCD7}"/>
    <cellStyle name="Normal 5 2 2 2 3 2 2 4" xfId="9433" xr:uid="{FBE63B66-6515-4167-B284-83D023D2879F}"/>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15A7B465-B290-408B-A90A-F14A014D8523}"/>
    <cellStyle name="Normal 5 2 2 2 3 2 3 2 3" xfId="11991" xr:uid="{FC61C4C4-A605-40E4-A6CB-CE4F1671A7AC}"/>
    <cellStyle name="Normal 5 2 2 2 3 2 3 3" xfId="5614" xr:uid="{00000000-0005-0000-0000-000051170000}"/>
    <cellStyle name="Normal 5 2 2 2 3 2 3 3 2" xfId="14064" xr:uid="{28C370EE-62E5-44AE-A705-EF0C8C3F2993}"/>
    <cellStyle name="Normal 5 2 2 2 3 2 3 4" xfId="9846" xr:uid="{F996DBCD-538F-4603-9B5A-24514F04A562}"/>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B7F742E5-5218-4723-8B98-454EDF3EA25C}"/>
    <cellStyle name="Normal 5 2 2 2 3 2 4 2 3" xfId="12404" xr:uid="{C8CC1DA4-D66C-4B25-8D25-9AF41DDBD86A}"/>
    <cellStyle name="Normal 5 2 2 2 3 2 4 3" xfId="6027" xr:uid="{00000000-0005-0000-0000-000055170000}"/>
    <cellStyle name="Normal 5 2 2 2 3 2 4 3 2" xfId="14477" xr:uid="{FF2D26E6-8C7F-491E-BE71-2557468630F0}"/>
    <cellStyle name="Normal 5 2 2 2 3 2 4 4" xfId="10259" xr:uid="{06C2BDB5-F24A-47D0-B9DA-C110C8F6DD3C}"/>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AB4BD9C0-479C-412F-9059-3F470A718977}"/>
    <cellStyle name="Normal 5 2 2 2 3 2 5 2 3" xfId="12817" xr:uid="{2D794C8C-A453-4736-8BBE-A79E36450524}"/>
    <cellStyle name="Normal 5 2 2 2 3 2 5 3" xfId="6440" xr:uid="{00000000-0005-0000-0000-000059170000}"/>
    <cellStyle name="Normal 5 2 2 2 3 2 5 3 2" xfId="14890" xr:uid="{D020006A-0713-44BE-8723-1D6BAE3D3048}"/>
    <cellStyle name="Normal 5 2 2 2 3 2 5 4" xfId="10672" xr:uid="{D2F1A4A9-803C-4790-A008-68F7D55A2207}"/>
    <cellStyle name="Normal 5 2 2 2 3 2 6" xfId="2570" xr:uid="{00000000-0005-0000-0000-00005A170000}"/>
    <cellStyle name="Normal 5 2 2 2 3 2 6 2" xfId="6853" xr:uid="{00000000-0005-0000-0000-00005B170000}"/>
    <cellStyle name="Normal 5 2 2 2 3 2 6 2 2" xfId="15303" xr:uid="{CE8CFDED-108B-4511-A004-B20814C12AF3}"/>
    <cellStyle name="Normal 5 2 2 2 3 2 6 3" xfId="11085" xr:uid="{1B221000-B18D-41DF-904F-CD8D744A2E82}"/>
    <cellStyle name="Normal 5 2 2 2 3 2 7" xfId="4788" xr:uid="{00000000-0005-0000-0000-00005C170000}"/>
    <cellStyle name="Normal 5 2 2 2 3 2 7 2" xfId="13238" xr:uid="{88E999D6-4971-4C9C-94AB-1CB8C59C6FCD}"/>
    <cellStyle name="Normal 5 2 2 2 3 2 8" xfId="9020" xr:uid="{94137E92-79EC-4ABE-BCAE-A0A75ED5A4F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8935AFE9-9CFC-4316-8964-A67A4BA1C668}"/>
    <cellStyle name="Normal 5 2 2 2 3 3 2 3" xfId="11577" xr:uid="{AF179CB6-20AE-4091-839D-4AD03F6AF222}"/>
    <cellStyle name="Normal 5 2 2 2 3 3 3" xfId="5200" xr:uid="{00000000-0005-0000-0000-000060170000}"/>
    <cellStyle name="Normal 5 2 2 2 3 3 3 2" xfId="13650" xr:uid="{9518F3CE-1F3B-4E21-9DB1-46E05A30355D}"/>
    <cellStyle name="Normal 5 2 2 2 3 3 4" xfId="9432" xr:uid="{262346FB-B505-4DF3-B77A-8763EDCA0C5C}"/>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5AF5BFE8-E698-4486-923A-86CBE428910D}"/>
    <cellStyle name="Normal 5 2 2 2 3 4 2 3" xfId="11990" xr:uid="{9804537B-67FC-4D69-94CE-54ABE875DCD3}"/>
    <cellStyle name="Normal 5 2 2 2 3 4 3" xfId="5613" xr:uid="{00000000-0005-0000-0000-000064170000}"/>
    <cellStyle name="Normal 5 2 2 2 3 4 3 2" xfId="14063" xr:uid="{092E777E-B675-425E-99EE-65FBE922240A}"/>
    <cellStyle name="Normal 5 2 2 2 3 4 4" xfId="9845" xr:uid="{CB7DBBF5-CA68-4B96-B570-9AD2AED7EAD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F91081C3-AD7F-4AA2-817C-1171BEBB49ED}"/>
    <cellStyle name="Normal 5 2 2 2 3 5 2 3" xfId="12403" xr:uid="{EE7206CD-5758-4381-9C8A-7367FCB1B13F}"/>
    <cellStyle name="Normal 5 2 2 2 3 5 3" xfId="6026" xr:uid="{00000000-0005-0000-0000-000068170000}"/>
    <cellStyle name="Normal 5 2 2 2 3 5 3 2" xfId="14476" xr:uid="{B2E41431-13B4-4229-AD16-77361340E265}"/>
    <cellStyle name="Normal 5 2 2 2 3 5 4" xfId="10258" xr:uid="{7DA819DA-E9D7-470B-9EA3-E2BB49E3CD8A}"/>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BDEE17DB-813D-4901-8551-2DC18D759FE0}"/>
    <cellStyle name="Normal 5 2 2 2 3 6 2 3" xfId="12816" xr:uid="{6ECEB992-5921-474A-BD44-D5E7172B7ECF}"/>
    <cellStyle name="Normal 5 2 2 2 3 6 3" xfId="6439" xr:uid="{00000000-0005-0000-0000-00006C170000}"/>
    <cellStyle name="Normal 5 2 2 2 3 6 3 2" xfId="14889" xr:uid="{B031C159-B9C3-4EF7-BB8A-5C32B3B01EC9}"/>
    <cellStyle name="Normal 5 2 2 2 3 6 4" xfId="10671" xr:uid="{04D55954-D0A1-43FA-8DDE-91033E0D19C8}"/>
    <cellStyle name="Normal 5 2 2 2 3 7" xfId="2569" xr:uid="{00000000-0005-0000-0000-00006D170000}"/>
    <cellStyle name="Normal 5 2 2 2 3 7 2" xfId="6852" xr:uid="{00000000-0005-0000-0000-00006E170000}"/>
    <cellStyle name="Normal 5 2 2 2 3 7 2 2" xfId="15302" xr:uid="{1F487F2E-5F83-4E4E-9547-C0532390E69C}"/>
    <cellStyle name="Normal 5 2 2 2 3 7 3" xfId="11084" xr:uid="{3E078719-C84A-48F4-B5AA-66BB595D1EF4}"/>
    <cellStyle name="Normal 5 2 2 2 3 8" xfId="4787" xr:uid="{00000000-0005-0000-0000-00006F170000}"/>
    <cellStyle name="Normal 5 2 2 2 3 8 2" xfId="13237" xr:uid="{FD635397-C290-42DB-BEB8-A3962C2B2F9B}"/>
    <cellStyle name="Normal 5 2 2 2 3 9" xfId="9019" xr:uid="{59FD0B30-CBA7-4A4E-B909-CAE7D9E7E572}"/>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EBD5FE4F-6BBE-47FB-9560-0CEF28BF69C4}"/>
    <cellStyle name="Normal 5 2 2 2 4 2 2 3" xfId="11579" xr:uid="{FCEA20AE-AED9-4925-8516-3A46B875C9C6}"/>
    <cellStyle name="Normal 5 2 2 2 4 2 3" xfId="5202" xr:uid="{00000000-0005-0000-0000-000074170000}"/>
    <cellStyle name="Normal 5 2 2 2 4 2 3 2" xfId="13652" xr:uid="{3922D822-1575-490B-AA8F-2A682C73BB51}"/>
    <cellStyle name="Normal 5 2 2 2 4 2 4" xfId="9434" xr:uid="{C7105804-8FB6-4229-B830-70D08587362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3CDBD1F0-65ED-48E2-B2DF-B517B976EABB}"/>
    <cellStyle name="Normal 5 2 2 2 4 3 2 3" xfId="11992" xr:uid="{73B76018-F998-46AC-8CDF-B771FE404614}"/>
    <cellStyle name="Normal 5 2 2 2 4 3 3" xfId="5615" xr:uid="{00000000-0005-0000-0000-000078170000}"/>
    <cellStyle name="Normal 5 2 2 2 4 3 3 2" xfId="14065" xr:uid="{283D90B5-F84A-4747-9DE2-DE3609E1BF7C}"/>
    <cellStyle name="Normal 5 2 2 2 4 3 4" xfId="9847" xr:uid="{86312830-A812-4CA9-BCED-AFA0B1841AA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F03E31AD-C6DA-4E5A-9CEB-ACF2F387ABF7}"/>
    <cellStyle name="Normal 5 2 2 2 4 4 2 3" xfId="12405" xr:uid="{ADB8CB05-A81A-491C-9900-FE99FC4E4ED4}"/>
    <cellStyle name="Normal 5 2 2 2 4 4 3" xfId="6028" xr:uid="{00000000-0005-0000-0000-00007C170000}"/>
    <cellStyle name="Normal 5 2 2 2 4 4 3 2" xfId="14478" xr:uid="{6A050C0E-D24B-49F5-8671-441B99ACDC42}"/>
    <cellStyle name="Normal 5 2 2 2 4 4 4" xfId="10260" xr:uid="{605DE95C-846D-4F3B-97E5-0016D7A582AA}"/>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757403FD-3C73-4864-B720-A294205BAA7D}"/>
    <cellStyle name="Normal 5 2 2 2 4 5 2 3" xfId="12818" xr:uid="{1BA8E5B7-686E-4748-B768-7EC4D316163B}"/>
    <cellStyle name="Normal 5 2 2 2 4 5 3" xfId="6441" xr:uid="{00000000-0005-0000-0000-000080170000}"/>
    <cellStyle name="Normal 5 2 2 2 4 5 3 2" xfId="14891" xr:uid="{779C8BC9-E850-4474-A337-6528D03A4585}"/>
    <cellStyle name="Normal 5 2 2 2 4 5 4" xfId="10673" xr:uid="{D91DA67B-BFAC-446B-AFEB-9705A9F77A9B}"/>
    <cellStyle name="Normal 5 2 2 2 4 6" xfId="2571" xr:uid="{00000000-0005-0000-0000-000081170000}"/>
    <cellStyle name="Normal 5 2 2 2 4 6 2" xfId="6854" xr:uid="{00000000-0005-0000-0000-000082170000}"/>
    <cellStyle name="Normal 5 2 2 2 4 6 2 2" xfId="15304" xr:uid="{09EEA082-E280-4606-91EF-414A08184A0E}"/>
    <cellStyle name="Normal 5 2 2 2 4 6 3" xfId="11086" xr:uid="{BD48A4EE-5432-45B4-8925-7C5AEE523FEB}"/>
    <cellStyle name="Normal 5 2 2 2 4 7" xfId="4789" xr:uid="{00000000-0005-0000-0000-000083170000}"/>
    <cellStyle name="Normal 5 2 2 2 4 7 2" xfId="13239" xr:uid="{1F68B165-2475-4F1D-8165-33A738903A51}"/>
    <cellStyle name="Normal 5 2 2 2 4 8" xfId="9021" xr:uid="{B017322E-B781-4574-9D5F-2AA16721BE3F}"/>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53133B42-2DD4-4057-9094-13553FF42C13}"/>
    <cellStyle name="Normal 5 2 2 2 5 2 3" xfId="11572" xr:uid="{55577DB4-866E-4D76-864C-B72E1A676AAC}"/>
    <cellStyle name="Normal 5 2 2 2 5 3" xfId="5195" xr:uid="{00000000-0005-0000-0000-000087170000}"/>
    <cellStyle name="Normal 5 2 2 2 5 3 2" xfId="13645" xr:uid="{71F53B24-8357-4BF0-8854-09D2D168864B}"/>
    <cellStyle name="Normal 5 2 2 2 5 4" xfId="9427" xr:uid="{A8B50B5C-AAC2-4CF9-B7FC-B4AC822F6176}"/>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C34CAE7A-6149-4B34-B06D-15AEC654A37E}"/>
    <cellStyle name="Normal 5 2 2 2 6 2 3" xfId="11985" xr:uid="{13879A8A-7F46-4F7D-A4A3-5E75276340D8}"/>
    <cellStyle name="Normal 5 2 2 2 6 3" xfId="5608" xr:uid="{00000000-0005-0000-0000-00008B170000}"/>
    <cellStyle name="Normal 5 2 2 2 6 3 2" xfId="14058" xr:uid="{EBD9728A-8B81-434F-9967-5CBFFE1DF579}"/>
    <cellStyle name="Normal 5 2 2 2 6 4" xfId="9840" xr:uid="{CB5B4BFC-1CCA-4BA2-852D-CE1BA08A4534}"/>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4871DBA8-B667-49E0-9393-1EFDB3FF0762}"/>
    <cellStyle name="Normal 5 2 2 2 7 2 3" xfId="12398" xr:uid="{0AB978B9-93E1-4247-8676-C54E1B39763B}"/>
    <cellStyle name="Normal 5 2 2 2 7 3" xfId="6021" xr:uid="{00000000-0005-0000-0000-00008F170000}"/>
    <cellStyle name="Normal 5 2 2 2 7 3 2" xfId="14471" xr:uid="{88F449FF-3725-49C4-B83F-A383B9EDC622}"/>
    <cellStyle name="Normal 5 2 2 2 7 4" xfId="10253" xr:uid="{183B7DE0-BFC5-45CC-99A2-F7EA2CF7EBB8}"/>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66C6198B-2E75-45AA-B4E7-8D6CCB7BFCAD}"/>
    <cellStyle name="Normal 5 2 2 2 8 2 3" xfId="12811" xr:uid="{E7D371CB-9EBE-41B1-ADCA-9F7A330A1D91}"/>
    <cellStyle name="Normal 5 2 2 2 8 3" xfId="6434" xr:uid="{00000000-0005-0000-0000-000093170000}"/>
    <cellStyle name="Normal 5 2 2 2 8 3 2" xfId="14884" xr:uid="{1747B984-64E1-45AA-89BD-3460ACB895D5}"/>
    <cellStyle name="Normal 5 2 2 2 8 4" xfId="10666" xr:uid="{8E1DF8BD-F562-49A3-B0A2-061545D7AF03}"/>
    <cellStyle name="Normal 5 2 2 2 9" xfId="2564" xr:uid="{00000000-0005-0000-0000-000094170000}"/>
    <cellStyle name="Normal 5 2 2 2 9 2" xfId="6847" xr:uid="{00000000-0005-0000-0000-000095170000}"/>
    <cellStyle name="Normal 5 2 2 2 9 2 2" xfId="15297" xr:uid="{7BB9E73C-A20C-4017-9CEF-DE9B4BCC636B}"/>
    <cellStyle name="Normal 5 2 2 2 9 3" xfId="11079" xr:uid="{F5F88781-1A6B-4AF1-945F-DE16FD0CD6C7}"/>
    <cellStyle name="Normal 5 2 2 3" xfId="417" xr:uid="{00000000-0005-0000-0000-000096170000}"/>
    <cellStyle name="Normal 5 2 2 3 10" xfId="9022" xr:uid="{2758A0B2-D6B9-45B3-BC9B-5D33E07E9958}"/>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9901FE7B-6C7D-4FB7-A66A-2B7E4995E28E}"/>
    <cellStyle name="Normal 5 2 2 3 2 2 2 2 3" xfId="11582" xr:uid="{F33D9173-4C84-4B02-B28A-EA16C03E1AA6}"/>
    <cellStyle name="Normal 5 2 2 3 2 2 2 3" xfId="5205" xr:uid="{00000000-0005-0000-0000-00009C170000}"/>
    <cellStyle name="Normal 5 2 2 3 2 2 2 3 2" xfId="13655" xr:uid="{B0D94F4C-8E4F-4F79-A2F6-EF961A2D0E10}"/>
    <cellStyle name="Normal 5 2 2 3 2 2 2 4" xfId="9437" xr:uid="{20BEA09E-4AC9-494E-84FE-2C488F87D867}"/>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493ADA46-F5BB-4DC9-A8F0-98A608214D09}"/>
    <cellStyle name="Normal 5 2 2 3 2 2 3 2 3" xfId="11995" xr:uid="{7EA38ECA-BE77-4416-8026-A3E458CD061B}"/>
    <cellStyle name="Normal 5 2 2 3 2 2 3 3" xfId="5618" xr:uid="{00000000-0005-0000-0000-0000A0170000}"/>
    <cellStyle name="Normal 5 2 2 3 2 2 3 3 2" xfId="14068" xr:uid="{CA5B7C47-CF51-4795-BBA8-E171238C965F}"/>
    <cellStyle name="Normal 5 2 2 3 2 2 3 4" xfId="9850" xr:uid="{FD173DBC-8E8A-47E9-A920-27DB70BA9C9D}"/>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238DAFD6-3B99-4383-A82F-8CBB6D583230}"/>
    <cellStyle name="Normal 5 2 2 3 2 2 4 2 3" xfId="12408" xr:uid="{50CEF580-EFE9-4AF7-89F1-E2FB2DEDB813}"/>
    <cellStyle name="Normal 5 2 2 3 2 2 4 3" xfId="6031" xr:uid="{00000000-0005-0000-0000-0000A4170000}"/>
    <cellStyle name="Normal 5 2 2 3 2 2 4 3 2" xfId="14481" xr:uid="{78EAC8B3-9718-44A8-A401-1B594C91493A}"/>
    <cellStyle name="Normal 5 2 2 3 2 2 4 4" xfId="10263" xr:uid="{44A1B28E-8805-4391-B56B-B260EE717D9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7E362CEC-3A9D-44BA-9226-2B4EAB28A8B5}"/>
    <cellStyle name="Normal 5 2 2 3 2 2 5 2 3" xfId="12821" xr:uid="{22F197C2-0384-4F99-8F40-399CF5637AB6}"/>
    <cellStyle name="Normal 5 2 2 3 2 2 5 3" xfId="6444" xr:uid="{00000000-0005-0000-0000-0000A8170000}"/>
    <cellStyle name="Normal 5 2 2 3 2 2 5 3 2" xfId="14894" xr:uid="{C46E324E-9423-4FD0-88A3-54D47FBF9280}"/>
    <cellStyle name="Normal 5 2 2 3 2 2 5 4" xfId="10676" xr:uid="{CD50381C-3B81-466D-AAAE-C806D87001B7}"/>
    <cellStyle name="Normal 5 2 2 3 2 2 6" xfId="2574" xr:uid="{00000000-0005-0000-0000-0000A9170000}"/>
    <cellStyle name="Normal 5 2 2 3 2 2 6 2" xfId="6857" xr:uid="{00000000-0005-0000-0000-0000AA170000}"/>
    <cellStyle name="Normal 5 2 2 3 2 2 6 2 2" xfId="15307" xr:uid="{64EE2863-1574-48D9-AE77-5BF279720318}"/>
    <cellStyle name="Normal 5 2 2 3 2 2 6 3" xfId="11089" xr:uid="{06F2A71F-CFDC-47D4-BBBE-D925E64189D2}"/>
    <cellStyle name="Normal 5 2 2 3 2 2 7" xfId="4792" xr:uid="{00000000-0005-0000-0000-0000AB170000}"/>
    <cellStyle name="Normal 5 2 2 3 2 2 7 2" xfId="13242" xr:uid="{8C1C5F0E-E259-4B24-BE6E-EF6818AEDD2A}"/>
    <cellStyle name="Normal 5 2 2 3 2 2 8" xfId="9024" xr:uid="{A1D42FAA-D035-44A9-B3B1-CFE8410C008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7F4950C7-70CA-411E-BF47-83ACE324249D}"/>
    <cellStyle name="Normal 5 2 2 3 2 3 2 3" xfId="11581" xr:uid="{32192FE8-5179-4FD0-8F8B-05EB7F34592E}"/>
    <cellStyle name="Normal 5 2 2 3 2 3 3" xfId="5204" xr:uid="{00000000-0005-0000-0000-0000AF170000}"/>
    <cellStyle name="Normal 5 2 2 3 2 3 3 2" xfId="13654" xr:uid="{AA99A7E3-3AAF-47AB-B4DD-45B9FA376229}"/>
    <cellStyle name="Normal 5 2 2 3 2 3 4" xfId="9436" xr:uid="{7F9929B6-F395-4853-9B62-993B82A6909C}"/>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E24B6784-D04A-472A-B090-D32F18E900F8}"/>
    <cellStyle name="Normal 5 2 2 3 2 4 2 3" xfId="11994" xr:uid="{6DD28479-2FA2-4AAD-8295-340213DC482A}"/>
    <cellStyle name="Normal 5 2 2 3 2 4 3" xfId="5617" xr:uid="{00000000-0005-0000-0000-0000B3170000}"/>
    <cellStyle name="Normal 5 2 2 3 2 4 3 2" xfId="14067" xr:uid="{3F2F7BA0-3F78-46EB-A837-24B841E0E0EF}"/>
    <cellStyle name="Normal 5 2 2 3 2 4 4" xfId="9849" xr:uid="{53186EFB-B40C-4D2D-9170-1F656D050105}"/>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ABC4FF97-2A82-480A-9622-556CB5171AA4}"/>
    <cellStyle name="Normal 5 2 2 3 2 5 2 3" xfId="12407" xr:uid="{295FA788-6A39-489D-B921-B79C6177EF63}"/>
    <cellStyle name="Normal 5 2 2 3 2 5 3" xfId="6030" xr:uid="{00000000-0005-0000-0000-0000B7170000}"/>
    <cellStyle name="Normal 5 2 2 3 2 5 3 2" xfId="14480" xr:uid="{AE554530-D00D-4008-9BE5-EA2158DE048E}"/>
    <cellStyle name="Normal 5 2 2 3 2 5 4" xfId="10262" xr:uid="{D4C8DC24-6B36-4789-AF06-00D94F06E8C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5D2DB912-0EA6-4C8F-9044-1DCBF5ECF0F4}"/>
    <cellStyle name="Normal 5 2 2 3 2 6 2 3" xfId="12820" xr:uid="{59721C04-80ED-4170-A796-EA8574F6555D}"/>
    <cellStyle name="Normal 5 2 2 3 2 6 3" xfId="6443" xr:uid="{00000000-0005-0000-0000-0000BB170000}"/>
    <cellStyle name="Normal 5 2 2 3 2 6 3 2" xfId="14893" xr:uid="{65827A97-89F9-48FB-AA24-C97AAF1FD15D}"/>
    <cellStyle name="Normal 5 2 2 3 2 6 4" xfId="10675" xr:uid="{23F6513B-5569-4E02-AB11-1B8CFBD22AAD}"/>
    <cellStyle name="Normal 5 2 2 3 2 7" xfId="2573" xr:uid="{00000000-0005-0000-0000-0000BC170000}"/>
    <cellStyle name="Normal 5 2 2 3 2 7 2" xfId="6856" xr:uid="{00000000-0005-0000-0000-0000BD170000}"/>
    <cellStyle name="Normal 5 2 2 3 2 7 2 2" xfId="15306" xr:uid="{532E2616-DC6E-4F1C-A48A-200AD5F7173D}"/>
    <cellStyle name="Normal 5 2 2 3 2 7 3" xfId="11088" xr:uid="{7580EBC2-7E26-40CF-B2E9-15AA289542A8}"/>
    <cellStyle name="Normal 5 2 2 3 2 8" xfId="4791" xr:uid="{00000000-0005-0000-0000-0000BE170000}"/>
    <cellStyle name="Normal 5 2 2 3 2 8 2" xfId="13241" xr:uid="{4934213B-3465-45E9-A9C5-71D6D9CFF528}"/>
    <cellStyle name="Normal 5 2 2 3 2 9" xfId="9023" xr:uid="{7C13A6B1-FEB3-4BB8-9492-5BABB1386F87}"/>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9D921C97-1936-464E-AFE4-18C1AE7A39BC}"/>
    <cellStyle name="Normal 5 2 2 3 3 2 2 3" xfId="11583" xr:uid="{6AC33F55-4A2A-4617-9B18-A0D45E0D05F8}"/>
    <cellStyle name="Normal 5 2 2 3 3 2 3" xfId="5206" xr:uid="{00000000-0005-0000-0000-0000C3170000}"/>
    <cellStyle name="Normal 5 2 2 3 3 2 3 2" xfId="13656" xr:uid="{AF2AA069-3F71-4C1D-A8A4-A0484EA61BD4}"/>
    <cellStyle name="Normal 5 2 2 3 3 2 4" xfId="9438" xr:uid="{86638178-369A-4941-8FB9-227087F2B7E6}"/>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121DCDB9-A59B-43D6-8EC2-84FE650E8F4C}"/>
    <cellStyle name="Normal 5 2 2 3 3 3 2 3" xfId="11996" xr:uid="{F9D33477-3F5C-4915-A5DB-E0C1ED31A18F}"/>
    <cellStyle name="Normal 5 2 2 3 3 3 3" xfId="5619" xr:uid="{00000000-0005-0000-0000-0000C7170000}"/>
    <cellStyle name="Normal 5 2 2 3 3 3 3 2" xfId="14069" xr:uid="{530CCB27-32AC-4C18-8011-7EB3EA6B1FD7}"/>
    <cellStyle name="Normal 5 2 2 3 3 3 4" xfId="9851" xr:uid="{7A4F7462-0780-4786-97EF-BA7C7364C33C}"/>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AF868801-F2A4-44D5-ABD9-4C84C85F793C}"/>
    <cellStyle name="Normal 5 2 2 3 3 4 2 3" xfId="12409" xr:uid="{4DE7889E-DCA9-4BB5-8270-8FC6C1B3B96D}"/>
    <cellStyle name="Normal 5 2 2 3 3 4 3" xfId="6032" xr:uid="{00000000-0005-0000-0000-0000CB170000}"/>
    <cellStyle name="Normal 5 2 2 3 3 4 3 2" xfId="14482" xr:uid="{27A81942-28DA-426F-97A3-3CED439DB45C}"/>
    <cellStyle name="Normal 5 2 2 3 3 4 4" xfId="10264" xr:uid="{189285B0-CAAA-4D23-823D-F4691D3B5225}"/>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3668CB95-6299-4A4C-AF1D-79733405001E}"/>
    <cellStyle name="Normal 5 2 2 3 3 5 2 3" xfId="12822" xr:uid="{84C34B8E-6C71-4083-87A7-86E48E1C15A5}"/>
    <cellStyle name="Normal 5 2 2 3 3 5 3" xfId="6445" xr:uid="{00000000-0005-0000-0000-0000CF170000}"/>
    <cellStyle name="Normal 5 2 2 3 3 5 3 2" xfId="14895" xr:uid="{E193B89F-F01E-4D3E-A5D7-347AB1A11BB8}"/>
    <cellStyle name="Normal 5 2 2 3 3 5 4" xfId="10677" xr:uid="{B936E184-C845-47DF-819E-51F31CBB4F6D}"/>
    <cellStyle name="Normal 5 2 2 3 3 6" xfId="2575" xr:uid="{00000000-0005-0000-0000-0000D0170000}"/>
    <cellStyle name="Normal 5 2 2 3 3 6 2" xfId="6858" xr:uid="{00000000-0005-0000-0000-0000D1170000}"/>
    <cellStyle name="Normal 5 2 2 3 3 6 2 2" xfId="15308" xr:uid="{2552DACC-ECEE-442E-A267-4D1E0CCD004D}"/>
    <cellStyle name="Normal 5 2 2 3 3 6 3" xfId="11090" xr:uid="{206B0D40-96BA-4650-BD8C-DD2F5A741994}"/>
    <cellStyle name="Normal 5 2 2 3 3 7" xfId="4793" xr:uid="{00000000-0005-0000-0000-0000D2170000}"/>
    <cellStyle name="Normal 5 2 2 3 3 7 2" xfId="13243" xr:uid="{2A8C0BA6-711F-43E7-AEDF-DA9434AA36ED}"/>
    <cellStyle name="Normal 5 2 2 3 3 8" xfId="9025" xr:uid="{26AA579D-BB39-46C0-93A9-5E5CE83E4933}"/>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27AEA08C-74FB-4B83-A2A2-088F90334215}"/>
    <cellStyle name="Normal 5 2 2 3 4 2 3" xfId="11580" xr:uid="{36F39215-E81C-43F1-A50F-12C511A4B1A6}"/>
    <cellStyle name="Normal 5 2 2 3 4 3" xfId="5203" xr:uid="{00000000-0005-0000-0000-0000D6170000}"/>
    <cellStyle name="Normal 5 2 2 3 4 3 2" xfId="13653" xr:uid="{44756A47-F1C6-40D9-877E-C1934AA7B88C}"/>
    <cellStyle name="Normal 5 2 2 3 4 4" xfId="9435" xr:uid="{235405A1-997B-45C3-8C38-390DCD08DD4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3FDAE38E-AC06-44BC-9902-0E00A5142937}"/>
    <cellStyle name="Normal 5 2 2 3 5 2 3" xfId="11993" xr:uid="{F4346950-84F3-4474-A531-99646B7ECA57}"/>
    <cellStyle name="Normal 5 2 2 3 5 3" xfId="5616" xr:uid="{00000000-0005-0000-0000-0000DA170000}"/>
    <cellStyle name="Normal 5 2 2 3 5 3 2" xfId="14066" xr:uid="{AC686EDB-7E32-4093-A383-EA83EB85DE5F}"/>
    <cellStyle name="Normal 5 2 2 3 5 4" xfId="9848" xr:uid="{A5144EA1-9FC1-4A12-8844-1B14B881D5C6}"/>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AEEBD9FC-8B98-41F8-8784-CAB26B45C713}"/>
    <cellStyle name="Normal 5 2 2 3 6 2 3" xfId="12406" xr:uid="{F6E948B0-4464-4330-AD2B-75F4B9E6B49D}"/>
    <cellStyle name="Normal 5 2 2 3 6 3" xfId="6029" xr:uid="{00000000-0005-0000-0000-0000DE170000}"/>
    <cellStyle name="Normal 5 2 2 3 6 3 2" xfId="14479" xr:uid="{58D96D86-4A60-4A95-887D-EE108AF745F6}"/>
    <cellStyle name="Normal 5 2 2 3 6 4" xfId="10261" xr:uid="{71496030-6C07-47A7-9675-9395F2A82C1F}"/>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6A30804C-D382-44DF-B595-12A56683EF36}"/>
    <cellStyle name="Normal 5 2 2 3 7 2 3" xfId="12819" xr:uid="{0F2BC1B6-0C05-45E0-9AC4-9A84D5BE423F}"/>
    <cellStyle name="Normal 5 2 2 3 7 3" xfId="6442" xr:uid="{00000000-0005-0000-0000-0000E2170000}"/>
    <cellStyle name="Normal 5 2 2 3 7 3 2" xfId="14892" xr:uid="{F662BB08-9963-4074-B988-D7AB13CBA434}"/>
    <cellStyle name="Normal 5 2 2 3 7 4" xfId="10674" xr:uid="{D59783B1-C77D-48FA-88AE-6C48D5AC0D1F}"/>
    <cellStyle name="Normal 5 2 2 3 8" xfId="2572" xr:uid="{00000000-0005-0000-0000-0000E3170000}"/>
    <cellStyle name="Normal 5 2 2 3 8 2" xfId="6855" xr:uid="{00000000-0005-0000-0000-0000E4170000}"/>
    <cellStyle name="Normal 5 2 2 3 8 2 2" xfId="15305" xr:uid="{C5EB20C4-06E5-495B-8A6F-9A25118129FB}"/>
    <cellStyle name="Normal 5 2 2 3 8 3" xfId="11087" xr:uid="{34FA19F8-1306-4DF6-A817-DC89C04DC8F3}"/>
    <cellStyle name="Normal 5 2 2 3 9" xfId="4790" xr:uid="{00000000-0005-0000-0000-0000E5170000}"/>
    <cellStyle name="Normal 5 2 2 3 9 2" xfId="13240" xr:uid="{8679EDBA-BCE8-4EAF-AF20-54AC9371A704}"/>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A9D32DE3-56E7-4F1B-A995-489271FE8104}"/>
    <cellStyle name="Normal 5 2 2 4 2 2 2 3" xfId="11585" xr:uid="{39412816-840B-4C24-B22E-5F394E937296}"/>
    <cellStyle name="Normal 5 2 2 4 2 2 3" xfId="5208" xr:uid="{00000000-0005-0000-0000-0000EB170000}"/>
    <cellStyle name="Normal 5 2 2 4 2 2 3 2" xfId="13658" xr:uid="{01AE9F95-B5A8-472A-AB2B-07F21947608F}"/>
    <cellStyle name="Normal 5 2 2 4 2 2 4" xfId="9440" xr:uid="{AD78BACA-F373-4FD9-A631-21A77E83D1E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B907BFE8-7CE7-4E83-9679-8CF6DF307D49}"/>
    <cellStyle name="Normal 5 2 2 4 2 3 2 3" xfId="11998" xr:uid="{A972D20B-08FE-4DD1-958B-72855B06478E}"/>
    <cellStyle name="Normal 5 2 2 4 2 3 3" xfId="5621" xr:uid="{00000000-0005-0000-0000-0000EF170000}"/>
    <cellStyle name="Normal 5 2 2 4 2 3 3 2" xfId="14071" xr:uid="{20590F0B-82FA-4051-A3B2-D56BDF537F01}"/>
    <cellStyle name="Normal 5 2 2 4 2 3 4" xfId="9853" xr:uid="{2672CFE1-7EFC-43BE-BFE4-8614670D5FC3}"/>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3A982FAB-6C54-41A4-847A-ABD0501D32A5}"/>
    <cellStyle name="Normal 5 2 2 4 2 4 2 3" xfId="12411" xr:uid="{48523EF7-4160-402A-8D21-C3915A894E81}"/>
    <cellStyle name="Normal 5 2 2 4 2 4 3" xfId="6034" xr:uid="{00000000-0005-0000-0000-0000F3170000}"/>
    <cellStyle name="Normal 5 2 2 4 2 4 3 2" xfId="14484" xr:uid="{9A0AC053-8EF5-4AEE-A17E-C2EAC33A27F0}"/>
    <cellStyle name="Normal 5 2 2 4 2 4 4" xfId="10266" xr:uid="{20FC945B-5497-4A00-AF2A-B6B5504FA58D}"/>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B1F103BD-10FB-416F-8763-82A70B4CD01B}"/>
    <cellStyle name="Normal 5 2 2 4 2 5 2 3" xfId="12824" xr:uid="{A4ED2934-64E8-4887-949C-EF1F0DC5DF62}"/>
    <cellStyle name="Normal 5 2 2 4 2 5 3" xfId="6447" xr:uid="{00000000-0005-0000-0000-0000F7170000}"/>
    <cellStyle name="Normal 5 2 2 4 2 5 3 2" xfId="14897" xr:uid="{51A886CE-8C5A-4B1E-9930-F0311B03FD60}"/>
    <cellStyle name="Normal 5 2 2 4 2 5 4" xfId="10679" xr:uid="{BE8CE5F2-E3E1-459A-B4D1-91DAE189D131}"/>
    <cellStyle name="Normal 5 2 2 4 2 6" xfId="2577" xr:uid="{00000000-0005-0000-0000-0000F8170000}"/>
    <cellStyle name="Normal 5 2 2 4 2 6 2" xfId="6860" xr:uid="{00000000-0005-0000-0000-0000F9170000}"/>
    <cellStyle name="Normal 5 2 2 4 2 6 2 2" xfId="15310" xr:uid="{A193BD55-80B0-4123-979C-F66D7E12FA21}"/>
    <cellStyle name="Normal 5 2 2 4 2 6 3" xfId="11092" xr:uid="{4FF93F10-5743-4ECC-A54F-3082DB7BD2A7}"/>
    <cellStyle name="Normal 5 2 2 4 2 7" xfId="4795" xr:uid="{00000000-0005-0000-0000-0000FA170000}"/>
    <cellStyle name="Normal 5 2 2 4 2 7 2" xfId="13245" xr:uid="{604A2C3E-A3E4-4041-BE09-F6DCC7F3C3CC}"/>
    <cellStyle name="Normal 5 2 2 4 2 8" xfId="9027" xr:uid="{95F9734E-A6DD-404F-A899-8E38B7D928E4}"/>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67FAB1A4-BD43-4948-83ED-8385E5F495CB}"/>
    <cellStyle name="Normal 5 2 2 4 3 2 3" xfId="11584" xr:uid="{5BDD76DB-ADC1-4FF6-AC2B-6B906CBAA155}"/>
    <cellStyle name="Normal 5 2 2 4 3 3" xfId="5207" xr:uid="{00000000-0005-0000-0000-0000FE170000}"/>
    <cellStyle name="Normal 5 2 2 4 3 3 2" xfId="13657" xr:uid="{DC5F7862-1AE8-48D9-AF7F-05F2690CF11C}"/>
    <cellStyle name="Normal 5 2 2 4 3 4" xfId="9439" xr:uid="{016F9A4B-9B27-4342-85F4-0C45A618287A}"/>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1097F4B8-9368-4039-933A-9EAC0163D815}"/>
    <cellStyle name="Normal 5 2 2 4 4 2 3" xfId="11997" xr:uid="{CE76F5BC-7DC1-46D6-AEE2-FC6C1C73807C}"/>
    <cellStyle name="Normal 5 2 2 4 4 3" xfId="5620" xr:uid="{00000000-0005-0000-0000-000002180000}"/>
    <cellStyle name="Normal 5 2 2 4 4 3 2" xfId="14070" xr:uid="{60063A83-01B9-4FC4-ACCB-ED395EA0ED30}"/>
    <cellStyle name="Normal 5 2 2 4 4 4" xfId="9852" xr:uid="{BDD692B4-A1CD-4654-9E92-49CE88C26DCA}"/>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711125FE-6980-462B-BF22-8B012DDBBB78}"/>
    <cellStyle name="Normal 5 2 2 4 5 2 3" xfId="12410" xr:uid="{8A423CFE-D3E7-4E29-8E8E-5C2F3D4960B7}"/>
    <cellStyle name="Normal 5 2 2 4 5 3" xfId="6033" xr:uid="{00000000-0005-0000-0000-000006180000}"/>
    <cellStyle name="Normal 5 2 2 4 5 3 2" xfId="14483" xr:uid="{9850F37F-F817-44EF-BD9B-0A8BB63C6260}"/>
    <cellStyle name="Normal 5 2 2 4 5 4" xfId="10265" xr:uid="{395E2D88-5997-4373-BEF8-ADB5BF2DC040}"/>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5E9AD9F9-670A-4448-AFE8-95AAE6D28CB3}"/>
    <cellStyle name="Normal 5 2 2 4 6 2 3" xfId="12823" xr:uid="{CBFBFD53-21C1-44D6-9124-2EA558FE26FE}"/>
    <cellStyle name="Normal 5 2 2 4 6 3" xfId="6446" xr:uid="{00000000-0005-0000-0000-00000A180000}"/>
    <cellStyle name="Normal 5 2 2 4 6 3 2" xfId="14896" xr:uid="{71CF02A1-9B66-48FE-A047-B262BD32ABFC}"/>
    <cellStyle name="Normal 5 2 2 4 6 4" xfId="10678" xr:uid="{CE29E67F-81E0-4602-9980-E825A8BFB8B1}"/>
    <cellStyle name="Normal 5 2 2 4 7" xfId="2576" xr:uid="{00000000-0005-0000-0000-00000B180000}"/>
    <cellStyle name="Normal 5 2 2 4 7 2" xfId="6859" xr:uid="{00000000-0005-0000-0000-00000C180000}"/>
    <cellStyle name="Normal 5 2 2 4 7 2 2" xfId="15309" xr:uid="{DCE4DF1A-8EF6-4499-B5D2-05D48692D5E9}"/>
    <cellStyle name="Normal 5 2 2 4 7 3" xfId="11091" xr:uid="{B5523D9A-47EB-4C4D-A114-68FAE280C5FD}"/>
    <cellStyle name="Normal 5 2 2 4 8" xfId="4794" xr:uid="{00000000-0005-0000-0000-00000D180000}"/>
    <cellStyle name="Normal 5 2 2 4 8 2" xfId="13244" xr:uid="{DE30A6A1-A0C7-456A-81E2-C9F89B915734}"/>
    <cellStyle name="Normal 5 2 2 4 9" xfId="9026" xr:uid="{C96CCC3C-3931-4AB7-A1BB-7E73E1AEBCD6}"/>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9F2B5A38-4658-479F-A199-54AF5FAB6EF5}"/>
    <cellStyle name="Normal 5 2 2 5 2 2 3" xfId="11586" xr:uid="{FEB162D2-44F1-4981-BC84-8CCF47EBEA47}"/>
    <cellStyle name="Normal 5 2 2 5 2 3" xfId="5209" xr:uid="{00000000-0005-0000-0000-000012180000}"/>
    <cellStyle name="Normal 5 2 2 5 2 3 2" xfId="13659" xr:uid="{25918A39-2AFF-43E4-98E9-27AE40FA6915}"/>
    <cellStyle name="Normal 5 2 2 5 2 4" xfId="9441" xr:uid="{68938701-66A4-4A8A-8BBE-18C641298EE8}"/>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6350A9F5-6F14-498F-95F0-098080B171E3}"/>
    <cellStyle name="Normal 5 2 2 5 3 2 3" xfId="11999" xr:uid="{F91FE006-C4C8-4FDA-9D2B-4A5B8AD582DC}"/>
    <cellStyle name="Normal 5 2 2 5 3 3" xfId="5622" xr:uid="{00000000-0005-0000-0000-000016180000}"/>
    <cellStyle name="Normal 5 2 2 5 3 3 2" xfId="14072" xr:uid="{106FC74D-A41C-4A64-A30F-3F45BD2C3E96}"/>
    <cellStyle name="Normal 5 2 2 5 3 4" xfId="9854" xr:uid="{6F31163C-1989-4342-9A00-26719ACC3F6F}"/>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F5005E03-3E1A-49EE-90F3-AD04C874294F}"/>
    <cellStyle name="Normal 5 2 2 5 4 2 3" xfId="12412" xr:uid="{2515C412-62EB-465F-8BB5-6B7E1DEAB6CD}"/>
    <cellStyle name="Normal 5 2 2 5 4 3" xfId="6035" xr:uid="{00000000-0005-0000-0000-00001A180000}"/>
    <cellStyle name="Normal 5 2 2 5 4 3 2" xfId="14485" xr:uid="{E3F8B659-DB27-4940-A5B3-A237CBAEDEF6}"/>
    <cellStyle name="Normal 5 2 2 5 4 4" xfId="10267" xr:uid="{0715DF5F-7931-4460-8C57-49D5CED339D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2115EA1D-C02B-4332-9FCF-50D435522639}"/>
    <cellStyle name="Normal 5 2 2 5 5 2 3" xfId="12825" xr:uid="{827FE69C-45B2-4CD9-82EB-C526792722CF}"/>
    <cellStyle name="Normal 5 2 2 5 5 3" xfId="6448" xr:uid="{00000000-0005-0000-0000-00001E180000}"/>
    <cellStyle name="Normal 5 2 2 5 5 3 2" xfId="14898" xr:uid="{541D0E6D-1272-4221-BED3-675E07C04CF6}"/>
    <cellStyle name="Normal 5 2 2 5 5 4" xfId="10680" xr:uid="{DA9AA35B-2287-475F-80C2-3E9BF7C4D85A}"/>
    <cellStyle name="Normal 5 2 2 5 6" xfId="2578" xr:uid="{00000000-0005-0000-0000-00001F180000}"/>
    <cellStyle name="Normal 5 2 2 5 6 2" xfId="6861" xr:uid="{00000000-0005-0000-0000-000020180000}"/>
    <cellStyle name="Normal 5 2 2 5 6 2 2" xfId="15311" xr:uid="{35FD81E6-1837-4488-A877-124E06DD6B1C}"/>
    <cellStyle name="Normal 5 2 2 5 6 3" xfId="11093" xr:uid="{193FE829-897B-429C-9903-3DC9C08DF515}"/>
    <cellStyle name="Normal 5 2 2 5 7" xfId="4796" xr:uid="{00000000-0005-0000-0000-000021180000}"/>
    <cellStyle name="Normal 5 2 2 5 7 2" xfId="13246" xr:uid="{BADED564-E2C6-4957-9A8D-C30347FF1896}"/>
    <cellStyle name="Normal 5 2 2 5 8" xfId="9028" xr:uid="{73DA0C59-7DF5-4A72-B141-47C968366B9B}"/>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25E61467-1883-4680-8456-E270AAD53FCF}"/>
    <cellStyle name="Normal 5 2 2 6 2 3" xfId="11571" xr:uid="{A6651B21-D750-425D-BA5E-149AB524F028}"/>
    <cellStyle name="Normal 5 2 2 6 3" xfId="5194" xr:uid="{00000000-0005-0000-0000-000025180000}"/>
    <cellStyle name="Normal 5 2 2 6 3 2" xfId="13644" xr:uid="{F5DB4EFF-BF63-4877-9A71-DE2AC49E3B41}"/>
    <cellStyle name="Normal 5 2 2 6 4" xfId="9426" xr:uid="{8B232162-C30E-4D9A-9291-82344B697ED8}"/>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92948F08-8E6A-4523-BEEB-72BCAD20472F}"/>
    <cellStyle name="Normal 5 2 2 7 2 3" xfId="11984" xr:uid="{08471BDF-A8ED-4FB1-AEA3-D21C7E94BFCE}"/>
    <cellStyle name="Normal 5 2 2 7 3" xfId="5607" xr:uid="{00000000-0005-0000-0000-000029180000}"/>
    <cellStyle name="Normal 5 2 2 7 3 2" xfId="14057" xr:uid="{94672633-FBE6-424C-9A62-3980D42BE7A1}"/>
    <cellStyle name="Normal 5 2 2 7 4" xfId="9839" xr:uid="{B13FA7FF-14CA-4F69-B8E7-7DF945042046}"/>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54CE6E69-5D2A-45B4-82FB-34B86C7F3F1E}"/>
    <cellStyle name="Normal 5 2 2 8 2 3" xfId="12397" xr:uid="{0EC45562-F88B-4752-92C2-2F26C673769F}"/>
    <cellStyle name="Normal 5 2 2 8 3" xfId="6020" xr:uid="{00000000-0005-0000-0000-00002D180000}"/>
    <cellStyle name="Normal 5 2 2 8 3 2" xfId="14470" xr:uid="{202E0B0C-C503-4C62-A764-7CB352B8F040}"/>
    <cellStyle name="Normal 5 2 2 8 4" xfId="10252" xr:uid="{5488E7A4-E81C-45BD-9564-059E8CEE79C2}"/>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1AECFC2E-A92B-48DD-866A-E553A5A9C0A8}"/>
    <cellStyle name="Normal 5 2 2 9 2 3" xfId="12810" xr:uid="{294CDBA1-1BE5-490A-8027-226FEA49DE12}"/>
    <cellStyle name="Normal 5 2 2 9 3" xfId="6433" xr:uid="{00000000-0005-0000-0000-000031180000}"/>
    <cellStyle name="Normal 5 2 2 9 3 2" xfId="14883" xr:uid="{D6B819F5-3358-44B0-9E16-88C01DE6B919}"/>
    <cellStyle name="Normal 5 2 2 9 4" xfId="10665" xr:uid="{B1453549-5267-4F60-8B0F-BFECAB5ACA16}"/>
    <cellStyle name="Normal 5 2 3" xfId="424" xr:uid="{00000000-0005-0000-0000-000032180000}"/>
    <cellStyle name="Normal 5 2 3 10" xfId="4797" xr:uid="{00000000-0005-0000-0000-000033180000}"/>
    <cellStyle name="Normal 5 2 3 10 2" xfId="13247" xr:uid="{2DAB2F3A-B59A-4C90-BF5B-6BE51B5F539B}"/>
    <cellStyle name="Normal 5 2 3 11" xfId="9029" xr:uid="{0EE950D2-54A1-4DF4-9686-89566CBF1512}"/>
    <cellStyle name="Normal 5 2 3 2" xfId="425" xr:uid="{00000000-0005-0000-0000-000034180000}"/>
    <cellStyle name="Normal 5 2 3 2 10" xfId="9030" xr:uid="{E19160F8-5C94-477C-AEAE-1AB69CCD3F42}"/>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B5C71F2C-1286-4513-B8A6-C75B4D833E40}"/>
    <cellStyle name="Normal 5 2 3 2 2 2 2 2 3" xfId="11590" xr:uid="{564E5027-4D06-44B1-880C-4135A5EA720A}"/>
    <cellStyle name="Normal 5 2 3 2 2 2 2 3" xfId="5213" xr:uid="{00000000-0005-0000-0000-00003A180000}"/>
    <cellStyle name="Normal 5 2 3 2 2 2 2 3 2" xfId="13663" xr:uid="{EF2E6325-AA6E-44EE-B0D9-38D5EF75200B}"/>
    <cellStyle name="Normal 5 2 3 2 2 2 2 4" xfId="9445" xr:uid="{0321F25D-EC70-4AD2-B25C-F3BFD2EFCD1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C314A0B3-D187-4C04-8F16-75B511106840}"/>
    <cellStyle name="Normal 5 2 3 2 2 2 3 2 3" xfId="12003" xr:uid="{16668A8B-2F16-45E8-9E1D-A073C4F8A85F}"/>
    <cellStyle name="Normal 5 2 3 2 2 2 3 3" xfId="5626" xr:uid="{00000000-0005-0000-0000-00003E180000}"/>
    <cellStyle name="Normal 5 2 3 2 2 2 3 3 2" xfId="14076" xr:uid="{C897E329-D9D2-4670-8153-9FCF84FAD198}"/>
    <cellStyle name="Normal 5 2 3 2 2 2 3 4" xfId="9858" xr:uid="{CBF65568-5CC1-46F8-9743-90D40D03038B}"/>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76130DCC-0A8C-4DD4-A44C-B1599C13277B}"/>
    <cellStyle name="Normal 5 2 3 2 2 2 4 2 3" xfId="12416" xr:uid="{3DEEF6D5-63C9-4DA4-BCA2-67EBCAC4E3AF}"/>
    <cellStyle name="Normal 5 2 3 2 2 2 4 3" xfId="6039" xr:uid="{00000000-0005-0000-0000-000042180000}"/>
    <cellStyle name="Normal 5 2 3 2 2 2 4 3 2" xfId="14489" xr:uid="{C027FE13-C088-416A-8FCE-6DD36A9C48FB}"/>
    <cellStyle name="Normal 5 2 3 2 2 2 4 4" xfId="10271" xr:uid="{50FB7B21-21CC-4F66-8B1C-9E1FEE59B4A9}"/>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30ECB626-1901-46E5-9424-A44BA599C794}"/>
    <cellStyle name="Normal 5 2 3 2 2 2 5 2 3" xfId="12829" xr:uid="{2C30B9FE-BD12-4606-B737-E82121B2307C}"/>
    <cellStyle name="Normal 5 2 3 2 2 2 5 3" xfId="6452" xr:uid="{00000000-0005-0000-0000-000046180000}"/>
    <cellStyle name="Normal 5 2 3 2 2 2 5 3 2" xfId="14902" xr:uid="{BF0B89CC-89B0-4C76-8549-36C37548EBE1}"/>
    <cellStyle name="Normal 5 2 3 2 2 2 5 4" xfId="10684" xr:uid="{B4F525AE-C4B1-4F17-9484-12E524157906}"/>
    <cellStyle name="Normal 5 2 3 2 2 2 6" xfId="2582" xr:uid="{00000000-0005-0000-0000-000047180000}"/>
    <cellStyle name="Normal 5 2 3 2 2 2 6 2" xfId="6865" xr:uid="{00000000-0005-0000-0000-000048180000}"/>
    <cellStyle name="Normal 5 2 3 2 2 2 6 2 2" xfId="15315" xr:uid="{3A9E2FB8-C1DD-4B8C-912D-41193CFFC920}"/>
    <cellStyle name="Normal 5 2 3 2 2 2 6 3" xfId="11097" xr:uid="{972BC7BD-CDBD-45E5-A84D-DEB5714CA567}"/>
    <cellStyle name="Normal 5 2 3 2 2 2 7" xfId="4800" xr:uid="{00000000-0005-0000-0000-000049180000}"/>
    <cellStyle name="Normal 5 2 3 2 2 2 7 2" xfId="13250" xr:uid="{BB0FB741-8699-437E-AD11-029D67BB99F3}"/>
    <cellStyle name="Normal 5 2 3 2 2 2 8" xfId="9032" xr:uid="{58AFE678-EA0A-453E-BDDA-F0022EDBC99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653E0222-F1B7-4A4A-81F3-6070AD78719F}"/>
    <cellStyle name="Normal 5 2 3 2 2 3 2 3" xfId="11589" xr:uid="{54342D7F-F056-413C-AAA3-6A11FED8B354}"/>
    <cellStyle name="Normal 5 2 3 2 2 3 3" xfId="5212" xr:uid="{00000000-0005-0000-0000-00004D180000}"/>
    <cellStyle name="Normal 5 2 3 2 2 3 3 2" xfId="13662" xr:uid="{2139AB1C-993B-4B83-943B-6722D9AAC81A}"/>
    <cellStyle name="Normal 5 2 3 2 2 3 4" xfId="9444" xr:uid="{5727BBDF-68E0-4022-88ED-7D900BDF146C}"/>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8248ABE2-33F7-42D5-9403-9DF777115300}"/>
    <cellStyle name="Normal 5 2 3 2 2 4 2 3" xfId="12002" xr:uid="{8D7E8E3D-3F49-42BF-A92A-74AEC364A476}"/>
    <cellStyle name="Normal 5 2 3 2 2 4 3" xfId="5625" xr:uid="{00000000-0005-0000-0000-000051180000}"/>
    <cellStyle name="Normal 5 2 3 2 2 4 3 2" xfId="14075" xr:uid="{ED8CF185-2000-4093-84A2-FD752CF948E0}"/>
    <cellStyle name="Normal 5 2 3 2 2 4 4" xfId="9857" xr:uid="{4C6C2F56-E4B0-461A-8BF6-D7EBAE9642A8}"/>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02AAF916-86CD-4AA0-ADC0-9A62CD563C31}"/>
    <cellStyle name="Normal 5 2 3 2 2 5 2 3" xfId="12415" xr:uid="{903048D0-2987-4B40-9ADE-69770EB45CE4}"/>
    <cellStyle name="Normal 5 2 3 2 2 5 3" xfId="6038" xr:uid="{00000000-0005-0000-0000-000055180000}"/>
    <cellStyle name="Normal 5 2 3 2 2 5 3 2" xfId="14488" xr:uid="{6F8CC832-BE37-4515-BFFD-8126D98F2615}"/>
    <cellStyle name="Normal 5 2 3 2 2 5 4" xfId="10270" xr:uid="{02DF2B56-8F59-4779-9D26-638C4B4A4FA4}"/>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34147A2E-DAC1-44A6-A551-A47E863322AF}"/>
    <cellStyle name="Normal 5 2 3 2 2 6 2 3" xfId="12828" xr:uid="{B84084A7-46C9-419F-A16D-9750A6E4FECF}"/>
    <cellStyle name="Normal 5 2 3 2 2 6 3" xfId="6451" xr:uid="{00000000-0005-0000-0000-000059180000}"/>
    <cellStyle name="Normal 5 2 3 2 2 6 3 2" xfId="14901" xr:uid="{CBA64A88-A9CA-4D3B-958E-BD89FA0C74A2}"/>
    <cellStyle name="Normal 5 2 3 2 2 6 4" xfId="10683" xr:uid="{C2F412F8-7FDA-4D48-9D91-3EBD860CC179}"/>
    <cellStyle name="Normal 5 2 3 2 2 7" xfId="2581" xr:uid="{00000000-0005-0000-0000-00005A180000}"/>
    <cellStyle name="Normal 5 2 3 2 2 7 2" xfId="6864" xr:uid="{00000000-0005-0000-0000-00005B180000}"/>
    <cellStyle name="Normal 5 2 3 2 2 7 2 2" xfId="15314" xr:uid="{5F85BC3A-7B2A-4474-BE5D-1FB902C82148}"/>
    <cellStyle name="Normal 5 2 3 2 2 7 3" xfId="11096" xr:uid="{E0853E73-AF6B-4AC5-BC5C-6C3A217D417C}"/>
    <cellStyle name="Normal 5 2 3 2 2 8" xfId="4799" xr:uid="{00000000-0005-0000-0000-00005C180000}"/>
    <cellStyle name="Normal 5 2 3 2 2 8 2" xfId="13249" xr:uid="{0D321B34-6284-4B7C-88C6-B59E9D262CDC}"/>
    <cellStyle name="Normal 5 2 3 2 2 9" xfId="9031" xr:uid="{55BD3018-6B8E-4CF3-B8EB-125720BA6F9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FEEF12E5-2DD7-4694-AE87-A64E57D24078}"/>
    <cellStyle name="Normal 5 2 3 2 3 2 2 3" xfId="11591" xr:uid="{96349520-B784-47E9-9E18-55C00EFFC8BF}"/>
    <cellStyle name="Normal 5 2 3 2 3 2 3" xfId="5214" xr:uid="{00000000-0005-0000-0000-000061180000}"/>
    <cellStyle name="Normal 5 2 3 2 3 2 3 2" xfId="13664" xr:uid="{2A045F41-6B1C-4B27-83D8-00E82F61B96E}"/>
    <cellStyle name="Normal 5 2 3 2 3 2 4" xfId="9446" xr:uid="{F9D8DF4D-1542-4C64-ACD7-2A5B7FEAE15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99081FE9-6574-40B0-A45A-60D0706D824E}"/>
    <cellStyle name="Normal 5 2 3 2 3 3 2 3" xfId="12004" xr:uid="{3BADB2DD-1DD4-44C5-86BB-81218CD1B590}"/>
    <cellStyle name="Normal 5 2 3 2 3 3 3" xfId="5627" xr:uid="{00000000-0005-0000-0000-000065180000}"/>
    <cellStyle name="Normal 5 2 3 2 3 3 3 2" xfId="14077" xr:uid="{01C39A9D-BB25-4474-825B-1615FD622BDC}"/>
    <cellStyle name="Normal 5 2 3 2 3 3 4" xfId="9859" xr:uid="{5F447CD6-F75D-4805-AB10-89645F2D0A9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DF4C1517-15AB-422D-A31B-5F0AF2E530A4}"/>
    <cellStyle name="Normal 5 2 3 2 3 4 2 3" xfId="12417" xr:uid="{8EEE3A71-BB2F-4A4F-B1D0-5E38A420A87C}"/>
    <cellStyle name="Normal 5 2 3 2 3 4 3" xfId="6040" xr:uid="{00000000-0005-0000-0000-000069180000}"/>
    <cellStyle name="Normal 5 2 3 2 3 4 3 2" xfId="14490" xr:uid="{FC18E234-A994-4A6D-9A48-3FE2997FB281}"/>
    <cellStyle name="Normal 5 2 3 2 3 4 4" xfId="10272" xr:uid="{2947497A-5729-4261-9E50-A8CAB315212D}"/>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5F008CE6-B6A0-4806-A5E1-8D16A0DC65EF}"/>
    <cellStyle name="Normal 5 2 3 2 3 5 2 3" xfId="12830" xr:uid="{0963B5AF-E681-4546-AC8F-64B0EA62EB01}"/>
    <cellStyle name="Normal 5 2 3 2 3 5 3" xfId="6453" xr:uid="{00000000-0005-0000-0000-00006D180000}"/>
    <cellStyle name="Normal 5 2 3 2 3 5 3 2" xfId="14903" xr:uid="{5CF4180E-9BD1-4509-8F88-CA259AE19144}"/>
    <cellStyle name="Normal 5 2 3 2 3 5 4" xfId="10685" xr:uid="{5E843A79-4DD2-4366-87F3-56E0829BBE7F}"/>
    <cellStyle name="Normal 5 2 3 2 3 6" xfId="2583" xr:uid="{00000000-0005-0000-0000-00006E180000}"/>
    <cellStyle name="Normal 5 2 3 2 3 6 2" xfId="6866" xr:uid="{00000000-0005-0000-0000-00006F180000}"/>
    <cellStyle name="Normal 5 2 3 2 3 6 2 2" xfId="15316" xr:uid="{5337DF7C-8389-4208-BAAB-8406C39CF0D3}"/>
    <cellStyle name="Normal 5 2 3 2 3 6 3" xfId="11098" xr:uid="{0AFD30FD-05DF-418A-84FD-9F37D7471525}"/>
    <cellStyle name="Normal 5 2 3 2 3 7" xfId="4801" xr:uid="{00000000-0005-0000-0000-000070180000}"/>
    <cellStyle name="Normal 5 2 3 2 3 7 2" xfId="13251" xr:uid="{F55C5B81-0CD1-4314-B92E-A31E20F43AF5}"/>
    <cellStyle name="Normal 5 2 3 2 3 8" xfId="9033" xr:uid="{45A22617-FFAE-4F04-8DAC-585C892B4A0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6CAEE52C-B210-42FC-992A-F2BF5D5A24BC}"/>
    <cellStyle name="Normal 5 2 3 2 4 2 3" xfId="11588" xr:uid="{B218853D-4291-45E1-835B-DAB08424C0A3}"/>
    <cellStyle name="Normal 5 2 3 2 4 3" xfId="5211" xr:uid="{00000000-0005-0000-0000-000074180000}"/>
    <cellStyle name="Normal 5 2 3 2 4 3 2" xfId="13661" xr:uid="{9F269E1F-FB38-47A4-93EE-E79A78596D33}"/>
    <cellStyle name="Normal 5 2 3 2 4 4" xfId="9443" xr:uid="{58B081EF-128A-4050-8784-B2C4057E44E3}"/>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29D56C4B-1869-4434-BDE7-7686D7AA149A}"/>
    <cellStyle name="Normal 5 2 3 2 5 2 3" xfId="12001" xr:uid="{A888806F-87A0-43B7-895C-9F55D3359B5F}"/>
    <cellStyle name="Normal 5 2 3 2 5 3" xfId="5624" xr:uid="{00000000-0005-0000-0000-000078180000}"/>
    <cellStyle name="Normal 5 2 3 2 5 3 2" xfId="14074" xr:uid="{E0D9FCAE-28E6-4445-994B-9BEC2AB647B3}"/>
    <cellStyle name="Normal 5 2 3 2 5 4" xfId="9856" xr:uid="{670DD2B5-59B8-4041-B8E6-4C7FBFF37F73}"/>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4D230A85-D334-4856-9C31-22F3A994A7FE}"/>
    <cellStyle name="Normal 5 2 3 2 6 2 3" xfId="12414" xr:uid="{7F91B1F8-FEE1-45EB-912B-70BBDC98B9BF}"/>
    <cellStyle name="Normal 5 2 3 2 6 3" xfId="6037" xr:uid="{00000000-0005-0000-0000-00007C180000}"/>
    <cellStyle name="Normal 5 2 3 2 6 3 2" xfId="14487" xr:uid="{E6A5CB7E-97DB-41BF-BC9C-43B06854E372}"/>
    <cellStyle name="Normal 5 2 3 2 6 4" xfId="10269" xr:uid="{7F8710CC-241F-4D22-8347-BC9D400509F2}"/>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7A976F44-5D74-4D93-986D-CA5F318F83D3}"/>
    <cellStyle name="Normal 5 2 3 2 7 2 3" xfId="12827" xr:uid="{907B579D-75AD-4925-A517-CA8B05F98041}"/>
    <cellStyle name="Normal 5 2 3 2 7 3" xfId="6450" xr:uid="{00000000-0005-0000-0000-000080180000}"/>
    <cellStyle name="Normal 5 2 3 2 7 3 2" xfId="14900" xr:uid="{30C27773-2361-4FC7-83C2-4D19B5D7C574}"/>
    <cellStyle name="Normal 5 2 3 2 7 4" xfId="10682" xr:uid="{63EC5C8F-0FDC-4E49-B8C9-D88C20ADE250}"/>
    <cellStyle name="Normal 5 2 3 2 8" xfId="2580" xr:uid="{00000000-0005-0000-0000-000081180000}"/>
    <cellStyle name="Normal 5 2 3 2 8 2" xfId="6863" xr:uid="{00000000-0005-0000-0000-000082180000}"/>
    <cellStyle name="Normal 5 2 3 2 8 2 2" xfId="15313" xr:uid="{5F20CF3C-2932-45E2-8287-C83C1860607B}"/>
    <cellStyle name="Normal 5 2 3 2 8 3" xfId="11095" xr:uid="{803475CF-AA4F-4844-96C4-1416398BD4B3}"/>
    <cellStyle name="Normal 5 2 3 2 9" xfId="4798" xr:uid="{00000000-0005-0000-0000-000083180000}"/>
    <cellStyle name="Normal 5 2 3 2 9 2" xfId="13248" xr:uid="{F9B00966-435C-47BE-80E3-D1528DCFE797}"/>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C7515FE5-DCC9-4858-BE1F-AABBA6B77CB6}"/>
    <cellStyle name="Normal 5 2 3 3 2 2 2 3" xfId="11593" xr:uid="{D7447187-5F32-4212-965B-DB9EEDFDA963}"/>
    <cellStyle name="Normal 5 2 3 3 2 2 3" xfId="5216" xr:uid="{00000000-0005-0000-0000-000089180000}"/>
    <cellStyle name="Normal 5 2 3 3 2 2 3 2" xfId="13666" xr:uid="{BDF714EA-A213-40DF-9849-5C40C3C6EDE5}"/>
    <cellStyle name="Normal 5 2 3 3 2 2 4" xfId="9448" xr:uid="{0B5EB3FF-BD99-4C82-B4FF-79242F045586}"/>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AB37DD86-46EE-44BF-AB05-0070B234A34B}"/>
    <cellStyle name="Normal 5 2 3 3 2 3 2 3" xfId="12006" xr:uid="{127B7D8A-3CE3-4AD4-8DD7-F1F08C90D64A}"/>
    <cellStyle name="Normal 5 2 3 3 2 3 3" xfId="5629" xr:uid="{00000000-0005-0000-0000-00008D180000}"/>
    <cellStyle name="Normal 5 2 3 3 2 3 3 2" xfId="14079" xr:uid="{EDCC1D1D-5016-4C0F-8B9E-7C94DFA2E2E1}"/>
    <cellStyle name="Normal 5 2 3 3 2 3 4" xfId="9861" xr:uid="{2DE3FD8A-4594-4324-9A9F-F4F188E85425}"/>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D0C1F674-8A3D-4FF0-A6D9-A59F0DC36980}"/>
    <cellStyle name="Normal 5 2 3 3 2 4 2 3" xfId="12419" xr:uid="{447017DF-EE98-48C8-B3B8-D198677DD43D}"/>
    <cellStyle name="Normal 5 2 3 3 2 4 3" xfId="6042" xr:uid="{00000000-0005-0000-0000-000091180000}"/>
    <cellStyle name="Normal 5 2 3 3 2 4 3 2" xfId="14492" xr:uid="{D607F942-1C85-4981-BB62-FF53A1199BE1}"/>
    <cellStyle name="Normal 5 2 3 3 2 4 4" xfId="10274" xr:uid="{51EEB8AD-C385-4416-8AD1-546108C82A52}"/>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62E8F1C0-E5F9-49FA-A901-60359E0D7D04}"/>
    <cellStyle name="Normal 5 2 3 3 2 5 2 3" xfId="12832" xr:uid="{49F8AA27-6C90-49D4-87A6-56389C993CD7}"/>
    <cellStyle name="Normal 5 2 3 3 2 5 3" xfId="6455" xr:uid="{00000000-0005-0000-0000-000095180000}"/>
    <cellStyle name="Normal 5 2 3 3 2 5 3 2" xfId="14905" xr:uid="{89D35AB9-639E-489D-B7AE-891AE9AA15B3}"/>
    <cellStyle name="Normal 5 2 3 3 2 5 4" xfId="10687" xr:uid="{B75ADEA7-219B-40D7-B584-00FF62A83E5F}"/>
    <cellStyle name="Normal 5 2 3 3 2 6" xfId="2585" xr:uid="{00000000-0005-0000-0000-000096180000}"/>
    <cellStyle name="Normal 5 2 3 3 2 6 2" xfId="6868" xr:uid="{00000000-0005-0000-0000-000097180000}"/>
    <cellStyle name="Normal 5 2 3 3 2 6 2 2" xfId="15318" xr:uid="{B753903C-4214-4AA8-A775-EE2C38E4CC2B}"/>
    <cellStyle name="Normal 5 2 3 3 2 6 3" xfId="11100" xr:uid="{DA21E180-7998-4511-946D-506BB926B7D5}"/>
    <cellStyle name="Normal 5 2 3 3 2 7" xfId="4803" xr:uid="{00000000-0005-0000-0000-000098180000}"/>
    <cellStyle name="Normal 5 2 3 3 2 7 2" xfId="13253" xr:uid="{8B18AC14-65E1-4D1A-8310-8881F3DF3A7F}"/>
    <cellStyle name="Normal 5 2 3 3 2 8" xfId="9035" xr:uid="{FA8016D3-1A41-4BBA-9830-285D73113438}"/>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2E5E12C9-24B5-4B4E-8822-0A666021A5D6}"/>
    <cellStyle name="Normal 5 2 3 3 3 2 3" xfId="11592" xr:uid="{75B61FAD-64C9-47CC-8A04-14EA66E957B6}"/>
    <cellStyle name="Normal 5 2 3 3 3 3" xfId="5215" xr:uid="{00000000-0005-0000-0000-00009C180000}"/>
    <cellStyle name="Normal 5 2 3 3 3 3 2" xfId="13665" xr:uid="{9FFF4D37-7D6A-4845-8B29-13409EB489D5}"/>
    <cellStyle name="Normal 5 2 3 3 3 4" xfId="9447" xr:uid="{3524A677-1FCC-42BA-A0A6-1775DF637F6A}"/>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212297F7-91B8-49D0-92CB-381FA767CDBE}"/>
    <cellStyle name="Normal 5 2 3 3 4 2 3" xfId="12005" xr:uid="{A35BBFEF-987B-4E58-B72D-AD31C6775BFB}"/>
    <cellStyle name="Normal 5 2 3 3 4 3" xfId="5628" xr:uid="{00000000-0005-0000-0000-0000A0180000}"/>
    <cellStyle name="Normal 5 2 3 3 4 3 2" xfId="14078" xr:uid="{130410D8-37C1-45FA-98B1-DBABCB72B739}"/>
    <cellStyle name="Normal 5 2 3 3 4 4" xfId="9860" xr:uid="{18FD36F2-2B7B-4BCE-8336-E1099908F25B}"/>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D8C0AF11-F2FA-44C2-AA70-3667A11E945E}"/>
    <cellStyle name="Normal 5 2 3 3 5 2 3" xfId="12418" xr:uid="{741A1BBB-21E8-4788-AEE1-ACB2BB48DA5E}"/>
    <cellStyle name="Normal 5 2 3 3 5 3" xfId="6041" xr:uid="{00000000-0005-0000-0000-0000A4180000}"/>
    <cellStyle name="Normal 5 2 3 3 5 3 2" xfId="14491" xr:uid="{08C1619C-976C-481C-8258-1D4A417A58CE}"/>
    <cellStyle name="Normal 5 2 3 3 5 4" xfId="10273" xr:uid="{A7805D1D-8DEB-4C90-B999-CAD90B4F1394}"/>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6F4E95F2-47F7-4A17-9E04-288CAD4F7435}"/>
    <cellStyle name="Normal 5 2 3 3 6 2 3" xfId="12831" xr:uid="{C7B7DBB3-2BE6-45D7-BB6C-F511D9964BA2}"/>
    <cellStyle name="Normal 5 2 3 3 6 3" xfId="6454" xr:uid="{00000000-0005-0000-0000-0000A8180000}"/>
    <cellStyle name="Normal 5 2 3 3 6 3 2" xfId="14904" xr:uid="{4D1C7A40-7867-4A04-BFCA-401A174F2EFE}"/>
    <cellStyle name="Normal 5 2 3 3 6 4" xfId="10686" xr:uid="{AA8B4413-8D4B-4A59-8F5E-807AA6E66304}"/>
    <cellStyle name="Normal 5 2 3 3 7" xfId="2584" xr:uid="{00000000-0005-0000-0000-0000A9180000}"/>
    <cellStyle name="Normal 5 2 3 3 7 2" xfId="6867" xr:uid="{00000000-0005-0000-0000-0000AA180000}"/>
    <cellStyle name="Normal 5 2 3 3 7 2 2" xfId="15317" xr:uid="{D821D038-0120-4422-A958-B0F1F586CB1E}"/>
    <cellStyle name="Normal 5 2 3 3 7 3" xfId="11099" xr:uid="{C7F5A262-E9CB-4D7E-80C6-69DD2E03EB80}"/>
    <cellStyle name="Normal 5 2 3 3 8" xfId="4802" xr:uid="{00000000-0005-0000-0000-0000AB180000}"/>
    <cellStyle name="Normal 5 2 3 3 8 2" xfId="13252" xr:uid="{A59DAEEE-8056-4B61-B23B-F8C34EED8EDF}"/>
    <cellStyle name="Normal 5 2 3 3 9" xfId="9034" xr:uid="{F25D545B-85F8-41C1-B40F-3E5A945E976C}"/>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1ED1C0F0-281C-4915-A9C4-4A1225B62000}"/>
    <cellStyle name="Normal 5 2 3 4 2 2 3" xfId="11594" xr:uid="{1B1DEB8C-33CE-40DC-8F2F-715F82A4B506}"/>
    <cellStyle name="Normal 5 2 3 4 2 3" xfId="5217" xr:uid="{00000000-0005-0000-0000-0000B0180000}"/>
    <cellStyle name="Normal 5 2 3 4 2 3 2" xfId="13667" xr:uid="{6A5CF4DD-42A4-4984-8B5B-1BCC9D7F7B41}"/>
    <cellStyle name="Normal 5 2 3 4 2 4" xfId="9449" xr:uid="{A649DABC-3CCE-46FE-8120-4405E832D792}"/>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CA52B275-EFE8-43BA-AC93-9A8949DFFE33}"/>
    <cellStyle name="Normal 5 2 3 4 3 2 3" xfId="12007" xr:uid="{623802C8-E7BA-4F5C-947A-09003A8A92E1}"/>
    <cellStyle name="Normal 5 2 3 4 3 3" xfId="5630" xr:uid="{00000000-0005-0000-0000-0000B4180000}"/>
    <cellStyle name="Normal 5 2 3 4 3 3 2" xfId="14080" xr:uid="{13C62A21-5632-40BD-9915-482520A332CE}"/>
    <cellStyle name="Normal 5 2 3 4 3 4" xfId="9862" xr:uid="{A56EA52B-355B-4CE7-9CBD-F7BED698B84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A49832D1-263D-4544-B802-009331BDD939}"/>
    <cellStyle name="Normal 5 2 3 4 4 2 3" xfId="12420" xr:uid="{BD0E6D44-5570-452A-BB71-A22E35A7A683}"/>
    <cellStyle name="Normal 5 2 3 4 4 3" xfId="6043" xr:uid="{00000000-0005-0000-0000-0000B8180000}"/>
    <cellStyle name="Normal 5 2 3 4 4 3 2" xfId="14493" xr:uid="{6CAB3AD2-B593-48F9-BF14-0DAD84B590E5}"/>
    <cellStyle name="Normal 5 2 3 4 4 4" xfId="10275" xr:uid="{EA7FE895-EFD6-42B6-A7B0-FB768B6FB671}"/>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C4EA7A32-E522-4660-B5F4-165369A6FF57}"/>
    <cellStyle name="Normal 5 2 3 4 5 2 3" xfId="12833" xr:uid="{C91A7E1B-6A21-49F5-924C-3258262DDA5D}"/>
    <cellStyle name="Normal 5 2 3 4 5 3" xfId="6456" xr:uid="{00000000-0005-0000-0000-0000BC180000}"/>
    <cellStyle name="Normal 5 2 3 4 5 3 2" xfId="14906" xr:uid="{17C9606D-8ED3-4339-8C06-7FCD4D49DED6}"/>
    <cellStyle name="Normal 5 2 3 4 5 4" xfId="10688" xr:uid="{76B6F5F6-ADE2-4F6C-9A72-71F0BE286FC3}"/>
    <cellStyle name="Normal 5 2 3 4 6" xfId="2586" xr:uid="{00000000-0005-0000-0000-0000BD180000}"/>
    <cellStyle name="Normal 5 2 3 4 6 2" xfId="6869" xr:uid="{00000000-0005-0000-0000-0000BE180000}"/>
    <cellStyle name="Normal 5 2 3 4 6 2 2" xfId="15319" xr:uid="{8D2DF4A2-5367-4D8F-8AF2-233C6554B313}"/>
    <cellStyle name="Normal 5 2 3 4 6 3" xfId="11101" xr:uid="{0EDAF21E-E74C-4B57-A712-E21819EFA5D8}"/>
    <cellStyle name="Normal 5 2 3 4 7" xfId="4804" xr:uid="{00000000-0005-0000-0000-0000BF180000}"/>
    <cellStyle name="Normal 5 2 3 4 7 2" xfId="13254" xr:uid="{8747F2D7-EA1B-47DF-903C-F3F6FCBFCC66}"/>
    <cellStyle name="Normal 5 2 3 4 8" xfId="9036" xr:uid="{9AD9DCA8-36CF-4743-9A8B-706C18066CBC}"/>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524F12CA-C3EB-4326-A5CF-689AF1837378}"/>
    <cellStyle name="Normal 5 2 3 5 2 3" xfId="11587" xr:uid="{C96E1A71-A9F0-4BEF-B5F3-45374FDF79DB}"/>
    <cellStyle name="Normal 5 2 3 5 3" xfId="5210" xr:uid="{00000000-0005-0000-0000-0000C3180000}"/>
    <cellStyle name="Normal 5 2 3 5 3 2" xfId="13660" xr:uid="{B7FFBB71-A65A-4805-B663-1D43462FF40E}"/>
    <cellStyle name="Normal 5 2 3 5 4" xfId="9442" xr:uid="{29D31963-D94E-4FD9-9716-18AE4836B89F}"/>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9778E753-F620-4D4F-B88F-4EFC1D4964B1}"/>
    <cellStyle name="Normal 5 2 3 6 2 3" xfId="12000" xr:uid="{E831775B-CAD3-44B4-8BDC-886D75B0B70E}"/>
    <cellStyle name="Normal 5 2 3 6 3" xfId="5623" xr:uid="{00000000-0005-0000-0000-0000C7180000}"/>
    <cellStyle name="Normal 5 2 3 6 3 2" xfId="14073" xr:uid="{2EFF4532-7C2F-4E55-8AE0-1643F1F62E81}"/>
    <cellStyle name="Normal 5 2 3 6 4" xfId="9855" xr:uid="{9BA933EC-A452-4642-8186-1405D125191B}"/>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FC134712-3B38-44CF-AE98-A4072ABAD499}"/>
    <cellStyle name="Normal 5 2 3 7 2 3" xfId="12413" xr:uid="{61B2CE75-0F3E-4A79-9A1B-8D6292143549}"/>
    <cellStyle name="Normal 5 2 3 7 3" xfId="6036" xr:uid="{00000000-0005-0000-0000-0000CB180000}"/>
    <cellStyle name="Normal 5 2 3 7 3 2" xfId="14486" xr:uid="{22CB1622-7094-413D-9021-375143FC3E8E}"/>
    <cellStyle name="Normal 5 2 3 7 4" xfId="10268" xr:uid="{CEFF0261-6442-4989-8B8C-BB4239F7958C}"/>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5C87C071-3A14-4359-8DB8-158E3298B3CA}"/>
    <cellStyle name="Normal 5 2 3 8 2 3" xfId="12826" xr:uid="{257124F5-4BC3-49FE-93EA-8CD133AC47CA}"/>
    <cellStyle name="Normal 5 2 3 8 3" xfId="6449" xr:uid="{00000000-0005-0000-0000-0000CF180000}"/>
    <cellStyle name="Normal 5 2 3 8 3 2" xfId="14899" xr:uid="{3557597D-66CE-49EB-B00F-513D1F79E4A6}"/>
    <cellStyle name="Normal 5 2 3 8 4" xfId="10681" xr:uid="{7246B03D-F6B7-4A02-B48F-A52565DC636E}"/>
    <cellStyle name="Normal 5 2 3 9" xfId="2579" xr:uid="{00000000-0005-0000-0000-0000D0180000}"/>
    <cellStyle name="Normal 5 2 3 9 2" xfId="6862" xr:uid="{00000000-0005-0000-0000-0000D1180000}"/>
    <cellStyle name="Normal 5 2 3 9 2 2" xfId="15312" xr:uid="{DB76A1BE-E68D-4F6A-85DC-E5592AFA93D5}"/>
    <cellStyle name="Normal 5 2 3 9 3" xfId="11094" xr:uid="{6E5868A9-861D-49C4-85E5-8E646C59BB06}"/>
    <cellStyle name="Normal 5 2 4" xfId="432" xr:uid="{00000000-0005-0000-0000-0000D2180000}"/>
    <cellStyle name="Normal 5 2 4 10" xfId="9037" xr:uid="{31EDCB64-F1AA-4636-90E9-2A8B1715C022}"/>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EB0BCDEC-7278-4A7A-B13F-F67A119DEC3E}"/>
    <cellStyle name="Normal 5 2 4 2 2 2 2 3" xfId="11597" xr:uid="{AD8994B6-46BE-46A8-8701-E007A3D7D6C8}"/>
    <cellStyle name="Normal 5 2 4 2 2 2 3" xfId="5220" xr:uid="{00000000-0005-0000-0000-0000D8180000}"/>
    <cellStyle name="Normal 5 2 4 2 2 2 3 2" xfId="13670" xr:uid="{D164C58A-9CB2-4C00-B96E-EFE7FB935370}"/>
    <cellStyle name="Normal 5 2 4 2 2 2 4" xfId="9452" xr:uid="{7AA31DBA-240B-40C5-8C5E-B8C96D809F4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3BA33B9E-39DE-4764-8D2E-9515B41C6526}"/>
    <cellStyle name="Normal 5 2 4 2 2 3 2 3" xfId="12010" xr:uid="{97A3FE68-4545-47B0-9070-12EE549A8E9F}"/>
    <cellStyle name="Normal 5 2 4 2 2 3 3" xfId="5633" xr:uid="{00000000-0005-0000-0000-0000DC180000}"/>
    <cellStyle name="Normal 5 2 4 2 2 3 3 2" xfId="14083" xr:uid="{121315F5-9F96-4705-B1F5-6375E0AFD6CB}"/>
    <cellStyle name="Normal 5 2 4 2 2 3 4" xfId="9865" xr:uid="{2B6FE668-3F1C-413C-99F8-527E5B6CC95D}"/>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C34A8EE1-B2B9-4EEF-9900-F2D0A549534F}"/>
    <cellStyle name="Normal 5 2 4 2 2 4 2 3" xfId="12423" xr:uid="{0FB33E96-C842-4D4B-971E-31B7261E6CCD}"/>
    <cellStyle name="Normal 5 2 4 2 2 4 3" xfId="6046" xr:uid="{00000000-0005-0000-0000-0000E0180000}"/>
    <cellStyle name="Normal 5 2 4 2 2 4 3 2" xfId="14496" xr:uid="{FB3F0F74-2ED6-4173-835E-4E60C35DFB96}"/>
    <cellStyle name="Normal 5 2 4 2 2 4 4" xfId="10278" xr:uid="{3AA754D3-2448-4F18-88A1-636035229886}"/>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9D60D707-17BD-45E3-8017-B3FE12893E6B}"/>
    <cellStyle name="Normal 5 2 4 2 2 5 2 3" xfId="12836" xr:uid="{7F2DA930-FF67-434D-B29E-E8518BCC08B4}"/>
    <cellStyle name="Normal 5 2 4 2 2 5 3" xfId="6459" xr:uid="{00000000-0005-0000-0000-0000E4180000}"/>
    <cellStyle name="Normal 5 2 4 2 2 5 3 2" xfId="14909" xr:uid="{55007D8C-E451-43AB-A213-72B7DA7F508D}"/>
    <cellStyle name="Normal 5 2 4 2 2 5 4" xfId="10691" xr:uid="{AB5B8804-891F-4261-B07C-A6F1600A18CD}"/>
    <cellStyle name="Normal 5 2 4 2 2 6" xfId="2589" xr:uid="{00000000-0005-0000-0000-0000E5180000}"/>
    <cellStyle name="Normal 5 2 4 2 2 6 2" xfId="6872" xr:uid="{00000000-0005-0000-0000-0000E6180000}"/>
    <cellStyle name="Normal 5 2 4 2 2 6 2 2" xfId="15322" xr:uid="{AB1C57D6-0002-4C94-941A-DA25F341B6CE}"/>
    <cellStyle name="Normal 5 2 4 2 2 6 3" xfId="11104" xr:uid="{05193479-BAFA-4AF3-BEAA-CC677BF7D889}"/>
    <cellStyle name="Normal 5 2 4 2 2 7" xfId="4807" xr:uid="{00000000-0005-0000-0000-0000E7180000}"/>
    <cellStyle name="Normal 5 2 4 2 2 7 2" xfId="13257" xr:uid="{6DF26681-CE0B-46C1-A464-E6313975AE9E}"/>
    <cellStyle name="Normal 5 2 4 2 2 8" xfId="9039" xr:uid="{BA75792B-A9EC-4B95-B166-60B065DCB16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99272F30-E7A7-4DD7-8854-B921BD2383DF}"/>
    <cellStyle name="Normal 5 2 4 2 3 2 3" xfId="11596" xr:uid="{19F193C3-FD44-4369-8342-E483930E6753}"/>
    <cellStyle name="Normal 5 2 4 2 3 3" xfId="5219" xr:uid="{00000000-0005-0000-0000-0000EB180000}"/>
    <cellStyle name="Normal 5 2 4 2 3 3 2" xfId="13669" xr:uid="{AEEB0DE9-E066-4042-828A-546948A23F51}"/>
    <cellStyle name="Normal 5 2 4 2 3 4" xfId="9451" xr:uid="{B58E370F-7BDF-49E1-84FE-5D0F153E922F}"/>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173F9A5D-94D0-4F9A-95D7-FDDE79D591EB}"/>
    <cellStyle name="Normal 5 2 4 2 4 2 3" xfId="12009" xr:uid="{CF0AAC29-9B04-4E2C-8927-39DAF3E2E485}"/>
    <cellStyle name="Normal 5 2 4 2 4 3" xfId="5632" xr:uid="{00000000-0005-0000-0000-0000EF180000}"/>
    <cellStyle name="Normal 5 2 4 2 4 3 2" xfId="14082" xr:uid="{30EBF8CD-6BBB-4FA3-AF87-776B1B5518E5}"/>
    <cellStyle name="Normal 5 2 4 2 4 4" xfId="9864" xr:uid="{8207E8C8-78F6-40AC-910A-9A1BCC3CD010}"/>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B6B9DC40-9D8D-4069-AFEE-0133D28EC46B}"/>
    <cellStyle name="Normal 5 2 4 2 5 2 3" xfId="12422" xr:uid="{87DE67E4-3E78-4B5E-8DD7-F68E872D7B52}"/>
    <cellStyle name="Normal 5 2 4 2 5 3" xfId="6045" xr:uid="{00000000-0005-0000-0000-0000F3180000}"/>
    <cellStyle name="Normal 5 2 4 2 5 3 2" xfId="14495" xr:uid="{FBFFF32E-E81A-4049-BEB3-7519B23536CE}"/>
    <cellStyle name="Normal 5 2 4 2 5 4" xfId="10277" xr:uid="{7800BBB6-6BA8-48F7-8BBA-B4BC644F5FC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2EB87E68-B748-4409-AA8A-C486AD20878C}"/>
    <cellStyle name="Normal 5 2 4 2 6 2 3" xfId="12835" xr:uid="{A2C8980B-76CD-44AB-97AE-29A86B1DD13C}"/>
    <cellStyle name="Normal 5 2 4 2 6 3" xfId="6458" xr:uid="{00000000-0005-0000-0000-0000F7180000}"/>
    <cellStyle name="Normal 5 2 4 2 6 3 2" xfId="14908" xr:uid="{A415693C-286E-441B-9365-DA2148327464}"/>
    <cellStyle name="Normal 5 2 4 2 6 4" xfId="10690" xr:uid="{5EF136ED-63B3-4838-AA75-4D6841557ADC}"/>
    <cellStyle name="Normal 5 2 4 2 7" xfId="2588" xr:uid="{00000000-0005-0000-0000-0000F8180000}"/>
    <cellStyle name="Normal 5 2 4 2 7 2" xfId="6871" xr:uid="{00000000-0005-0000-0000-0000F9180000}"/>
    <cellStyle name="Normal 5 2 4 2 7 2 2" xfId="15321" xr:uid="{10066EFB-3B5A-42DD-B309-017372DAD681}"/>
    <cellStyle name="Normal 5 2 4 2 7 3" xfId="11103" xr:uid="{9F4C47D4-B479-44CD-8B65-20D7E02CD3B3}"/>
    <cellStyle name="Normal 5 2 4 2 8" xfId="4806" xr:uid="{00000000-0005-0000-0000-0000FA180000}"/>
    <cellStyle name="Normal 5 2 4 2 8 2" xfId="13256" xr:uid="{C190CA49-BA54-4D95-9EAF-B30A6FE675FB}"/>
    <cellStyle name="Normal 5 2 4 2 9" xfId="9038" xr:uid="{AA42B5B4-3FBE-4AB7-B00F-E699B33962B3}"/>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B9AFF0A8-347D-4538-853E-B811CF858C28}"/>
    <cellStyle name="Normal 5 2 4 3 2 2 3" xfId="11598" xr:uid="{C9E945A8-A561-40ED-912A-01B83B888F6D}"/>
    <cellStyle name="Normal 5 2 4 3 2 3" xfId="5221" xr:uid="{00000000-0005-0000-0000-0000FF180000}"/>
    <cellStyle name="Normal 5 2 4 3 2 3 2" xfId="13671" xr:uid="{F08EA345-EB4F-465C-B7A5-968B510E2717}"/>
    <cellStyle name="Normal 5 2 4 3 2 4" xfId="9453" xr:uid="{D010C443-7C1C-4564-B482-937BEA819F74}"/>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5C341B7C-41C0-498B-B510-8F8E9143AFDA}"/>
    <cellStyle name="Normal 5 2 4 3 3 2 3" xfId="12011" xr:uid="{7053981F-8716-49B1-BBAE-BF2A8288AFD0}"/>
    <cellStyle name="Normal 5 2 4 3 3 3" xfId="5634" xr:uid="{00000000-0005-0000-0000-000003190000}"/>
    <cellStyle name="Normal 5 2 4 3 3 3 2" xfId="14084" xr:uid="{F60E73D5-2B94-403F-8199-35F308E803F9}"/>
    <cellStyle name="Normal 5 2 4 3 3 4" xfId="9866" xr:uid="{AEB7FAFD-4FB5-47F4-8925-C31823C79A5B}"/>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9672EAE0-8E60-4A6B-B303-FF299A4886CD}"/>
    <cellStyle name="Normal 5 2 4 3 4 2 3" xfId="12424" xr:uid="{1C840431-681A-46C9-A5F3-608CE7910934}"/>
    <cellStyle name="Normal 5 2 4 3 4 3" xfId="6047" xr:uid="{00000000-0005-0000-0000-000007190000}"/>
    <cellStyle name="Normal 5 2 4 3 4 3 2" xfId="14497" xr:uid="{A156195C-840F-49CC-B9A3-8637114C6B6A}"/>
    <cellStyle name="Normal 5 2 4 3 4 4" xfId="10279" xr:uid="{2014D7E6-C262-4610-A1FE-3CC43C07378E}"/>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3D958C45-50AA-4CFC-B428-2F8324FF8ACB}"/>
    <cellStyle name="Normal 5 2 4 3 5 2 3" xfId="12837" xr:uid="{2A47646F-E3FA-48DD-B4B2-201F0A445032}"/>
    <cellStyle name="Normal 5 2 4 3 5 3" xfId="6460" xr:uid="{00000000-0005-0000-0000-00000B190000}"/>
    <cellStyle name="Normal 5 2 4 3 5 3 2" xfId="14910" xr:uid="{F1C11C4F-E162-4591-A5E0-78018163C620}"/>
    <cellStyle name="Normal 5 2 4 3 5 4" xfId="10692" xr:uid="{36837EBF-9272-4C40-8772-B67DA049FD0A}"/>
    <cellStyle name="Normal 5 2 4 3 6" xfId="2590" xr:uid="{00000000-0005-0000-0000-00000C190000}"/>
    <cellStyle name="Normal 5 2 4 3 6 2" xfId="6873" xr:uid="{00000000-0005-0000-0000-00000D190000}"/>
    <cellStyle name="Normal 5 2 4 3 6 2 2" xfId="15323" xr:uid="{83A19DA5-F33C-4287-86C4-870757E772ED}"/>
    <cellStyle name="Normal 5 2 4 3 6 3" xfId="11105" xr:uid="{3DC9B558-2C90-4879-A43E-9BBD9E7D5CB7}"/>
    <cellStyle name="Normal 5 2 4 3 7" xfId="4808" xr:uid="{00000000-0005-0000-0000-00000E190000}"/>
    <cellStyle name="Normal 5 2 4 3 7 2" xfId="13258" xr:uid="{BEEFB3A8-2A3F-45CF-9CFC-096574A7F0EE}"/>
    <cellStyle name="Normal 5 2 4 3 8" xfId="9040" xr:uid="{6B33A149-12E5-479C-ADF4-2AFDD8E674B6}"/>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41B60C47-5420-453A-B4D8-484F44661FCF}"/>
    <cellStyle name="Normal 5 2 4 4 2 3" xfId="11595" xr:uid="{2F83F7A8-F555-4215-A4BE-B9111AEA9804}"/>
    <cellStyle name="Normal 5 2 4 4 3" xfId="5218" xr:uid="{00000000-0005-0000-0000-000012190000}"/>
    <cellStyle name="Normal 5 2 4 4 3 2" xfId="13668" xr:uid="{F1926F3A-AD25-438D-B1C0-901328636EA3}"/>
    <cellStyle name="Normal 5 2 4 4 4" xfId="9450" xr:uid="{02C3B7CA-3FEE-414A-A1F9-C47EEB6A7A34}"/>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1D761C14-BDC3-44BA-8E2E-399B52ADBCA5}"/>
    <cellStyle name="Normal 5 2 4 5 2 3" xfId="12008" xr:uid="{3E401DD9-B23D-4136-9F82-9D7E9585D474}"/>
    <cellStyle name="Normal 5 2 4 5 3" xfId="5631" xr:uid="{00000000-0005-0000-0000-000016190000}"/>
    <cellStyle name="Normal 5 2 4 5 3 2" xfId="14081" xr:uid="{A8DCE8BB-E86F-44C9-A957-76E6B08BF42B}"/>
    <cellStyle name="Normal 5 2 4 5 4" xfId="9863" xr:uid="{25460300-0CB2-4D92-86A9-28C464882871}"/>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E709A234-B282-4040-AB84-8225D5DEC6CB}"/>
    <cellStyle name="Normal 5 2 4 6 2 3" xfId="12421" xr:uid="{B5F16BE2-BD46-4910-B672-1F130F6380DE}"/>
    <cellStyle name="Normal 5 2 4 6 3" xfId="6044" xr:uid="{00000000-0005-0000-0000-00001A190000}"/>
    <cellStyle name="Normal 5 2 4 6 3 2" xfId="14494" xr:uid="{5029495A-4D50-46E4-A535-83B00417F757}"/>
    <cellStyle name="Normal 5 2 4 6 4" xfId="10276" xr:uid="{F8F30372-F4D3-48BD-AF1A-6D3A483FEDEE}"/>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1D772623-C9A1-42F4-92E8-CEF824275E0D}"/>
    <cellStyle name="Normal 5 2 4 7 2 3" xfId="12834" xr:uid="{D0655B9B-A892-4CE5-990D-215FADD52069}"/>
    <cellStyle name="Normal 5 2 4 7 3" xfId="6457" xr:uid="{00000000-0005-0000-0000-00001E190000}"/>
    <cellStyle name="Normal 5 2 4 7 3 2" xfId="14907" xr:uid="{EB0E4E22-518F-4C31-8152-8AC1A2D80F6D}"/>
    <cellStyle name="Normal 5 2 4 7 4" xfId="10689" xr:uid="{3D90D128-9CFD-4E34-B2A1-2C4A48A40510}"/>
    <cellStyle name="Normal 5 2 4 8" xfId="2587" xr:uid="{00000000-0005-0000-0000-00001F190000}"/>
    <cellStyle name="Normal 5 2 4 8 2" xfId="6870" xr:uid="{00000000-0005-0000-0000-000020190000}"/>
    <cellStyle name="Normal 5 2 4 8 2 2" xfId="15320" xr:uid="{36DDB6F3-393C-46E7-94A3-D9F4DDACF300}"/>
    <cellStyle name="Normal 5 2 4 8 3" xfId="11102" xr:uid="{E97C94F9-54E5-44FD-8B40-DFC2448C5655}"/>
    <cellStyle name="Normal 5 2 4 9" xfId="4805" xr:uid="{00000000-0005-0000-0000-000021190000}"/>
    <cellStyle name="Normal 5 2 4 9 2" xfId="13255" xr:uid="{A5D81EF0-4331-4349-9042-79795900BE2C}"/>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CD07AFB0-0657-4EC7-8A82-2311BAE22F5D}"/>
    <cellStyle name="Normal 5 2 5 2 2 2 3" xfId="11600" xr:uid="{4117C12B-7B5D-44E6-B38C-CC2FC52FE3D9}"/>
    <cellStyle name="Normal 5 2 5 2 2 3" xfId="5223" xr:uid="{00000000-0005-0000-0000-000027190000}"/>
    <cellStyle name="Normal 5 2 5 2 2 3 2" xfId="13673" xr:uid="{EA5CF5D4-FB13-47B8-9288-3667506D72FE}"/>
    <cellStyle name="Normal 5 2 5 2 2 4" xfId="9455" xr:uid="{5786C547-A7FD-42E5-931F-31894824135D}"/>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5066D03E-2025-4F41-A0B6-BEDF9E1D8539}"/>
    <cellStyle name="Normal 5 2 5 2 3 2 3" xfId="12013" xr:uid="{84857015-7B68-4EE2-9138-4528433BBD38}"/>
    <cellStyle name="Normal 5 2 5 2 3 3" xfId="5636" xr:uid="{00000000-0005-0000-0000-00002B190000}"/>
    <cellStyle name="Normal 5 2 5 2 3 3 2" xfId="14086" xr:uid="{7306F3DF-F302-4ED9-9C3C-479FB9E71E90}"/>
    <cellStyle name="Normal 5 2 5 2 3 4" xfId="9868" xr:uid="{4E121CF5-7C0B-45A1-9674-34615A24AF63}"/>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2E54B3DF-2AEB-4BBF-9714-41B896339A27}"/>
    <cellStyle name="Normal 5 2 5 2 4 2 3" xfId="12426" xr:uid="{5BD81A58-E632-47A2-A286-B27854F20A4E}"/>
    <cellStyle name="Normal 5 2 5 2 4 3" xfId="6049" xr:uid="{00000000-0005-0000-0000-00002F190000}"/>
    <cellStyle name="Normal 5 2 5 2 4 3 2" xfId="14499" xr:uid="{9D329E1C-0F2A-462F-9482-C8EB54B90F1D}"/>
    <cellStyle name="Normal 5 2 5 2 4 4" xfId="10281" xr:uid="{DB178D60-D521-4B79-AD2E-B9AC4DB90337}"/>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D633CDB6-0B95-4BF2-BC36-C1B4EBA34F83}"/>
    <cellStyle name="Normal 5 2 5 2 5 2 3" xfId="12839" xr:uid="{1D03E114-8C92-417A-9CDE-C0653A0D9040}"/>
    <cellStyle name="Normal 5 2 5 2 5 3" xfId="6462" xr:uid="{00000000-0005-0000-0000-000033190000}"/>
    <cellStyle name="Normal 5 2 5 2 5 3 2" xfId="14912" xr:uid="{9E9E0B26-82D2-4090-9B15-164FBF5A08CC}"/>
    <cellStyle name="Normal 5 2 5 2 5 4" xfId="10694" xr:uid="{FBB65F45-37FA-426B-9DFF-CFFCD8559A18}"/>
    <cellStyle name="Normal 5 2 5 2 6" xfId="2592" xr:uid="{00000000-0005-0000-0000-000034190000}"/>
    <cellStyle name="Normal 5 2 5 2 6 2" xfId="6875" xr:uid="{00000000-0005-0000-0000-000035190000}"/>
    <cellStyle name="Normal 5 2 5 2 6 2 2" xfId="15325" xr:uid="{378EA843-3E5A-41A9-93E9-2C5741C6A2DC}"/>
    <cellStyle name="Normal 5 2 5 2 6 3" xfId="11107" xr:uid="{1BE3CC19-57C2-4258-8F19-5AB99B4CA9EB}"/>
    <cellStyle name="Normal 5 2 5 2 7" xfId="4810" xr:uid="{00000000-0005-0000-0000-000036190000}"/>
    <cellStyle name="Normal 5 2 5 2 7 2" xfId="13260" xr:uid="{6A6C4D4C-09F3-4EA1-8636-C035C8DFEC72}"/>
    <cellStyle name="Normal 5 2 5 2 8" xfId="9042" xr:uid="{AF648127-D23F-4FE6-BA6E-F11E373B5135}"/>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E491F02D-882A-4F76-9E88-54D30FF53FAA}"/>
    <cellStyle name="Normal 5 2 5 3 2 3" xfId="11599" xr:uid="{B8A0C0FC-8C6F-4B94-A277-726638B9C729}"/>
    <cellStyle name="Normal 5 2 5 3 3" xfId="5222" xr:uid="{00000000-0005-0000-0000-00003A190000}"/>
    <cellStyle name="Normal 5 2 5 3 3 2" xfId="13672" xr:uid="{11760EF2-9CE8-472F-A8D5-CDCD1A260F86}"/>
    <cellStyle name="Normal 5 2 5 3 4" xfId="9454" xr:uid="{389B490B-F60A-4C47-AFDE-294CDE7A556E}"/>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AEB9A41E-2745-4C9F-979B-6523FB913541}"/>
    <cellStyle name="Normal 5 2 5 4 2 3" xfId="12012" xr:uid="{96EFF531-24EC-4C2F-B3FA-57D2081AD257}"/>
    <cellStyle name="Normal 5 2 5 4 3" xfId="5635" xr:uid="{00000000-0005-0000-0000-00003E190000}"/>
    <cellStyle name="Normal 5 2 5 4 3 2" xfId="14085" xr:uid="{C87517B0-07C1-4106-A628-F4387F4DB4E3}"/>
    <cellStyle name="Normal 5 2 5 4 4" xfId="9867" xr:uid="{CD14E55C-74B3-468F-A258-582BD364B311}"/>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FF408EB4-FC76-406C-B60E-E940EDFA14FA}"/>
    <cellStyle name="Normal 5 2 5 5 2 3" xfId="12425" xr:uid="{F8395D44-11AD-471C-9DFC-8233F3AF1B21}"/>
    <cellStyle name="Normal 5 2 5 5 3" xfId="6048" xr:uid="{00000000-0005-0000-0000-000042190000}"/>
    <cellStyle name="Normal 5 2 5 5 3 2" xfId="14498" xr:uid="{E527C0DE-E943-4346-8F22-851363945639}"/>
    <cellStyle name="Normal 5 2 5 5 4" xfId="10280" xr:uid="{54268561-CBA8-47CE-BC8C-6D059150BE33}"/>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FA9F4589-B2FB-41BD-9BD0-2AD272C32FE6}"/>
    <cellStyle name="Normal 5 2 5 6 2 3" xfId="12838" xr:uid="{CB0C0ACB-E4C5-4EF3-98C9-464832592753}"/>
    <cellStyle name="Normal 5 2 5 6 3" xfId="6461" xr:uid="{00000000-0005-0000-0000-000046190000}"/>
    <cellStyle name="Normal 5 2 5 6 3 2" xfId="14911" xr:uid="{C7507789-08A4-41B9-AF34-C74C8AC7C65C}"/>
    <cellStyle name="Normal 5 2 5 6 4" xfId="10693" xr:uid="{FFD3A32E-17BE-4821-8FC3-D6F0870DD856}"/>
    <cellStyle name="Normal 5 2 5 7" xfId="2591" xr:uid="{00000000-0005-0000-0000-000047190000}"/>
    <cellStyle name="Normal 5 2 5 7 2" xfId="6874" xr:uid="{00000000-0005-0000-0000-000048190000}"/>
    <cellStyle name="Normal 5 2 5 7 2 2" xfId="15324" xr:uid="{91BF901D-847E-4B18-9CF4-EDE85BC1CB89}"/>
    <cellStyle name="Normal 5 2 5 7 3" xfId="11106" xr:uid="{601F8610-09BD-4952-84FB-3F3910815C0E}"/>
    <cellStyle name="Normal 5 2 5 8" xfId="4809" xr:uid="{00000000-0005-0000-0000-000049190000}"/>
    <cellStyle name="Normal 5 2 5 8 2" xfId="13259" xr:uid="{B09844B3-B9C6-4BB9-9752-181ECA694A35}"/>
    <cellStyle name="Normal 5 2 5 9" xfId="9041" xr:uid="{7698F6BC-61ED-417F-AE5C-2EACFBADC6E4}"/>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A3D5B5ED-65DF-4DE9-9213-09B4E0A38420}"/>
    <cellStyle name="Normal 5 2 6 2 2 3" xfId="11601" xr:uid="{167FE8C0-315F-4C58-9BFD-BB985849A4A8}"/>
    <cellStyle name="Normal 5 2 6 2 3" xfId="5224" xr:uid="{00000000-0005-0000-0000-00004E190000}"/>
    <cellStyle name="Normal 5 2 6 2 3 2" xfId="13674" xr:uid="{995F50FC-0A81-40AF-A6AF-2428324D9266}"/>
    <cellStyle name="Normal 5 2 6 2 4" xfId="9456" xr:uid="{A39D2CEE-85C0-4FA5-8D2D-A83CE6AB3D08}"/>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017390CB-E711-4147-9F7E-1EF245B3B629}"/>
    <cellStyle name="Normal 5 2 6 3 2 3" xfId="12014" xr:uid="{1AD09E6E-B56B-4F52-B2F8-8C00F7C7704F}"/>
    <cellStyle name="Normal 5 2 6 3 3" xfId="5637" xr:uid="{00000000-0005-0000-0000-000052190000}"/>
    <cellStyle name="Normal 5 2 6 3 3 2" xfId="14087" xr:uid="{9080FD52-65BB-4059-AD13-D750E7FB35EE}"/>
    <cellStyle name="Normal 5 2 6 3 4" xfId="9869" xr:uid="{03D5527F-9431-46C2-B32F-3230458B5518}"/>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57C60D5F-DEEC-4F35-AF33-931955EEF819}"/>
    <cellStyle name="Normal 5 2 6 4 2 3" xfId="12427" xr:uid="{91DEF4CB-6180-40E6-8A7C-DDC7E9EC0B60}"/>
    <cellStyle name="Normal 5 2 6 4 3" xfId="6050" xr:uid="{00000000-0005-0000-0000-000056190000}"/>
    <cellStyle name="Normal 5 2 6 4 3 2" xfId="14500" xr:uid="{B5FA96E5-BC76-45C5-81EF-36F1F3EB452D}"/>
    <cellStyle name="Normal 5 2 6 4 4" xfId="10282" xr:uid="{9734CF22-6DE5-49C9-A0A2-C24B60889CDB}"/>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20DBCFC7-D775-4384-8560-DAE5439EFD04}"/>
    <cellStyle name="Normal 5 2 6 5 2 3" xfId="12840" xr:uid="{A4988D96-775D-47D5-81CA-28A6A871404B}"/>
    <cellStyle name="Normal 5 2 6 5 3" xfId="6463" xr:uid="{00000000-0005-0000-0000-00005A190000}"/>
    <cellStyle name="Normal 5 2 6 5 3 2" xfId="14913" xr:uid="{FEEA4AFD-56B1-4600-A5B8-ADC53A18FE3A}"/>
    <cellStyle name="Normal 5 2 6 5 4" xfId="10695" xr:uid="{B3551EB3-318B-4994-BDE3-1CC73BAA66AD}"/>
    <cellStyle name="Normal 5 2 6 6" xfId="2593" xr:uid="{00000000-0005-0000-0000-00005B190000}"/>
    <cellStyle name="Normal 5 2 6 6 2" xfId="6876" xr:uid="{00000000-0005-0000-0000-00005C190000}"/>
    <cellStyle name="Normal 5 2 6 6 2 2" xfId="15326" xr:uid="{D7DB1E27-A518-4526-97BC-B6F42244A184}"/>
    <cellStyle name="Normal 5 2 6 6 3" xfId="11108" xr:uid="{539BB1EE-4DB9-49F8-83F6-C1D3242965A6}"/>
    <cellStyle name="Normal 5 2 6 7" xfId="4811" xr:uid="{00000000-0005-0000-0000-00005D190000}"/>
    <cellStyle name="Normal 5 2 6 7 2" xfId="13261" xr:uid="{5E0F4ED6-864E-4F76-847B-C16EBA22C6DB}"/>
    <cellStyle name="Normal 5 2 6 8" xfId="9043" xr:uid="{13B6659F-0696-4004-8FC4-9C214E29E0FA}"/>
    <cellStyle name="Normal 5 2 7" xfId="881" xr:uid="{00000000-0005-0000-0000-00005E190000}"/>
    <cellStyle name="Normal 5 2 7 2" xfId="3116" xr:uid="{00000000-0005-0000-0000-00005F190000}"/>
    <cellStyle name="Normal 5 2 7 2 2" xfId="7338" xr:uid="{00000000-0005-0000-0000-000060190000}"/>
    <cellStyle name="Normal 5 2 7 2 2 2" xfId="15788" xr:uid="{E9D015DF-99AD-46C4-AACF-65F58ACBAD75}"/>
    <cellStyle name="Normal 5 2 7 2 3" xfId="11570" xr:uid="{5682D993-FA6A-404E-94E6-54E9DBD89C49}"/>
    <cellStyle name="Normal 5 2 7 3" xfId="5193" xr:uid="{00000000-0005-0000-0000-000061190000}"/>
    <cellStyle name="Normal 5 2 7 3 2" xfId="13643" xr:uid="{335D6047-43E5-464D-A53E-CC4B1A8831C6}"/>
    <cellStyle name="Normal 5 2 7 4" xfId="9425" xr:uid="{040B3C4C-EDE8-4FFD-B46A-7137A0D79578}"/>
    <cellStyle name="Normal 5 2 8" xfId="1299" xr:uid="{00000000-0005-0000-0000-000062190000}"/>
    <cellStyle name="Normal 5 2 8 2" xfId="3529" xr:uid="{00000000-0005-0000-0000-000063190000}"/>
    <cellStyle name="Normal 5 2 8 2 2" xfId="7751" xr:uid="{00000000-0005-0000-0000-000064190000}"/>
    <cellStyle name="Normal 5 2 8 2 2 2" xfId="16201" xr:uid="{CB2B5D12-C3B1-420B-B0D6-6121E755F809}"/>
    <cellStyle name="Normal 5 2 8 2 3" xfId="11983" xr:uid="{DE065092-9BE4-430F-A769-434E50696082}"/>
    <cellStyle name="Normal 5 2 8 3" xfId="5606" xr:uid="{00000000-0005-0000-0000-000065190000}"/>
    <cellStyle name="Normal 5 2 8 3 2" xfId="14056" xr:uid="{F6803D36-7547-4526-B637-6D2143C99201}"/>
    <cellStyle name="Normal 5 2 8 4" xfId="9838" xr:uid="{CC6AA901-0A96-4765-A232-3DC96D85DF51}"/>
    <cellStyle name="Normal 5 2 9" xfId="1712" xr:uid="{00000000-0005-0000-0000-000066190000}"/>
    <cellStyle name="Normal 5 2 9 2" xfId="3942" xr:uid="{00000000-0005-0000-0000-000067190000}"/>
    <cellStyle name="Normal 5 2 9 2 2" xfId="8164" xr:uid="{00000000-0005-0000-0000-000068190000}"/>
    <cellStyle name="Normal 5 2 9 2 2 2" xfId="16614" xr:uid="{A2F8A041-65E3-46FF-A64D-1C2B2DE451A0}"/>
    <cellStyle name="Normal 5 2 9 2 3" xfId="12396" xr:uid="{436BFEFD-FBE2-4613-9649-FE3EE9A81AFB}"/>
    <cellStyle name="Normal 5 2 9 3" xfId="6019" xr:uid="{00000000-0005-0000-0000-000069190000}"/>
    <cellStyle name="Normal 5 2 9 3 2" xfId="14469" xr:uid="{07F5F1B4-D1B5-4E3F-B874-D78DD6488B3F}"/>
    <cellStyle name="Normal 5 2 9 4" xfId="10251" xr:uid="{355A6945-CA66-4754-80F0-A35EF45DAB2A}"/>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3076D4F4-AB69-4DD2-8008-65DC97CB4442}"/>
    <cellStyle name="Normal 5 3 10 2 3" xfId="12841" xr:uid="{07CEE752-91C5-4E8E-984E-10BDA2FE84AB}"/>
    <cellStyle name="Normal 5 3 10 3" xfId="6464" xr:uid="{00000000-0005-0000-0000-00006E190000}"/>
    <cellStyle name="Normal 5 3 10 3 2" xfId="14914" xr:uid="{6B502D1D-F6E9-4D64-9560-4A6517E7FAF4}"/>
    <cellStyle name="Normal 5 3 10 4" xfId="10696" xr:uid="{D106150D-4C91-40EA-816C-5F8D410572D7}"/>
    <cellStyle name="Normal 5 3 11" xfId="2594" xr:uid="{00000000-0005-0000-0000-00006F190000}"/>
    <cellStyle name="Normal 5 3 11 2" xfId="6877" xr:uid="{00000000-0005-0000-0000-000070190000}"/>
    <cellStyle name="Normal 5 3 11 2 2" xfId="15327" xr:uid="{ACF6F974-CC30-4A7B-B2F4-6B6DC7E98020}"/>
    <cellStyle name="Normal 5 3 11 3" xfId="11109" xr:uid="{3BCECBAC-FED7-454E-A1EE-9CFC2ECB72BF}"/>
    <cellStyle name="Normal 5 3 12" xfId="4812" xr:uid="{00000000-0005-0000-0000-000071190000}"/>
    <cellStyle name="Normal 5 3 12 2" xfId="13262" xr:uid="{AA9A7B58-18D2-4D1C-8218-1761C9A3CBAB}"/>
    <cellStyle name="Normal 5 3 13" xfId="9044" xr:uid="{F1FF27AE-249C-48A2-91A9-EE0109CCD9CD}"/>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280E325E-9AB0-4158-933D-A31049567D97}"/>
    <cellStyle name="Normal 5 3 3 11" xfId="9045" xr:uid="{38711E62-6137-49D3-8C56-2EA2DA7852C0}"/>
    <cellStyle name="Normal 5 3 3 2" xfId="442" xr:uid="{00000000-0005-0000-0000-000076190000}"/>
    <cellStyle name="Normal 5 3 3 2 10" xfId="9046" xr:uid="{1DDC4150-09D7-4052-9051-7B554A53233D}"/>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C54AD280-0090-49A0-9501-AC898F9DCDCF}"/>
    <cellStyle name="Normal 5 3 3 2 2 2 2 2 3" xfId="11606" xr:uid="{C9E4C3F8-B6DE-4050-AF82-6A73089A94B7}"/>
    <cellStyle name="Normal 5 3 3 2 2 2 2 3" xfId="5229" xr:uid="{00000000-0005-0000-0000-00007C190000}"/>
    <cellStyle name="Normal 5 3 3 2 2 2 2 3 2" xfId="13679" xr:uid="{16393AFC-063A-4B42-A1B0-05D429A42C8A}"/>
    <cellStyle name="Normal 5 3 3 2 2 2 2 4" xfId="9461" xr:uid="{6D82AE4B-9D61-4C9D-8F19-60B3F359D21E}"/>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491ADF6C-5A0C-40F0-917B-EA04B25FDB8E}"/>
    <cellStyle name="Normal 5 3 3 2 2 2 3 2 3" xfId="12019" xr:uid="{841EE665-E732-45B6-8C34-3CCF560DECB4}"/>
    <cellStyle name="Normal 5 3 3 2 2 2 3 3" xfId="5642" xr:uid="{00000000-0005-0000-0000-000080190000}"/>
    <cellStyle name="Normal 5 3 3 2 2 2 3 3 2" xfId="14092" xr:uid="{876C3672-8C85-4BB9-926F-8BA60E4D74E6}"/>
    <cellStyle name="Normal 5 3 3 2 2 2 3 4" xfId="9874" xr:uid="{9186B2DF-087A-4BB7-9C64-008AF99125AD}"/>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0E5F5B0D-BEE7-4EAF-A249-A774A7AEAE27}"/>
    <cellStyle name="Normal 5 3 3 2 2 2 4 2 3" xfId="12432" xr:uid="{C61280E8-B668-4BEE-AF18-9AB7CF0BE8D4}"/>
    <cellStyle name="Normal 5 3 3 2 2 2 4 3" xfId="6055" xr:uid="{00000000-0005-0000-0000-000084190000}"/>
    <cellStyle name="Normal 5 3 3 2 2 2 4 3 2" xfId="14505" xr:uid="{A4A15010-BDB7-4C3F-A7F2-806DEA1E44AC}"/>
    <cellStyle name="Normal 5 3 3 2 2 2 4 4" xfId="10287" xr:uid="{BDC57D04-B118-4A10-A53D-485D5560D126}"/>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23DBFC64-25DB-48FB-8A86-732F767954E6}"/>
    <cellStyle name="Normal 5 3 3 2 2 2 5 2 3" xfId="12845" xr:uid="{4E741B99-7431-4505-98ED-1CD0DD540580}"/>
    <cellStyle name="Normal 5 3 3 2 2 2 5 3" xfId="6468" xr:uid="{00000000-0005-0000-0000-000088190000}"/>
    <cellStyle name="Normal 5 3 3 2 2 2 5 3 2" xfId="14918" xr:uid="{F0DC3C84-1EC4-4502-A791-4994D0BB188B}"/>
    <cellStyle name="Normal 5 3 3 2 2 2 5 4" xfId="10700" xr:uid="{BDA30FF4-4DF9-474A-86E2-CDFD407B4F3D}"/>
    <cellStyle name="Normal 5 3 3 2 2 2 6" xfId="2598" xr:uid="{00000000-0005-0000-0000-000089190000}"/>
    <cellStyle name="Normal 5 3 3 2 2 2 6 2" xfId="6881" xr:uid="{00000000-0005-0000-0000-00008A190000}"/>
    <cellStyle name="Normal 5 3 3 2 2 2 6 2 2" xfId="15331" xr:uid="{2CC9C89B-7D5C-4F6F-9332-472E08FC141B}"/>
    <cellStyle name="Normal 5 3 3 2 2 2 6 3" xfId="11113" xr:uid="{83F769AC-B934-44FB-9927-81E6F7C16E37}"/>
    <cellStyle name="Normal 5 3 3 2 2 2 7" xfId="4816" xr:uid="{00000000-0005-0000-0000-00008B190000}"/>
    <cellStyle name="Normal 5 3 3 2 2 2 7 2" xfId="13266" xr:uid="{AD34254D-8E3F-4AE2-ADB5-DCC9FC40735A}"/>
    <cellStyle name="Normal 5 3 3 2 2 2 8" xfId="9048" xr:uid="{6D308C41-CEF1-478A-B3FC-97E43457127C}"/>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F4D6BCD8-7726-49B3-8C63-792A20194960}"/>
    <cellStyle name="Normal 5 3 3 2 2 3 2 3" xfId="11605" xr:uid="{4391E70E-8435-49D6-958D-438F5FEF750C}"/>
    <cellStyle name="Normal 5 3 3 2 2 3 3" xfId="5228" xr:uid="{00000000-0005-0000-0000-00008F190000}"/>
    <cellStyle name="Normal 5 3 3 2 2 3 3 2" xfId="13678" xr:uid="{3CD2A8B4-90BF-4219-B1B9-2457CB8DDAD9}"/>
    <cellStyle name="Normal 5 3 3 2 2 3 4" xfId="9460" xr:uid="{DA91F683-53F6-44E3-B9DF-E44973A55EB7}"/>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00BE65CD-8557-4BD5-9FEC-0106B17B81FB}"/>
    <cellStyle name="Normal 5 3 3 2 2 4 2 3" xfId="12018" xr:uid="{57049CA0-9BCD-4DC9-83AE-25AB74A688F3}"/>
    <cellStyle name="Normal 5 3 3 2 2 4 3" xfId="5641" xr:uid="{00000000-0005-0000-0000-000093190000}"/>
    <cellStyle name="Normal 5 3 3 2 2 4 3 2" xfId="14091" xr:uid="{0CD6E2C1-5D02-4A5F-9EA5-E1DA6508F181}"/>
    <cellStyle name="Normal 5 3 3 2 2 4 4" xfId="9873" xr:uid="{EBB206CF-8D05-4A95-8F55-F4D9E4B6A55D}"/>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BBB314DB-4ABA-4872-963B-0F62909215F0}"/>
    <cellStyle name="Normal 5 3 3 2 2 5 2 3" xfId="12431" xr:uid="{DD9CBFD6-6B80-47EE-8C7F-D8BD14AF9E79}"/>
    <cellStyle name="Normal 5 3 3 2 2 5 3" xfId="6054" xr:uid="{00000000-0005-0000-0000-000097190000}"/>
    <cellStyle name="Normal 5 3 3 2 2 5 3 2" xfId="14504" xr:uid="{6F15DEE3-CD48-4645-BF8F-3D23277BF245}"/>
    <cellStyle name="Normal 5 3 3 2 2 5 4" xfId="10286" xr:uid="{7F7FC342-B63A-4545-9A50-CD3A124E9C21}"/>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E4239A96-60EF-4F22-A010-F629A3773BA4}"/>
    <cellStyle name="Normal 5 3 3 2 2 6 2 3" xfId="12844" xr:uid="{0E2C66A9-35DC-445C-A625-2836A69DD497}"/>
    <cellStyle name="Normal 5 3 3 2 2 6 3" xfId="6467" xr:uid="{00000000-0005-0000-0000-00009B190000}"/>
    <cellStyle name="Normal 5 3 3 2 2 6 3 2" xfId="14917" xr:uid="{4BD28D91-A785-4685-80F7-7E6A55585FAD}"/>
    <cellStyle name="Normal 5 3 3 2 2 6 4" xfId="10699" xr:uid="{6B92EAB3-8509-404A-9C80-BF5C7AD36DB2}"/>
    <cellStyle name="Normal 5 3 3 2 2 7" xfId="2597" xr:uid="{00000000-0005-0000-0000-00009C190000}"/>
    <cellStyle name="Normal 5 3 3 2 2 7 2" xfId="6880" xr:uid="{00000000-0005-0000-0000-00009D190000}"/>
    <cellStyle name="Normal 5 3 3 2 2 7 2 2" xfId="15330" xr:uid="{CF9469E5-9181-4A88-9A0B-1FD7F4B40A52}"/>
    <cellStyle name="Normal 5 3 3 2 2 7 3" xfId="11112" xr:uid="{DB8EE835-E05C-4CFE-9F07-B09E921353C1}"/>
    <cellStyle name="Normal 5 3 3 2 2 8" xfId="4815" xr:uid="{00000000-0005-0000-0000-00009E190000}"/>
    <cellStyle name="Normal 5 3 3 2 2 8 2" xfId="13265" xr:uid="{A2C7028B-8C9E-4142-918D-1ED01B244C08}"/>
    <cellStyle name="Normal 5 3 3 2 2 9" xfId="9047" xr:uid="{2FCB9653-C8CF-4B56-8A6F-CF1B7EDC10F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4145A917-10B3-47DD-94A9-83345EF6F72E}"/>
    <cellStyle name="Normal 5 3 3 2 3 2 2 3" xfId="11607" xr:uid="{3F7B9311-23D0-4357-BEB0-EE8A4D0E7EF5}"/>
    <cellStyle name="Normal 5 3 3 2 3 2 3" xfId="5230" xr:uid="{00000000-0005-0000-0000-0000A3190000}"/>
    <cellStyle name="Normal 5 3 3 2 3 2 3 2" xfId="13680" xr:uid="{0D9121E4-187F-48CD-A78C-C0C4FCD3DBB8}"/>
    <cellStyle name="Normal 5 3 3 2 3 2 4" xfId="9462" xr:uid="{09E64E3E-B32B-4C8B-A211-8D6459E80FB4}"/>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5F03D573-20BA-4897-A426-D4F36EC764DF}"/>
    <cellStyle name="Normal 5 3 3 2 3 3 2 3" xfId="12020" xr:uid="{9E970288-295D-4AED-AE13-F5E1C6AA74A9}"/>
    <cellStyle name="Normal 5 3 3 2 3 3 3" xfId="5643" xr:uid="{00000000-0005-0000-0000-0000A7190000}"/>
    <cellStyle name="Normal 5 3 3 2 3 3 3 2" xfId="14093" xr:uid="{881D53E5-6329-4BAE-A5DC-BF9F8155EED9}"/>
    <cellStyle name="Normal 5 3 3 2 3 3 4" xfId="9875" xr:uid="{C90511C5-DBA3-40BA-A82C-235785F3A2C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47F2EB30-9364-44BA-9F0F-BE7BE12848F8}"/>
    <cellStyle name="Normal 5 3 3 2 3 4 2 3" xfId="12433" xr:uid="{EE2DC293-2352-4AD1-A26E-E0B76C704A6B}"/>
    <cellStyle name="Normal 5 3 3 2 3 4 3" xfId="6056" xr:uid="{00000000-0005-0000-0000-0000AB190000}"/>
    <cellStyle name="Normal 5 3 3 2 3 4 3 2" xfId="14506" xr:uid="{1130D0EB-8649-4B5D-A1AD-253011278183}"/>
    <cellStyle name="Normal 5 3 3 2 3 4 4" xfId="10288" xr:uid="{F44AAA11-0B13-4EC0-8DE6-16A7C0B432D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83DA6783-F85F-4140-BAE3-5311CCE26640}"/>
    <cellStyle name="Normal 5 3 3 2 3 5 2 3" xfId="12846" xr:uid="{AE2E532A-C795-48DD-A14E-B6733D58E330}"/>
    <cellStyle name="Normal 5 3 3 2 3 5 3" xfId="6469" xr:uid="{00000000-0005-0000-0000-0000AF190000}"/>
    <cellStyle name="Normal 5 3 3 2 3 5 3 2" xfId="14919" xr:uid="{CC0BEE5C-2FFD-4971-B647-37927D43C464}"/>
    <cellStyle name="Normal 5 3 3 2 3 5 4" xfId="10701" xr:uid="{8070DFD2-7EEF-46F0-897F-4E08244A4794}"/>
    <cellStyle name="Normal 5 3 3 2 3 6" xfId="2599" xr:uid="{00000000-0005-0000-0000-0000B0190000}"/>
    <cellStyle name="Normal 5 3 3 2 3 6 2" xfId="6882" xr:uid="{00000000-0005-0000-0000-0000B1190000}"/>
    <cellStyle name="Normal 5 3 3 2 3 6 2 2" xfId="15332" xr:uid="{AEEC7A3F-33A7-4F67-A507-2D28188A01E1}"/>
    <cellStyle name="Normal 5 3 3 2 3 6 3" xfId="11114" xr:uid="{A239AF1F-1503-40DF-B142-EB4461ACE1B1}"/>
    <cellStyle name="Normal 5 3 3 2 3 7" xfId="4817" xr:uid="{00000000-0005-0000-0000-0000B2190000}"/>
    <cellStyle name="Normal 5 3 3 2 3 7 2" xfId="13267" xr:uid="{EEB35683-E110-484C-890F-57B6E223AAAA}"/>
    <cellStyle name="Normal 5 3 3 2 3 8" xfId="9049" xr:uid="{CA723567-48C6-4356-B6EA-9998DABD9B86}"/>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678511BD-D0DA-4597-9044-BB205B63A4E7}"/>
    <cellStyle name="Normal 5 3 3 2 4 2 3" xfId="11604" xr:uid="{AB328DE3-E3B1-4A03-8982-9714626F011E}"/>
    <cellStyle name="Normal 5 3 3 2 4 3" xfId="5227" xr:uid="{00000000-0005-0000-0000-0000B6190000}"/>
    <cellStyle name="Normal 5 3 3 2 4 3 2" xfId="13677" xr:uid="{BB79F960-5F7B-4256-92DA-948BC38D8B5E}"/>
    <cellStyle name="Normal 5 3 3 2 4 4" xfId="9459" xr:uid="{EF879163-4635-4B3D-95CF-2C4805169C2E}"/>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A545D33F-C40A-4DB6-9BD5-03F322B438AD}"/>
    <cellStyle name="Normal 5 3 3 2 5 2 3" xfId="12017" xr:uid="{31694213-E536-45B1-B6F7-F685F85E6656}"/>
    <cellStyle name="Normal 5 3 3 2 5 3" xfId="5640" xr:uid="{00000000-0005-0000-0000-0000BA190000}"/>
    <cellStyle name="Normal 5 3 3 2 5 3 2" xfId="14090" xr:uid="{E551839D-0A49-4FFE-B280-D6A68B4EF85E}"/>
    <cellStyle name="Normal 5 3 3 2 5 4" xfId="9872" xr:uid="{E4F27C61-3616-4C12-995C-88B0A4610098}"/>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651E3E6D-1504-4C36-BFCE-9E09E55E5423}"/>
    <cellStyle name="Normal 5 3 3 2 6 2 3" xfId="12430" xr:uid="{56F64709-3385-4B96-9642-EF5972A8F148}"/>
    <cellStyle name="Normal 5 3 3 2 6 3" xfId="6053" xr:uid="{00000000-0005-0000-0000-0000BE190000}"/>
    <cellStyle name="Normal 5 3 3 2 6 3 2" xfId="14503" xr:uid="{F1A4B221-0066-4507-8359-093F8B78B83F}"/>
    <cellStyle name="Normal 5 3 3 2 6 4" xfId="10285" xr:uid="{246450EC-5A66-4CD7-9A5D-F3B740CFE445}"/>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9FAAA90E-F26D-45CF-BC64-376BCD3EBFC6}"/>
    <cellStyle name="Normal 5 3 3 2 7 2 3" xfId="12843" xr:uid="{75D7BBDD-23CD-42C5-A012-BAC648D1F408}"/>
    <cellStyle name="Normal 5 3 3 2 7 3" xfId="6466" xr:uid="{00000000-0005-0000-0000-0000C2190000}"/>
    <cellStyle name="Normal 5 3 3 2 7 3 2" xfId="14916" xr:uid="{FE12C6F7-8E95-4EAA-8C66-938EB760DE26}"/>
    <cellStyle name="Normal 5 3 3 2 7 4" xfId="10698" xr:uid="{34921415-8B74-4344-B66F-B1DEF1E9BFAC}"/>
    <cellStyle name="Normal 5 3 3 2 8" xfId="2596" xr:uid="{00000000-0005-0000-0000-0000C3190000}"/>
    <cellStyle name="Normal 5 3 3 2 8 2" xfId="6879" xr:uid="{00000000-0005-0000-0000-0000C4190000}"/>
    <cellStyle name="Normal 5 3 3 2 8 2 2" xfId="15329" xr:uid="{6748133B-2502-42EF-BF4E-8CB69478180F}"/>
    <cellStyle name="Normal 5 3 3 2 8 3" xfId="11111" xr:uid="{0490C919-6BD7-459F-BEF5-BA2963F9AE6B}"/>
    <cellStyle name="Normal 5 3 3 2 9" xfId="4814" xr:uid="{00000000-0005-0000-0000-0000C5190000}"/>
    <cellStyle name="Normal 5 3 3 2 9 2" xfId="13264" xr:uid="{830C6C97-8778-42F1-A26D-CADD01CD1A0A}"/>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2CB6EA83-B3C8-4A83-8668-F9CA814E64DE}"/>
    <cellStyle name="Normal 5 3 3 3 2 2 2 3" xfId="11609" xr:uid="{CF1D37DF-D090-4118-8ED6-749065DD7943}"/>
    <cellStyle name="Normal 5 3 3 3 2 2 3" xfId="5232" xr:uid="{00000000-0005-0000-0000-0000CB190000}"/>
    <cellStyle name="Normal 5 3 3 3 2 2 3 2" xfId="13682" xr:uid="{E90D0245-3628-470C-89CD-75EA2ABCAC14}"/>
    <cellStyle name="Normal 5 3 3 3 2 2 4" xfId="9464" xr:uid="{2BF1C239-5797-4018-9A48-08AC36B83F8F}"/>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08724AC4-5DF5-41DB-9EA5-B26224B8A916}"/>
    <cellStyle name="Normal 5 3 3 3 2 3 2 3" xfId="12022" xr:uid="{49E8FEBF-35C9-477F-8E51-73D76EC8DACE}"/>
    <cellStyle name="Normal 5 3 3 3 2 3 3" xfId="5645" xr:uid="{00000000-0005-0000-0000-0000CF190000}"/>
    <cellStyle name="Normal 5 3 3 3 2 3 3 2" xfId="14095" xr:uid="{03789398-8AB7-47B1-A2A8-4127D15441FE}"/>
    <cellStyle name="Normal 5 3 3 3 2 3 4" xfId="9877" xr:uid="{50DF0CDF-29BB-4941-95B5-61619BF9F7EE}"/>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5B6BDA58-2DF4-43AF-BAF8-81BE644F22E2}"/>
    <cellStyle name="Normal 5 3 3 3 2 4 2 3" xfId="12435" xr:uid="{FBA3F9AE-B0FC-44E5-881D-A181C0978380}"/>
    <cellStyle name="Normal 5 3 3 3 2 4 3" xfId="6058" xr:uid="{00000000-0005-0000-0000-0000D3190000}"/>
    <cellStyle name="Normal 5 3 3 3 2 4 3 2" xfId="14508" xr:uid="{C3CD2434-A643-4772-B445-CC6CA5DF351B}"/>
    <cellStyle name="Normal 5 3 3 3 2 4 4" xfId="10290" xr:uid="{8AD418E5-B1E3-4D91-BCAD-02EA0BEF30CF}"/>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6C07B907-4304-4026-871A-87F4D24624F1}"/>
    <cellStyle name="Normal 5 3 3 3 2 5 2 3" xfId="12848" xr:uid="{8DAF17AF-1761-44D3-8CFF-9EAF83CA0889}"/>
    <cellStyle name="Normal 5 3 3 3 2 5 3" xfId="6471" xr:uid="{00000000-0005-0000-0000-0000D7190000}"/>
    <cellStyle name="Normal 5 3 3 3 2 5 3 2" xfId="14921" xr:uid="{B8E7D7E7-E294-4A66-9716-DA9F99D6526B}"/>
    <cellStyle name="Normal 5 3 3 3 2 5 4" xfId="10703" xr:uid="{C7F9B134-D476-41E2-88CD-D1765184A890}"/>
    <cellStyle name="Normal 5 3 3 3 2 6" xfId="2601" xr:uid="{00000000-0005-0000-0000-0000D8190000}"/>
    <cellStyle name="Normal 5 3 3 3 2 6 2" xfId="6884" xr:uid="{00000000-0005-0000-0000-0000D9190000}"/>
    <cellStyle name="Normal 5 3 3 3 2 6 2 2" xfId="15334" xr:uid="{DE9A7E4F-D9C5-4159-AC44-4F034D97FE3B}"/>
    <cellStyle name="Normal 5 3 3 3 2 6 3" xfId="11116" xr:uid="{CA6177E8-458F-4607-BCA2-51D10E2BC97A}"/>
    <cellStyle name="Normal 5 3 3 3 2 7" xfId="4819" xr:uid="{00000000-0005-0000-0000-0000DA190000}"/>
    <cellStyle name="Normal 5 3 3 3 2 7 2" xfId="13269" xr:uid="{C5D85771-8497-4DD2-B424-BBBFEFB90306}"/>
    <cellStyle name="Normal 5 3 3 3 2 8" xfId="9051" xr:uid="{97076E28-8AC8-442A-A905-C2E7EDAE8557}"/>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1793C9E3-501D-4FC1-B16D-23B7D26607EA}"/>
    <cellStyle name="Normal 5 3 3 3 3 2 3" xfId="11608" xr:uid="{6BE487E3-598B-4B17-9878-B5BADD8AA820}"/>
    <cellStyle name="Normal 5 3 3 3 3 3" xfId="5231" xr:uid="{00000000-0005-0000-0000-0000DE190000}"/>
    <cellStyle name="Normal 5 3 3 3 3 3 2" xfId="13681" xr:uid="{2EAB1E78-C2E8-47F6-A55C-E23202DC9B32}"/>
    <cellStyle name="Normal 5 3 3 3 3 4" xfId="9463" xr:uid="{34A7A16F-E793-417C-9B3A-D775D94F515B}"/>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C823E37D-E3EB-46C4-B08C-6EBEDE388383}"/>
    <cellStyle name="Normal 5 3 3 3 4 2 3" xfId="12021" xr:uid="{A120DA49-EAB0-4111-876A-3E28750D83B2}"/>
    <cellStyle name="Normal 5 3 3 3 4 3" xfId="5644" xr:uid="{00000000-0005-0000-0000-0000E2190000}"/>
    <cellStyle name="Normal 5 3 3 3 4 3 2" xfId="14094" xr:uid="{13A25E64-FC59-48B0-BEFD-5508F27D5174}"/>
    <cellStyle name="Normal 5 3 3 3 4 4" xfId="9876" xr:uid="{AC7B697D-DF54-47B0-8811-32E1C94C9247}"/>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35D6214D-2226-42DC-8A52-7978D042D9A1}"/>
    <cellStyle name="Normal 5 3 3 3 5 2 3" xfId="12434" xr:uid="{06A1EAF9-8916-456E-B5C5-0C207A226CFC}"/>
    <cellStyle name="Normal 5 3 3 3 5 3" xfId="6057" xr:uid="{00000000-0005-0000-0000-0000E6190000}"/>
    <cellStyle name="Normal 5 3 3 3 5 3 2" xfId="14507" xr:uid="{6BE30F9C-65EF-46D1-B8E5-76586B4A8D75}"/>
    <cellStyle name="Normal 5 3 3 3 5 4" xfId="10289" xr:uid="{21396C08-1CA9-432C-B9A8-B916588F54DE}"/>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9B9DAA46-AA62-4EE7-B143-AD04BD0CA407}"/>
    <cellStyle name="Normal 5 3 3 3 6 2 3" xfId="12847" xr:uid="{0DDF3911-01D3-4013-AEFD-1DB4C18ABB39}"/>
    <cellStyle name="Normal 5 3 3 3 6 3" xfId="6470" xr:uid="{00000000-0005-0000-0000-0000EA190000}"/>
    <cellStyle name="Normal 5 3 3 3 6 3 2" xfId="14920" xr:uid="{BBADA1DC-2E29-46E3-8D0B-92BAEAA4317F}"/>
    <cellStyle name="Normal 5 3 3 3 6 4" xfId="10702" xr:uid="{4DAB3FF4-A9F6-4D87-87A1-C5E554ED3D0B}"/>
    <cellStyle name="Normal 5 3 3 3 7" xfId="2600" xr:uid="{00000000-0005-0000-0000-0000EB190000}"/>
    <cellStyle name="Normal 5 3 3 3 7 2" xfId="6883" xr:uid="{00000000-0005-0000-0000-0000EC190000}"/>
    <cellStyle name="Normal 5 3 3 3 7 2 2" xfId="15333" xr:uid="{5514B0B5-5A48-4317-AB84-145236E5FA10}"/>
    <cellStyle name="Normal 5 3 3 3 7 3" xfId="11115" xr:uid="{D0EB007D-12A9-497D-810E-642BCE1FDEA5}"/>
    <cellStyle name="Normal 5 3 3 3 8" xfId="4818" xr:uid="{00000000-0005-0000-0000-0000ED190000}"/>
    <cellStyle name="Normal 5 3 3 3 8 2" xfId="13268" xr:uid="{1111DA30-AC78-44C8-9D89-CE9DC5871FC4}"/>
    <cellStyle name="Normal 5 3 3 3 9" xfId="9050" xr:uid="{EDF6DABE-C45A-450A-8A95-D5F91A6866DA}"/>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AE5C744F-7FF5-445F-8BC1-09364C872B4B}"/>
    <cellStyle name="Normal 5 3 3 4 2 2 3" xfId="11610" xr:uid="{633D078F-576B-44E8-935C-7F303903096B}"/>
    <cellStyle name="Normal 5 3 3 4 2 3" xfId="5233" xr:uid="{00000000-0005-0000-0000-0000F2190000}"/>
    <cellStyle name="Normal 5 3 3 4 2 3 2" xfId="13683" xr:uid="{8D0EE8FE-7CF5-4144-8DF2-FFCD9901CCDF}"/>
    <cellStyle name="Normal 5 3 3 4 2 4" xfId="9465" xr:uid="{F914FDA2-F556-4637-84E1-29D5DDEC269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411E0A74-C8DC-4236-9A5E-F3FA4AAEA40F}"/>
    <cellStyle name="Normal 5 3 3 4 3 2 3" xfId="12023" xr:uid="{341D57DB-6FA9-4FFE-9045-8D605DF2D19B}"/>
    <cellStyle name="Normal 5 3 3 4 3 3" xfId="5646" xr:uid="{00000000-0005-0000-0000-0000F6190000}"/>
    <cellStyle name="Normal 5 3 3 4 3 3 2" xfId="14096" xr:uid="{DADF5461-57E1-4889-AE90-C91B163FD399}"/>
    <cellStyle name="Normal 5 3 3 4 3 4" xfId="9878" xr:uid="{85F1F0EF-DC9C-466B-ADD4-4D0C0EA017D2}"/>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AB20E715-AF5A-45A4-BD01-A3210A5C03FA}"/>
    <cellStyle name="Normal 5 3 3 4 4 2 3" xfId="12436" xr:uid="{C020D9F9-03B7-4B7B-B193-11D7C774C9C8}"/>
    <cellStyle name="Normal 5 3 3 4 4 3" xfId="6059" xr:uid="{00000000-0005-0000-0000-0000FA190000}"/>
    <cellStyle name="Normal 5 3 3 4 4 3 2" xfId="14509" xr:uid="{7C0F2772-5ACD-4928-A948-5BBDEB2DB527}"/>
    <cellStyle name="Normal 5 3 3 4 4 4" xfId="10291" xr:uid="{E70A3C64-CF0D-44D5-96C9-CB4FA473FFFF}"/>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375174FF-656C-4011-BF90-E7DF40260E47}"/>
    <cellStyle name="Normal 5 3 3 4 5 2 3" xfId="12849" xr:uid="{BB0411FF-B59B-4410-9582-ED3BDDB00D1E}"/>
    <cellStyle name="Normal 5 3 3 4 5 3" xfId="6472" xr:uid="{00000000-0005-0000-0000-0000FE190000}"/>
    <cellStyle name="Normal 5 3 3 4 5 3 2" xfId="14922" xr:uid="{87C80E7E-CF6A-47E4-8460-9E1C0FAFF3F3}"/>
    <cellStyle name="Normal 5 3 3 4 5 4" xfId="10704" xr:uid="{623FCEC5-4DEB-48AE-A245-332E66917C32}"/>
    <cellStyle name="Normal 5 3 3 4 6" xfId="2602" xr:uid="{00000000-0005-0000-0000-0000FF190000}"/>
    <cellStyle name="Normal 5 3 3 4 6 2" xfId="6885" xr:uid="{00000000-0005-0000-0000-0000001A0000}"/>
    <cellStyle name="Normal 5 3 3 4 6 2 2" xfId="15335" xr:uid="{18AF1A65-60B0-49F8-9914-FE56EE9F743C}"/>
    <cellStyle name="Normal 5 3 3 4 6 3" xfId="11117" xr:uid="{60A9CB87-0444-4749-9A92-ED435CDCE9BC}"/>
    <cellStyle name="Normal 5 3 3 4 7" xfId="4820" xr:uid="{00000000-0005-0000-0000-0000011A0000}"/>
    <cellStyle name="Normal 5 3 3 4 7 2" xfId="13270" xr:uid="{957E61DA-AAD3-489C-B377-C437361EC2E9}"/>
    <cellStyle name="Normal 5 3 3 4 8" xfId="9052" xr:uid="{E5A3C695-0B45-448F-9E8F-1970A82EBBB9}"/>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C3515D94-C750-415B-B27C-DF5D7F03033F}"/>
    <cellStyle name="Normal 5 3 3 5 2 3" xfId="11603" xr:uid="{AFDECB94-A384-4219-B991-80537E6F71AB}"/>
    <cellStyle name="Normal 5 3 3 5 3" xfId="5226" xr:uid="{00000000-0005-0000-0000-0000051A0000}"/>
    <cellStyle name="Normal 5 3 3 5 3 2" xfId="13676" xr:uid="{5BB0BE9F-4234-4CCD-BD9B-E05DABD72863}"/>
    <cellStyle name="Normal 5 3 3 5 4" xfId="9458" xr:uid="{88D54204-3E04-43DA-A5E6-D0A879044947}"/>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AED77FCB-E86F-47CA-9342-2055DCC18365}"/>
    <cellStyle name="Normal 5 3 3 6 2 3" xfId="12016" xr:uid="{A5AAF5DA-633F-40D0-9E41-E35F3BF09917}"/>
    <cellStyle name="Normal 5 3 3 6 3" xfId="5639" xr:uid="{00000000-0005-0000-0000-0000091A0000}"/>
    <cellStyle name="Normal 5 3 3 6 3 2" xfId="14089" xr:uid="{23E372C7-9268-4268-AFB7-F5BB48AA8019}"/>
    <cellStyle name="Normal 5 3 3 6 4" xfId="9871" xr:uid="{8FD9769C-A574-4F99-A964-8477A280F410}"/>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A7B0BFE4-6CB6-40B4-B6A3-C3625250E659}"/>
    <cellStyle name="Normal 5 3 3 7 2 3" xfId="12429" xr:uid="{9392726B-5767-4170-BBDE-54E701565918}"/>
    <cellStyle name="Normal 5 3 3 7 3" xfId="6052" xr:uid="{00000000-0005-0000-0000-00000D1A0000}"/>
    <cellStyle name="Normal 5 3 3 7 3 2" xfId="14502" xr:uid="{47A6D0A3-FA78-4C49-8249-D44A1C482EDC}"/>
    <cellStyle name="Normal 5 3 3 7 4" xfId="10284" xr:uid="{9CD806D7-57DF-42E7-9EF1-7D3C590F67B1}"/>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3D617E32-FBAC-4C47-A865-B327C8FDD8BE}"/>
    <cellStyle name="Normal 5 3 3 8 2 3" xfId="12842" xr:uid="{43787712-4A17-47BE-AB34-61C30EB3FC89}"/>
    <cellStyle name="Normal 5 3 3 8 3" xfId="6465" xr:uid="{00000000-0005-0000-0000-0000111A0000}"/>
    <cellStyle name="Normal 5 3 3 8 3 2" xfId="14915" xr:uid="{B99BB713-B045-4CAD-AD1D-DB3BC6950F93}"/>
    <cellStyle name="Normal 5 3 3 8 4" xfId="10697" xr:uid="{7C7C9272-B98E-4E5D-9272-0FB7A4FB128F}"/>
    <cellStyle name="Normal 5 3 3 9" xfId="2595" xr:uid="{00000000-0005-0000-0000-0000121A0000}"/>
    <cellStyle name="Normal 5 3 3 9 2" xfId="6878" xr:uid="{00000000-0005-0000-0000-0000131A0000}"/>
    <cellStyle name="Normal 5 3 3 9 2 2" xfId="15328" xr:uid="{48ED7F79-00D7-485D-AE2A-4D4128909A8E}"/>
    <cellStyle name="Normal 5 3 3 9 3" xfId="11110" xr:uid="{D8C0635F-26A4-4F8D-9955-561495977899}"/>
    <cellStyle name="Normal 5 3 4" xfId="449" xr:uid="{00000000-0005-0000-0000-0000141A0000}"/>
    <cellStyle name="Normal 5 3 4 10" xfId="9053" xr:uid="{8387A407-C26C-4547-87B4-35AE12EB9FED}"/>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61E76B6A-2B56-48FE-AAB5-24843D60730C}"/>
    <cellStyle name="Normal 5 3 4 2 2 2 2 3" xfId="11613" xr:uid="{EDD5EB78-90FC-4C8E-A85A-EF2BE2E96A30}"/>
    <cellStyle name="Normal 5 3 4 2 2 2 3" xfId="5236" xr:uid="{00000000-0005-0000-0000-00001A1A0000}"/>
    <cellStyle name="Normal 5 3 4 2 2 2 3 2" xfId="13686" xr:uid="{F69D87D5-D737-4F96-8964-2576DEA88C6E}"/>
    <cellStyle name="Normal 5 3 4 2 2 2 4" xfId="9468" xr:uid="{14943319-3FFC-463A-9853-E4C1D0BFC67D}"/>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3B2D0403-D8BF-4723-9845-2F79D0B445F1}"/>
    <cellStyle name="Normal 5 3 4 2 2 3 2 3" xfId="12026" xr:uid="{DFC72055-C842-434E-AD0D-5F3E1721F644}"/>
    <cellStyle name="Normal 5 3 4 2 2 3 3" xfId="5649" xr:uid="{00000000-0005-0000-0000-00001E1A0000}"/>
    <cellStyle name="Normal 5 3 4 2 2 3 3 2" xfId="14099" xr:uid="{C5A363E6-CD89-4E92-9FAF-3F1C386F60E1}"/>
    <cellStyle name="Normal 5 3 4 2 2 3 4" xfId="9881" xr:uid="{AB9A63A5-D857-433B-9BDC-3CF025F3F69C}"/>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C4B7AA44-1256-47E0-A5E8-4669E9FCBBC6}"/>
    <cellStyle name="Normal 5 3 4 2 2 4 2 3" xfId="12439" xr:uid="{E38015E8-C777-4EA5-8DE9-5EA84CB4CDDD}"/>
    <cellStyle name="Normal 5 3 4 2 2 4 3" xfId="6062" xr:uid="{00000000-0005-0000-0000-0000221A0000}"/>
    <cellStyle name="Normal 5 3 4 2 2 4 3 2" xfId="14512" xr:uid="{F88B8784-CAFB-4F3B-8D3C-33AAE75FC1A3}"/>
    <cellStyle name="Normal 5 3 4 2 2 4 4" xfId="10294" xr:uid="{29C2D221-76E4-4A69-8F3B-5B46EC2B4C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41D9E72A-1254-44D0-8E5F-A59CAD290ED0}"/>
    <cellStyle name="Normal 5 3 4 2 2 5 2 3" xfId="12852" xr:uid="{6F8312E6-AB2E-4507-8765-07CB4E8A38B3}"/>
    <cellStyle name="Normal 5 3 4 2 2 5 3" xfId="6475" xr:uid="{00000000-0005-0000-0000-0000261A0000}"/>
    <cellStyle name="Normal 5 3 4 2 2 5 3 2" xfId="14925" xr:uid="{8F5D9E7A-C268-4ED4-AF9F-C73A57FC4742}"/>
    <cellStyle name="Normal 5 3 4 2 2 5 4" xfId="10707" xr:uid="{37365436-8376-47DA-9463-70BDCDA5AE93}"/>
    <cellStyle name="Normal 5 3 4 2 2 6" xfId="2605" xr:uid="{00000000-0005-0000-0000-0000271A0000}"/>
    <cellStyle name="Normal 5 3 4 2 2 6 2" xfId="6888" xr:uid="{00000000-0005-0000-0000-0000281A0000}"/>
    <cellStyle name="Normal 5 3 4 2 2 6 2 2" xfId="15338" xr:uid="{4E587696-6185-476A-BE4A-88A1022EC64F}"/>
    <cellStyle name="Normal 5 3 4 2 2 6 3" xfId="11120" xr:uid="{50657D5E-FD0B-4228-8A60-7A59CFE8CE89}"/>
    <cellStyle name="Normal 5 3 4 2 2 7" xfId="4823" xr:uid="{00000000-0005-0000-0000-0000291A0000}"/>
    <cellStyle name="Normal 5 3 4 2 2 7 2" xfId="13273" xr:uid="{2F8406FA-9214-490A-8ACB-856EC6E28C69}"/>
    <cellStyle name="Normal 5 3 4 2 2 8" xfId="9055" xr:uid="{E714588C-2A77-4940-B11D-2DB1EE568445}"/>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926B72FB-E828-4F08-BA5B-9A9392AFB053}"/>
    <cellStyle name="Normal 5 3 4 2 3 2 3" xfId="11612" xr:uid="{B51A39AA-C0D9-41A4-B7A8-E21C6D9183CF}"/>
    <cellStyle name="Normal 5 3 4 2 3 3" xfId="5235" xr:uid="{00000000-0005-0000-0000-00002D1A0000}"/>
    <cellStyle name="Normal 5 3 4 2 3 3 2" xfId="13685" xr:uid="{EF66F9C1-4FE8-4632-AD70-00F3825B28F0}"/>
    <cellStyle name="Normal 5 3 4 2 3 4" xfId="9467" xr:uid="{AAFDE17A-A800-47BD-8A34-F95B96636F39}"/>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0CF8164-75D1-4EF6-A0E8-44A2576CE660}"/>
    <cellStyle name="Normal 5 3 4 2 4 2 3" xfId="12025" xr:uid="{111B8E35-B985-4E18-93B9-BAE7FC3D9F0A}"/>
    <cellStyle name="Normal 5 3 4 2 4 3" xfId="5648" xr:uid="{00000000-0005-0000-0000-0000311A0000}"/>
    <cellStyle name="Normal 5 3 4 2 4 3 2" xfId="14098" xr:uid="{FA13B210-71EE-4865-951B-C562B2F7B359}"/>
    <cellStyle name="Normal 5 3 4 2 4 4" xfId="9880" xr:uid="{6CB32B34-A8B8-48B5-9C79-E44E27BBAC9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E1112DED-5AD9-43A0-B957-350D9A1F3EC1}"/>
    <cellStyle name="Normal 5 3 4 2 5 2 3" xfId="12438" xr:uid="{A885752D-47D7-446C-9535-3FB76261697F}"/>
    <cellStyle name="Normal 5 3 4 2 5 3" xfId="6061" xr:uid="{00000000-0005-0000-0000-0000351A0000}"/>
    <cellStyle name="Normal 5 3 4 2 5 3 2" xfId="14511" xr:uid="{695F37B1-7297-4C82-9FE6-64042FA25ED9}"/>
    <cellStyle name="Normal 5 3 4 2 5 4" xfId="10293" xr:uid="{21CCB39A-EF63-4B03-A677-C8347F346DB1}"/>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B9CA5585-4F81-4707-AD12-4CBBDF83BBF8}"/>
    <cellStyle name="Normal 5 3 4 2 6 2 3" xfId="12851" xr:uid="{949658C6-AB41-474C-9649-3C31A83E07AC}"/>
    <cellStyle name="Normal 5 3 4 2 6 3" xfId="6474" xr:uid="{00000000-0005-0000-0000-0000391A0000}"/>
    <cellStyle name="Normal 5 3 4 2 6 3 2" xfId="14924" xr:uid="{D871D0DF-EFED-4FE5-B49A-10F2E513BA88}"/>
    <cellStyle name="Normal 5 3 4 2 6 4" xfId="10706" xr:uid="{6FDB3EBE-AD72-4B5D-98AB-7A46077026BF}"/>
    <cellStyle name="Normal 5 3 4 2 7" xfId="2604" xr:uid="{00000000-0005-0000-0000-00003A1A0000}"/>
    <cellStyle name="Normal 5 3 4 2 7 2" xfId="6887" xr:uid="{00000000-0005-0000-0000-00003B1A0000}"/>
    <cellStyle name="Normal 5 3 4 2 7 2 2" xfId="15337" xr:uid="{5B14A26A-80DD-49FA-8FC5-6D7439C79BE4}"/>
    <cellStyle name="Normal 5 3 4 2 7 3" xfId="11119" xr:uid="{76F002BC-F24C-4CB2-8FF0-994828EE52CB}"/>
    <cellStyle name="Normal 5 3 4 2 8" xfId="4822" xr:uid="{00000000-0005-0000-0000-00003C1A0000}"/>
    <cellStyle name="Normal 5 3 4 2 8 2" xfId="13272" xr:uid="{41B85851-00D6-4C3A-A2EF-566294AC7F3D}"/>
    <cellStyle name="Normal 5 3 4 2 9" xfId="9054" xr:uid="{E13809CE-DB45-4FF4-BB28-1CC17C224DD9}"/>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ECC6356B-0EC9-4DFE-A337-F29D2FC00832}"/>
    <cellStyle name="Normal 5 3 4 3 2 2 3" xfId="11614" xr:uid="{668BB601-FA46-423C-9767-3FCEB9F4AACF}"/>
    <cellStyle name="Normal 5 3 4 3 2 3" xfId="5237" xr:uid="{00000000-0005-0000-0000-0000411A0000}"/>
    <cellStyle name="Normal 5 3 4 3 2 3 2" xfId="13687" xr:uid="{53C323A7-264B-48B4-BA3B-F25D6C6B6465}"/>
    <cellStyle name="Normal 5 3 4 3 2 4" xfId="9469" xr:uid="{3ACAB519-79CC-4321-AA90-4D22E148DB23}"/>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02333C12-A31D-42F8-BE4C-FF48D4047C5D}"/>
    <cellStyle name="Normal 5 3 4 3 3 2 3" xfId="12027" xr:uid="{F9613E32-0D85-4316-935E-8BCD774F449B}"/>
    <cellStyle name="Normal 5 3 4 3 3 3" xfId="5650" xr:uid="{00000000-0005-0000-0000-0000451A0000}"/>
    <cellStyle name="Normal 5 3 4 3 3 3 2" xfId="14100" xr:uid="{7A838E6D-F9C0-49FC-B3EC-490818C3ABA9}"/>
    <cellStyle name="Normal 5 3 4 3 3 4" xfId="9882" xr:uid="{8855D8A5-5C49-40AA-8133-FCE82CAC23FC}"/>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A8065E8B-D62E-45B9-AE80-DBB90DCEBCDB}"/>
    <cellStyle name="Normal 5 3 4 3 4 2 3" xfId="12440" xr:uid="{77D739E3-E099-4514-8007-94E0B87C4572}"/>
    <cellStyle name="Normal 5 3 4 3 4 3" xfId="6063" xr:uid="{00000000-0005-0000-0000-0000491A0000}"/>
    <cellStyle name="Normal 5 3 4 3 4 3 2" xfId="14513" xr:uid="{38D12FCF-1AC6-45AF-A801-85279F9C3ED3}"/>
    <cellStyle name="Normal 5 3 4 3 4 4" xfId="10295" xr:uid="{1A70CA7E-7587-4056-97F0-4EFD6745A369}"/>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91BF06C9-03DB-486C-96E1-3D3B28A83323}"/>
    <cellStyle name="Normal 5 3 4 3 5 2 3" xfId="12853" xr:uid="{D28024B8-A07F-4EC0-94BA-40616CBECC4A}"/>
    <cellStyle name="Normal 5 3 4 3 5 3" xfId="6476" xr:uid="{00000000-0005-0000-0000-00004D1A0000}"/>
    <cellStyle name="Normal 5 3 4 3 5 3 2" xfId="14926" xr:uid="{8E031CA6-411A-4781-8E9C-04A0A6524A62}"/>
    <cellStyle name="Normal 5 3 4 3 5 4" xfId="10708" xr:uid="{E2270525-BA4E-48DD-BB55-D88260887E23}"/>
    <cellStyle name="Normal 5 3 4 3 6" xfId="2606" xr:uid="{00000000-0005-0000-0000-00004E1A0000}"/>
    <cellStyle name="Normal 5 3 4 3 6 2" xfId="6889" xr:uid="{00000000-0005-0000-0000-00004F1A0000}"/>
    <cellStyle name="Normal 5 3 4 3 6 2 2" xfId="15339" xr:uid="{8ADEAC30-4526-48B5-932A-93E050CF2995}"/>
    <cellStyle name="Normal 5 3 4 3 6 3" xfId="11121" xr:uid="{6131F7D9-6AD0-432D-B41A-FB4F25030CE6}"/>
    <cellStyle name="Normal 5 3 4 3 7" xfId="4824" xr:uid="{00000000-0005-0000-0000-0000501A0000}"/>
    <cellStyle name="Normal 5 3 4 3 7 2" xfId="13274" xr:uid="{F2D09C09-1D75-43CC-BF41-1E887CD7560A}"/>
    <cellStyle name="Normal 5 3 4 3 8" xfId="9056" xr:uid="{4AB8D0A6-98BF-429A-8AE8-DFDF371854F1}"/>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8449C502-66D9-420C-AD0C-67E434BAB2FC}"/>
    <cellStyle name="Normal 5 3 4 4 2 3" xfId="11611" xr:uid="{0B81BEFF-C14F-4C57-B9F1-CB77BD2E78C7}"/>
    <cellStyle name="Normal 5 3 4 4 3" xfId="5234" xr:uid="{00000000-0005-0000-0000-0000541A0000}"/>
    <cellStyle name="Normal 5 3 4 4 3 2" xfId="13684" xr:uid="{2E7C2587-CE60-44D7-80B8-E93F987745FF}"/>
    <cellStyle name="Normal 5 3 4 4 4" xfId="9466" xr:uid="{3137F771-E6BC-4749-963D-3EC75BBB9D5E}"/>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46C2A8B6-E051-45FF-8D64-AFBA671F0CCF}"/>
    <cellStyle name="Normal 5 3 4 5 2 3" xfId="12024" xr:uid="{19BBE17C-4E85-4CD9-A336-4CFD577E2B49}"/>
    <cellStyle name="Normal 5 3 4 5 3" xfId="5647" xr:uid="{00000000-0005-0000-0000-0000581A0000}"/>
    <cellStyle name="Normal 5 3 4 5 3 2" xfId="14097" xr:uid="{D466CA3D-38BD-46AC-B1FA-CF62FA19225C}"/>
    <cellStyle name="Normal 5 3 4 5 4" xfId="9879" xr:uid="{426B42B0-F956-43B2-A82F-5E60028BAA88}"/>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7CCAACF0-A9DB-4838-B872-7020214BB2DE}"/>
    <cellStyle name="Normal 5 3 4 6 2 3" xfId="12437" xr:uid="{388434F4-7FB2-4F48-84C4-A4566C71A36D}"/>
    <cellStyle name="Normal 5 3 4 6 3" xfId="6060" xr:uid="{00000000-0005-0000-0000-00005C1A0000}"/>
    <cellStyle name="Normal 5 3 4 6 3 2" xfId="14510" xr:uid="{2FBCB416-5DEE-4553-A9DF-7504DA44C9A2}"/>
    <cellStyle name="Normal 5 3 4 6 4" xfId="10292" xr:uid="{7F2BB272-10AE-42F6-82BF-00155FBCED46}"/>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ECA26758-2B5F-46D1-822F-3BE8DD7E3B76}"/>
    <cellStyle name="Normal 5 3 4 7 2 3" xfId="12850" xr:uid="{4B8AC020-30A4-4779-A60F-806D63BC4F8D}"/>
    <cellStyle name="Normal 5 3 4 7 3" xfId="6473" xr:uid="{00000000-0005-0000-0000-0000601A0000}"/>
    <cellStyle name="Normal 5 3 4 7 3 2" xfId="14923" xr:uid="{A457824E-5050-4D64-ABA2-680637EB8DF3}"/>
    <cellStyle name="Normal 5 3 4 7 4" xfId="10705" xr:uid="{45F5A1ED-5C64-49EF-B3F3-67CCD9103B76}"/>
    <cellStyle name="Normal 5 3 4 8" xfId="2603" xr:uid="{00000000-0005-0000-0000-0000611A0000}"/>
    <cellStyle name="Normal 5 3 4 8 2" xfId="6886" xr:uid="{00000000-0005-0000-0000-0000621A0000}"/>
    <cellStyle name="Normal 5 3 4 8 2 2" xfId="15336" xr:uid="{A8DB683C-B769-4422-9452-13756DAEC3B9}"/>
    <cellStyle name="Normal 5 3 4 8 3" xfId="11118" xr:uid="{66646B2D-1F9E-405A-BCC7-D8ADDD29DAB0}"/>
    <cellStyle name="Normal 5 3 4 9" xfId="4821" xr:uid="{00000000-0005-0000-0000-0000631A0000}"/>
    <cellStyle name="Normal 5 3 4 9 2" xfId="13271" xr:uid="{6F4930FD-E538-4274-8B3B-55F55DD5BAF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E6F21E56-3100-4327-9545-BA3CEDCC791F}"/>
    <cellStyle name="Normal 5 3 5 2 2 2 3" xfId="11616" xr:uid="{2697B602-22E4-48A6-B64D-2D588DB4D727}"/>
    <cellStyle name="Normal 5 3 5 2 2 3" xfId="5239" xr:uid="{00000000-0005-0000-0000-0000691A0000}"/>
    <cellStyle name="Normal 5 3 5 2 2 3 2" xfId="13689" xr:uid="{AF68B2FF-8AA7-431C-BE2F-D84951883723}"/>
    <cellStyle name="Normal 5 3 5 2 2 4" xfId="9471" xr:uid="{F8780D3E-7958-4171-952C-004E7151E35C}"/>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DC48D1CA-3EBB-4F0A-8481-683CE74197DD}"/>
    <cellStyle name="Normal 5 3 5 2 3 2 3" xfId="12029" xr:uid="{2C6661D9-FEB8-4135-B113-F066EDD416B0}"/>
    <cellStyle name="Normal 5 3 5 2 3 3" xfId="5652" xr:uid="{00000000-0005-0000-0000-00006D1A0000}"/>
    <cellStyle name="Normal 5 3 5 2 3 3 2" xfId="14102" xr:uid="{7EA7B3BC-1DB5-423B-A497-B5B2CE6191BC}"/>
    <cellStyle name="Normal 5 3 5 2 3 4" xfId="9884" xr:uid="{75016942-A5C7-41EF-9BBF-BCBFC28D32B0}"/>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40CFB1E2-7EE3-4655-919E-EFF8C763A26C}"/>
    <cellStyle name="Normal 5 3 5 2 4 2 3" xfId="12442" xr:uid="{6F9CF7FD-97CC-4CC9-9159-559E1A159BC9}"/>
    <cellStyle name="Normal 5 3 5 2 4 3" xfId="6065" xr:uid="{00000000-0005-0000-0000-0000711A0000}"/>
    <cellStyle name="Normal 5 3 5 2 4 3 2" xfId="14515" xr:uid="{E82418F6-3FED-4F16-8E77-C909548BBF0D}"/>
    <cellStyle name="Normal 5 3 5 2 4 4" xfId="10297" xr:uid="{A7E53B14-A6D5-4875-872D-FE49EA43F4A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E16A24BA-C1CF-44D5-8863-12AAB1B175BE}"/>
    <cellStyle name="Normal 5 3 5 2 5 2 3" xfId="12855" xr:uid="{79CC194F-B5FC-4B44-9073-52CC43160F53}"/>
    <cellStyle name="Normal 5 3 5 2 5 3" xfId="6478" xr:uid="{00000000-0005-0000-0000-0000751A0000}"/>
    <cellStyle name="Normal 5 3 5 2 5 3 2" xfId="14928" xr:uid="{D27C9811-99FC-4480-A2FB-61C0D135F5F4}"/>
    <cellStyle name="Normal 5 3 5 2 5 4" xfId="10710" xr:uid="{99DF0276-0798-46BD-BA22-7A402CBCE41B}"/>
    <cellStyle name="Normal 5 3 5 2 6" xfId="2608" xr:uid="{00000000-0005-0000-0000-0000761A0000}"/>
    <cellStyle name="Normal 5 3 5 2 6 2" xfId="6891" xr:uid="{00000000-0005-0000-0000-0000771A0000}"/>
    <cellStyle name="Normal 5 3 5 2 6 2 2" xfId="15341" xr:uid="{E6E5F441-EF78-4F03-B35A-5566201044B0}"/>
    <cellStyle name="Normal 5 3 5 2 6 3" xfId="11123" xr:uid="{93B80477-428A-40A0-9263-3B6EDCB2CD4D}"/>
    <cellStyle name="Normal 5 3 5 2 7" xfId="4826" xr:uid="{00000000-0005-0000-0000-0000781A0000}"/>
    <cellStyle name="Normal 5 3 5 2 7 2" xfId="13276" xr:uid="{340160D0-D461-4C24-9ACA-3A0E849A34CA}"/>
    <cellStyle name="Normal 5 3 5 2 8" xfId="9058" xr:uid="{F92F224D-5040-4C73-BC94-DF4B9164E40B}"/>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F9698B2E-21CA-4F47-94B9-AC2D323F70D8}"/>
    <cellStyle name="Normal 5 3 5 3 2 3" xfId="11615" xr:uid="{0CD05911-0665-4FE9-8228-84E5F3327921}"/>
    <cellStyle name="Normal 5 3 5 3 3" xfId="5238" xr:uid="{00000000-0005-0000-0000-00007C1A0000}"/>
    <cellStyle name="Normal 5 3 5 3 3 2" xfId="13688" xr:uid="{ED7A0F82-AD55-401E-80FC-8162360B3F82}"/>
    <cellStyle name="Normal 5 3 5 3 4" xfId="9470" xr:uid="{55CC78D4-6754-4A36-9987-FE56F4827D92}"/>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26A26CEC-11D6-4CDC-BE5A-3E9EF9D510CE}"/>
    <cellStyle name="Normal 5 3 5 4 2 3" xfId="12028" xr:uid="{69D65E84-FA47-425F-BB2F-C1F6F537AF13}"/>
    <cellStyle name="Normal 5 3 5 4 3" xfId="5651" xr:uid="{00000000-0005-0000-0000-0000801A0000}"/>
    <cellStyle name="Normal 5 3 5 4 3 2" xfId="14101" xr:uid="{5F72945A-FCD0-45C2-9279-8EBE43308753}"/>
    <cellStyle name="Normal 5 3 5 4 4" xfId="9883" xr:uid="{36B3A0E7-1BDB-4292-98DA-06754EBE321A}"/>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5F3797B5-B57C-4E27-AC69-B287F85E1B10}"/>
    <cellStyle name="Normal 5 3 5 5 2 3" xfId="12441" xr:uid="{8A980100-720D-4D8E-BE64-7D32004C9E78}"/>
    <cellStyle name="Normal 5 3 5 5 3" xfId="6064" xr:uid="{00000000-0005-0000-0000-0000841A0000}"/>
    <cellStyle name="Normal 5 3 5 5 3 2" xfId="14514" xr:uid="{D5D0BD85-4BD5-4550-B2BE-D221BE51DDE3}"/>
    <cellStyle name="Normal 5 3 5 5 4" xfId="10296" xr:uid="{F93B5A1B-F21E-447E-AA1F-FC13B9EF9688}"/>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E1475F53-2DBC-4481-A1D6-B996F5767111}"/>
    <cellStyle name="Normal 5 3 5 6 2 3" xfId="12854" xr:uid="{3C534DC6-BA5E-4FC3-B3C4-D5DA35EE5554}"/>
    <cellStyle name="Normal 5 3 5 6 3" xfId="6477" xr:uid="{00000000-0005-0000-0000-0000881A0000}"/>
    <cellStyle name="Normal 5 3 5 6 3 2" xfId="14927" xr:uid="{F6BA28D3-7BBF-436D-93A3-560DA50DA0B7}"/>
    <cellStyle name="Normal 5 3 5 6 4" xfId="10709" xr:uid="{0023A4B0-D0D3-4B79-BDAE-6E1451738141}"/>
    <cellStyle name="Normal 5 3 5 7" xfId="2607" xr:uid="{00000000-0005-0000-0000-0000891A0000}"/>
    <cellStyle name="Normal 5 3 5 7 2" xfId="6890" xr:uid="{00000000-0005-0000-0000-00008A1A0000}"/>
    <cellStyle name="Normal 5 3 5 7 2 2" xfId="15340" xr:uid="{5EB668C2-737B-4EE7-8B93-3E6D40AF2B55}"/>
    <cellStyle name="Normal 5 3 5 7 3" xfId="11122" xr:uid="{AC07A811-7EE1-4D88-BED8-78F5DB15FA03}"/>
    <cellStyle name="Normal 5 3 5 8" xfId="4825" xr:uid="{00000000-0005-0000-0000-00008B1A0000}"/>
    <cellStyle name="Normal 5 3 5 8 2" xfId="13275" xr:uid="{9A4D5859-84BE-4178-AE57-19F8E5C2CE2A}"/>
    <cellStyle name="Normal 5 3 5 9" xfId="9057" xr:uid="{5C194E2E-889B-4457-AAD4-B3F18ACD6F7A}"/>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32420339-2EBF-4C4B-BBF7-FA51867FE217}"/>
    <cellStyle name="Normal 5 3 6 2 2 3" xfId="11617" xr:uid="{8F67FC24-E146-4CB3-B733-DABE306D4E25}"/>
    <cellStyle name="Normal 5 3 6 2 3" xfId="5240" xr:uid="{00000000-0005-0000-0000-0000901A0000}"/>
    <cellStyle name="Normal 5 3 6 2 3 2" xfId="13690" xr:uid="{B7AB8522-31B2-479B-B707-E15F10AD60D5}"/>
    <cellStyle name="Normal 5 3 6 2 4" xfId="9472" xr:uid="{C5256F08-A603-4783-B7A7-759D83AC23E7}"/>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453CE49D-EB86-4AD6-A5C2-2FB7DECE5372}"/>
    <cellStyle name="Normal 5 3 6 3 2 3" xfId="12030" xr:uid="{918456E1-5EA5-427A-B5A3-9443DC4DAA0F}"/>
    <cellStyle name="Normal 5 3 6 3 3" xfId="5653" xr:uid="{00000000-0005-0000-0000-0000941A0000}"/>
    <cellStyle name="Normal 5 3 6 3 3 2" xfId="14103" xr:uid="{0209089B-8237-40FE-9023-75D3AF738E9F}"/>
    <cellStyle name="Normal 5 3 6 3 4" xfId="9885" xr:uid="{2A26070B-E8A9-47A4-8F02-AB4B58C904FF}"/>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3E1567D8-DE5C-41E8-88FC-07D958B9D2A4}"/>
    <cellStyle name="Normal 5 3 6 4 2 3" xfId="12443" xr:uid="{B476DE35-C738-4568-AFFB-8ABF00DD5BAE}"/>
    <cellStyle name="Normal 5 3 6 4 3" xfId="6066" xr:uid="{00000000-0005-0000-0000-0000981A0000}"/>
    <cellStyle name="Normal 5 3 6 4 3 2" xfId="14516" xr:uid="{8BED6680-C144-4F67-8ADB-5B43CE0A54BE}"/>
    <cellStyle name="Normal 5 3 6 4 4" xfId="10298" xr:uid="{8BC44AFD-CCAA-4E8E-A580-21A029751ED5}"/>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7D8067D0-CEE4-464B-A39B-6F4E207C64B7}"/>
    <cellStyle name="Normal 5 3 6 5 2 3" xfId="12856" xr:uid="{2D0D264F-7773-4308-8CFE-F00EBD7062E1}"/>
    <cellStyle name="Normal 5 3 6 5 3" xfId="6479" xr:uid="{00000000-0005-0000-0000-00009C1A0000}"/>
    <cellStyle name="Normal 5 3 6 5 3 2" xfId="14929" xr:uid="{20B93A75-2616-4426-AF93-AD16171F98AA}"/>
    <cellStyle name="Normal 5 3 6 5 4" xfId="10711" xr:uid="{09E5FA85-F861-4C3D-993B-55D76A7A5A03}"/>
    <cellStyle name="Normal 5 3 6 6" xfId="2609" xr:uid="{00000000-0005-0000-0000-00009D1A0000}"/>
    <cellStyle name="Normal 5 3 6 6 2" xfId="6892" xr:uid="{00000000-0005-0000-0000-00009E1A0000}"/>
    <cellStyle name="Normal 5 3 6 6 2 2" xfId="15342" xr:uid="{FEA22746-808F-4821-8962-D37C3288BB1A}"/>
    <cellStyle name="Normal 5 3 6 6 3" xfId="11124" xr:uid="{B05B9C13-5F8B-4DF8-BB24-BC6EEAA7E8DB}"/>
    <cellStyle name="Normal 5 3 6 7" xfId="4827" xr:uid="{00000000-0005-0000-0000-00009F1A0000}"/>
    <cellStyle name="Normal 5 3 6 7 2" xfId="13277" xr:uid="{9F1EA7FD-E996-4B86-8269-259505080262}"/>
    <cellStyle name="Normal 5 3 6 8" xfId="9059" xr:uid="{F491638F-266B-4901-8899-E46F8C0897DB}"/>
    <cellStyle name="Normal 5 3 7" xfId="913" xr:uid="{00000000-0005-0000-0000-0000A01A0000}"/>
    <cellStyle name="Normal 5 3 7 2" xfId="3148" xr:uid="{00000000-0005-0000-0000-0000A11A0000}"/>
    <cellStyle name="Normal 5 3 7 2 2" xfId="7370" xr:uid="{00000000-0005-0000-0000-0000A21A0000}"/>
    <cellStyle name="Normal 5 3 7 2 2 2" xfId="15820" xr:uid="{0BD9837C-48BD-42DD-AD4A-1F7E0811734E}"/>
    <cellStyle name="Normal 5 3 7 2 3" xfId="11602" xr:uid="{391DC1A3-7B8D-4D70-9D12-6C35295CE2B7}"/>
    <cellStyle name="Normal 5 3 7 3" xfId="5225" xr:uid="{00000000-0005-0000-0000-0000A31A0000}"/>
    <cellStyle name="Normal 5 3 7 3 2" xfId="13675" xr:uid="{AA0A633B-0CBA-45A7-A164-9E2C009C5B15}"/>
    <cellStyle name="Normal 5 3 7 4" xfId="9457" xr:uid="{D5098E2E-9244-456E-BAC7-4BD9F50A0442}"/>
    <cellStyle name="Normal 5 3 8" xfId="1331" xr:uid="{00000000-0005-0000-0000-0000A41A0000}"/>
    <cellStyle name="Normal 5 3 8 2" xfId="3561" xr:uid="{00000000-0005-0000-0000-0000A51A0000}"/>
    <cellStyle name="Normal 5 3 8 2 2" xfId="7783" xr:uid="{00000000-0005-0000-0000-0000A61A0000}"/>
    <cellStyle name="Normal 5 3 8 2 2 2" xfId="16233" xr:uid="{845B2212-BE10-4AEA-8FF7-D79BAEAF98E8}"/>
    <cellStyle name="Normal 5 3 8 2 3" xfId="12015" xr:uid="{69C4E6DD-C3CD-48C5-9DCE-6DF7DF29BB84}"/>
    <cellStyle name="Normal 5 3 8 3" xfId="5638" xr:uid="{00000000-0005-0000-0000-0000A71A0000}"/>
    <cellStyle name="Normal 5 3 8 3 2" xfId="14088" xr:uid="{BA62C155-48F1-462D-BFE1-364F57D79941}"/>
    <cellStyle name="Normal 5 3 8 4" xfId="9870" xr:uid="{CEEB838A-1ADF-421D-9449-B916C3C91888}"/>
    <cellStyle name="Normal 5 3 9" xfId="1744" xr:uid="{00000000-0005-0000-0000-0000A81A0000}"/>
    <cellStyle name="Normal 5 3 9 2" xfId="3974" xr:uid="{00000000-0005-0000-0000-0000A91A0000}"/>
    <cellStyle name="Normal 5 3 9 2 2" xfId="8196" xr:uid="{00000000-0005-0000-0000-0000AA1A0000}"/>
    <cellStyle name="Normal 5 3 9 2 2 2" xfId="16646" xr:uid="{4AEAD67F-B49A-49C7-ABD0-BDC7D0369278}"/>
    <cellStyle name="Normal 5 3 9 2 3" xfId="12428" xr:uid="{30E101C9-6410-4F52-A629-9E5488AB68E2}"/>
    <cellStyle name="Normal 5 3 9 3" xfId="6051" xr:uid="{00000000-0005-0000-0000-0000AB1A0000}"/>
    <cellStyle name="Normal 5 3 9 3 2" xfId="14501" xr:uid="{373BCD98-9B8C-45DC-BF17-46FDDB992EB8}"/>
    <cellStyle name="Normal 5 3 9 4" xfId="10283" xr:uid="{CCFE8975-B87F-4F19-AFCA-D00475773D42}"/>
    <cellStyle name="Normal 5 4" xfId="456" xr:uid="{00000000-0005-0000-0000-0000AC1A0000}"/>
    <cellStyle name="Normal 5 4 10" xfId="4828" xr:uid="{00000000-0005-0000-0000-0000AD1A0000}"/>
    <cellStyle name="Normal 5 4 10 2" xfId="13278" xr:uid="{46DCA93E-3DCF-48D9-9C97-E5E11D6F041F}"/>
    <cellStyle name="Normal 5 4 11" xfId="9060" xr:uid="{8586E209-D100-4B5D-9C76-0512CA542065}"/>
    <cellStyle name="Normal 5 4 2" xfId="457" xr:uid="{00000000-0005-0000-0000-0000AE1A0000}"/>
    <cellStyle name="Normal 5 4 2 10" xfId="9061" xr:uid="{3E55A332-AC24-4EBB-8421-3FB5EEAEE1C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DA5E4D7D-E36B-478F-BEEC-B8AD5CD1D1E3}"/>
    <cellStyle name="Normal 5 4 2 2 2 2 2 3" xfId="11621" xr:uid="{D5EE082F-7AFC-411B-8FC0-402CEC2D68A6}"/>
    <cellStyle name="Normal 5 4 2 2 2 2 3" xfId="5244" xr:uid="{00000000-0005-0000-0000-0000B41A0000}"/>
    <cellStyle name="Normal 5 4 2 2 2 2 3 2" xfId="13694" xr:uid="{8A87EAB0-27E8-4BF3-8F89-2AE922623E11}"/>
    <cellStyle name="Normal 5 4 2 2 2 2 4" xfId="9476" xr:uid="{8D75DC47-7DC9-43C4-81FB-1311488663CC}"/>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345DE96D-FF0C-4AC6-B4B9-BAAEE38D376C}"/>
    <cellStyle name="Normal 5 4 2 2 2 3 2 3" xfId="12034" xr:uid="{F5E836F7-6885-4E7C-92E6-78A37C2E0D5C}"/>
    <cellStyle name="Normal 5 4 2 2 2 3 3" xfId="5657" xr:uid="{00000000-0005-0000-0000-0000B81A0000}"/>
    <cellStyle name="Normal 5 4 2 2 2 3 3 2" xfId="14107" xr:uid="{D286A18C-7D62-4796-B5C9-800B2108F894}"/>
    <cellStyle name="Normal 5 4 2 2 2 3 4" xfId="9889" xr:uid="{F83E7173-1653-4EA6-893B-731DB912D75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56657EBA-02CE-4E3B-824D-F385D7514CC6}"/>
    <cellStyle name="Normal 5 4 2 2 2 4 2 3" xfId="12447" xr:uid="{C754C86B-C452-491F-9897-815B41761FAF}"/>
    <cellStyle name="Normal 5 4 2 2 2 4 3" xfId="6070" xr:uid="{00000000-0005-0000-0000-0000BC1A0000}"/>
    <cellStyle name="Normal 5 4 2 2 2 4 3 2" xfId="14520" xr:uid="{D8A8E4A2-9232-42E6-9E70-A0AD9B1AA3E4}"/>
    <cellStyle name="Normal 5 4 2 2 2 4 4" xfId="10302" xr:uid="{0C968578-2878-459E-8F12-1887A14C07AF}"/>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35748409-8696-4EF5-84A8-0384E068A70E}"/>
    <cellStyle name="Normal 5 4 2 2 2 5 2 3" xfId="12860" xr:uid="{C264B15E-6E12-4D30-890F-D7EB67F2BA74}"/>
    <cellStyle name="Normal 5 4 2 2 2 5 3" xfId="6483" xr:uid="{00000000-0005-0000-0000-0000C01A0000}"/>
    <cellStyle name="Normal 5 4 2 2 2 5 3 2" xfId="14933" xr:uid="{C23885AE-50F8-4BDF-965C-EBCA08A0E7D9}"/>
    <cellStyle name="Normal 5 4 2 2 2 5 4" xfId="10715" xr:uid="{6A861BBC-8B48-4BB1-B5F0-3B8C977B8B07}"/>
    <cellStyle name="Normal 5 4 2 2 2 6" xfId="2613" xr:uid="{00000000-0005-0000-0000-0000C11A0000}"/>
    <cellStyle name="Normal 5 4 2 2 2 6 2" xfId="6896" xr:uid="{00000000-0005-0000-0000-0000C21A0000}"/>
    <cellStyle name="Normal 5 4 2 2 2 6 2 2" xfId="15346" xr:uid="{6687FF30-B696-4405-BB11-544951A504EA}"/>
    <cellStyle name="Normal 5 4 2 2 2 6 3" xfId="11128" xr:uid="{004176D9-F915-4709-A566-9C0A2FA791F4}"/>
    <cellStyle name="Normal 5 4 2 2 2 7" xfId="4831" xr:uid="{00000000-0005-0000-0000-0000C31A0000}"/>
    <cellStyle name="Normal 5 4 2 2 2 7 2" xfId="13281" xr:uid="{0B17D825-89FB-48D7-B560-AD866DCD9A3F}"/>
    <cellStyle name="Normal 5 4 2 2 2 8" xfId="9063" xr:uid="{5A907FC0-EBDA-4F00-BB6B-5CE8280F0B80}"/>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BCC77525-F946-4B17-9BD1-A7227646C868}"/>
    <cellStyle name="Normal 5 4 2 2 3 2 3" xfId="11620" xr:uid="{6DD7675A-2C08-40F7-98F4-DE7EAE5E53B3}"/>
    <cellStyle name="Normal 5 4 2 2 3 3" xfId="5243" xr:uid="{00000000-0005-0000-0000-0000C71A0000}"/>
    <cellStyle name="Normal 5 4 2 2 3 3 2" xfId="13693" xr:uid="{F0CEEAED-C739-46F1-9912-F2FDAAF16D83}"/>
    <cellStyle name="Normal 5 4 2 2 3 4" xfId="9475" xr:uid="{FB987F3D-4D34-4E18-A69B-BFB2E722EF10}"/>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9F0E1256-4853-4A28-B7A2-A96247599C81}"/>
    <cellStyle name="Normal 5 4 2 2 4 2 3" xfId="12033" xr:uid="{3E9BEC71-15E2-4E0A-A3AE-18571998C251}"/>
    <cellStyle name="Normal 5 4 2 2 4 3" xfId="5656" xr:uid="{00000000-0005-0000-0000-0000CB1A0000}"/>
    <cellStyle name="Normal 5 4 2 2 4 3 2" xfId="14106" xr:uid="{DD951B07-D5EB-449A-8F89-8F255D37D7AA}"/>
    <cellStyle name="Normal 5 4 2 2 4 4" xfId="9888" xr:uid="{778FB1AB-3BBD-4316-8AD9-7210F6F6AAA2}"/>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E6207B01-B6FD-4BBB-BABF-E489BF8127EC}"/>
    <cellStyle name="Normal 5 4 2 2 5 2 3" xfId="12446" xr:uid="{E6ECAC9D-3B1E-4B60-924B-EA116C79731D}"/>
    <cellStyle name="Normal 5 4 2 2 5 3" xfId="6069" xr:uid="{00000000-0005-0000-0000-0000CF1A0000}"/>
    <cellStyle name="Normal 5 4 2 2 5 3 2" xfId="14519" xr:uid="{221FCD3D-D55D-4B42-8467-9B7E8BDB6BC3}"/>
    <cellStyle name="Normal 5 4 2 2 5 4" xfId="10301" xr:uid="{C906F0BD-D0E0-4785-9D03-0E1E930EA3EE}"/>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2C7164D7-DCAE-45C3-908F-6E4A1A85296F}"/>
    <cellStyle name="Normal 5 4 2 2 6 2 3" xfId="12859" xr:uid="{0BC65BF1-A754-4533-BF91-605F1F1B3F67}"/>
    <cellStyle name="Normal 5 4 2 2 6 3" xfId="6482" xr:uid="{00000000-0005-0000-0000-0000D31A0000}"/>
    <cellStyle name="Normal 5 4 2 2 6 3 2" xfId="14932" xr:uid="{5C61936C-E8BF-425C-A15F-7CF110A8CB63}"/>
    <cellStyle name="Normal 5 4 2 2 6 4" xfId="10714" xr:uid="{5F5986C2-EC4A-4423-959E-59B27C8727D9}"/>
    <cellStyle name="Normal 5 4 2 2 7" xfId="2612" xr:uid="{00000000-0005-0000-0000-0000D41A0000}"/>
    <cellStyle name="Normal 5 4 2 2 7 2" xfId="6895" xr:uid="{00000000-0005-0000-0000-0000D51A0000}"/>
    <cellStyle name="Normal 5 4 2 2 7 2 2" xfId="15345" xr:uid="{A1FED6E0-574E-46F4-94AC-C4C05D3888A4}"/>
    <cellStyle name="Normal 5 4 2 2 7 3" xfId="11127" xr:uid="{2E51AE87-7213-48F8-82B1-B784850FABE0}"/>
    <cellStyle name="Normal 5 4 2 2 8" xfId="4830" xr:uid="{00000000-0005-0000-0000-0000D61A0000}"/>
    <cellStyle name="Normal 5 4 2 2 8 2" xfId="13280" xr:uid="{7D043811-4B24-42A9-94BA-53473C9C76A3}"/>
    <cellStyle name="Normal 5 4 2 2 9" xfId="9062" xr:uid="{7BC7EE42-DBF0-4679-A358-82CAEF960D05}"/>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83870966-497A-42FC-89CB-90F83BF1F4BB}"/>
    <cellStyle name="Normal 5 4 2 3 2 2 3" xfId="11622" xr:uid="{B9E14FF4-A571-45D8-905C-DF6037B4C301}"/>
    <cellStyle name="Normal 5 4 2 3 2 3" xfId="5245" xr:uid="{00000000-0005-0000-0000-0000DB1A0000}"/>
    <cellStyle name="Normal 5 4 2 3 2 3 2" xfId="13695" xr:uid="{3D5C031F-1D0A-4FA3-B702-AE07EBF63930}"/>
    <cellStyle name="Normal 5 4 2 3 2 4" xfId="9477" xr:uid="{9CF9F4B9-C7DD-4ACD-86BE-863DAC634059}"/>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4BD8B0F7-6024-46C4-931C-EF8C21A39BEF}"/>
    <cellStyle name="Normal 5 4 2 3 3 2 3" xfId="12035" xr:uid="{CA929326-8AE9-4B45-9B15-8089B7593735}"/>
    <cellStyle name="Normal 5 4 2 3 3 3" xfId="5658" xr:uid="{00000000-0005-0000-0000-0000DF1A0000}"/>
    <cellStyle name="Normal 5 4 2 3 3 3 2" xfId="14108" xr:uid="{0276372A-294C-449E-89D8-21314BCE1F33}"/>
    <cellStyle name="Normal 5 4 2 3 3 4" xfId="9890" xr:uid="{CD6A26F5-486E-4324-9106-7E92365D7337}"/>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C47ABCD0-E32F-4F6E-A347-D663EC5427B1}"/>
    <cellStyle name="Normal 5 4 2 3 4 2 3" xfId="12448" xr:uid="{0F1D11F7-4FE9-4D5A-9A2E-2CF346DCD188}"/>
    <cellStyle name="Normal 5 4 2 3 4 3" xfId="6071" xr:uid="{00000000-0005-0000-0000-0000E31A0000}"/>
    <cellStyle name="Normal 5 4 2 3 4 3 2" xfId="14521" xr:uid="{713920CF-17EA-4083-9345-79C07A55C935}"/>
    <cellStyle name="Normal 5 4 2 3 4 4" xfId="10303" xr:uid="{31F400EC-5F33-4018-82B9-063DBE9F016A}"/>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77A10858-99EC-4376-9B1D-89DB4530E1EC}"/>
    <cellStyle name="Normal 5 4 2 3 5 2 3" xfId="12861" xr:uid="{7023C6F4-EF56-4B4F-8ADC-0D1CFE56B596}"/>
    <cellStyle name="Normal 5 4 2 3 5 3" xfId="6484" xr:uid="{00000000-0005-0000-0000-0000E71A0000}"/>
    <cellStyle name="Normal 5 4 2 3 5 3 2" xfId="14934" xr:uid="{31DA0EF9-9C69-4AC0-A28A-7E408DCB04F4}"/>
    <cellStyle name="Normal 5 4 2 3 5 4" xfId="10716" xr:uid="{948C2C29-8E4E-4BED-83DF-CCDCB1C4F92C}"/>
    <cellStyle name="Normal 5 4 2 3 6" xfId="2614" xr:uid="{00000000-0005-0000-0000-0000E81A0000}"/>
    <cellStyle name="Normal 5 4 2 3 6 2" xfId="6897" xr:uid="{00000000-0005-0000-0000-0000E91A0000}"/>
    <cellStyle name="Normal 5 4 2 3 6 2 2" xfId="15347" xr:uid="{62B99624-1522-4B94-A695-C28B54F0EFE2}"/>
    <cellStyle name="Normal 5 4 2 3 6 3" xfId="11129" xr:uid="{EF1CE6DB-0CB5-404E-9F6C-05BC1F557A59}"/>
    <cellStyle name="Normal 5 4 2 3 7" xfId="4832" xr:uid="{00000000-0005-0000-0000-0000EA1A0000}"/>
    <cellStyle name="Normal 5 4 2 3 7 2" xfId="13282" xr:uid="{EA76E836-A2D0-4D37-96F5-66A24F1A32F1}"/>
    <cellStyle name="Normal 5 4 2 3 8" xfId="9064" xr:uid="{28C86E3A-52B1-4258-B5C3-1053DC3AC4CD}"/>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E35EFEA1-C813-42DD-8FCE-2AA5645A910E}"/>
    <cellStyle name="Normal 5 4 2 4 2 3" xfId="11619" xr:uid="{5140D6E6-4DBD-4A41-93C9-129018ED179D}"/>
    <cellStyle name="Normal 5 4 2 4 3" xfId="5242" xr:uid="{00000000-0005-0000-0000-0000EE1A0000}"/>
    <cellStyle name="Normal 5 4 2 4 3 2" xfId="13692" xr:uid="{70ECEBBF-1B89-47A8-9799-C5CC0B2A6F4C}"/>
    <cellStyle name="Normal 5 4 2 4 4" xfId="9474" xr:uid="{696D8488-5078-496E-B7D7-A3D46AD808F1}"/>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BFF8281E-AF70-425A-9BC1-3F79FD5CC435}"/>
    <cellStyle name="Normal 5 4 2 5 2 3" xfId="12032" xr:uid="{59ED678B-2BE8-415E-9F90-E95491EE11B2}"/>
    <cellStyle name="Normal 5 4 2 5 3" xfId="5655" xr:uid="{00000000-0005-0000-0000-0000F21A0000}"/>
    <cellStyle name="Normal 5 4 2 5 3 2" xfId="14105" xr:uid="{2B2A03C8-AA11-4CBD-9AA7-BE04C13369D4}"/>
    <cellStyle name="Normal 5 4 2 5 4" xfId="9887" xr:uid="{1B3BBA48-3B43-49CE-B5E0-61BCDEC16D85}"/>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E8E164AE-E2FF-42C8-BE54-B81687091F57}"/>
    <cellStyle name="Normal 5 4 2 6 2 3" xfId="12445" xr:uid="{48630235-9E72-45D6-A80A-357280411593}"/>
    <cellStyle name="Normal 5 4 2 6 3" xfId="6068" xr:uid="{00000000-0005-0000-0000-0000F61A0000}"/>
    <cellStyle name="Normal 5 4 2 6 3 2" xfId="14518" xr:uid="{18F663DA-F73C-4E39-AA12-EA85398E9BAE}"/>
    <cellStyle name="Normal 5 4 2 6 4" xfId="10300" xr:uid="{C5D431C6-40FB-43A4-9690-47D4A0A04A9A}"/>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E49E0ADF-5366-41A2-9F16-22B13BEA5EBF}"/>
    <cellStyle name="Normal 5 4 2 7 2 3" xfId="12858" xr:uid="{D04DE2FA-8A7D-4A84-ACDA-EE2DB4504F5E}"/>
    <cellStyle name="Normal 5 4 2 7 3" xfId="6481" xr:uid="{00000000-0005-0000-0000-0000FA1A0000}"/>
    <cellStyle name="Normal 5 4 2 7 3 2" xfId="14931" xr:uid="{87966FB3-11B4-488B-9AEE-F0DC1AB2E0F6}"/>
    <cellStyle name="Normal 5 4 2 7 4" xfId="10713" xr:uid="{416EDD57-0900-41E9-8340-2E8797A79F35}"/>
    <cellStyle name="Normal 5 4 2 8" xfId="2611" xr:uid="{00000000-0005-0000-0000-0000FB1A0000}"/>
    <cellStyle name="Normal 5 4 2 8 2" xfId="6894" xr:uid="{00000000-0005-0000-0000-0000FC1A0000}"/>
    <cellStyle name="Normal 5 4 2 8 2 2" xfId="15344" xr:uid="{931A65EB-488D-4280-BCDD-E991E766D90E}"/>
    <cellStyle name="Normal 5 4 2 8 3" xfId="11126" xr:uid="{F4E2080F-9659-4706-9FE7-19125911FFD3}"/>
    <cellStyle name="Normal 5 4 2 9" xfId="4829" xr:uid="{00000000-0005-0000-0000-0000FD1A0000}"/>
    <cellStyle name="Normal 5 4 2 9 2" xfId="13279" xr:uid="{9472E3B3-135F-44C7-9E17-E5098253F5C8}"/>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EA17C2FD-1544-4139-9329-D6702C6621BF}"/>
    <cellStyle name="Normal 5 4 3 2 2 2 3" xfId="11624" xr:uid="{EE5C84C0-CA50-47DD-97F4-D3E1A8FFCAED}"/>
    <cellStyle name="Normal 5 4 3 2 2 3" xfId="5247" xr:uid="{00000000-0005-0000-0000-0000031B0000}"/>
    <cellStyle name="Normal 5 4 3 2 2 3 2" xfId="13697" xr:uid="{1923ED45-43D1-4E6C-B366-8F10A7F3240A}"/>
    <cellStyle name="Normal 5 4 3 2 2 4" xfId="9479" xr:uid="{4972FC5D-D364-4D74-BF50-EABC73C754BC}"/>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D5BAAE47-8F83-434E-A99A-DDDE7ACEBEA3}"/>
    <cellStyle name="Normal 5 4 3 2 3 2 3" xfId="12037" xr:uid="{A10FDCAD-1FDB-4000-B609-EFDA2DFD3439}"/>
    <cellStyle name="Normal 5 4 3 2 3 3" xfId="5660" xr:uid="{00000000-0005-0000-0000-0000071B0000}"/>
    <cellStyle name="Normal 5 4 3 2 3 3 2" xfId="14110" xr:uid="{4C023775-CF70-4A47-841A-11EF41496277}"/>
    <cellStyle name="Normal 5 4 3 2 3 4" xfId="9892" xr:uid="{8760F2BF-A5D0-4146-8698-E5850C16B8F6}"/>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CB51FC19-4A00-42DC-A41F-C2C3D47B0E70}"/>
    <cellStyle name="Normal 5 4 3 2 4 2 3" xfId="12450" xr:uid="{A38BB5ED-4BC2-46A5-B97D-CCA10F88A53C}"/>
    <cellStyle name="Normal 5 4 3 2 4 3" xfId="6073" xr:uid="{00000000-0005-0000-0000-00000B1B0000}"/>
    <cellStyle name="Normal 5 4 3 2 4 3 2" xfId="14523" xr:uid="{ED047E89-A642-40D9-9AD3-BE5E2EB470E5}"/>
    <cellStyle name="Normal 5 4 3 2 4 4" xfId="10305" xr:uid="{C7C399ED-528C-45DE-9BA3-C5296590ED40}"/>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D98701F0-2B5C-4118-B747-D268F84D5FBC}"/>
    <cellStyle name="Normal 5 4 3 2 5 2 3" xfId="12863" xr:uid="{6179EE9B-9317-4C40-B62A-6258E2D0CB57}"/>
    <cellStyle name="Normal 5 4 3 2 5 3" xfId="6486" xr:uid="{00000000-0005-0000-0000-00000F1B0000}"/>
    <cellStyle name="Normal 5 4 3 2 5 3 2" xfId="14936" xr:uid="{9B95CE8F-25E3-4047-80CD-E4F701340EFF}"/>
    <cellStyle name="Normal 5 4 3 2 5 4" xfId="10718" xr:uid="{210E18A5-C0E7-486B-A65F-2188F47BAE4A}"/>
    <cellStyle name="Normal 5 4 3 2 6" xfId="2616" xr:uid="{00000000-0005-0000-0000-0000101B0000}"/>
    <cellStyle name="Normal 5 4 3 2 6 2" xfId="6899" xr:uid="{00000000-0005-0000-0000-0000111B0000}"/>
    <cellStyle name="Normal 5 4 3 2 6 2 2" xfId="15349" xr:uid="{9E967A7E-70A3-4736-8E7D-2BDB799E1B11}"/>
    <cellStyle name="Normal 5 4 3 2 6 3" xfId="11131" xr:uid="{BAB752BF-F236-4B69-B506-83FDEDC8697D}"/>
    <cellStyle name="Normal 5 4 3 2 7" xfId="4834" xr:uid="{00000000-0005-0000-0000-0000121B0000}"/>
    <cellStyle name="Normal 5 4 3 2 7 2" xfId="13284" xr:uid="{9D3F2DEE-4FE7-49B9-B3B1-E7004BF3266F}"/>
    <cellStyle name="Normal 5 4 3 2 8" xfId="9066" xr:uid="{03BED35C-1DF1-467E-93C7-E6DEBF09F934}"/>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CE5310E1-EF3E-409F-81F9-87022501E98E}"/>
    <cellStyle name="Normal 5 4 3 3 2 3" xfId="11623" xr:uid="{6D7DF718-F289-48D4-8A70-87EE228762C1}"/>
    <cellStyle name="Normal 5 4 3 3 3" xfId="5246" xr:uid="{00000000-0005-0000-0000-0000161B0000}"/>
    <cellStyle name="Normal 5 4 3 3 3 2" xfId="13696" xr:uid="{92E71DF9-27E2-4146-8D1D-FBDB84FFAD52}"/>
    <cellStyle name="Normal 5 4 3 3 4" xfId="9478" xr:uid="{6CA6E75F-70DD-49E8-9504-7E3330003C5C}"/>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B84D97A9-799B-4D69-829D-588532D2CF75}"/>
    <cellStyle name="Normal 5 4 3 4 2 3" xfId="12036" xr:uid="{50DF4961-7638-42CC-A04C-C9CFDA479B01}"/>
    <cellStyle name="Normal 5 4 3 4 3" xfId="5659" xr:uid="{00000000-0005-0000-0000-00001A1B0000}"/>
    <cellStyle name="Normal 5 4 3 4 3 2" xfId="14109" xr:uid="{DC3056DF-E6BE-4EEB-81AD-91F3C7C2BEC1}"/>
    <cellStyle name="Normal 5 4 3 4 4" xfId="9891" xr:uid="{E8FF389D-57F5-4B0D-A7BA-4692E6A58604}"/>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0834D4EB-83F4-4552-B44F-3AD27AA453D2}"/>
    <cellStyle name="Normal 5 4 3 5 2 3" xfId="12449" xr:uid="{5A42EBA4-58AC-40E4-BA0D-9B59BD322A7B}"/>
    <cellStyle name="Normal 5 4 3 5 3" xfId="6072" xr:uid="{00000000-0005-0000-0000-00001E1B0000}"/>
    <cellStyle name="Normal 5 4 3 5 3 2" xfId="14522" xr:uid="{53FC7B6A-EA62-4BFE-97FC-8CE1B84D8182}"/>
    <cellStyle name="Normal 5 4 3 5 4" xfId="10304" xr:uid="{48A5C581-A4A5-4193-A98D-3F8B708CA8A4}"/>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87E7126B-99E5-4014-914F-39995E000342}"/>
    <cellStyle name="Normal 5 4 3 6 2 3" xfId="12862" xr:uid="{7DD2A58C-2BE7-404D-8392-B776CD68DA62}"/>
    <cellStyle name="Normal 5 4 3 6 3" xfId="6485" xr:uid="{00000000-0005-0000-0000-0000221B0000}"/>
    <cellStyle name="Normal 5 4 3 6 3 2" xfId="14935" xr:uid="{A65CA4EE-3A9D-4185-A9C9-70A6AA994F4C}"/>
    <cellStyle name="Normal 5 4 3 6 4" xfId="10717" xr:uid="{FBC9E4D1-90CD-4A82-BF40-BBA3DABC0E35}"/>
    <cellStyle name="Normal 5 4 3 7" xfId="2615" xr:uid="{00000000-0005-0000-0000-0000231B0000}"/>
    <cellStyle name="Normal 5 4 3 7 2" xfId="6898" xr:uid="{00000000-0005-0000-0000-0000241B0000}"/>
    <cellStyle name="Normal 5 4 3 7 2 2" xfId="15348" xr:uid="{03A0ADAB-1F7F-4B62-ADD6-EF6762DC9550}"/>
    <cellStyle name="Normal 5 4 3 7 3" xfId="11130" xr:uid="{42D12F9B-0FF3-4BDB-AB90-ECA5651D108C}"/>
    <cellStyle name="Normal 5 4 3 8" xfId="4833" xr:uid="{00000000-0005-0000-0000-0000251B0000}"/>
    <cellStyle name="Normal 5 4 3 8 2" xfId="13283" xr:uid="{677F5F58-BD2D-4AE9-8CF4-943C6D0873AB}"/>
    <cellStyle name="Normal 5 4 3 9" xfId="9065" xr:uid="{30783400-A0A5-4E0C-9099-BD8CB756814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B898D122-2066-4206-860E-7AD3095CBCBD}"/>
    <cellStyle name="Normal 5 4 4 2 2 3" xfId="11625" xr:uid="{B5A62652-6221-4B33-8C24-7D27A60E8C24}"/>
    <cellStyle name="Normal 5 4 4 2 3" xfId="5248" xr:uid="{00000000-0005-0000-0000-00002A1B0000}"/>
    <cellStyle name="Normal 5 4 4 2 3 2" xfId="13698" xr:uid="{30062759-628F-421E-810E-4F58F171556F}"/>
    <cellStyle name="Normal 5 4 4 2 4" xfId="9480" xr:uid="{B174021F-B9CB-43AE-A971-FEB211549209}"/>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DDD19DB8-D55C-4BE6-9CE8-743FF108C511}"/>
    <cellStyle name="Normal 5 4 4 3 2 3" xfId="12038" xr:uid="{985FC151-5E76-45FF-B71D-CCD33E545E12}"/>
    <cellStyle name="Normal 5 4 4 3 3" xfId="5661" xr:uid="{00000000-0005-0000-0000-00002E1B0000}"/>
    <cellStyle name="Normal 5 4 4 3 3 2" xfId="14111" xr:uid="{AB8F1CD0-8612-4EEE-A0A2-7B9CEAB0E9BF}"/>
    <cellStyle name="Normal 5 4 4 3 4" xfId="9893" xr:uid="{10DDE4ED-4442-4A1C-B32A-9DEF1DE615A7}"/>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EF1F644C-3EE3-4810-B6EE-16335E21ECEA}"/>
    <cellStyle name="Normal 5 4 4 4 2 3" xfId="12451" xr:uid="{3F21AB90-CB93-4DE8-886A-280F5C5992AC}"/>
    <cellStyle name="Normal 5 4 4 4 3" xfId="6074" xr:uid="{00000000-0005-0000-0000-0000321B0000}"/>
    <cellStyle name="Normal 5 4 4 4 3 2" xfId="14524" xr:uid="{EE61FAD7-11F8-4730-8269-497D1BC70DAA}"/>
    <cellStyle name="Normal 5 4 4 4 4" xfId="10306" xr:uid="{8D1A5C6F-2E04-44D5-AF34-1B80EA74131B}"/>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69A3C871-490A-43CF-89C7-4381BE2E4B3F}"/>
    <cellStyle name="Normal 5 4 4 5 2 3" xfId="12864" xr:uid="{3157F90F-D4BB-4F10-BF75-56D30AFEA7B7}"/>
    <cellStyle name="Normal 5 4 4 5 3" xfId="6487" xr:uid="{00000000-0005-0000-0000-0000361B0000}"/>
    <cellStyle name="Normal 5 4 4 5 3 2" xfId="14937" xr:uid="{F37384EA-D293-48C0-8A4D-936E40795FE1}"/>
    <cellStyle name="Normal 5 4 4 5 4" xfId="10719" xr:uid="{85C4CC4E-E32D-4E6E-9A14-3616146C4C33}"/>
    <cellStyle name="Normal 5 4 4 6" xfId="2617" xr:uid="{00000000-0005-0000-0000-0000371B0000}"/>
    <cellStyle name="Normal 5 4 4 6 2" xfId="6900" xr:uid="{00000000-0005-0000-0000-0000381B0000}"/>
    <cellStyle name="Normal 5 4 4 6 2 2" xfId="15350" xr:uid="{4F1DF4BE-7ACE-43F1-A9B2-C2E7D860D1BC}"/>
    <cellStyle name="Normal 5 4 4 6 3" xfId="11132" xr:uid="{A202556C-DE98-496B-9175-3396EAC063E8}"/>
    <cellStyle name="Normal 5 4 4 7" xfId="4835" xr:uid="{00000000-0005-0000-0000-0000391B0000}"/>
    <cellStyle name="Normal 5 4 4 7 2" xfId="13285" xr:uid="{2B001322-CA94-41CE-BE17-C0A3014DE102}"/>
    <cellStyle name="Normal 5 4 4 8" xfId="9067" xr:uid="{C0779094-C063-4A17-A1A6-E6C95ED2573A}"/>
    <cellStyle name="Normal 5 4 5" xfId="930" xr:uid="{00000000-0005-0000-0000-00003A1B0000}"/>
    <cellStyle name="Normal 5 4 5 2" xfId="3164" xr:uid="{00000000-0005-0000-0000-00003B1B0000}"/>
    <cellStyle name="Normal 5 4 5 2 2" xfId="7386" xr:uid="{00000000-0005-0000-0000-00003C1B0000}"/>
    <cellStyle name="Normal 5 4 5 2 2 2" xfId="15836" xr:uid="{C5FFAB1F-0D26-4891-ABBD-B150EC066809}"/>
    <cellStyle name="Normal 5 4 5 2 3" xfId="11618" xr:uid="{220E38FA-92B2-4DE5-B40F-1AFA47954078}"/>
    <cellStyle name="Normal 5 4 5 3" xfId="5241" xr:uid="{00000000-0005-0000-0000-00003D1B0000}"/>
    <cellStyle name="Normal 5 4 5 3 2" xfId="13691" xr:uid="{6959D77B-2014-417A-81DD-CAD23CAC6F8D}"/>
    <cellStyle name="Normal 5 4 5 4" xfId="9473" xr:uid="{6B339306-FAFB-4248-A8BA-ED127B2E8A9E}"/>
    <cellStyle name="Normal 5 4 6" xfId="1347" xr:uid="{00000000-0005-0000-0000-00003E1B0000}"/>
    <cellStyle name="Normal 5 4 6 2" xfId="3577" xr:uid="{00000000-0005-0000-0000-00003F1B0000}"/>
    <cellStyle name="Normal 5 4 6 2 2" xfId="7799" xr:uid="{00000000-0005-0000-0000-0000401B0000}"/>
    <cellStyle name="Normal 5 4 6 2 2 2" xfId="16249" xr:uid="{7194D0B6-F78A-4EEB-8A90-18515D22800A}"/>
    <cellStyle name="Normal 5 4 6 2 3" xfId="12031" xr:uid="{7EE2A424-6C6C-4B47-853E-24258A2B8880}"/>
    <cellStyle name="Normal 5 4 6 3" xfId="5654" xr:uid="{00000000-0005-0000-0000-0000411B0000}"/>
    <cellStyle name="Normal 5 4 6 3 2" xfId="14104" xr:uid="{5A661091-0196-4B10-9053-3201942DFC5C}"/>
    <cellStyle name="Normal 5 4 6 4" xfId="9886" xr:uid="{FA4933BC-39DE-440D-A7BA-E90DCB0F9E86}"/>
    <cellStyle name="Normal 5 4 7" xfId="1760" xr:uid="{00000000-0005-0000-0000-0000421B0000}"/>
    <cellStyle name="Normal 5 4 7 2" xfId="3990" xr:uid="{00000000-0005-0000-0000-0000431B0000}"/>
    <cellStyle name="Normal 5 4 7 2 2" xfId="8212" xr:uid="{00000000-0005-0000-0000-0000441B0000}"/>
    <cellStyle name="Normal 5 4 7 2 2 2" xfId="16662" xr:uid="{E65DCC4E-691E-4970-964F-895AE04D31FC}"/>
    <cellStyle name="Normal 5 4 7 2 3" xfId="12444" xr:uid="{1C2DA3BF-8C92-46A6-84EC-E40B11D0E2C7}"/>
    <cellStyle name="Normal 5 4 7 3" xfId="6067" xr:uid="{00000000-0005-0000-0000-0000451B0000}"/>
    <cellStyle name="Normal 5 4 7 3 2" xfId="14517" xr:uid="{EBFF623C-1349-4680-BB78-C2D2C5081AF4}"/>
    <cellStyle name="Normal 5 4 7 4" xfId="10299" xr:uid="{AE48FED9-2D05-4BD3-9A6C-98E130D03DC6}"/>
    <cellStyle name="Normal 5 4 8" xfId="2174" xr:uid="{00000000-0005-0000-0000-0000461B0000}"/>
    <cellStyle name="Normal 5 4 8 2" xfId="4403" xr:uid="{00000000-0005-0000-0000-0000471B0000}"/>
    <cellStyle name="Normal 5 4 8 2 2" xfId="8625" xr:uid="{00000000-0005-0000-0000-0000481B0000}"/>
    <cellStyle name="Normal 5 4 8 2 2 2" xfId="17075" xr:uid="{86C69889-6854-4B26-AA1B-1298273C6360}"/>
    <cellStyle name="Normal 5 4 8 2 3" xfId="12857" xr:uid="{8B5F8845-F7A0-47CA-8CAC-DA0442469491}"/>
    <cellStyle name="Normal 5 4 8 3" xfId="6480" xr:uid="{00000000-0005-0000-0000-0000491B0000}"/>
    <cellStyle name="Normal 5 4 8 3 2" xfId="14930" xr:uid="{083F8802-B80B-41C1-9924-76B8CAA7255E}"/>
    <cellStyle name="Normal 5 4 8 4" xfId="10712" xr:uid="{D9692B27-D946-4931-B66E-E86660A40254}"/>
    <cellStyle name="Normal 5 4 9" xfId="2610" xr:uid="{00000000-0005-0000-0000-00004A1B0000}"/>
    <cellStyle name="Normal 5 4 9 2" xfId="6893" xr:uid="{00000000-0005-0000-0000-00004B1B0000}"/>
    <cellStyle name="Normal 5 4 9 2 2" xfId="15343" xr:uid="{5D5300B4-2DE2-4FCD-9023-3AD0D991A316}"/>
    <cellStyle name="Normal 5 4 9 3" xfId="11125" xr:uid="{0A94651F-49D4-4C3E-9CFB-75BC97A50C74}"/>
    <cellStyle name="Normal 5 5" xfId="464" xr:uid="{00000000-0005-0000-0000-00004C1B0000}"/>
    <cellStyle name="Normal 5 5 10" xfId="9068" xr:uid="{ECDF1914-D014-4B66-8EBD-55BF9BE48ABA}"/>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3A6EFC7F-57F5-4BE5-9EAC-B1C4928445D9}"/>
    <cellStyle name="Normal 5 5 2 2 2 2 3" xfId="11628" xr:uid="{FE412596-5788-4DD7-911B-F14FD6A9404C}"/>
    <cellStyle name="Normal 5 5 2 2 2 3" xfId="5251" xr:uid="{00000000-0005-0000-0000-0000521B0000}"/>
    <cellStyle name="Normal 5 5 2 2 2 3 2" xfId="13701" xr:uid="{AAB59B29-010E-43FD-98D2-3B6AF67675BF}"/>
    <cellStyle name="Normal 5 5 2 2 2 4" xfId="9483" xr:uid="{E4FA5CDC-7BA3-4A39-992F-3D5E07932C9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A29FFEDC-D982-4F4C-B127-E5134EFF44F4}"/>
    <cellStyle name="Normal 5 5 2 2 3 2 3" xfId="12041" xr:uid="{5936E584-3424-42FF-A9B3-0FC32F15138E}"/>
    <cellStyle name="Normal 5 5 2 2 3 3" xfId="5664" xr:uid="{00000000-0005-0000-0000-0000561B0000}"/>
    <cellStyle name="Normal 5 5 2 2 3 3 2" xfId="14114" xr:uid="{B7D64807-214B-45E6-94D5-A80F9371AE0A}"/>
    <cellStyle name="Normal 5 5 2 2 3 4" xfId="9896" xr:uid="{5CE8C6BA-75E7-4D10-8914-45EE44924DC2}"/>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E69A3998-9CCF-4D20-A0B4-80C7BE7537C1}"/>
    <cellStyle name="Normal 5 5 2 2 4 2 3" xfId="12454" xr:uid="{5A775EE9-0E4D-4393-A522-DA33612039BC}"/>
    <cellStyle name="Normal 5 5 2 2 4 3" xfId="6077" xr:uid="{00000000-0005-0000-0000-00005A1B0000}"/>
    <cellStyle name="Normal 5 5 2 2 4 3 2" xfId="14527" xr:uid="{5401CAB6-C9BF-41B9-8FC4-3F0E5FE136C6}"/>
    <cellStyle name="Normal 5 5 2 2 4 4" xfId="10309" xr:uid="{6449F712-244C-4095-804A-C57CCB71CC1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61B3333A-D58F-4327-855B-3EB6D5AFA15F}"/>
    <cellStyle name="Normal 5 5 2 2 5 2 3" xfId="12867" xr:uid="{AE38A426-C72B-4867-B164-4009F2874D61}"/>
    <cellStyle name="Normal 5 5 2 2 5 3" xfId="6490" xr:uid="{00000000-0005-0000-0000-00005E1B0000}"/>
    <cellStyle name="Normal 5 5 2 2 5 3 2" xfId="14940" xr:uid="{38FD1FD7-3201-44C9-8688-20EE44C56E12}"/>
    <cellStyle name="Normal 5 5 2 2 5 4" xfId="10722" xr:uid="{ADA33ACE-9B11-4660-B54F-1D968EAE077A}"/>
    <cellStyle name="Normal 5 5 2 2 6" xfId="2620" xr:uid="{00000000-0005-0000-0000-00005F1B0000}"/>
    <cellStyle name="Normal 5 5 2 2 6 2" xfId="6903" xr:uid="{00000000-0005-0000-0000-0000601B0000}"/>
    <cellStyle name="Normal 5 5 2 2 6 2 2" xfId="15353" xr:uid="{F7FC91CD-241E-41AA-AA48-3D8E5BED53DB}"/>
    <cellStyle name="Normal 5 5 2 2 6 3" xfId="11135" xr:uid="{0448CBD4-413D-476B-8192-07AE734A006E}"/>
    <cellStyle name="Normal 5 5 2 2 7" xfId="4838" xr:uid="{00000000-0005-0000-0000-0000611B0000}"/>
    <cellStyle name="Normal 5 5 2 2 7 2" xfId="13288" xr:uid="{56626B06-2478-4366-9046-2D0644C3BA43}"/>
    <cellStyle name="Normal 5 5 2 2 8" xfId="9070" xr:uid="{B389ADFE-9A8C-4422-89A2-841C9D2B2D5D}"/>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A225CA20-6415-455C-9B02-EBE4011278C4}"/>
    <cellStyle name="Normal 5 5 2 3 2 3" xfId="11627" xr:uid="{6253EEA3-3F68-419E-B7B2-0D834FB21DA9}"/>
    <cellStyle name="Normal 5 5 2 3 3" xfId="5250" xr:uid="{00000000-0005-0000-0000-0000651B0000}"/>
    <cellStyle name="Normal 5 5 2 3 3 2" xfId="13700" xr:uid="{F9405095-62F1-4FF7-8A14-286E6DD1B196}"/>
    <cellStyle name="Normal 5 5 2 3 4" xfId="9482" xr:uid="{75C77382-D62A-457A-8AFF-6B3123FB692A}"/>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D2F35CEB-6A83-4EFF-9477-F631CF54134C}"/>
    <cellStyle name="Normal 5 5 2 4 2 3" xfId="12040" xr:uid="{7F378458-2626-4EA1-82B6-C92EEA79AA88}"/>
    <cellStyle name="Normal 5 5 2 4 3" xfId="5663" xr:uid="{00000000-0005-0000-0000-0000691B0000}"/>
    <cellStyle name="Normal 5 5 2 4 3 2" xfId="14113" xr:uid="{51B1946E-1BDF-4F7A-A910-EE9A65ABD97D}"/>
    <cellStyle name="Normal 5 5 2 4 4" xfId="9895" xr:uid="{57990F8E-A1C7-4190-BA6A-CDCA02CBDF4A}"/>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97EC704E-8E2B-47FD-AE11-50D308DC8071}"/>
    <cellStyle name="Normal 5 5 2 5 2 3" xfId="12453" xr:uid="{EDBB97D3-D12D-4293-9DA0-54DEE8CE2489}"/>
    <cellStyle name="Normal 5 5 2 5 3" xfId="6076" xr:uid="{00000000-0005-0000-0000-00006D1B0000}"/>
    <cellStyle name="Normal 5 5 2 5 3 2" xfId="14526" xr:uid="{80E66494-BBC7-4F37-A0B9-31CAB06C768F}"/>
    <cellStyle name="Normal 5 5 2 5 4" xfId="10308" xr:uid="{D0C49B39-98D7-43E7-AF21-A76131C50A4F}"/>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6FCB44FD-E89B-4D7B-88F3-0DDA87D29544}"/>
    <cellStyle name="Normal 5 5 2 6 2 3" xfId="12866" xr:uid="{61266953-180E-4739-A5D1-975BD502DBDD}"/>
    <cellStyle name="Normal 5 5 2 6 3" xfId="6489" xr:uid="{00000000-0005-0000-0000-0000711B0000}"/>
    <cellStyle name="Normal 5 5 2 6 3 2" xfId="14939" xr:uid="{00480C17-21BF-437D-8C6D-5AB1C4D466C2}"/>
    <cellStyle name="Normal 5 5 2 6 4" xfId="10721" xr:uid="{2F3B00BD-1FAF-4619-A3B1-76991807F30F}"/>
    <cellStyle name="Normal 5 5 2 7" xfId="2619" xr:uid="{00000000-0005-0000-0000-0000721B0000}"/>
    <cellStyle name="Normal 5 5 2 7 2" xfId="6902" xr:uid="{00000000-0005-0000-0000-0000731B0000}"/>
    <cellStyle name="Normal 5 5 2 7 2 2" xfId="15352" xr:uid="{9DF38E62-CD9A-430D-84E8-915FD52AA4D6}"/>
    <cellStyle name="Normal 5 5 2 7 3" xfId="11134" xr:uid="{A90ECDF6-B9A9-4D2F-B340-4A9D093BFAF8}"/>
    <cellStyle name="Normal 5 5 2 8" xfId="4837" xr:uid="{00000000-0005-0000-0000-0000741B0000}"/>
    <cellStyle name="Normal 5 5 2 8 2" xfId="13287" xr:uid="{D51E9357-36C4-4C97-BC91-E96869B903F7}"/>
    <cellStyle name="Normal 5 5 2 9" xfId="9069" xr:uid="{AB299F54-3F61-4A4C-8624-C999AFEC6AA8}"/>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B3F6001D-AB41-4CCD-B6B0-3B89A77E6AD7}"/>
    <cellStyle name="Normal 5 5 3 2 2 3" xfId="11629" xr:uid="{6712F52A-FD15-4DF8-BC9B-8D88BD6B9019}"/>
    <cellStyle name="Normal 5 5 3 2 3" xfId="5252" xr:uid="{00000000-0005-0000-0000-0000791B0000}"/>
    <cellStyle name="Normal 5 5 3 2 3 2" xfId="13702" xr:uid="{32DFA1ED-D2C2-4215-8A59-BB744A0C0570}"/>
    <cellStyle name="Normal 5 5 3 2 4" xfId="9484" xr:uid="{7EAAB277-FCC6-4019-85A4-0B6F92651698}"/>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0D5ECA2B-7AF8-46CF-8D7E-FC19392D4BAD}"/>
    <cellStyle name="Normal 5 5 3 3 2 3" xfId="12042" xr:uid="{72FE59E8-8689-46F2-8FE1-D954992184E4}"/>
    <cellStyle name="Normal 5 5 3 3 3" xfId="5665" xr:uid="{00000000-0005-0000-0000-00007D1B0000}"/>
    <cellStyle name="Normal 5 5 3 3 3 2" xfId="14115" xr:uid="{98DB6E93-F62D-48D8-82F2-F03B5024E6E8}"/>
    <cellStyle name="Normal 5 5 3 3 4" xfId="9897" xr:uid="{3B5F10FE-CD6D-4F60-9F58-DA4A3745095F}"/>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4FEAEF5A-4CD4-41C0-8D7B-5AA6F4CD8D4F}"/>
    <cellStyle name="Normal 5 5 3 4 2 3" xfId="12455" xr:uid="{C2CE0AAD-D35F-4460-A291-D898AD2C4FAC}"/>
    <cellStyle name="Normal 5 5 3 4 3" xfId="6078" xr:uid="{00000000-0005-0000-0000-0000811B0000}"/>
    <cellStyle name="Normal 5 5 3 4 3 2" xfId="14528" xr:uid="{1A6C828D-7595-4402-95FF-26FCDBD86A1C}"/>
    <cellStyle name="Normal 5 5 3 4 4" xfId="10310" xr:uid="{CA3B5464-65BD-48EF-9595-97643A099E15}"/>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D04EB90E-66CD-468A-9AD7-287CE58CF67F}"/>
    <cellStyle name="Normal 5 5 3 5 2 3" xfId="12868" xr:uid="{63DACBF6-075D-480D-98DE-38742CE6BD1E}"/>
    <cellStyle name="Normal 5 5 3 5 3" xfId="6491" xr:uid="{00000000-0005-0000-0000-0000851B0000}"/>
    <cellStyle name="Normal 5 5 3 5 3 2" xfId="14941" xr:uid="{06F9CE9D-8E8A-4493-815C-F368FC18B518}"/>
    <cellStyle name="Normal 5 5 3 5 4" xfId="10723" xr:uid="{DE746B40-27BE-4E15-B474-F83AD62BB180}"/>
    <cellStyle name="Normal 5 5 3 6" xfId="2621" xr:uid="{00000000-0005-0000-0000-0000861B0000}"/>
    <cellStyle name="Normal 5 5 3 6 2" xfId="6904" xr:uid="{00000000-0005-0000-0000-0000871B0000}"/>
    <cellStyle name="Normal 5 5 3 6 2 2" xfId="15354" xr:uid="{DDD77CCD-1AF1-41EF-B3F1-1B23026FAE8F}"/>
    <cellStyle name="Normal 5 5 3 6 3" xfId="11136" xr:uid="{EEC52E8E-B8FE-4BEC-B73B-D569DC21F46F}"/>
    <cellStyle name="Normal 5 5 3 7" xfId="4839" xr:uid="{00000000-0005-0000-0000-0000881B0000}"/>
    <cellStyle name="Normal 5 5 3 7 2" xfId="13289" xr:uid="{4F6C82B2-57D8-43F9-9EEF-54EFE377A74A}"/>
    <cellStyle name="Normal 5 5 3 8" xfId="9071" xr:uid="{8D9475BE-4688-4231-AB83-17979E37796E}"/>
    <cellStyle name="Normal 5 5 4" xfId="938" xr:uid="{00000000-0005-0000-0000-0000891B0000}"/>
    <cellStyle name="Normal 5 5 4 2" xfId="3172" xr:uid="{00000000-0005-0000-0000-00008A1B0000}"/>
    <cellStyle name="Normal 5 5 4 2 2" xfId="7394" xr:uid="{00000000-0005-0000-0000-00008B1B0000}"/>
    <cellStyle name="Normal 5 5 4 2 2 2" xfId="15844" xr:uid="{AE5887FE-938E-41AE-A67B-5ED0A88D097D}"/>
    <cellStyle name="Normal 5 5 4 2 3" xfId="11626" xr:uid="{249F081E-1EFE-43B1-89AD-8ABA05A87D46}"/>
    <cellStyle name="Normal 5 5 4 3" xfId="5249" xr:uid="{00000000-0005-0000-0000-00008C1B0000}"/>
    <cellStyle name="Normal 5 5 4 3 2" xfId="13699" xr:uid="{6F403B84-1EBE-4FD2-81E6-E1BF4DD9256F}"/>
    <cellStyle name="Normal 5 5 4 4" xfId="9481" xr:uid="{2130E865-CE23-435F-9CA5-28383872F9F8}"/>
    <cellStyle name="Normal 5 5 5" xfId="1355" xr:uid="{00000000-0005-0000-0000-00008D1B0000}"/>
    <cellStyle name="Normal 5 5 5 2" xfId="3585" xr:uid="{00000000-0005-0000-0000-00008E1B0000}"/>
    <cellStyle name="Normal 5 5 5 2 2" xfId="7807" xr:uid="{00000000-0005-0000-0000-00008F1B0000}"/>
    <cellStyle name="Normal 5 5 5 2 2 2" xfId="16257" xr:uid="{9F3A8F55-7810-4AB4-B1FE-A2FB6F2BAEB4}"/>
    <cellStyle name="Normal 5 5 5 2 3" xfId="12039" xr:uid="{5D958FE2-0417-482A-8A11-767F383AB761}"/>
    <cellStyle name="Normal 5 5 5 3" xfId="5662" xr:uid="{00000000-0005-0000-0000-0000901B0000}"/>
    <cellStyle name="Normal 5 5 5 3 2" xfId="14112" xr:uid="{182EAABF-9D2C-4AB8-A336-D31DAF143A1F}"/>
    <cellStyle name="Normal 5 5 5 4" xfId="9894" xr:uid="{9DD01ED9-F9F7-49A0-9CD2-CD2458B61ED9}"/>
    <cellStyle name="Normal 5 5 6" xfId="1768" xr:uid="{00000000-0005-0000-0000-0000911B0000}"/>
    <cellStyle name="Normal 5 5 6 2" xfId="3998" xr:uid="{00000000-0005-0000-0000-0000921B0000}"/>
    <cellStyle name="Normal 5 5 6 2 2" xfId="8220" xr:uid="{00000000-0005-0000-0000-0000931B0000}"/>
    <cellStyle name="Normal 5 5 6 2 2 2" xfId="16670" xr:uid="{EB302007-C41B-4708-9133-B4D7FBE1275B}"/>
    <cellStyle name="Normal 5 5 6 2 3" xfId="12452" xr:uid="{72438E67-7885-4793-AD49-9827FE271244}"/>
    <cellStyle name="Normal 5 5 6 3" xfId="6075" xr:uid="{00000000-0005-0000-0000-0000941B0000}"/>
    <cellStyle name="Normal 5 5 6 3 2" xfId="14525" xr:uid="{6406B90A-461F-4594-8A73-EF282D50CE70}"/>
    <cellStyle name="Normal 5 5 6 4" xfId="10307" xr:uid="{60B1530E-703A-4740-90F4-542464653EB2}"/>
    <cellStyle name="Normal 5 5 7" xfId="2182" xr:uid="{00000000-0005-0000-0000-0000951B0000}"/>
    <cellStyle name="Normal 5 5 7 2" xfId="4411" xr:uid="{00000000-0005-0000-0000-0000961B0000}"/>
    <cellStyle name="Normal 5 5 7 2 2" xfId="8633" xr:uid="{00000000-0005-0000-0000-0000971B0000}"/>
    <cellStyle name="Normal 5 5 7 2 2 2" xfId="17083" xr:uid="{20CFCE99-6185-4E58-BDD4-AD6F0373E344}"/>
    <cellStyle name="Normal 5 5 7 2 3" xfId="12865" xr:uid="{D3424979-947A-42C7-9E83-00A4EAFC9166}"/>
    <cellStyle name="Normal 5 5 7 3" xfId="6488" xr:uid="{00000000-0005-0000-0000-0000981B0000}"/>
    <cellStyle name="Normal 5 5 7 3 2" xfId="14938" xr:uid="{14B97F25-1E30-4376-A647-9868B6E6E1F0}"/>
    <cellStyle name="Normal 5 5 7 4" xfId="10720" xr:uid="{78D83037-65CA-4F7B-8229-63299C4B126E}"/>
    <cellStyle name="Normal 5 5 8" xfId="2618" xr:uid="{00000000-0005-0000-0000-0000991B0000}"/>
    <cellStyle name="Normal 5 5 8 2" xfId="6901" xr:uid="{00000000-0005-0000-0000-00009A1B0000}"/>
    <cellStyle name="Normal 5 5 8 2 2" xfId="15351" xr:uid="{F0ABB542-ED4F-4186-AD0A-451F9B89BA6F}"/>
    <cellStyle name="Normal 5 5 8 3" xfId="11133" xr:uid="{32D3FA70-95D3-4926-9F31-CE7E0CF2C372}"/>
    <cellStyle name="Normal 5 5 9" xfId="4836" xr:uid="{00000000-0005-0000-0000-00009B1B0000}"/>
    <cellStyle name="Normal 5 5 9 2" xfId="13286" xr:uid="{9599AC13-10FF-4870-B6D8-E992202182B3}"/>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A20B2A68-26BD-4C5C-9F11-E8BF79D6EC0D}"/>
    <cellStyle name="Normal 5 6 2 2 2 3" xfId="11631" xr:uid="{A1497581-94A6-4BD8-8900-DE3AA3A76340}"/>
    <cellStyle name="Normal 5 6 2 2 3" xfId="5254" xr:uid="{00000000-0005-0000-0000-0000A11B0000}"/>
    <cellStyle name="Normal 5 6 2 2 3 2" xfId="13704" xr:uid="{C7B270C9-2705-4B13-82C3-3B4D69D38432}"/>
    <cellStyle name="Normal 5 6 2 2 4" xfId="9486" xr:uid="{920279E5-CCF7-4FC9-95D7-3BB0AD366007}"/>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7D6838D5-4E9F-41DD-8AB9-361F81C7473F}"/>
    <cellStyle name="Normal 5 6 2 3 2 3" xfId="12044" xr:uid="{0A13BED4-4FF9-4413-A83A-DF3F37184E1A}"/>
    <cellStyle name="Normal 5 6 2 3 3" xfId="5667" xr:uid="{00000000-0005-0000-0000-0000A51B0000}"/>
    <cellStyle name="Normal 5 6 2 3 3 2" xfId="14117" xr:uid="{8AD9DE9C-6458-4784-B536-F7E5D552AD51}"/>
    <cellStyle name="Normal 5 6 2 3 4" xfId="9899" xr:uid="{B417734E-51D7-4E90-A331-3E911E827610}"/>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C0323471-9AA7-4D5E-B44E-F4777CAFCC94}"/>
    <cellStyle name="Normal 5 6 2 4 2 3" xfId="12457" xr:uid="{6BDADA3E-9EB1-491E-A877-655F5EC7430E}"/>
    <cellStyle name="Normal 5 6 2 4 3" xfId="6080" xr:uid="{00000000-0005-0000-0000-0000A91B0000}"/>
    <cellStyle name="Normal 5 6 2 4 3 2" xfId="14530" xr:uid="{9D7108F0-0E6B-4D8D-B640-24770D855E8F}"/>
    <cellStyle name="Normal 5 6 2 4 4" xfId="10312" xr:uid="{DE54DF01-604F-446F-BBBC-276101641CD8}"/>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290EDF24-0458-4FC3-94CD-45CBC064E579}"/>
    <cellStyle name="Normal 5 6 2 5 2 3" xfId="12870" xr:uid="{09DD2728-676B-40A2-85F5-5CAD26AEDA77}"/>
    <cellStyle name="Normal 5 6 2 5 3" xfId="6493" xr:uid="{00000000-0005-0000-0000-0000AD1B0000}"/>
    <cellStyle name="Normal 5 6 2 5 3 2" xfId="14943" xr:uid="{8EF89DD1-1CCA-4303-B7E2-BCF1662140E2}"/>
    <cellStyle name="Normal 5 6 2 5 4" xfId="10725" xr:uid="{BE7FE908-B661-4B50-BDC3-4EEBC3F11C7E}"/>
    <cellStyle name="Normal 5 6 2 6" xfId="2623" xr:uid="{00000000-0005-0000-0000-0000AE1B0000}"/>
    <cellStyle name="Normal 5 6 2 6 2" xfId="6906" xr:uid="{00000000-0005-0000-0000-0000AF1B0000}"/>
    <cellStyle name="Normal 5 6 2 6 2 2" xfId="15356" xr:uid="{A0D71BB0-D49D-4BCA-932B-E3C324A2DEAD}"/>
    <cellStyle name="Normal 5 6 2 6 3" xfId="11138" xr:uid="{1037878F-0DFB-4250-AB08-5781AA324FBA}"/>
    <cellStyle name="Normal 5 6 2 7" xfId="4841" xr:uid="{00000000-0005-0000-0000-0000B01B0000}"/>
    <cellStyle name="Normal 5 6 2 7 2" xfId="13291" xr:uid="{D32287F3-B3D5-44C8-8685-D8E5F162E377}"/>
    <cellStyle name="Normal 5 6 2 8" xfId="9073" xr:uid="{3D6FF0F8-F65C-4CFD-9C3A-AE4DB9CD5C6C}"/>
    <cellStyle name="Normal 5 6 3" xfId="942" xr:uid="{00000000-0005-0000-0000-0000B11B0000}"/>
    <cellStyle name="Normal 5 6 3 2" xfId="3176" xr:uid="{00000000-0005-0000-0000-0000B21B0000}"/>
    <cellStyle name="Normal 5 6 3 2 2" xfId="7398" xr:uid="{00000000-0005-0000-0000-0000B31B0000}"/>
    <cellStyle name="Normal 5 6 3 2 2 2" xfId="15848" xr:uid="{E96872B1-A66E-4817-95D1-916AEE0C5216}"/>
    <cellStyle name="Normal 5 6 3 2 3" xfId="11630" xr:uid="{4CE45DC7-8DA8-4F24-B4AF-B65E48894CAD}"/>
    <cellStyle name="Normal 5 6 3 3" xfId="5253" xr:uid="{00000000-0005-0000-0000-0000B41B0000}"/>
    <cellStyle name="Normal 5 6 3 3 2" xfId="13703" xr:uid="{46276527-5671-4E7B-816D-EFDAB3D75A02}"/>
    <cellStyle name="Normal 5 6 3 4" xfId="9485" xr:uid="{11A562CD-A5D9-4F25-802B-5686AFC085BC}"/>
    <cellStyle name="Normal 5 6 4" xfId="1359" xr:uid="{00000000-0005-0000-0000-0000B51B0000}"/>
    <cellStyle name="Normal 5 6 4 2" xfId="3589" xr:uid="{00000000-0005-0000-0000-0000B61B0000}"/>
    <cellStyle name="Normal 5 6 4 2 2" xfId="7811" xr:uid="{00000000-0005-0000-0000-0000B71B0000}"/>
    <cellStyle name="Normal 5 6 4 2 2 2" xfId="16261" xr:uid="{C70FC729-0041-4EA3-8FD0-3DE6E69C116F}"/>
    <cellStyle name="Normal 5 6 4 2 3" xfId="12043" xr:uid="{305DFF52-5538-486F-A51B-AAEC3B31106F}"/>
    <cellStyle name="Normal 5 6 4 3" xfId="5666" xr:uid="{00000000-0005-0000-0000-0000B81B0000}"/>
    <cellStyle name="Normal 5 6 4 3 2" xfId="14116" xr:uid="{17713B55-F7D2-4F63-B45A-0A4DA4503817}"/>
    <cellStyle name="Normal 5 6 4 4" xfId="9898" xr:uid="{7B9284ED-C6CE-4AA1-98FC-11E884AFEE6F}"/>
    <cellStyle name="Normal 5 6 5" xfId="1772" xr:uid="{00000000-0005-0000-0000-0000B91B0000}"/>
    <cellStyle name="Normal 5 6 5 2" xfId="4002" xr:uid="{00000000-0005-0000-0000-0000BA1B0000}"/>
    <cellStyle name="Normal 5 6 5 2 2" xfId="8224" xr:uid="{00000000-0005-0000-0000-0000BB1B0000}"/>
    <cellStyle name="Normal 5 6 5 2 2 2" xfId="16674" xr:uid="{40A108EC-A164-49BA-96DC-ACF0FBA1797F}"/>
    <cellStyle name="Normal 5 6 5 2 3" xfId="12456" xr:uid="{1924D81A-CAA8-41C8-B3A1-4D491AC891FD}"/>
    <cellStyle name="Normal 5 6 5 3" xfId="6079" xr:uid="{00000000-0005-0000-0000-0000BC1B0000}"/>
    <cellStyle name="Normal 5 6 5 3 2" xfId="14529" xr:uid="{42B95FE9-DFF2-45F8-BF15-3ED7B54E257A}"/>
    <cellStyle name="Normal 5 6 5 4" xfId="10311" xr:uid="{F9C0F8D5-8C36-42CB-AF55-C9F33D5189F7}"/>
    <cellStyle name="Normal 5 6 6" xfId="2186" xr:uid="{00000000-0005-0000-0000-0000BD1B0000}"/>
    <cellStyle name="Normal 5 6 6 2" xfId="4415" xr:uid="{00000000-0005-0000-0000-0000BE1B0000}"/>
    <cellStyle name="Normal 5 6 6 2 2" xfId="8637" xr:uid="{00000000-0005-0000-0000-0000BF1B0000}"/>
    <cellStyle name="Normal 5 6 6 2 2 2" xfId="17087" xr:uid="{4EE70C58-3AD6-497B-9A07-8616F2885F64}"/>
    <cellStyle name="Normal 5 6 6 2 3" xfId="12869" xr:uid="{BCD58574-AD2A-4745-85EB-CE13C212C481}"/>
    <cellStyle name="Normal 5 6 6 3" xfId="6492" xr:uid="{00000000-0005-0000-0000-0000C01B0000}"/>
    <cellStyle name="Normal 5 6 6 3 2" xfId="14942" xr:uid="{72D31F42-DB5E-4555-9CC5-AAE3F431B00F}"/>
    <cellStyle name="Normal 5 6 6 4" xfId="10724" xr:uid="{BBC94513-288B-4FF1-8266-C69BCCAD46A0}"/>
    <cellStyle name="Normal 5 6 7" xfId="2622" xr:uid="{00000000-0005-0000-0000-0000C11B0000}"/>
    <cellStyle name="Normal 5 6 7 2" xfId="6905" xr:uid="{00000000-0005-0000-0000-0000C21B0000}"/>
    <cellStyle name="Normal 5 6 7 2 2" xfId="15355" xr:uid="{D5F4E14C-87DD-4212-A0D3-7AB92BB38034}"/>
    <cellStyle name="Normal 5 6 7 3" xfId="11137" xr:uid="{3FF00772-90CB-49EE-B74F-AFC193AF2D08}"/>
    <cellStyle name="Normal 5 6 8" xfId="4840" xr:uid="{00000000-0005-0000-0000-0000C31B0000}"/>
    <cellStyle name="Normal 5 6 8 2" xfId="13290" xr:uid="{51A9B3B1-1CD5-477A-BB13-56587D889893}"/>
    <cellStyle name="Normal 5 6 9" xfId="9072" xr:uid="{4799260E-445F-4E6F-A7C3-CCE601B38F72}"/>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0395F11A-BCC9-4428-9104-8FF0A2C2F678}"/>
    <cellStyle name="Normal 5 7 2 2 3" xfId="11632" xr:uid="{336444EA-BE97-49DA-9787-7E43AE380753}"/>
    <cellStyle name="Normal 5 7 2 3" xfId="5255" xr:uid="{00000000-0005-0000-0000-0000C81B0000}"/>
    <cellStyle name="Normal 5 7 2 3 2" xfId="13705" xr:uid="{094501D4-8598-41CE-814C-B4515DF77A73}"/>
    <cellStyle name="Normal 5 7 2 4" xfId="9487" xr:uid="{EB75D699-0C53-4638-A2FD-36A49EA6CD07}"/>
    <cellStyle name="Normal 5 7 3" xfId="1361" xr:uid="{00000000-0005-0000-0000-0000C91B0000}"/>
    <cellStyle name="Normal 5 7 3 2" xfId="3591" xr:uid="{00000000-0005-0000-0000-0000CA1B0000}"/>
    <cellStyle name="Normal 5 7 3 2 2" xfId="7813" xr:uid="{00000000-0005-0000-0000-0000CB1B0000}"/>
    <cellStyle name="Normal 5 7 3 2 2 2" xfId="16263" xr:uid="{1EE88A8D-2933-4858-8434-92BE25E5B4ED}"/>
    <cellStyle name="Normal 5 7 3 2 3" xfId="12045" xr:uid="{10AAB39A-5AD4-4883-BEE0-D6F4CA30781D}"/>
    <cellStyle name="Normal 5 7 3 3" xfId="5668" xr:uid="{00000000-0005-0000-0000-0000CC1B0000}"/>
    <cellStyle name="Normal 5 7 3 3 2" xfId="14118" xr:uid="{B1700F3B-F4CA-4A3A-9928-54EBD4FCDEBA}"/>
    <cellStyle name="Normal 5 7 3 4" xfId="9900" xr:uid="{FA09345A-265B-471E-B9F6-89206BD328F7}"/>
    <cellStyle name="Normal 5 7 4" xfId="1774" xr:uid="{00000000-0005-0000-0000-0000CD1B0000}"/>
    <cellStyle name="Normal 5 7 4 2" xfId="4004" xr:uid="{00000000-0005-0000-0000-0000CE1B0000}"/>
    <cellStyle name="Normal 5 7 4 2 2" xfId="8226" xr:uid="{00000000-0005-0000-0000-0000CF1B0000}"/>
    <cellStyle name="Normal 5 7 4 2 2 2" xfId="16676" xr:uid="{D89C563C-89AC-46DB-8F19-3612F5D3044D}"/>
    <cellStyle name="Normal 5 7 4 2 3" xfId="12458" xr:uid="{3AC2BD0C-8607-4FFF-BF08-ED503EDBC580}"/>
    <cellStyle name="Normal 5 7 4 3" xfId="6081" xr:uid="{00000000-0005-0000-0000-0000D01B0000}"/>
    <cellStyle name="Normal 5 7 4 3 2" xfId="14531" xr:uid="{EA4E7723-1636-4606-A801-CD0D44C45EE0}"/>
    <cellStyle name="Normal 5 7 4 4" xfId="10313" xr:uid="{DE570A95-BE24-47F8-A144-FA85E97FA710}"/>
    <cellStyle name="Normal 5 7 5" xfId="2188" xr:uid="{00000000-0005-0000-0000-0000D11B0000}"/>
    <cellStyle name="Normal 5 7 5 2" xfId="4417" xr:uid="{00000000-0005-0000-0000-0000D21B0000}"/>
    <cellStyle name="Normal 5 7 5 2 2" xfId="8639" xr:uid="{00000000-0005-0000-0000-0000D31B0000}"/>
    <cellStyle name="Normal 5 7 5 2 2 2" xfId="17089" xr:uid="{89EFB21B-EE2D-4F63-B138-598B41A6F281}"/>
    <cellStyle name="Normal 5 7 5 2 3" xfId="12871" xr:uid="{FCC18BEC-6DCA-45CF-B972-D37F1EF58C71}"/>
    <cellStyle name="Normal 5 7 5 3" xfId="6494" xr:uid="{00000000-0005-0000-0000-0000D41B0000}"/>
    <cellStyle name="Normal 5 7 5 3 2" xfId="14944" xr:uid="{ACE5DC69-5C4E-4EF8-94D6-6589AD0CE396}"/>
    <cellStyle name="Normal 5 7 5 4" xfId="10726" xr:uid="{2CB6AEE0-D26F-4A40-8EB3-A14DF925F946}"/>
    <cellStyle name="Normal 5 7 6" xfId="2624" xr:uid="{00000000-0005-0000-0000-0000D51B0000}"/>
    <cellStyle name="Normal 5 7 6 2" xfId="6907" xr:uid="{00000000-0005-0000-0000-0000D61B0000}"/>
    <cellStyle name="Normal 5 7 6 2 2" xfId="15357" xr:uid="{04ED863E-DCF0-4B7D-96B1-AF8029B69EEA}"/>
    <cellStyle name="Normal 5 7 6 3" xfId="11139" xr:uid="{D7FEE41D-D996-461A-9903-D2D63F7F804B}"/>
    <cellStyle name="Normal 5 7 7" xfId="4842" xr:uid="{00000000-0005-0000-0000-0000D71B0000}"/>
    <cellStyle name="Normal 5 7 7 2" xfId="13292" xr:uid="{BAB39C83-2DF9-4C92-8E58-A2BF03464B87}"/>
    <cellStyle name="Normal 5 7 8" xfId="9074" xr:uid="{B5DF864D-BD99-4C05-A1F5-A7A402B17FA9}"/>
    <cellStyle name="Normal 5 8" xfId="880" xr:uid="{00000000-0005-0000-0000-0000D81B0000}"/>
    <cellStyle name="Normal 5 8 2" xfId="3115" xr:uid="{00000000-0005-0000-0000-0000D91B0000}"/>
    <cellStyle name="Normal 5 8 2 2" xfId="7337" xr:uid="{00000000-0005-0000-0000-0000DA1B0000}"/>
    <cellStyle name="Normal 5 8 2 2 2" xfId="15787" xr:uid="{042554D7-4F46-4112-BC37-DBB2E224D6E2}"/>
    <cellStyle name="Normal 5 8 2 3" xfId="11569" xr:uid="{D9D00168-9B76-4BCD-A4AF-C5E6227B9819}"/>
    <cellStyle name="Normal 5 8 3" xfId="5192" xr:uid="{00000000-0005-0000-0000-0000DB1B0000}"/>
    <cellStyle name="Normal 5 8 3 2" xfId="13642" xr:uid="{6A328233-C920-404F-8E16-6763D30079AE}"/>
    <cellStyle name="Normal 5 8 4" xfId="9424" xr:uid="{C8C4BC6B-F56A-4115-8317-0B64215001D5}"/>
    <cellStyle name="Normal 5 9" xfId="1298" xr:uid="{00000000-0005-0000-0000-0000DC1B0000}"/>
    <cellStyle name="Normal 5 9 2" xfId="3528" xr:uid="{00000000-0005-0000-0000-0000DD1B0000}"/>
    <cellStyle name="Normal 5 9 2 2" xfId="7750" xr:uid="{00000000-0005-0000-0000-0000DE1B0000}"/>
    <cellStyle name="Normal 5 9 2 2 2" xfId="16200" xr:uid="{1200B6E5-D496-4247-A5CA-29EC2AABE756}"/>
    <cellStyle name="Normal 5 9 2 3" xfId="11982" xr:uid="{274CCCC0-CDB9-4B0A-8EA1-80CD99D52A8F}"/>
    <cellStyle name="Normal 5 9 3" xfId="5605" xr:uid="{00000000-0005-0000-0000-0000DF1B0000}"/>
    <cellStyle name="Normal 5 9 3 2" xfId="14055" xr:uid="{39909314-BEE8-4AA0-A25E-44EE236262B6}"/>
    <cellStyle name="Normal 5 9 4" xfId="9837" xr:uid="{816676C5-7C72-4AF4-8395-D2F443C30DB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4DAF806C-A856-4C58-8556-D3F1AB0BA52A}"/>
    <cellStyle name="Normal 8 10 2 3" xfId="12872" xr:uid="{F2BDD4A5-3086-46EE-AF9F-873DF74D480D}"/>
    <cellStyle name="Normal 8 10 3" xfId="6495" xr:uid="{00000000-0005-0000-0000-0000EB1B0000}"/>
    <cellStyle name="Normal 8 10 3 2" xfId="14945" xr:uid="{1E572261-FECB-44A4-866E-96A65AC7D34F}"/>
    <cellStyle name="Normal 8 10 4" xfId="10727" xr:uid="{670CC709-9449-48A6-BE27-0E60B98012B6}"/>
    <cellStyle name="Normal 8 11" xfId="2625" xr:uid="{00000000-0005-0000-0000-0000EC1B0000}"/>
    <cellStyle name="Normal 8 11 2" xfId="6908" xr:uid="{00000000-0005-0000-0000-0000ED1B0000}"/>
    <cellStyle name="Normal 8 11 2 2" xfId="15358" xr:uid="{95D53851-676D-426F-8015-7FF1D10B941E}"/>
    <cellStyle name="Normal 8 11 3" xfId="11140" xr:uid="{56EA625A-4D1B-4A2A-850C-FF7B4EA0126F}"/>
    <cellStyle name="Normal 8 12" xfId="4843" xr:uid="{00000000-0005-0000-0000-0000EE1B0000}"/>
    <cellStyle name="Normal 8 12 2" xfId="13293" xr:uid="{32BA1204-4CF9-46D0-83BF-0BCF577F474F}"/>
    <cellStyle name="Normal 8 13" xfId="9075" xr:uid="{50E7A0FD-34DA-4DC6-B9DF-D4DFAF8CDFF8}"/>
    <cellStyle name="Normal 8 2" xfId="479" xr:uid="{00000000-0005-0000-0000-0000EF1B0000}"/>
    <cellStyle name="Normal 8 2 10" xfId="2626" xr:uid="{00000000-0005-0000-0000-0000F01B0000}"/>
    <cellStyle name="Normal 8 2 10 2" xfId="6909" xr:uid="{00000000-0005-0000-0000-0000F11B0000}"/>
    <cellStyle name="Normal 8 2 10 2 2" xfId="15359" xr:uid="{C792A148-A830-4445-8DDB-7C9E089C4902}"/>
    <cellStyle name="Normal 8 2 10 3" xfId="11141" xr:uid="{B161ADFB-F938-495B-A230-7707EDA262E0}"/>
    <cellStyle name="Normal 8 2 11" xfId="4844" xr:uid="{00000000-0005-0000-0000-0000F21B0000}"/>
    <cellStyle name="Normal 8 2 11 2" xfId="13294" xr:uid="{A7282DE2-936A-41EF-A0AD-5E74041E4380}"/>
    <cellStyle name="Normal 8 2 12" xfId="9076" xr:uid="{2C3D9E16-EFE1-4FD4-9968-A07926427A04}"/>
    <cellStyle name="Normal 8 2 2" xfId="480" xr:uid="{00000000-0005-0000-0000-0000F31B0000}"/>
    <cellStyle name="Normal 8 2 2 10" xfId="4845" xr:uid="{00000000-0005-0000-0000-0000F41B0000}"/>
    <cellStyle name="Normal 8 2 2 10 2" xfId="13295" xr:uid="{C23AD7BB-84C0-4F91-B218-33F13289C34B}"/>
    <cellStyle name="Normal 8 2 2 11" xfId="9077" xr:uid="{5B22DC71-C893-481C-957D-63A94E38C450}"/>
    <cellStyle name="Normal 8 2 2 2" xfId="481" xr:uid="{00000000-0005-0000-0000-0000F51B0000}"/>
    <cellStyle name="Normal 8 2 2 2 10" xfId="9078" xr:uid="{32DEC9BA-8F61-494A-9B38-3C1829BD0D4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F4C6B6D3-D939-4DA5-9D36-8969B6AACFE1}"/>
    <cellStyle name="Normal 8 2 2 2 2 2 2 2 3" xfId="11638" xr:uid="{3A62E172-41E9-4952-A238-E020AE9E3806}"/>
    <cellStyle name="Normal 8 2 2 2 2 2 2 3" xfId="5261" xr:uid="{00000000-0005-0000-0000-0000FB1B0000}"/>
    <cellStyle name="Normal 8 2 2 2 2 2 2 3 2" xfId="13711" xr:uid="{20BE8DFB-B466-468F-844A-F67769A370CA}"/>
    <cellStyle name="Normal 8 2 2 2 2 2 2 4" xfId="9493" xr:uid="{B9A600BD-56E3-4FF2-B49F-44410EC822D8}"/>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6D5D4C05-DBDE-43C0-8995-4144D9F00281}"/>
    <cellStyle name="Normal 8 2 2 2 2 2 3 2 3" xfId="12051" xr:uid="{A4DFDCF1-9433-42B4-AE2B-D31D3E7422C8}"/>
    <cellStyle name="Normal 8 2 2 2 2 2 3 3" xfId="5674" xr:uid="{00000000-0005-0000-0000-0000FF1B0000}"/>
    <cellStyle name="Normal 8 2 2 2 2 2 3 3 2" xfId="14124" xr:uid="{0DC9DF28-2173-4E2B-9D05-3CFF012220E8}"/>
    <cellStyle name="Normal 8 2 2 2 2 2 3 4" xfId="9906" xr:uid="{42E6BB23-32D6-4FBA-BDB8-41BF70871924}"/>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857F835F-7A9C-4FAB-B2BE-9047752C79DB}"/>
    <cellStyle name="Normal 8 2 2 2 2 2 4 2 3" xfId="12464" xr:uid="{C4CC2EA5-3E85-4F3F-9D4D-6A2354B9CF53}"/>
    <cellStyle name="Normal 8 2 2 2 2 2 4 3" xfId="6087" xr:uid="{00000000-0005-0000-0000-0000031C0000}"/>
    <cellStyle name="Normal 8 2 2 2 2 2 4 3 2" xfId="14537" xr:uid="{31C4C6E2-20D3-4D38-A0A7-C623B4EAC944}"/>
    <cellStyle name="Normal 8 2 2 2 2 2 4 4" xfId="10319" xr:uid="{98522E74-DE67-43AA-9DB3-25B2877CBFD8}"/>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2E10E834-1A10-4BEB-84F7-012F3E590278}"/>
    <cellStyle name="Normal 8 2 2 2 2 2 5 2 3" xfId="12877" xr:uid="{CA48C01B-6BB4-44B3-BDC2-026634D44B63}"/>
    <cellStyle name="Normal 8 2 2 2 2 2 5 3" xfId="6500" xr:uid="{00000000-0005-0000-0000-0000071C0000}"/>
    <cellStyle name="Normal 8 2 2 2 2 2 5 3 2" xfId="14950" xr:uid="{FD9ED800-4DBA-45C5-A0C3-948FF726A0FA}"/>
    <cellStyle name="Normal 8 2 2 2 2 2 5 4" xfId="10732" xr:uid="{CCAFB6FD-EBFC-4BC9-9CF7-CF2A143CC2E5}"/>
    <cellStyle name="Normal 8 2 2 2 2 2 6" xfId="2630" xr:uid="{00000000-0005-0000-0000-0000081C0000}"/>
    <cellStyle name="Normal 8 2 2 2 2 2 6 2" xfId="6913" xr:uid="{00000000-0005-0000-0000-0000091C0000}"/>
    <cellStyle name="Normal 8 2 2 2 2 2 6 2 2" xfId="15363" xr:uid="{75B08F41-35A9-4356-880A-EB47B8C900FD}"/>
    <cellStyle name="Normal 8 2 2 2 2 2 6 3" xfId="11145" xr:uid="{25BFF7EB-2C92-42B6-B372-0160E76695D9}"/>
    <cellStyle name="Normal 8 2 2 2 2 2 7" xfId="4848" xr:uid="{00000000-0005-0000-0000-00000A1C0000}"/>
    <cellStyle name="Normal 8 2 2 2 2 2 7 2" xfId="13298" xr:uid="{B247A678-D4D0-4587-AB11-1E6741826EEE}"/>
    <cellStyle name="Normal 8 2 2 2 2 2 8" xfId="9080" xr:uid="{AEE9648A-C747-47F7-8C9C-0C612F6CA24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C9AC2897-08D1-4A37-B681-EC50863298A8}"/>
    <cellStyle name="Normal 8 2 2 2 2 3 2 3" xfId="11637" xr:uid="{486A9961-856F-4309-B9C2-1574D137C4CF}"/>
    <cellStyle name="Normal 8 2 2 2 2 3 3" xfId="5260" xr:uid="{00000000-0005-0000-0000-00000E1C0000}"/>
    <cellStyle name="Normal 8 2 2 2 2 3 3 2" xfId="13710" xr:uid="{3E98DC0B-27B0-4C8D-BFF4-C69FA01B7EC0}"/>
    <cellStyle name="Normal 8 2 2 2 2 3 4" xfId="9492" xr:uid="{266CE90B-DBCD-43D3-80A5-3950D07CF95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9F4E8563-C924-4DCD-B0C9-56660CBAE894}"/>
    <cellStyle name="Normal 8 2 2 2 2 4 2 3" xfId="12050" xr:uid="{01DC22EC-0B58-4C78-96C6-F3E23083A538}"/>
    <cellStyle name="Normal 8 2 2 2 2 4 3" xfId="5673" xr:uid="{00000000-0005-0000-0000-0000121C0000}"/>
    <cellStyle name="Normal 8 2 2 2 2 4 3 2" xfId="14123" xr:uid="{C715C5C8-42BC-47A5-9FCE-2BC622E5D900}"/>
    <cellStyle name="Normal 8 2 2 2 2 4 4" xfId="9905" xr:uid="{9493F64A-6CD2-4F75-AA39-AD5A1C1CBD1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3D2532A7-652C-4A28-A343-A9296B2CBE97}"/>
    <cellStyle name="Normal 8 2 2 2 2 5 2 3" xfId="12463" xr:uid="{C95DEB8F-786F-4984-B5AE-3281896E692A}"/>
    <cellStyle name="Normal 8 2 2 2 2 5 3" xfId="6086" xr:uid="{00000000-0005-0000-0000-0000161C0000}"/>
    <cellStyle name="Normal 8 2 2 2 2 5 3 2" xfId="14536" xr:uid="{38807DE4-897C-4CF7-BB85-8580F73F0F73}"/>
    <cellStyle name="Normal 8 2 2 2 2 5 4" xfId="10318" xr:uid="{E092B46F-DA7E-4C3B-82BB-6F9270DA8956}"/>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65B0B1A1-AD3E-4463-9F6E-2E64C639A176}"/>
    <cellStyle name="Normal 8 2 2 2 2 6 2 3" xfId="12876" xr:uid="{85A081DA-1E3C-476E-BEF2-93E363550970}"/>
    <cellStyle name="Normal 8 2 2 2 2 6 3" xfId="6499" xr:uid="{00000000-0005-0000-0000-00001A1C0000}"/>
    <cellStyle name="Normal 8 2 2 2 2 6 3 2" xfId="14949" xr:uid="{3F0CE598-C0D6-440A-82B7-9A742F900A74}"/>
    <cellStyle name="Normal 8 2 2 2 2 6 4" xfId="10731" xr:uid="{EF910A93-B1E1-4F64-9005-A8948E07C093}"/>
    <cellStyle name="Normal 8 2 2 2 2 7" xfId="2629" xr:uid="{00000000-0005-0000-0000-00001B1C0000}"/>
    <cellStyle name="Normal 8 2 2 2 2 7 2" xfId="6912" xr:uid="{00000000-0005-0000-0000-00001C1C0000}"/>
    <cellStyle name="Normal 8 2 2 2 2 7 2 2" xfId="15362" xr:uid="{A0A89519-3C69-48C2-8017-33A044C715E7}"/>
    <cellStyle name="Normal 8 2 2 2 2 7 3" xfId="11144" xr:uid="{7CC412E3-C5F4-4505-8C76-233CACA19F0B}"/>
    <cellStyle name="Normal 8 2 2 2 2 8" xfId="4847" xr:uid="{00000000-0005-0000-0000-00001D1C0000}"/>
    <cellStyle name="Normal 8 2 2 2 2 8 2" xfId="13297" xr:uid="{11E4091E-D992-481A-8222-89C125D29299}"/>
    <cellStyle name="Normal 8 2 2 2 2 9" xfId="9079" xr:uid="{CDF4AE73-206B-4683-A0D1-851E1183A1E4}"/>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E83A1AFA-1107-418A-8367-3B5142FA2898}"/>
    <cellStyle name="Normal 8 2 2 2 3 2 2 3" xfId="11639" xr:uid="{8552316E-1F95-43DD-849D-B3682D49B51E}"/>
    <cellStyle name="Normal 8 2 2 2 3 2 3" xfId="5262" xr:uid="{00000000-0005-0000-0000-0000221C0000}"/>
    <cellStyle name="Normal 8 2 2 2 3 2 3 2" xfId="13712" xr:uid="{1DDE56D8-F194-42D3-A666-BF6FAA9A4B3A}"/>
    <cellStyle name="Normal 8 2 2 2 3 2 4" xfId="9494" xr:uid="{08F27F97-DF41-4FDB-834D-0AF5F337BD4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A1CC0186-A3D0-498D-99F5-5E300F397F7E}"/>
    <cellStyle name="Normal 8 2 2 2 3 3 2 3" xfId="12052" xr:uid="{BE3F6DE0-72F7-478C-A1E4-3405D5D05EB6}"/>
    <cellStyle name="Normal 8 2 2 2 3 3 3" xfId="5675" xr:uid="{00000000-0005-0000-0000-0000261C0000}"/>
    <cellStyle name="Normal 8 2 2 2 3 3 3 2" xfId="14125" xr:uid="{17FB66CC-35D5-4447-9A5F-2AD639EE97D3}"/>
    <cellStyle name="Normal 8 2 2 2 3 3 4" xfId="9907" xr:uid="{0EBBA258-6D4D-495A-A98F-623C2A8912DC}"/>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294509D0-DE9F-48BA-89C0-DDE74D4F706C}"/>
    <cellStyle name="Normal 8 2 2 2 3 4 2 3" xfId="12465" xr:uid="{8287B185-8626-46CC-AD20-EB3299F59781}"/>
    <cellStyle name="Normal 8 2 2 2 3 4 3" xfId="6088" xr:uid="{00000000-0005-0000-0000-00002A1C0000}"/>
    <cellStyle name="Normal 8 2 2 2 3 4 3 2" xfId="14538" xr:uid="{CC84DE56-5701-4563-910A-6F758675E1AB}"/>
    <cellStyle name="Normal 8 2 2 2 3 4 4" xfId="10320" xr:uid="{F9E1618D-3028-46C3-BE2B-7D4BB4C6151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8BD7D649-D600-4145-86FB-1B4DE9DBEA48}"/>
    <cellStyle name="Normal 8 2 2 2 3 5 2 3" xfId="12878" xr:uid="{B56CF7B1-C1DE-480C-A630-B25E1BDD6B87}"/>
    <cellStyle name="Normal 8 2 2 2 3 5 3" xfId="6501" xr:uid="{00000000-0005-0000-0000-00002E1C0000}"/>
    <cellStyle name="Normal 8 2 2 2 3 5 3 2" xfId="14951" xr:uid="{589DE491-410A-49AC-AB48-B0A21070087D}"/>
    <cellStyle name="Normal 8 2 2 2 3 5 4" xfId="10733" xr:uid="{37FEA146-C285-423D-A798-31D27D295376}"/>
    <cellStyle name="Normal 8 2 2 2 3 6" xfId="2631" xr:uid="{00000000-0005-0000-0000-00002F1C0000}"/>
    <cellStyle name="Normal 8 2 2 2 3 6 2" xfId="6914" xr:uid="{00000000-0005-0000-0000-0000301C0000}"/>
    <cellStyle name="Normal 8 2 2 2 3 6 2 2" xfId="15364" xr:uid="{CE63230B-FB5D-4253-80BF-0CAF37E632B0}"/>
    <cellStyle name="Normal 8 2 2 2 3 6 3" xfId="11146" xr:uid="{569713AF-871B-4E80-AA25-962BCA2331ED}"/>
    <cellStyle name="Normal 8 2 2 2 3 7" xfId="4849" xr:uid="{00000000-0005-0000-0000-0000311C0000}"/>
    <cellStyle name="Normal 8 2 2 2 3 7 2" xfId="13299" xr:uid="{1D04766B-07C3-424E-92E0-2F8F0B57C738}"/>
    <cellStyle name="Normal 8 2 2 2 3 8" xfId="9081" xr:uid="{D8C78CF0-5495-4BEE-B6A1-2B4D5BBB35B3}"/>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65CCE676-C592-4F47-B684-F120F55C5DEB}"/>
    <cellStyle name="Normal 8 2 2 2 4 2 3" xfId="11636" xr:uid="{94472F5D-F292-4C40-8C48-563BC35682F7}"/>
    <cellStyle name="Normal 8 2 2 2 4 3" xfId="5259" xr:uid="{00000000-0005-0000-0000-0000351C0000}"/>
    <cellStyle name="Normal 8 2 2 2 4 3 2" xfId="13709" xr:uid="{A6429216-ABF4-4761-A931-6CE02F8F1AEA}"/>
    <cellStyle name="Normal 8 2 2 2 4 4" xfId="9491" xr:uid="{5CE245D1-7D3D-493A-92B1-8DBE281F3EA8}"/>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0493CC0C-1B13-4A88-8739-2474CE88BAF3}"/>
    <cellStyle name="Normal 8 2 2 2 5 2 3" xfId="12049" xr:uid="{2B52812B-1F16-4D0E-BDC6-AEABCD9BD704}"/>
    <cellStyle name="Normal 8 2 2 2 5 3" xfId="5672" xr:uid="{00000000-0005-0000-0000-0000391C0000}"/>
    <cellStyle name="Normal 8 2 2 2 5 3 2" xfId="14122" xr:uid="{6A59228A-52F4-4D3F-A0BD-F47F889D05B0}"/>
    <cellStyle name="Normal 8 2 2 2 5 4" xfId="9904" xr:uid="{44196E87-EC9C-4725-B51C-02C52D91C553}"/>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17F24A44-0BA0-4FC0-A21B-215BD04B05D4}"/>
    <cellStyle name="Normal 8 2 2 2 6 2 3" xfId="12462" xr:uid="{645D4B1E-24E6-4910-8A10-D781E96101A1}"/>
    <cellStyle name="Normal 8 2 2 2 6 3" xfId="6085" xr:uid="{00000000-0005-0000-0000-00003D1C0000}"/>
    <cellStyle name="Normal 8 2 2 2 6 3 2" xfId="14535" xr:uid="{38635125-F416-4606-8BF5-BD6002DB1304}"/>
    <cellStyle name="Normal 8 2 2 2 6 4" xfId="10317" xr:uid="{E5E2E88E-626F-4242-9A7F-8A1FACA480C8}"/>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F0589F6A-CA95-4727-AEDE-A2144146DA09}"/>
    <cellStyle name="Normal 8 2 2 2 7 2 3" xfId="12875" xr:uid="{A2ABFDD5-CC63-4E5D-ADDB-B858069405D1}"/>
    <cellStyle name="Normal 8 2 2 2 7 3" xfId="6498" xr:uid="{00000000-0005-0000-0000-0000411C0000}"/>
    <cellStyle name="Normal 8 2 2 2 7 3 2" xfId="14948" xr:uid="{60CBBBC6-408D-4A5C-B5CA-1C90458545B2}"/>
    <cellStyle name="Normal 8 2 2 2 7 4" xfId="10730" xr:uid="{FEEE2C63-3184-47A8-948E-4D43CA40C86F}"/>
    <cellStyle name="Normal 8 2 2 2 8" xfId="2628" xr:uid="{00000000-0005-0000-0000-0000421C0000}"/>
    <cellStyle name="Normal 8 2 2 2 8 2" xfId="6911" xr:uid="{00000000-0005-0000-0000-0000431C0000}"/>
    <cellStyle name="Normal 8 2 2 2 8 2 2" xfId="15361" xr:uid="{76616FE5-FAF7-4E56-8BBD-D14929CFCDE7}"/>
    <cellStyle name="Normal 8 2 2 2 8 3" xfId="11143" xr:uid="{92421A14-7F5B-4772-940F-0236C4A77269}"/>
    <cellStyle name="Normal 8 2 2 2 9" xfId="4846" xr:uid="{00000000-0005-0000-0000-0000441C0000}"/>
    <cellStyle name="Normal 8 2 2 2 9 2" xfId="13296" xr:uid="{EC9538E9-EC30-4646-A245-A168C5CA82F7}"/>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4715622F-74D2-47DE-A035-126B3FDB89B9}"/>
    <cellStyle name="Normal 8 2 2 3 2 2 2 3" xfId="11641" xr:uid="{F2E0EBF5-6AC5-4815-BD11-6891656E3996}"/>
    <cellStyle name="Normal 8 2 2 3 2 2 3" xfId="5264" xr:uid="{00000000-0005-0000-0000-00004A1C0000}"/>
    <cellStyle name="Normal 8 2 2 3 2 2 3 2" xfId="13714" xr:uid="{1A18D60D-3B1C-43D6-B867-363B9F9BC1E8}"/>
    <cellStyle name="Normal 8 2 2 3 2 2 4" xfId="9496" xr:uid="{00C62C76-106F-4AA3-AC73-659042E05EBD}"/>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57B4A169-921D-4BF0-A88C-8CC5832992CB}"/>
    <cellStyle name="Normal 8 2 2 3 2 3 2 3" xfId="12054" xr:uid="{F1502808-8F0F-4163-87F6-1AD6B4B8AD98}"/>
    <cellStyle name="Normal 8 2 2 3 2 3 3" xfId="5677" xr:uid="{00000000-0005-0000-0000-00004E1C0000}"/>
    <cellStyle name="Normal 8 2 2 3 2 3 3 2" xfId="14127" xr:uid="{75C7E0FA-C861-4DB6-BA71-9DD067D05E6D}"/>
    <cellStyle name="Normal 8 2 2 3 2 3 4" xfId="9909" xr:uid="{B9372C89-BBE3-494B-B323-D139928B89D8}"/>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D01C028B-132B-40A2-969E-07BCEEC0506D}"/>
    <cellStyle name="Normal 8 2 2 3 2 4 2 3" xfId="12467" xr:uid="{1EDA7CC1-21D2-48CC-8A74-5F1346BD3E21}"/>
    <cellStyle name="Normal 8 2 2 3 2 4 3" xfId="6090" xr:uid="{00000000-0005-0000-0000-0000521C0000}"/>
    <cellStyle name="Normal 8 2 2 3 2 4 3 2" xfId="14540" xr:uid="{FBE81D5A-EB15-4508-BFD3-93A40F36C6A5}"/>
    <cellStyle name="Normal 8 2 2 3 2 4 4" xfId="10322" xr:uid="{A0114001-9128-465F-A886-BC8F41C76D58}"/>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584B98E7-89A0-4FF6-9C46-EF8CD64FD330}"/>
    <cellStyle name="Normal 8 2 2 3 2 5 2 3" xfId="12880" xr:uid="{D232E5F8-50D8-457B-A0B8-68E411A0C866}"/>
    <cellStyle name="Normal 8 2 2 3 2 5 3" xfId="6503" xr:uid="{00000000-0005-0000-0000-0000561C0000}"/>
    <cellStyle name="Normal 8 2 2 3 2 5 3 2" xfId="14953" xr:uid="{8DA12638-9C5F-4B7A-A29A-F7213BB30D29}"/>
    <cellStyle name="Normal 8 2 2 3 2 5 4" xfId="10735" xr:uid="{AD3E762F-1CAF-40E1-AE75-A4CC9D85DD3F}"/>
    <cellStyle name="Normal 8 2 2 3 2 6" xfId="2633" xr:uid="{00000000-0005-0000-0000-0000571C0000}"/>
    <cellStyle name="Normal 8 2 2 3 2 6 2" xfId="6916" xr:uid="{00000000-0005-0000-0000-0000581C0000}"/>
    <cellStyle name="Normal 8 2 2 3 2 6 2 2" xfId="15366" xr:uid="{24FEB45D-3B9C-43E2-B929-6D6F52E1B022}"/>
    <cellStyle name="Normal 8 2 2 3 2 6 3" xfId="11148" xr:uid="{7BDB5F69-9782-432E-890F-8048FDBA2523}"/>
    <cellStyle name="Normal 8 2 2 3 2 7" xfId="4851" xr:uid="{00000000-0005-0000-0000-0000591C0000}"/>
    <cellStyle name="Normal 8 2 2 3 2 7 2" xfId="13301" xr:uid="{2CCD8A6C-7637-4490-92DC-5BC281209C77}"/>
    <cellStyle name="Normal 8 2 2 3 2 8" xfId="9083" xr:uid="{4B91093D-7752-4D92-9E6A-64466B1220A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D9DABF9B-24F1-438F-A2BC-893D953A49F7}"/>
    <cellStyle name="Normal 8 2 2 3 3 2 3" xfId="11640" xr:uid="{D1E4BE15-5C78-4DEA-B68E-ECD981C8AC61}"/>
    <cellStyle name="Normal 8 2 2 3 3 3" xfId="5263" xr:uid="{00000000-0005-0000-0000-00005D1C0000}"/>
    <cellStyle name="Normal 8 2 2 3 3 3 2" xfId="13713" xr:uid="{19F4FD87-DDC6-472E-8D57-57F52BF747AC}"/>
    <cellStyle name="Normal 8 2 2 3 3 4" xfId="9495" xr:uid="{4E064DD9-CDEF-4EF4-A2EC-1A7A12A5D6F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008C3677-872F-48AC-8035-16C7F970E957}"/>
    <cellStyle name="Normal 8 2 2 3 4 2 3" xfId="12053" xr:uid="{6303251B-263B-4D05-803C-1DF52175BD3E}"/>
    <cellStyle name="Normal 8 2 2 3 4 3" xfId="5676" xr:uid="{00000000-0005-0000-0000-0000611C0000}"/>
    <cellStyle name="Normal 8 2 2 3 4 3 2" xfId="14126" xr:uid="{6E8AF91C-49D4-42E4-8C4C-8821A0416071}"/>
    <cellStyle name="Normal 8 2 2 3 4 4" xfId="9908" xr:uid="{2CCAD90A-AB79-41E2-A98D-21DB1B5BCDD6}"/>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5E22FD25-16D2-461A-A431-C76472E9798E}"/>
    <cellStyle name="Normal 8 2 2 3 5 2 3" xfId="12466" xr:uid="{C818C4DF-71FC-4C26-A3DA-E572F3570981}"/>
    <cellStyle name="Normal 8 2 2 3 5 3" xfId="6089" xr:uid="{00000000-0005-0000-0000-0000651C0000}"/>
    <cellStyle name="Normal 8 2 2 3 5 3 2" xfId="14539" xr:uid="{8FAD2A3A-604A-4735-9D06-163602673492}"/>
    <cellStyle name="Normal 8 2 2 3 5 4" xfId="10321" xr:uid="{776E84EE-EDC1-4B83-8D59-75B9FEF7E60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EDC28FB4-1122-4248-8485-81A264935C70}"/>
    <cellStyle name="Normal 8 2 2 3 6 2 3" xfId="12879" xr:uid="{D23CBBB4-73CF-4CAF-99A3-0D4AA8288B06}"/>
    <cellStyle name="Normal 8 2 2 3 6 3" xfId="6502" xr:uid="{00000000-0005-0000-0000-0000691C0000}"/>
    <cellStyle name="Normal 8 2 2 3 6 3 2" xfId="14952" xr:uid="{10904770-3257-42C7-A3FB-16CF331766C7}"/>
    <cellStyle name="Normal 8 2 2 3 6 4" xfId="10734" xr:uid="{4ADF88E6-AFC6-4325-A7AD-7B47F06CEFE2}"/>
    <cellStyle name="Normal 8 2 2 3 7" xfId="2632" xr:uid="{00000000-0005-0000-0000-00006A1C0000}"/>
    <cellStyle name="Normal 8 2 2 3 7 2" xfId="6915" xr:uid="{00000000-0005-0000-0000-00006B1C0000}"/>
    <cellStyle name="Normal 8 2 2 3 7 2 2" xfId="15365" xr:uid="{E75D1A9D-D5A3-45DE-A47A-83D05EE4D5BD}"/>
    <cellStyle name="Normal 8 2 2 3 7 3" xfId="11147" xr:uid="{0B5CE951-EFB1-46DD-8204-CEABC8B41FA9}"/>
    <cellStyle name="Normal 8 2 2 3 8" xfId="4850" xr:uid="{00000000-0005-0000-0000-00006C1C0000}"/>
    <cellStyle name="Normal 8 2 2 3 8 2" xfId="13300" xr:uid="{23E2C8B8-CBBC-4B62-8EAF-9B4965C637C2}"/>
    <cellStyle name="Normal 8 2 2 3 9" xfId="9082" xr:uid="{4BF26736-E5C5-462E-BF48-1B42921D2E1F}"/>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88C14FC3-1C2A-4FAB-9EFE-BBA00DF67666}"/>
    <cellStyle name="Normal 8 2 2 4 2 2 3" xfId="11642" xr:uid="{C6025234-C4BD-4C81-B4DC-6449F967F5D4}"/>
    <cellStyle name="Normal 8 2 2 4 2 3" xfId="5265" xr:uid="{00000000-0005-0000-0000-0000711C0000}"/>
    <cellStyle name="Normal 8 2 2 4 2 3 2" xfId="13715" xr:uid="{02D4E29F-8321-410A-AC22-E97B9D8DF0A6}"/>
    <cellStyle name="Normal 8 2 2 4 2 4" xfId="9497" xr:uid="{62BEA2AF-A0F9-4113-A9C0-B0E88C663E13}"/>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045F284F-ECDA-4107-8B08-AA0B90BE0B75}"/>
    <cellStyle name="Normal 8 2 2 4 3 2 3" xfId="12055" xr:uid="{C0ABF6D0-17D9-4754-8A8F-A346895451E1}"/>
    <cellStyle name="Normal 8 2 2 4 3 3" xfId="5678" xr:uid="{00000000-0005-0000-0000-0000751C0000}"/>
    <cellStyle name="Normal 8 2 2 4 3 3 2" xfId="14128" xr:uid="{69A0143B-9A12-4866-A0D6-2930ACC58ABD}"/>
    <cellStyle name="Normal 8 2 2 4 3 4" xfId="9910" xr:uid="{1D21A8AF-114B-4F94-B0DB-40381A62968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F19E7D68-5191-4FCE-820D-50A04A9DDEAE}"/>
    <cellStyle name="Normal 8 2 2 4 4 2 3" xfId="12468" xr:uid="{06AA7622-4A8D-4DE3-9C9E-9D412F83D0BA}"/>
    <cellStyle name="Normal 8 2 2 4 4 3" xfId="6091" xr:uid="{00000000-0005-0000-0000-0000791C0000}"/>
    <cellStyle name="Normal 8 2 2 4 4 3 2" xfId="14541" xr:uid="{CFA43200-D2EE-4B92-AEDE-D5BDB10B219D}"/>
    <cellStyle name="Normal 8 2 2 4 4 4" xfId="10323" xr:uid="{D2715C95-5403-47B3-9070-198A3983410F}"/>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9184CCB3-AC6D-4931-B862-49A6E6F1158E}"/>
    <cellStyle name="Normal 8 2 2 4 5 2 3" xfId="12881" xr:uid="{8EE51D19-1E53-475E-A09A-EECE1C52490D}"/>
    <cellStyle name="Normal 8 2 2 4 5 3" xfId="6504" xr:uid="{00000000-0005-0000-0000-00007D1C0000}"/>
    <cellStyle name="Normal 8 2 2 4 5 3 2" xfId="14954" xr:uid="{A3D35CA2-881A-4E3B-8555-3FD271272790}"/>
    <cellStyle name="Normal 8 2 2 4 5 4" xfId="10736" xr:uid="{810F004A-C62D-46B3-8DF5-347B84CD67F7}"/>
    <cellStyle name="Normal 8 2 2 4 6" xfId="2634" xr:uid="{00000000-0005-0000-0000-00007E1C0000}"/>
    <cellStyle name="Normal 8 2 2 4 6 2" xfId="6917" xr:uid="{00000000-0005-0000-0000-00007F1C0000}"/>
    <cellStyle name="Normal 8 2 2 4 6 2 2" xfId="15367" xr:uid="{75BAA1E0-D840-41DC-AFF6-EB813C3CE9C4}"/>
    <cellStyle name="Normal 8 2 2 4 6 3" xfId="11149" xr:uid="{CC859BCF-36D9-4AAA-BEEF-DDB033ED10D9}"/>
    <cellStyle name="Normal 8 2 2 4 7" xfId="4852" xr:uid="{00000000-0005-0000-0000-0000801C0000}"/>
    <cellStyle name="Normal 8 2 2 4 7 2" xfId="13302" xr:uid="{B13A6A15-D81A-44F9-8CA8-A9DDFA28F94A}"/>
    <cellStyle name="Normal 8 2 2 4 8" xfId="9084" xr:uid="{2CE622EA-ECCD-41A9-B301-29FEF02B370E}"/>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4D3E97AC-BC7C-4E1E-854F-7FC11BB3122C}"/>
    <cellStyle name="Normal 8 2 2 5 2 3" xfId="11635" xr:uid="{C3B267DF-B177-4CA6-AC77-DBF560173171}"/>
    <cellStyle name="Normal 8 2 2 5 3" xfId="5258" xr:uid="{00000000-0005-0000-0000-0000841C0000}"/>
    <cellStyle name="Normal 8 2 2 5 3 2" xfId="13708" xr:uid="{CC36E52B-BB6F-4DB1-9197-A6F1C2A7FA8D}"/>
    <cellStyle name="Normal 8 2 2 5 4" xfId="9490" xr:uid="{E00C5B4E-BDF3-487C-A95E-3D8BF5B8E87B}"/>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D521D285-44F2-48EE-B619-FDF725E0DA51}"/>
    <cellStyle name="Normal 8 2 2 6 2 3" xfId="12048" xr:uid="{3A1E25FF-F9DF-46BE-857E-D74EE605D1A7}"/>
    <cellStyle name="Normal 8 2 2 6 3" xfId="5671" xr:uid="{00000000-0005-0000-0000-0000881C0000}"/>
    <cellStyle name="Normal 8 2 2 6 3 2" xfId="14121" xr:uid="{ADA3EDFD-36B4-4F5C-8D92-F09A8F570E1D}"/>
    <cellStyle name="Normal 8 2 2 6 4" xfId="9903" xr:uid="{6FEF20A2-035D-4B6A-89A1-6C1E1E26B9B8}"/>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09610EC8-2589-4637-BE32-680386C7999C}"/>
    <cellStyle name="Normal 8 2 2 7 2 3" xfId="12461" xr:uid="{B9468846-0F60-4F21-9388-BFD6FF894593}"/>
    <cellStyle name="Normal 8 2 2 7 3" xfId="6084" xr:uid="{00000000-0005-0000-0000-00008C1C0000}"/>
    <cellStyle name="Normal 8 2 2 7 3 2" xfId="14534" xr:uid="{6154E6E8-C8C4-4953-B5E5-4F9171153483}"/>
    <cellStyle name="Normal 8 2 2 7 4" xfId="10316" xr:uid="{75A61204-F7DE-4F99-BCD4-BB1C84A5CEBB}"/>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7E7E90B7-F5D4-49AC-BA00-BDA4F1AFE916}"/>
    <cellStyle name="Normal 8 2 2 8 2 3" xfId="12874" xr:uid="{172577DE-0095-4BA8-BAD6-25380DA65FEF}"/>
    <cellStyle name="Normal 8 2 2 8 3" xfId="6497" xr:uid="{00000000-0005-0000-0000-0000901C0000}"/>
    <cellStyle name="Normal 8 2 2 8 3 2" xfId="14947" xr:uid="{12EB5358-8436-4C19-B152-E207ADCA6349}"/>
    <cellStyle name="Normal 8 2 2 8 4" xfId="10729" xr:uid="{AA1AB830-2DF7-4F14-89CC-EF20BD14A894}"/>
    <cellStyle name="Normal 8 2 2 9" xfId="2627" xr:uid="{00000000-0005-0000-0000-0000911C0000}"/>
    <cellStyle name="Normal 8 2 2 9 2" xfId="6910" xr:uid="{00000000-0005-0000-0000-0000921C0000}"/>
    <cellStyle name="Normal 8 2 2 9 2 2" xfId="15360" xr:uid="{342EE5C9-D7F5-4971-8EE4-7F7FD127A025}"/>
    <cellStyle name="Normal 8 2 2 9 3" xfId="11142" xr:uid="{D733EEE7-3582-4390-8460-4C086266103F}"/>
    <cellStyle name="Normal 8 2 3" xfId="488" xr:uid="{00000000-0005-0000-0000-0000931C0000}"/>
    <cellStyle name="Normal 8 2 3 10" xfId="9085" xr:uid="{B8AFB462-510B-420A-837B-EEE647BCE359}"/>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C6874AB4-3D7D-4ED7-9AD0-C7277F9BC08C}"/>
    <cellStyle name="Normal 8 2 3 2 2 2 2 3" xfId="11645" xr:uid="{37CC2B74-2208-44F4-843C-5AE8F6DAFD35}"/>
    <cellStyle name="Normal 8 2 3 2 2 2 3" xfId="5268" xr:uid="{00000000-0005-0000-0000-0000991C0000}"/>
    <cellStyle name="Normal 8 2 3 2 2 2 3 2" xfId="13718" xr:uid="{6940495A-C7F2-4939-A013-846396B4BA50}"/>
    <cellStyle name="Normal 8 2 3 2 2 2 4" xfId="9500" xr:uid="{E5F1D5B6-D119-4A33-B63A-F29C28D8938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252C1B8C-7CE9-46C5-A44C-14E078ECAB4B}"/>
    <cellStyle name="Normal 8 2 3 2 2 3 2 3" xfId="12058" xr:uid="{634546E7-F363-4A08-AB54-FD68B4BDDE24}"/>
    <cellStyle name="Normal 8 2 3 2 2 3 3" xfId="5681" xr:uid="{00000000-0005-0000-0000-00009D1C0000}"/>
    <cellStyle name="Normal 8 2 3 2 2 3 3 2" xfId="14131" xr:uid="{774A49F7-8635-4045-A5DC-C2CD87BC1DCF}"/>
    <cellStyle name="Normal 8 2 3 2 2 3 4" xfId="9913" xr:uid="{339E86E1-3687-4C26-943F-68E543355CBF}"/>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17EAD7E4-2334-4A2C-8A80-A211EFD11E75}"/>
    <cellStyle name="Normal 8 2 3 2 2 4 2 3" xfId="12471" xr:uid="{A09A2EF9-512A-45FC-8FDE-DA53B06ED39F}"/>
    <cellStyle name="Normal 8 2 3 2 2 4 3" xfId="6094" xr:uid="{00000000-0005-0000-0000-0000A11C0000}"/>
    <cellStyle name="Normal 8 2 3 2 2 4 3 2" xfId="14544" xr:uid="{7D2DAE5C-09C2-4424-98D9-9C53FD175BB5}"/>
    <cellStyle name="Normal 8 2 3 2 2 4 4" xfId="10326" xr:uid="{BD8B6BEA-A932-4168-9B0E-E8DA2523117B}"/>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FF36B93E-C9D4-4A07-8793-ED9DB1E92E08}"/>
    <cellStyle name="Normal 8 2 3 2 2 5 2 3" xfId="12884" xr:uid="{227CCD2A-034B-4EA9-A543-42B9ABBDE850}"/>
    <cellStyle name="Normal 8 2 3 2 2 5 3" xfId="6507" xr:uid="{00000000-0005-0000-0000-0000A51C0000}"/>
    <cellStyle name="Normal 8 2 3 2 2 5 3 2" xfId="14957" xr:uid="{35FF1150-60B8-4992-BB5C-4A7BD4655F19}"/>
    <cellStyle name="Normal 8 2 3 2 2 5 4" xfId="10739" xr:uid="{F3F765DB-C95A-4EAC-8B72-7DD4CAD9C130}"/>
    <cellStyle name="Normal 8 2 3 2 2 6" xfId="2637" xr:uid="{00000000-0005-0000-0000-0000A61C0000}"/>
    <cellStyle name="Normal 8 2 3 2 2 6 2" xfId="6920" xr:uid="{00000000-0005-0000-0000-0000A71C0000}"/>
    <cellStyle name="Normal 8 2 3 2 2 6 2 2" xfId="15370" xr:uid="{61B2156B-AC5C-4C5D-BD1C-2640EF778842}"/>
    <cellStyle name="Normal 8 2 3 2 2 6 3" xfId="11152" xr:uid="{7A6D49B0-AE57-4040-8E65-11419496EEC3}"/>
    <cellStyle name="Normal 8 2 3 2 2 7" xfId="4855" xr:uid="{00000000-0005-0000-0000-0000A81C0000}"/>
    <cellStyle name="Normal 8 2 3 2 2 7 2" xfId="13305" xr:uid="{F9DDADF3-9D2C-4200-97EE-77E2969BEA84}"/>
    <cellStyle name="Normal 8 2 3 2 2 8" xfId="9087" xr:uid="{710F1F6A-8168-4064-AC1C-C19EE02E0EE3}"/>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02C3DFF1-4880-4BF7-BF90-2DAB22A42606}"/>
    <cellStyle name="Normal 8 2 3 2 3 2 3" xfId="11644" xr:uid="{30B11498-7020-48A2-9D26-C5A78FC1EE45}"/>
    <cellStyle name="Normal 8 2 3 2 3 3" xfId="5267" xr:uid="{00000000-0005-0000-0000-0000AC1C0000}"/>
    <cellStyle name="Normal 8 2 3 2 3 3 2" xfId="13717" xr:uid="{D482F44D-55EA-4250-9B3A-73BB424EC1CC}"/>
    <cellStyle name="Normal 8 2 3 2 3 4" xfId="9499" xr:uid="{33EBE4E8-E9ED-474D-874E-334BA845BD7E}"/>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C91B6339-5EA7-444E-8F88-C70163F1F0C7}"/>
    <cellStyle name="Normal 8 2 3 2 4 2 3" xfId="12057" xr:uid="{AA17FDDF-56E9-4943-A708-682F5E9EEFF1}"/>
    <cellStyle name="Normal 8 2 3 2 4 3" xfId="5680" xr:uid="{00000000-0005-0000-0000-0000B01C0000}"/>
    <cellStyle name="Normal 8 2 3 2 4 3 2" xfId="14130" xr:uid="{E2F2B09C-5363-4863-A82B-53F78528C1D1}"/>
    <cellStyle name="Normal 8 2 3 2 4 4" xfId="9912" xr:uid="{E2EE814D-DE84-4E5E-9D88-DD98ED8DF4E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81C6C18F-D6CC-4815-B8DE-013DE4E97B50}"/>
    <cellStyle name="Normal 8 2 3 2 5 2 3" xfId="12470" xr:uid="{8F19E657-C690-48E0-9EBF-1B280509891C}"/>
    <cellStyle name="Normal 8 2 3 2 5 3" xfId="6093" xr:uid="{00000000-0005-0000-0000-0000B41C0000}"/>
    <cellStyle name="Normal 8 2 3 2 5 3 2" xfId="14543" xr:uid="{BDC99E6B-D3FF-480B-BB74-1C67A1ADDC6A}"/>
    <cellStyle name="Normal 8 2 3 2 5 4" xfId="10325" xr:uid="{67DEAE03-03F5-4E84-9E39-D815C157E56F}"/>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1613BD55-E575-42EB-8F4D-46DDB4A2DF52}"/>
    <cellStyle name="Normal 8 2 3 2 6 2 3" xfId="12883" xr:uid="{3B20F4E2-619D-406C-941E-DAF4339EDD69}"/>
    <cellStyle name="Normal 8 2 3 2 6 3" xfId="6506" xr:uid="{00000000-0005-0000-0000-0000B81C0000}"/>
    <cellStyle name="Normal 8 2 3 2 6 3 2" xfId="14956" xr:uid="{3A20DE3D-46C8-49CC-8951-FC1851312584}"/>
    <cellStyle name="Normal 8 2 3 2 6 4" xfId="10738" xr:uid="{897F1118-CFCC-4B89-850E-349E32CEAF9F}"/>
    <cellStyle name="Normal 8 2 3 2 7" xfId="2636" xr:uid="{00000000-0005-0000-0000-0000B91C0000}"/>
    <cellStyle name="Normal 8 2 3 2 7 2" xfId="6919" xr:uid="{00000000-0005-0000-0000-0000BA1C0000}"/>
    <cellStyle name="Normal 8 2 3 2 7 2 2" xfId="15369" xr:uid="{8D4F976D-E877-4930-8345-39CABF9769B1}"/>
    <cellStyle name="Normal 8 2 3 2 7 3" xfId="11151" xr:uid="{EF3DFCE9-FBD1-4288-B342-9097CBF3E974}"/>
    <cellStyle name="Normal 8 2 3 2 8" xfId="4854" xr:uid="{00000000-0005-0000-0000-0000BB1C0000}"/>
    <cellStyle name="Normal 8 2 3 2 8 2" xfId="13304" xr:uid="{60B2F23F-A02B-410C-A5B9-4D159649FAAF}"/>
    <cellStyle name="Normal 8 2 3 2 9" xfId="9086" xr:uid="{D44C10A1-5092-42AF-B72C-A30B341DB542}"/>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E6C3D58A-469F-449E-BAF6-73720D40B263}"/>
    <cellStyle name="Normal 8 2 3 3 2 2 3" xfId="11646" xr:uid="{753AD726-5EA3-4420-AE18-907C08A25A18}"/>
    <cellStyle name="Normal 8 2 3 3 2 3" xfId="5269" xr:uid="{00000000-0005-0000-0000-0000C01C0000}"/>
    <cellStyle name="Normal 8 2 3 3 2 3 2" xfId="13719" xr:uid="{CA37EF2C-F5B1-4DD7-838E-BB628A90D54F}"/>
    <cellStyle name="Normal 8 2 3 3 2 4" xfId="9501" xr:uid="{580BC4F5-2DBA-45C9-ABD9-40A2C09540E1}"/>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A2BE83FE-E3B4-4AFA-8613-170FA48A8EB2}"/>
    <cellStyle name="Normal 8 2 3 3 3 2 3" xfId="12059" xr:uid="{ED9A0125-7099-48D2-A072-8D7FD3F803DA}"/>
    <cellStyle name="Normal 8 2 3 3 3 3" xfId="5682" xr:uid="{00000000-0005-0000-0000-0000C41C0000}"/>
    <cellStyle name="Normal 8 2 3 3 3 3 2" xfId="14132" xr:uid="{B46DBFCF-76A4-415A-AE03-C76B137540C5}"/>
    <cellStyle name="Normal 8 2 3 3 3 4" xfId="9914" xr:uid="{8A17D203-2D7B-45B3-AB63-D556DC1660D1}"/>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727A43FB-0773-4FB9-8D25-91F24EE37290}"/>
    <cellStyle name="Normal 8 2 3 3 4 2 3" xfId="12472" xr:uid="{423C1CB5-3920-4B7B-A451-1D1B66165D86}"/>
    <cellStyle name="Normal 8 2 3 3 4 3" xfId="6095" xr:uid="{00000000-0005-0000-0000-0000C81C0000}"/>
    <cellStyle name="Normal 8 2 3 3 4 3 2" xfId="14545" xr:uid="{59528125-2342-4CED-BC46-A9E53E69F0B3}"/>
    <cellStyle name="Normal 8 2 3 3 4 4" xfId="10327" xr:uid="{A2E170A5-BB5D-48E7-840A-5266A413DA1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F36F00EE-F36F-462A-A902-01219F96FEF4}"/>
    <cellStyle name="Normal 8 2 3 3 5 2 3" xfId="12885" xr:uid="{2335C7B8-E4C5-4C2E-9278-416B40E1F01B}"/>
    <cellStyle name="Normal 8 2 3 3 5 3" xfId="6508" xr:uid="{00000000-0005-0000-0000-0000CC1C0000}"/>
    <cellStyle name="Normal 8 2 3 3 5 3 2" xfId="14958" xr:uid="{046029AC-085D-4D89-AA09-27904BFF9FA6}"/>
    <cellStyle name="Normal 8 2 3 3 5 4" xfId="10740" xr:uid="{C9E62969-D235-46D2-9227-2DDB9434D90B}"/>
    <cellStyle name="Normal 8 2 3 3 6" xfId="2638" xr:uid="{00000000-0005-0000-0000-0000CD1C0000}"/>
    <cellStyle name="Normal 8 2 3 3 6 2" xfId="6921" xr:uid="{00000000-0005-0000-0000-0000CE1C0000}"/>
    <cellStyle name="Normal 8 2 3 3 6 2 2" xfId="15371" xr:uid="{485324DB-E0EA-466F-BAD7-7604BF8E4B47}"/>
    <cellStyle name="Normal 8 2 3 3 6 3" xfId="11153" xr:uid="{2D185185-BCA9-44BF-9733-4DA80434EE63}"/>
    <cellStyle name="Normal 8 2 3 3 7" xfId="4856" xr:uid="{00000000-0005-0000-0000-0000CF1C0000}"/>
    <cellStyle name="Normal 8 2 3 3 7 2" xfId="13306" xr:uid="{895D29E1-D145-42CF-8B80-392BD8204693}"/>
    <cellStyle name="Normal 8 2 3 3 8" xfId="9088" xr:uid="{FA034B47-CAC4-4744-8BCC-CAE5D1BBA9C0}"/>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B7945FDE-88FB-40D0-AE26-D24F4E43E137}"/>
    <cellStyle name="Normal 8 2 3 4 2 3" xfId="11643" xr:uid="{D620A204-7CE0-4A13-AE55-E05EA8E3AEF7}"/>
    <cellStyle name="Normal 8 2 3 4 3" xfId="5266" xr:uid="{00000000-0005-0000-0000-0000D31C0000}"/>
    <cellStyle name="Normal 8 2 3 4 3 2" xfId="13716" xr:uid="{E0739831-D6D4-4ED2-BFA3-4AA9C81BDD3B}"/>
    <cellStyle name="Normal 8 2 3 4 4" xfId="9498" xr:uid="{A40E4B9F-6BD1-4E95-B635-BAB577DB5BFF}"/>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3B74C19A-7386-4303-98B2-19D4BB6B2ABB}"/>
    <cellStyle name="Normal 8 2 3 5 2 3" xfId="12056" xr:uid="{5C151494-5E1E-4D39-8E1D-663D7AE1275C}"/>
    <cellStyle name="Normal 8 2 3 5 3" xfId="5679" xr:uid="{00000000-0005-0000-0000-0000D71C0000}"/>
    <cellStyle name="Normal 8 2 3 5 3 2" xfId="14129" xr:uid="{08B64416-9247-4071-BB30-B90FA77EA387}"/>
    <cellStyle name="Normal 8 2 3 5 4" xfId="9911" xr:uid="{6227ED49-22F1-4F63-8AC9-CB105907433D}"/>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8DB17372-A3D5-44EE-899F-62E5DBF7542E}"/>
    <cellStyle name="Normal 8 2 3 6 2 3" xfId="12469" xr:uid="{B1FAF4B2-2460-46B2-AB23-A8B407A45554}"/>
    <cellStyle name="Normal 8 2 3 6 3" xfId="6092" xr:uid="{00000000-0005-0000-0000-0000DB1C0000}"/>
    <cellStyle name="Normal 8 2 3 6 3 2" xfId="14542" xr:uid="{A600505D-EFCF-4C47-9EEF-342E5FDC5E75}"/>
    <cellStyle name="Normal 8 2 3 6 4" xfId="10324" xr:uid="{CA453BC7-4347-4132-9535-44B7E571B0B7}"/>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7ADCA667-9641-4BA0-B94E-20EE258E439E}"/>
    <cellStyle name="Normal 8 2 3 7 2 3" xfId="12882" xr:uid="{E2C5DAE0-8718-44DF-A032-0F640C167F9C}"/>
    <cellStyle name="Normal 8 2 3 7 3" xfId="6505" xr:uid="{00000000-0005-0000-0000-0000DF1C0000}"/>
    <cellStyle name="Normal 8 2 3 7 3 2" xfId="14955" xr:uid="{57C630E0-43BD-48AC-BFF6-CD99349CF988}"/>
    <cellStyle name="Normal 8 2 3 7 4" xfId="10737" xr:uid="{D5E8F780-81F4-4DEB-95B4-43568FCF8999}"/>
    <cellStyle name="Normal 8 2 3 8" xfId="2635" xr:uid="{00000000-0005-0000-0000-0000E01C0000}"/>
    <cellStyle name="Normal 8 2 3 8 2" xfId="6918" xr:uid="{00000000-0005-0000-0000-0000E11C0000}"/>
    <cellStyle name="Normal 8 2 3 8 2 2" xfId="15368" xr:uid="{5A7F9FA6-0B57-44EF-B02D-C4B39BE5A5AD}"/>
    <cellStyle name="Normal 8 2 3 8 3" xfId="11150" xr:uid="{C4983C6C-AC0E-4035-97AA-9CB597EF3B87}"/>
    <cellStyle name="Normal 8 2 3 9" xfId="4853" xr:uid="{00000000-0005-0000-0000-0000E21C0000}"/>
    <cellStyle name="Normal 8 2 3 9 2" xfId="13303" xr:uid="{D1CF58E6-64E7-4BDB-88BC-9E5D562AC8D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D582FEB5-5433-4917-B2F0-2E6621C6C4C7}"/>
    <cellStyle name="Normal 8 2 4 2 2 2 3" xfId="11648" xr:uid="{F6039D35-F4B1-44D7-B7B4-988A372BDEAE}"/>
    <cellStyle name="Normal 8 2 4 2 2 3" xfId="5271" xr:uid="{00000000-0005-0000-0000-0000E81C0000}"/>
    <cellStyle name="Normal 8 2 4 2 2 3 2" xfId="13721" xr:uid="{9AFFF7C6-A1E0-4CFC-B774-FFE4079BD4B8}"/>
    <cellStyle name="Normal 8 2 4 2 2 4" xfId="9503" xr:uid="{6206A6F4-A989-4D19-BC2F-A6A603C3B2C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7ED61049-6498-44BB-8F7A-DF8F2BA39EC1}"/>
    <cellStyle name="Normal 8 2 4 2 3 2 3" xfId="12061" xr:uid="{4124E68C-AD44-4D57-9212-D92E41F1AD56}"/>
    <cellStyle name="Normal 8 2 4 2 3 3" xfId="5684" xr:uid="{00000000-0005-0000-0000-0000EC1C0000}"/>
    <cellStyle name="Normal 8 2 4 2 3 3 2" xfId="14134" xr:uid="{4E6FC00E-BC92-4CBC-AE04-7676A2D5B99C}"/>
    <cellStyle name="Normal 8 2 4 2 3 4" xfId="9916" xr:uid="{393667B8-C4B4-4274-9EB9-293DB71E45B7}"/>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F9D5A22B-A5A5-4655-8D6A-41187D201362}"/>
    <cellStyle name="Normal 8 2 4 2 4 2 3" xfId="12474" xr:uid="{2E3F5448-F5EF-4A90-AE50-81610224BE52}"/>
    <cellStyle name="Normal 8 2 4 2 4 3" xfId="6097" xr:uid="{00000000-0005-0000-0000-0000F01C0000}"/>
    <cellStyle name="Normal 8 2 4 2 4 3 2" xfId="14547" xr:uid="{3A565227-1186-43A4-B9EA-5D26C028FF43}"/>
    <cellStyle name="Normal 8 2 4 2 4 4" xfId="10329" xr:uid="{AEC2C5EB-AE59-4282-960E-32F77757AB1C}"/>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57E06AF9-5EE4-4B3A-B0FB-AD019CB99D41}"/>
    <cellStyle name="Normal 8 2 4 2 5 2 3" xfId="12887" xr:uid="{E3D70AF6-B693-4CBC-BE2B-02A4BB940A9B}"/>
    <cellStyle name="Normal 8 2 4 2 5 3" xfId="6510" xr:uid="{00000000-0005-0000-0000-0000F41C0000}"/>
    <cellStyle name="Normal 8 2 4 2 5 3 2" xfId="14960" xr:uid="{1EB52E6C-AB37-4FE5-B74E-A2CED1E8F0CF}"/>
    <cellStyle name="Normal 8 2 4 2 5 4" xfId="10742" xr:uid="{65805FF4-F69A-493A-9AE9-5F259DFC2C12}"/>
    <cellStyle name="Normal 8 2 4 2 6" xfId="2640" xr:uid="{00000000-0005-0000-0000-0000F51C0000}"/>
    <cellStyle name="Normal 8 2 4 2 6 2" xfId="6923" xr:uid="{00000000-0005-0000-0000-0000F61C0000}"/>
    <cellStyle name="Normal 8 2 4 2 6 2 2" xfId="15373" xr:uid="{990C0FCA-D1E7-4261-AE40-D4E5AB566539}"/>
    <cellStyle name="Normal 8 2 4 2 6 3" xfId="11155" xr:uid="{513E03B5-B921-4807-AF0C-DF9169C789B5}"/>
    <cellStyle name="Normal 8 2 4 2 7" xfId="4858" xr:uid="{00000000-0005-0000-0000-0000F71C0000}"/>
    <cellStyle name="Normal 8 2 4 2 7 2" xfId="13308" xr:uid="{7AD5F74C-1019-4B72-BD34-EFF81C101B9F}"/>
    <cellStyle name="Normal 8 2 4 2 8" xfId="9090" xr:uid="{167CAEE3-3039-4CBD-B535-13A85C52867E}"/>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682BAB31-99AD-40F6-A53E-9290BD2F3A04}"/>
    <cellStyle name="Normal 8 2 4 3 2 3" xfId="11647" xr:uid="{F1965135-C34F-4ACC-881C-D1C837808D22}"/>
    <cellStyle name="Normal 8 2 4 3 3" xfId="5270" xr:uid="{00000000-0005-0000-0000-0000FB1C0000}"/>
    <cellStyle name="Normal 8 2 4 3 3 2" xfId="13720" xr:uid="{6B7D72F9-DC58-4DE7-AC2F-194219D46DD5}"/>
    <cellStyle name="Normal 8 2 4 3 4" xfId="9502" xr:uid="{40A72066-0065-4BF8-B92B-D8717256940F}"/>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7AB32EAA-95F2-4BE0-9531-03B25283B6C7}"/>
    <cellStyle name="Normal 8 2 4 4 2 3" xfId="12060" xr:uid="{2D773989-6E10-4E70-973D-D2EE63AC6251}"/>
    <cellStyle name="Normal 8 2 4 4 3" xfId="5683" xr:uid="{00000000-0005-0000-0000-0000FF1C0000}"/>
    <cellStyle name="Normal 8 2 4 4 3 2" xfId="14133" xr:uid="{D5651BC8-3D3E-4FC7-B69C-7F54EFED962E}"/>
    <cellStyle name="Normal 8 2 4 4 4" xfId="9915" xr:uid="{1084EF87-C8FD-4910-B102-69125F84A58C}"/>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BED17ECB-E567-4874-A6C5-18CE9C9E510D}"/>
    <cellStyle name="Normal 8 2 4 5 2 3" xfId="12473" xr:uid="{D4DD9142-8C06-42F6-9556-233B6619D496}"/>
    <cellStyle name="Normal 8 2 4 5 3" xfId="6096" xr:uid="{00000000-0005-0000-0000-0000031D0000}"/>
    <cellStyle name="Normal 8 2 4 5 3 2" xfId="14546" xr:uid="{E6A96AB0-8581-4FE9-A1E8-C153AFB67F0A}"/>
    <cellStyle name="Normal 8 2 4 5 4" xfId="10328" xr:uid="{235C45B6-520C-48E7-987E-2FA1260C51E6}"/>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20573914-72BE-41B6-8893-64095EFA895E}"/>
    <cellStyle name="Normal 8 2 4 6 2 3" xfId="12886" xr:uid="{EBE6AEEC-E3BC-4543-82CC-75B60D669421}"/>
    <cellStyle name="Normal 8 2 4 6 3" xfId="6509" xr:uid="{00000000-0005-0000-0000-0000071D0000}"/>
    <cellStyle name="Normal 8 2 4 6 3 2" xfId="14959" xr:uid="{69F90DB7-0419-4040-9AD2-E0A838AB13B8}"/>
    <cellStyle name="Normal 8 2 4 6 4" xfId="10741" xr:uid="{1813EFDF-9281-4D23-9D3A-87B95097EC63}"/>
    <cellStyle name="Normal 8 2 4 7" xfId="2639" xr:uid="{00000000-0005-0000-0000-0000081D0000}"/>
    <cellStyle name="Normal 8 2 4 7 2" xfId="6922" xr:uid="{00000000-0005-0000-0000-0000091D0000}"/>
    <cellStyle name="Normal 8 2 4 7 2 2" xfId="15372" xr:uid="{526565A4-1276-46FD-9A82-37EF3B842884}"/>
    <cellStyle name="Normal 8 2 4 7 3" xfId="11154" xr:uid="{F5AB6E69-14CE-4A10-BF7A-9A61972433DD}"/>
    <cellStyle name="Normal 8 2 4 8" xfId="4857" xr:uid="{00000000-0005-0000-0000-00000A1D0000}"/>
    <cellStyle name="Normal 8 2 4 8 2" xfId="13307" xr:uid="{86906739-FEE6-4E8D-956B-242F006FAEE6}"/>
    <cellStyle name="Normal 8 2 4 9" xfId="9089" xr:uid="{9ADFF128-556F-43AC-BE06-5599A3DE9B83}"/>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07C9FF00-29BA-462F-AFFB-B51C39158156}"/>
    <cellStyle name="Normal 8 2 5 2 2 3" xfId="11649" xr:uid="{60B44446-B7AF-4DF9-AA78-DF7C7D7B545F}"/>
    <cellStyle name="Normal 8 2 5 2 3" xfId="5272" xr:uid="{00000000-0005-0000-0000-00000F1D0000}"/>
    <cellStyle name="Normal 8 2 5 2 3 2" xfId="13722" xr:uid="{A1E58180-41B5-46D0-8266-D847842FAAE9}"/>
    <cellStyle name="Normal 8 2 5 2 4" xfId="9504" xr:uid="{12D81677-8917-4D99-9514-4EBE22E18ECE}"/>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78896ACF-7381-4B84-BE56-70C7B91CB0AD}"/>
    <cellStyle name="Normal 8 2 5 3 2 3" xfId="12062" xr:uid="{539365E7-D1F2-4866-AF3C-5D3DC8FDAC8D}"/>
    <cellStyle name="Normal 8 2 5 3 3" xfId="5685" xr:uid="{00000000-0005-0000-0000-0000131D0000}"/>
    <cellStyle name="Normal 8 2 5 3 3 2" xfId="14135" xr:uid="{EE5576F8-4BFC-4C36-ADF0-C30353FDABDB}"/>
    <cellStyle name="Normal 8 2 5 3 4" xfId="9917" xr:uid="{C546CCF0-86E7-46C4-9CBA-CA430D8C2870}"/>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8E2175EF-8ED3-4E2D-85A4-6292023A4340}"/>
    <cellStyle name="Normal 8 2 5 4 2 3" xfId="12475" xr:uid="{F97EF3B0-E305-42D9-A9FC-3F06C9F97F8C}"/>
    <cellStyle name="Normal 8 2 5 4 3" xfId="6098" xr:uid="{00000000-0005-0000-0000-0000171D0000}"/>
    <cellStyle name="Normal 8 2 5 4 3 2" xfId="14548" xr:uid="{C35498D8-FB63-486D-B4EF-343C1EA251B7}"/>
    <cellStyle name="Normal 8 2 5 4 4" xfId="10330" xr:uid="{B05F5CA6-1903-483F-89B0-280B679F20F8}"/>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EBA1001F-E98E-4BB7-9FCB-680AC452480E}"/>
    <cellStyle name="Normal 8 2 5 5 2 3" xfId="12888" xr:uid="{C5C64EEF-3F48-45D8-9DEB-16A4F87411CC}"/>
    <cellStyle name="Normal 8 2 5 5 3" xfId="6511" xr:uid="{00000000-0005-0000-0000-00001B1D0000}"/>
    <cellStyle name="Normal 8 2 5 5 3 2" xfId="14961" xr:uid="{CF0B4292-BC7B-4E1F-AEB1-20AB54D6318C}"/>
    <cellStyle name="Normal 8 2 5 5 4" xfId="10743" xr:uid="{244924CF-E4A1-48BF-A0E9-96485B27D211}"/>
    <cellStyle name="Normal 8 2 5 6" xfId="2641" xr:uid="{00000000-0005-0000-0000-00001C1D0000}"/>
    <cellStyle name="Normal 8 2 5 6 2" xfId="6924" xr:uid="{00000000-0005-0000-0000-00001D1D0000}"/>
    <cellStyle name="Normal 8 2 5 6 2 2" xfId="15374" xr:uid="{6B7B385A-60CD-4E37-84E4-95D611EB9E59}"/>
    <cellStyle name="Normal 8 2 5 6 3" xfId="11156" xr:uid="{D2809364-A08C-4448-9F82-5BF6BE4866F5}"/>
    <cellStyle name="Normal 8 2 5 7" xfId="4859" xr:uid="{00000000-0005-0000-0000-00001E1D0000}"/>
    <cellStyle name="Normal 8 2 5 7 2" xfId="13309" xr:uid="{4F4BFD0A-A3E2-4D1B-9342-6836A7FA75E4}"/>
    <cellStyle name="Normal 8 2 5 8" xfId="9091" xr:uid="{6B7FD72D-B5BE-4D57-96F8-BD188222D41A}"/>
    <cellStyle name="Normal 8 2 6" xfId="946" xr:uid="{00000000-0005-0000-0000-00001F1D0000}"/>
    <cellStyle name="Normal 8 2 6 2" xfId="3180" xr:uid="{00000000-0005-0000-0000-0000201D0000}"/>
    <cellStyle name="Normal 8 2 6 2 2" xfId="7402" xr:uid="{00000000-0005-0000-0000-0000211D0000}"/>
    <cellStyle name="Normal 8 2 6 2 2 2" xfId="15852" xr:uid="{3293C90C-072A-43B7-A32C-D72B8F393ACE}"/>
    <cellStyle name="Normal 8 2 6 2 3" xfId="11634" xr:uid="{317FD3B9-4180-4BDB-90A4-29157F9CA17D}"/>
    <cellStyle name="Normal 8 2 6 3" xfId="5257" xr:uid="{00000000-0005-0000-0000-0000221D0000}"/>
    <cellStyle name="Normal 8 2 6 3 2" xfId="13707" xr:uid="{DC11745F-C09B-4B62-A223-8846148C7859}"/>
    <cellStyle name="Normal 8 2 6 4" xfId="9489" xr:uid="{A828603B-47ED-4962-ABEA-D20E0CC9C54F}"/>
    <cellStyle name="Normal 8 2 7" xfId="1363" xr:uid="{00000000-0005-0000-0000-0000231D0000}"/>
    <cellStyle name="Normal 8 2 7 2" xfId="3593" xr:uid="{00000000-0005-0000-0000-0000241D0000}"/>
    <cellStyle name="Normal 8 2 7 2 2" xfId="7815" xr:uid="{00000000-0005-0000-0000-0000251D0000}"/>
    <cellStyle name="Normal 8 2 7 2 2 2" xfId="16265" xr:uid="{88C27877-204F-40BB-B5CB-676EBE1A3B4E}"/>
    <cellStyle name="Normal 8 2 7 2 3" xfId="12047" xr:uid="{37EE7063-959F-4EE6-80BB-3F63BE629894}"/>
    <cellStyle name="Normal 8 2 7 3" xfId="5670" xr:uid="{00000000-0005-0000-0000-0000261D0000}"/>
    <cellStyle name="Normal 8 2 7 3 2" xfId="14120" xr:uid="{8A6F6A82-4597-46DE-839C-A781AEDB290C}"/>
    <cellStyle name="Normal 8 2 7 4" xfId="9902" xr:uid="{7F0711BB-337B-4444-9480-CE14F92C1B5A}"/>
    <cellStyle name="Normal 8 2 8" xfId="1776" xr:uid="{00000000-0005-0000-0000-0000271D0000}"/>
    <cellStyle name="Normal 8 2 8 2" xfId="4006" xr:uid="{00000000-0005-0000-0000-0000281D0000}"/>
    <cellStyle name="Normal 8 2 8 2 2" xfId="8228" xr:uid="{00000000-0005-0000-0000-0000291D0000}"/>
    <cellStyle name="Normal 8 2 8 2 2 2" xfId="16678" xr:uid="{FD2BC4A0-C043-4505-A04B-548C076DA887}"/>
    <cellStyle name="Normal 8 2 8 2 3" xfId="12460" xr:uid="{C3F56BE9-6B95-4845-A120-5A811E36022E}"/>
    <cellStyle name="Normal 8 2 8 3" xfId="6083" xr:uid="{00000000-0005-0000-0000-00002A1D0000}"/>
    <cellStyle name="Normal 8 2 8 3 2" xfId="14533" xr:uid="{355A21FB-DB9D-4CC7-BBF9-BFD69C15BB27}"/>
    <cellStyle name="Normal 8 2 8 4" xfId="10315" xr:uid="{A5F30769-25A4-45F2-9DAD-36E1230236F5}"/>
    <cellStyle name="Normal 8 2 9" xfId="2190" xr:uid="{00000000-0005-0000-0000-00002B1D0000}"/>
    <cellStyle name="Normal 8 2 9 2" xfId="4419" xr:uid="{00000000-0005-0000-0000-00002C1D0000}"/>
    <cellStyle name="Normal 8 2 9 2 2" xfId="8641" xr:uid="{00000000-0005-0000-0000-00002D1D0000}"/>
    <cellStyle name="Normal 8 2 9 2 2 2" xfId="17091" xr:uid="{BAC351FF-6281-4C53-8A1A-803FE44A1ED2}"/>
    <cellStyle name="Normal 8 2 9 2 3" xfId="12873" xr:uid="{342520EF-748A-4F74-A060-6D35902EBAC0}"/>
    <cellStyle name="Normal 8 2 9 3" xfId="6496" xr:uid="{00000000-0005-0000-0000-00002E1D0000}"/>
    <cellStyle name="Normal 8 2 9 3 2" xfId="14946" xr:uid="{9EB2E630-02F9-4DC7-8266-C0E53DC8E196}"/>
    <cellStyle name="Normal 8 2 9 4" xfId="10728" xr:uid="{AF2F5A6D-0ED5-4694-A131-4D72C405E07E}"/>
    <cellStyle name="Normal 8 3" xfId="495" xr:uid="{00000000-0005-0000-0000-00002F1D0000}"/>
    <cellStyle name="Normal 8 3 10" xfId="4860" xr:uid="{00000000-0005-0000-0000-0000301D0000}"/>
    <cellStyle name="Normal 8 3 10 2" xfId="13310" xr:uid="{5ACA65F1-3801-4A4C-A762-0742160EF943}"/>
    <cellStyle name="Normal 8 3 11" xfId="9092" xr:uid="{C9DCE255-6CB8-4226-87DE-2C81CFD40CC3}"/>
    <cellStyle name="Normal 8 3 2" xfId="496" xr:uid="{00000000-0005-0000-0000-0000311D0000}"/>
    <cellStyle name="Normal 8 3 2 10" xfId="9093" xr:uid="{EB7D149A-B006-4ABC-9D78-616196D8376A}"/>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784C053E-F9FA-40AC-87B1-731012B458E3}"/>
    <cellStyle name="Normal 8 3 2 2 2 2 2 3" xfId="11653" xr:uid="{BAE42C7F-3E6B-4310-A71D-DE03B19427D8}"/>
    <cellStyle name="Normal 8 3 2 2 2 2 3" xfId="5276" xr:uid="{00000000-0005-0000-0000-0000371D0000}"/>
    <cellStyle name="Normal 8 3 2 2 2 2 3 2" xfId="13726" xr:uid="{5AA05F64-398B-49AF-ADB5-34AAF4538E7C}"/>
    <cellStyle name="Normal 8 3 2 2 2 2 4" xfId="9508" xr:uid="{ECFDBCD0-7B27-4993-807A-A58C40E4EFA5}"/>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674204EA-3996-48C4-9C90-7431112D21C3}"/>
    <cellStyle name="Normal 8 3 2 2 2 3 2 3" xfId="12066" xr:uid="{A2206B60-1C36-493D-BC82-CBD55FBD817B}"/>
    <cellStyle name="Normal 8 3 2 2 2 3 3" xfId="5689" xr:uid="{00000000-0005-0000-0000-00003B1D0000}"/>
    <cellStyle name="Normal 8 3 2 2 2 3 3 2" xfId="14139" xr:uid="{B7ACB772-00AA-4318-8851-07C07DE1D83C}"/>
    <cellStyle name="Normal 8 3 2 2 2 3 4" xfId="9921" xr:uid="{CCCDA74A-0D94-44D9-B3A7-D71770E5E842}"/>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F9A9F205-411B-450E-92E3-9EDFBB222FA1}"/>
    <cellStyle name="Normal 8 3 2 2 2 4 2 3" xfId="12479" xr:uid="{56D89367-F4B1-4264-968A-0D43BA3539DD}"/>
    <cellStyle name="Normal 8 3 2 2 2 4 3" xfId="6102" xr:uid="{00000000-0005-0000-0000-00003F1D0000}"/>
    <cellStyle name="Normal 8 3 2 2 2 4 3 2" xfId="14552" xr:uid="{F676EEB8-DC08-42FF-8E83-827F380E3893}"/>
    <cellStyle name="Normal 8 3 2 2 2 4 4" xfId="10334" xr:uid="{45F97858-E096-4E8A-9FF5-E7E4ADF45B51}"/>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364AC18C-2118-42AF-9890-6C3F8E23E87D}"/>
    <cellStyle name="Normal 8 3 2 2 2 5 2 3" xfId="12892" xr:uid="{1EE5E7E8-1097-4BA2-903F-7489F263621A}"/>
    <cellStyle name="Normal 8 3 2 2 2 5 3" xfId="6515" xr:uid="{00000000-0005-0000-0000-0000431D0000}"/>
    <cellStyle name="Normal 8 3 2 2 2 5 3 2" xfId="14965" xr:uid="{81C7D699-F9F5-4644-88F2-C9CBF2B295F7}"/>
    <cellStyle name="Normal 8 3 2 2 2 5 4" xfId="10747" xr:uid="{5D991A9A-9740-451D-A67C-178E2CF91CC5}"/>
    <cellStyle name="Normal 8 3 2 2 2 6" xfId="2645" xr:uid="{00000000-0005-0000-0000-0000441D0000}"/>
    <cellStyle name="Normal 8 3 2 2 2 6 2" xfId="6928" xr:uid="{00000000-0005-0000-0000-0000451D0000}"/>
    <cellStyle name="Normal 8 3 2 2 2 6 2 2" xfId="15378" xr:uid="{873440F9-CE78-41E5-BD64-5A32F2BE60C2}"/>
    <cellStyle name="Normal 8 3 2 2 2 6 3" xfId="11160" xr:uid="{2A8B5945-E496-4E76-93A4-B5212B3FF222}"/>
    <cellStyle name="Normal 8 3 2 2 2 7" xfId="4863" xr:uid="{00000000-0005-0000-0000-0000461D0000}"/>
    <cellStyle name="Normal 8 3 2 2 2 7 2" xfId="13313" xr:uid="{3CC76D82-34B0-40AB-B047-36B9CA58AC6D}"/>
    <cellStyle name="Normal 8 3 2 2 2 8" xfId="9095" xr:uid="{C19B704F-84F5-4867-8E7C-0837A3D9D864}"/>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CE6D34FC-9CC1-44D5-B973-8714013DFD20}"/>
    <cellStyle name="Normal 8 3 2 2 3 2 3" xfId="11652" xr:uid="{D5C69DE4-5ECC-48B6-B667-89C83B2300B0}"/>
    <cellStyle name="Normal 8 3 2 2 3 3" xfId="5275" xr:uid="{00000000-0005-0000-0000-00004A1D0000}"/>
    <cellStyle name="Normal 8 3 2 2 3 3 2" xfId="13725" xr:uid="{A10F17A7-B13C-4FC7-8703-BBF195DE0B55}"/>
    <cellStyle name="Normal 8 3 2 2 3 4" xfId="9507" xr:uid="{FDCDBF64-4698-43A3-A82C-713886D09D9B}"/>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59F60CB7-1D09-4127-99D9-7B43084A5A3F}"/>
    <cellStyle name="Normal 8 3 2 2 4 2 3" xfId="12065" xr:uid="{1D8B1E63-B189-45D5-A923-31655BFA6C55}"/>
    <cellStyle name="Normal 8 3 2 2 4 3" xfId="5688" xr:uid="{00000000-0005-0000-0000-00004E1D0000}"/>
    <cellStyle name="Normal 8 3 2 2 4 3 2" xfId="14138" xr:uid="{40DF5F72-F86E-4F50-BA31-72B719971DED}"/>
    <cellStyle name="Normal 8 3 2 2 4 4" xfId="9920" xr:uid="{C9E7D5FA-CF1F-4C8F-B499-9FED479B1957}"/>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BF1E3E0C-4E32-4F9A-AE82-2D4C6AC526BC}"/>
    <cellStyle name="Normal 8 3 2 2 5 2 3" xfId="12478" xr:uid="{FB37AE52-9CFA-47F8-804B-815562BAC13E}"/>
    <cellStyle name="Normal 8 3 2 2 5 3" xfId="6101" xr:uid="{00000000-0005-0000-0000-0000521D0000}"/>
    <cellStyle name="Normal 8 3 2 2 5 3 2" xfId="14551" xr:uid="{B73B8BBE-3EE4-49FF-BAF8-FAB330E22BFD}"/>
    <cellStyle name="Normal 8 3 2 2 5 4" xfId="10333" xr:uid="{3E167061-F65A-4E9A-BC77-4CAA6F075E8E}"/>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9047CDCB-B8FD-4B22-A72B-FEED2BEBDD71}"/>
    <cellStyle name="Normal 8 3 2 2 6 2 3" xfId="12891" xr:uid="{C35D92CE-AE59-4E31-90EE-E5153E7D4168}"/>
    <cellStyle name="Normal 8 3 2 2 6 3" xfId="6514" xr:uid="{00000000-0005-0000-0000-0000561D0000}"/>
    <cellStyle name="Normal 8 3 2 2 6 3 2" xfId="14964" xr:uid="{173FD376-76EE-4C56-B415-6A6E1D71CD0E}"/>
    <cellStyle name="Normal 8 3 2 2 6 4" xfId="10746" xr:uid="{88ABA394-5AEF-48DC-B16B-C119EAE87108}"/>
    <cellStyle name="Normal 8 3 2 2 7" xfId="2644" xr:uid="{00000000-0005-0000-0000-0000571D0000}"/>
    <cellStyle name="Normal 8 3 2 2 7 2" xfId="6927" xr:uid="{00000000-0005-0000-0000-0000581D0000}"/>
    <cellStyle name="Normal 8 3 2 2 7 2 2" xfId="15377" xr:uid="{3E4B971B-87BB-42E5-BB74-D8BA4A5EC08E}"/>
    <cellStyle name="Normal 8 3 2 2 7 3" xfId="11159" xr:uid="{03D83F27-B2C6-4328-B7CB-C5DFA124E4AA}"/>
    <cellStyle name="Normal 8 3 2 2 8" xfId="4862" xr:uid="{00000000-0005-0000-0000-0000591D0000}"/>
    <cellStyle name="Normal 8 3 2 2 8 2" xfId="13312" xr:uid="{E228D18A-4956-485B-817D-692920583A6C}"/>
    <cellStyle name="Normal 8 3 2 2 9" xfId="9094" xr:uid="{BE42840A-6631-4492-A09E-E3383F0D4A1D}"/>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504630AD-9271-480C-AD88-DF279ED1B91A}"/>
    <cellStyle name="Normal 8 3 2 3 2 2 3" xfId="11654" xr:uid="{24B380C4-2582-4FA1-8DDE-705A5C22C73C}"/>
    <cellStyle name="Normal 8 3 2 3 2 3" xfId="5277" xr:uid="{00000000-0005-0000-0000-00005E1D0000}"/>
    <cellStyle name="Normal 8 3 2 3 2 3 2" xfId="13727" xr:uid="{5809F029-F1B2-4098-BAE8-5FC44CD51BCE}"/>
    <cellStyle name="Normal 8 3 2 3 2 4" xfId="9509" xr:uid="{68DC9C63-DA42-498F-8BF2-D7A91B635D5B}"/>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8BFDED5E-602D-4A93-AB65-2F1DF32CC82A}"/>
    <cellStyle name="Normal 8 3 2 3 3 2 3" xfId="12067" xr:uid="{4E51306E-F49B-4F14-AF89-95D4909CA8C0}"/>
    <cellStyle name="Normal 8 3 2 3 3 3" xfId="5690" xr:uid="{00000000-0005-0000-0000-0000621D0000}"/>
    <cellStyle name="Normal 8 3 2 3 3 3 2" xfId="14140" xr:uid="{E202E009-03C8-4D05-9389-2AC304EF0B4E}"/>
    <cellStyle name="Normal 8 3 2 3 3 4" xfId="9922" xr:uid="{49109AA8-4E03-48EE-B976-425656874EE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B25D4FC3-C721-4C1C-AA18-56B1FF904E2F}"/>
    <cellStyle name="Normal 8 3 2 3 4 2 3" xfId="12480" xr:uid="{5741AAAD-1C16-4C47-9202-EF6E2DBF403A}"/>
    <cellStyle name="Normal 8 3 2 3 4 3" xfId="6103" xr:uid="{00000000-0005-0000-0000-0000661D0000}"/>
    <cellStyle name="Normal 8 3 2 3 4 3 2" xfId="14553" xr:uid="{A3757671-E085-4C8E-BF1F-BB11301A6ABD}"/>
    <cellStyle name="Normal 8 3 2 3 4 4" xfId="10335" xr:uid="{459BB7D8-6600-4B56-A003-13E77E1C41B6}"/>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2456E0D3-44EF-47F4-A8F3-0E729FF54B0D}"/>
    <cellStyle name="Normal 8 3 2 3 5 2 3" xfId="12893" xr:uid="{7EFAE825-2966-4B99-B79E-CD2E918412A2}"/>
    <cellStyle name="Normal 8 3 2 3 5 3" xfId="6516" xr:uid="{00000000-0005-0000-0000-00006A1D0000}"/>
    <cellStyle name="Normal 8 3 2 3 5 3 2" xfId="14966" xr:uid="{A70C7FA9-7139-40DC-BDFD-ED603ABB0EF7}"/>
    <cellStyle name="Normal 8 3 2 3 5 4" xfId="10748" xr:uid="{D3D14C89-EA62-4915-830A-1DF726476F62}"/>
    <cellStyle name="Normal 8 3 2 3 6" xfId="2646" xr:uid="{00000000-0005-0000-0000-00006B1D0000}"/>
    <cellStyle name="Normal 8 3 2 3 6 2" xfId="6929" xr:uid="{00000000-0005-0000-0000-00006C1D0000}"/>
    <cellStyle name="Normal 8 3 2 3 6 2 2" xfId="15379" xr:uid="{A50673A1-C820-4894-A3F6-B1717B8C99E7}"/>
    <cellStyle name="Normal 8 3 2 3 6 3" xfId="11161" xr:uid="{3F97F09E-F324-4F5A-87CD-3F57E4F36129}"/>
    <cellStyle name="Normal 8 3 2 3 7" xfId="4864" xr:uid="{00000000-0005-0000-0000-00006D1D0000}"/>
    <cellStyle name="Normal 8 3 2 3 7 2" xfId="13314" xr:uid="{20C98B97-7098-4F68-A257-5B9908904E0A}"/>
    <cellStyle name="Normal 8 3 2 3 8" xfId="9096" xr:uid="{B7BD9E71-487C-4E38-9A50-0E88AC81A274}"/>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5572F32E-E13F-4C7D-8C25-366852708A29}"/>
    <cellStyle name="Normal 8 3 2 4 2 3" xfId="11651" xr:uid="{01BB9C60-6B6A-4ECB-B17B-F456101BD818}"/>
    <cellStyle name="Normal 8 3 2 4 3" xfId="5274" xr:uid="{00000000-0005-0000-0000-0000711D0000}"/>
    <cellStyle name="Normal 8 3 2 4 3 2" xfId="13724" xr:uid="{A6BFE56F-137C-44DA-B880-F9484113E2A8}"/>
    <cellStyle name="Normal 8 3 2 4 4" xfId="9506" xr:uid="{DCAB8078-CCF7-4315-A7F7-F9F256B471DD}"/>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0DE52B41-837D-4156-B7C6-4BC186795B6E}"/>
    <cellStyle name="Normal 8 3 2 5 2 3" xfId="12064" xr:uid="{68F338CB-EA6B-4A20-9BAD-61F762B762F1}"/>
    <cellStyle name="Normal 8 3 2 5 3" xfId="5687" xr:uid="{00000000-0005-0000-0000-0000751D0000}"/>
    <cellStyle name="Normal 8 3 2 5 3 2" xfId="14137" xr:uid="{F5A10E28-46BF-4D98-BB4F-1D2516D04A3B}"/>
    <cellStyle name="Normal 8 3 2 5 4" xfId="9919" xr:uid="{C2DA4138-EA4B-46D8-855B-EDEFE75152D1}"/>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6D332C22-427C-430C-A1FB-151CD7AC4E33}"/>
    <cellStyle name="Normal 8 3 2 6 2 3" xfId="12477" xr:uid="{37CD00D7-4A39-4239-A541-073CFF03BE2D}"/>
    <cellStyle name="Normal 8 3 2 6 3" xfId="6100" xr:uid="{00000000-0005-0000-0000-0000791D0000}"/>
    <cellStyle name="Normal 8 3 2 6 3 2" xfId="14550" xr:uid="{1E6C52E9-05F3-4FF4-A42F-F4C9F1E03193}"/>
    <cellStyle name="Normal 8 3 2 6 4" xfId="10332" xr:uid="{C4D7CC5C-35A5-402A-B428-AD4E80087AB8}"/>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8B12EB1D-81F1-4E5E-AD56-7107CAA505DE}"/>
    <cellStyle name="Normal 8 3 2 7 2 3" xfId="12890" xr:uid="{E24E772D-BDB7-4AF7-9132-65A73A294F2B}"/>
    <cellStyle name="Normal 8 3 2 7 3" xfId="6513" xr:uid="{00000000-0005-0000-0000-00007D1D0000}"/>
    <cellStyle name="Normal 8 3 2 7 3 2" xfId="14963" xr:uid="{FC7E1617-00D8-418A-B82E-B51079E1C2CF}"/>
    <cellStyle name="Normal 8 3 2 7 4" xfId="10745" xr:uid="{2EB2570E-0040-4C1F-9CA7-B29B93DDCE8A}"/>
    <cellStyle name="Normal 8 3 2 8" xfId="2643" xr:uid="{00000000-0005-0000-0000-00007E1D0000}"/>
    <cellStyle name="Normal 8 3 2 8 2" xfId="6926" xr:uid="{00000000-0005-0000-0000-00007F1D0000}"/>
    <cellStyle name="Normal 8 3 2 8 2 2" xfId="15376" xr:uid="{5A0C4077-EC05-49CE-9973-ACAE7E96107C}"/>
    <cellStyle name="Normal 8 3 2 8 3" xfId="11158" xr:uid="{16051B88-CD4D-49E1-82D7-FA69A927D5B1}"/>
    <cellStyle name="Normal 8 3 2 9" xfId="4861" xr:uid="{00000000-0005-0000-0000-0000801D0000}"/>
    <cellStyle name="Normal 8 3 2 9 2" xfId="13311" xr:uid="{265BDBEA-E37C-41E9-A065-7633A5ECB6AC}"/>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09FE0E32-A76C-4F1E-A584-996FE01D5467}"/>
    <cellStyle name="Normal 8 3 3 2 2 2 3" xfId="11656" xr:uid="{C53F8CFD-7DDE-4737-B3E5-5FD937E11664}"/>
    <cellStyle name="Normal 8 3 3 2 2 3" xfId="5279" xr:uid="{00000000-0005-0000-0000-0000861D0000}"/>
    <cellStyle name="Normal 8 3 3 2 2 3 2" xfId="13729" xr:uid="{BA9F2358-C640-4188-8986-66F34F87C39A}"/>
    <cellStyle name="Normal 8 3 3 2 2 4" xfId="9511" xr:uid="{1E4A9D46-C9B2-4418-BAD9-CFF465208EBC}"/>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CD6753F7-20BF-4B88-8F1E-146155A9109B}"/>
    <cellStyle name="Normal 8 3 3 2 3 2 3" xfId="12069" xr:uid="{91D5A762-234E-4601-BA91-C6B8FB533966}"/>
    <cellStyle name="Normal 8 3 3 2 3 3" xfId="5692" xr:uid="{00000000-0005-0000-0000-00008A1D0000}"/>
    <cellStyle name="Normal 8 3 3 2 3 3 2" xfId="14142" xr:uid="{9BA374FC-3541-4225-A3DA-6B6956835BEC}"/>
    <cellStyle name="Normal 8 3 3 2 3 4" xfId="9924" xr:uid="{0205ACF5-05A1-4619-86A9-FC726CAC9ED3}"/>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028EDB6D-96F4-47C9-84AF-33E283526AB1}"/>
    <cellStyle name="Normal 8 3 3 2 4 2 3" xfId="12482" xr:uid="{9320FA69-A4C6-4971-8D19-19BC71E7DF1D}"/>
    <cellStyle name="Normal 8 3 3 2 4 3" xfId="6105" xr:uid="{00000000-0005-0000-0000-00008E1D0000}"/>
    <cellStyle name="Normal 8 3 3 2 4 3 2" xfId="14555" xr:uid="{C7287A34-FBD4-480F-8397-655A260E40DE}"/>
    <cellStyle name="Normal 8 3 3 2 4 4" xfId="10337" xr:uid="{748EA5AE-909E-4CCD-8C87-2452C7973C43}"/>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65586B72-237E-456E-B1B9-751CE650C286}"/>
    <cellStyle name="Normal 8 3 3 2 5 2 3" xfId="12895" xr:uid="{2881860E-5C62-4616-9F36-670F6B18E9C3}"/>
    <cellStyle name="Normal 8 3 3 2 5 3" xfId="6518" xr:uid="{00000000-0005-0000-0000-0000921D0000}"/>
    <cellStyle name="Normal 8 3 3 2 5 3 2" xfId="14968" xr:uid="{151D1328-61C3-4D59-A078-6FD5775185AC}"/>
    <cellStyle name="Normal 8 3 3 2 5 4" xfId="10750" xr:uid="{4477C6E1-7F15-4A15-AFC2-6ECF36E12078}"/>
    <cellStyle name="Normal 8 3 3 2 6" xfId="2648" xr:uid="{00000000-0005-0000-0000-0000931D0000}"/>
    <cellStyle name="Normal 8 3 3 2 6 2" xfId="6931" xr:uid="{00000000-0005-0000-0000-0000941D0000}"/>
    <cellStyle name="Normal 8 3 3 2 6 2 2" xfId="15381" xr:uid="{E79746DD-F1CE-4669-ADB7-A5B8F6A337BA}"/>
    <cellStyle name="Normal 8 3 3 2 6 3" xfId="11163" xr:uid="{91D2CB31-50A6-4793-8530-25E007E75F6B}"/>
    <cellStyle name="Normal 8 3 3 2 7" xfId="4866" xr:uid="{00000000-0005-0000-0000-0000951D0000}"/>
    <cellStyle name="Normal 8 3 3 2 7 2" xfId="13316" xr:uid="{F9052A7C-32D2-4F75-A68D-370DCEC890F2}"/>
    <cellStyle name="Normal 8 3 3 2 8" xfId="9098" xr:uid="{0BEB6744-CBC3-4072-B1B9-06C95B4BB915}"/>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4CE7799B-5C54-4FF6-BD0E-C1CA2B05FB4F}"/>
    <cellStyle name="Normal 8 3 3 3 2 3" xfId="11655" xr:uid="{576F6B30-84D0-44A0-A3FE-EC15CE2E0EE5}"/>
    <cellStyle name="Normal 8 3 3 3 3" xfId="5278" xr:uid="{00000000-0005-0000-0000-0000991D0000}"/>
    <cellStyle name="Normal 8 3 3 3 3 2" xfId="13728" xr:uid="{038CAED0-291B-41C2-A164-6401A0F6C392}"/>
    <cellStyle name="Normal 8 3 3 3 4" xfId="9510" xr:uid="{CA48A02C-F655-4D73-904C-013D02A4A8D7}"/>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E413789E-BA7B-42C1-9A2B-2D22A51D66CF}"/>
    <cellStyle name="Normal 8 3 3 4 2 3" xfId="12068" xr:uid="{E6B53FEC-533B-4BF1-B74B-E9946F56A54C}"/>
    <cellStyle name="Normal 8 3 3 4 3" xfId="5691" xr:uid="{00000000-0005-0000-0000-00009D1D0000}"/>
    <cellStyle name="Normal 8 3 3 4 3 2" xfId="14141" xr:uid="{5C4287CD-BBAD-45E6-95B3-123C66DAF7BE}"/>
    <cellStyle name="Normal 8 3 3 4 4" xfId="9923" xr:uid="{CF41C887-A5FF-4AD5-B00F-C6477A2E3D82}"/>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3E99EB1E-79B2-4996-9609-92094D034087}"/>
    <cellStyle name="Normal 8 3 3 5 2 3" xfId="12481" xr:uid="{45E0F2C5-0120-4DAB-9A12-41F486923431}"/>
    <cellStyle name="Normal 8 3 3 5 3" xfId="6104" xr:uid="{00000000-0005-0000-0000-0000A11D0000}"/>
    <cellStyle name="Normal 8 3 3 5 3 2" xfId="14554" xr:uid="{FA021418-7080-45F6-9C15-D535A7EF1218}"/>
    <cellStyle name="Normal 8 3 3 5 4" xfId="10336" xr:uid="{8B9615C9-4E25-40B4-A1FB-62AC09874EBB}"/>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1C8CBBAF-7C83-4149-9CAD-FAC3ABB29430}"/>
    <cellStyle name="Normal 8 3 3 6 2 3" xfId="12894" xr:uid="{CE3A6656-22A8-4510-9B4E-A44411AF8E66}"/>
    <cellStyle name="Normal 8 3 3 6 3" xfId="6517" xr:uid="{00000000-0005-0000-0000-0000A51D0000}"/>
    <cellStyle name="Normal 8 3 3 6 3 2" xfId="14967" xr:uid="{D2F40E57-6327-41FC-87DA-8A07534205DC}"/>
    <cellStyle name="Normal 8 3 3 6 4" xfId="10749" xr:uid="{03AFEDB8-8CD5-478F-B43C-573587B79F45}"/>
    <cellStyle name="Normal 8 3 3 7" xfId="2647" xr:uid="{00000000-0005-0000-0000-0000A61D0000}"/>
    <cellStyle name="Normal 8 3 3 7 2" xfId="6930" xr:uid="{00000000-0005-0000-0000-0000A71D0000}"/>
    <cellStyle name="Normal 8 3 3 7 2 2" xfId="15380" xr:uid="{99488FDB-D5FF-447D-B748-4D68969C5BBE}"/>
    <cellStyle name="Normal 8 3 3 7 3" xfId="11162" xr:uid="{76841503-B1DA-4955-B087-20AB74C35E4D}"/>
    <cellStyle name="Normal 8 3 3 8" xfId="4865" xr:uid="{00000000-0005-0000-0000-0000A81D0000}"/>
    <cellStyle name="Normal 8 3 3 8 2" xfId="13315" xr:uid="{87E9A957-74D5-4068-AFFF-DD733278F3AB}"/>
    <cellStyle name="Normal 8 3 3 9" xfId="9097" xr:uid="{DEA8B934-A952-4168-BAF4-B58494B28AFB}"/>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8672E4D0-7335-450E-B200-A1C814582EBB}"/>
    <cellStyle name="Normal 8 3 4 2 2 3" xfId="11657" xr:uid="{2D15D63B-98DB-4089-BC44-A69FD7ED3538}"/>
    <cellStyle name="Normal 8 3 4 2 3" xfId="5280" xr:uid="{00000000-0005-0000-0000-0000AD1D0000}"/>
    <cellStyle name="Normal 8 3 4 2 3 2" xfId="13730" xr:uid="{22B380BF-72F1-41EE-A0CB-4C724B8F7E20}"/>
    <cellStyle name="Normal 8 3 4 2 4" xfId="9512" xr:uid="{12E94707-9E3E-486D-93EB-D467B6F1E468}"/>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0D4A182C-17AE-470D-8E95-70055413D8B6}"/>
    <cellStyle name="Normal 8 3 4 3 2 3" xfId="12070" xr:uid="{D664FFC6-2D97-4C09-A894-5321521B0B04}"/>
    <cellStyle name="Normal 8 3 4 3 3" xfId="5693" xr:uid="{00000000-0005-0000-0000-0000B11D0000}"/>
    <cellStyle name="Normal 8 3 4 3 3 2" xfId="14143" xr:uid="{A80C3944-C83E-4F60-A504-9742905D041A}"/>
    <cellStyle name="Normal 8 3 4 3 4" xfId="9925" xr:uid="{07D13345-6497-418B-8949-246F03E4B88C}"/>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413B9C13-1DC2-4BEE-9CC9-C5DAF8EABB43}"/>
    <cellStyle name="Normal 8 3 4 4 2 3" xfId="12483" xr:uid="{49C8D9D6-8156-4C71-A594-D3718BB4646E}"/>
    <cellStyle name="Normal 8 3 4 4 3" xfId="6106" xr:uid="{00000000-0005-0000-0000-0000B51D0000}"/>
    <cellStyle name="Normal 8 3 4 4 3 2" xfId="14556" xr:uid="{AAA9DABB-539B-48EA-B320-FC5A024F7BC3}"/>
    <cellStyle name="Normal 8 3 4 4 4" xfId="10338" xr:uid="{07E90E3B-9FE1-40C9-9CFC-E6D840FE4EF7}"/>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68D49358-7A97-4B4D-8964-F70A8E0A3F43}"/>
    <cellStyle name="Normal 8 3 4 5 2 3" xfId="12896" xr:uid="{592D6908-12E2-4AA3-BF8D-CCEE2D5333F6}"/>
    <cellStyle name="Normal 8 3 4 5 3" xfId="6519" xr:uid="{00000000-0005-0000-0000-0000B91D0000}"/>
    <cellStyle name="Normal 8 3 4 5 3 2" xfId="14969" xr:uid="{E292C247-76ED-4DF0-9EA1-F0AF801079E2}"/>
    <cellStyle name="Normal 8 3 4 5 4" xfId="10751" xr:uid="{65AC7FDB-C342-4646-91C6-4320880D886A}"/>
    <cellStyle name="Normal 8 3 4 6" xfId="2649" xr:uid="{00000000-0005-0000-0000-0000BA1D0000}"/>
    <cellStyle name="Normal 8 3 4 6 2" xfId="6932" xr:uid="{00000000-0005-0000-0000-0000BB1D0000}"/>
    <cellStyle name="Normal 8 3 4 6 2 2" xfId="15382" xr:uid="{96EB3DC0-01BE-456C-813B-D7410776A2CD}"/>
    <cellStyle name="Normal 8 3 4 6 3" xfId="11164" xr:uid="{9D99C446-8C55-46FB-9156-3BB22579B2A7}"/>
    <cellStyle name="Normal 8 3 4 7" xfId="4867" xr:uid="{00000000-0005-0000-0000-0000BC1D0000}"/>
    <cellStyle name="Normal 8 3 4 7 2" xfId="13317" xr:uid="{CE66EC0C-5483-4F29-A8C1-B13E51E1B3D3}"/>
    <cellStyle name="Normal 8 3 4 8" xfId="9099" xr:uid="{152D8E03-47D2-4F24-827C-179CE31C642B}"/>
    <cellStyle name="Normal 8 3 5" xfId="962" xr:uid="{00000000-0005-0000-0000-0000BD1D0000}"/>
    <cellStyle name="Normal 8 3 5 2" xfId="3196" xr:uid="{00000000-0005-0000-0000-0000BE1D0000}"/>
    <cellStyle name="Normal 8 3 5 2 2" xfId="7418" xr:uid="{00000000-0005-0000-0000-0000BF1D0000}"/>
    <cellStyle name="Normal 8 3 5 2 2 2" xfId="15868" xr:uid="{3B3AEE79-82B8-4762-80BC-AAF263698F45}"/>
    <cellStyle name="Normal 8 3 5 2 3" xfId="11650" xr:uid="{E2079F7F-C0D5-4507-81DE-36B4B8DB26AF}"/>
    <cellStyle name="Normal 8 3 5 3" xfId="5273" xr:uid="{00000000-0005-0000-0000-0000C01D0000}"/>
    <cellStyle name="Normal 8 3 5 3 2" xfId="13723" xr:uid="{C6E5412E-FEC3-492D-A9CE-B4F5D4BEAB75}"/>
    <cellStyle name="Normal 8 3 5 4" xfId="9505" xr:uid="{85EF3F62-5C20-40A3-A6E6-9DAFC1D1C976}"/>
    <cellStyle name="Normal 8 3 6" xfId="1379" xr:uid="{00000000-0005-0000-0000-0000C11D0000}"/>
    <cellStyle name="Normal 8 3 6 2" xfId="3609" xr:uid="{00000000-0005-0000-0000-0000C21D0000}"/>
    <cellStyle name="Normal 8 3 6 2 2" xfId="7831" xr:uid="{00000000-0005-0000-0000-0000C31D0000}"/>
    <cellStyle name="Normal 8 3 6 2 2 2" xfId="16281" xr:uid="{112FB648-E845-493D-9286-FD728EC4DD0A}"/>
    <cellStyle name="Normal 8 3 6 2 3" xfId="12063" xr:uid="{1FEC0315-85FE-46C3-8A6B-3E8816F73B1A}"/>
    <cellStyle name="Normal 8 3 6 3" xfId="5686" xr:uid="{00000000-0005-0000-0000-0000C41D0000}"/>
    <cellStyle name="Normal 8 3 6 3 2" xfId="14136" xr:uid="{EE7929F1-098D-40C7-B375-F391D8D1684A}"/>
    <cellStyle name="Normal 8 3 6 4" xfId="9918" xr:uid="{E620FBB5-22CD-41D3-962A-9200FD264053}"/>
    <cellStyle name="Normal 8 3 7" xfId="1792" xr:uid="{00000000-0005-0000-0000-0000C51D0000}"/>
    <cellStyle name="Normal 8 3 7 2" xfId="4022" xr:uid="{00000000-0005-0000-0000-0000C61D0000}"/>
    <cellStyle name="Normal 8 3 7 2 2" xfId="8244" xr:uid="{00000000-0005-0000-0000-0000C71D0000}"/>
    <cellStyle name="Normal 8 3 7 2 2 2" xfId="16694" xr:uid="{12A1417A-3B44-4845-8005-F2B9BB71229D}"/>
    <cellStyle name="Normal 8 3 7 2 3" xfId="12476" xr:uid="{98CC5854-8360-4158-AB5C-E9AF628ECC72}"/>
    <cellStyle name="Normal 8 3 7 3" xfId="6099" xr:uid="{00000000-0005-0000-0000-0000C81D0000}"/>
    <cellStyle name="Normal 8 3 7 3 2" xfId="14549" xr:uid="{FA3E9E56-F89A-4BC6-8FD8-0373BE20E412}"/>
    <cellStyle name="Normal 8 3 7 4" xfId="10331" xr:uid="{152A55C3-3088-4D38-BB12-14BE54D9F8FC}"/>
    <cellStyle name="Normal 8 3 8" xfId="2206" xr:uid="{00000000-0005-0000-0000-0000C91D0000}"/>
    <cellStyle name="Normal 8 3 8 2" xfId="4435" xr:uid="{00000000-0005-0000-0000-0000CA1D0000}"/>
    <cellStyle name="Normal 8 3 8 2 2" xfId="8657" xr:uid="{00000000-0005-0000-0000-0000CB1D0000}"/>
    <cellStyle name="Normal 8 3 8 2 2 2" xfId="17107" xr:uid="{E541A205-A136-4641-88CA-24A7B829C254}"/>
    <cellStyle name="Normal 8 3 8 2 3" xfId="12889" xr:uid="{10807A0E-04E3-497B-AD85-F869D4D1F03A}"/>
    <cellStyle name="Normal 8 3 8 3" xfId="6512" xr:uid="{00000000-0005-0000-0000-0000CC1D0000}"/>
    <cellStyle name="Normal 8 3 8 3 2" xfId="14962" xr:uid="{AD0CC6A1-5233-40A7-A53F-BA43979318CC}"/>
    <cellStyle name="Normal 8 3 8 4" xfId="10744" xr:uid="{ADF1CAC7-B4C5-4B25-B2F7-CD83A167C0FD}"/>
    <cellStyle name="Normal 8 3 9" xfId="2642" xr:uid="{00000000-0005-0000-0000-0000CD1D0000}"/>
    <cellStyle name="Normal 8 3 9 2" xfId="6925" xr:uid="{00000000-0005-0000-0000-0000CE1D0000}"/>
    <cellStyle name="Normal 8 3 9 2 2" xfId="15375" xr:uid="{39A2839D-AC05-499B-9392-BADC2CF78746}"/>
    <cellStyle name="Normal 8 3 9 3" xfId="11157" xr:uid="{CC049E89-562F-4789-B55A-FA35051747A0}"/>
    <cellStyle name="Normal 8 4" xfId="503" xr:uid="{00000000-0005-0000-0000-0000CF1D0000}"/>
    <cellStyle name="Normal 8 4 10" xfId="9100" xr:uid="{ED1BB33D-B33E-403B-B83A-ED6B17D922A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ECC6273B-0132-4870-9103-7C37338F8417}"/>
    <cellStyle name="Normal 8 4 2 2 2 2 3" xfId="11660" xr:uid="{201406BD-8810-4775-B954-F35FD5EAEC61}"/>
    <cellStyle name="Normal 8 4 2 2 2 3" xfId="5283" xr:uid="{00000000-0005-0000-0000-0000D51D0000}"/>
    <cellStyle name="Normal 8 4 2 2 2 3 2" xfId="13733" xr:uid="{8EE4492E-1F66-4BBC-936A-D1297B1D0849}"/>
    <cellStyle name="Normal 8 4 2 2 2 4" xfId="9515" xr:uid="{BC9D746F-272C-445D-9377-427F011A2E72}"/>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B847EAEE-26AC-40DD-BFDE-A4745EB37F16}"/>
    <cellStyle name="Normal 8 4 2 2 3 2 3" xfId="12073" xr:uid="{37B80BF3-0C11-4622-9FFF-A342867FC92B}"/>
    <cellStyle name="Normal 8 4 2 2 3 3" xfId="5696" xr:uid="{00000000-0005-0000-0000-0000D91D0000}"/>
    <cellStyle name="Normal 8 4 2 2 3 3 2" xfId="14146" xr:uid="{F8C3BEBB-CD0E-4CE3-AE6C-1B50ED290988}"/>
    <cellStyle name="Normal 8 4 2 2 3 4" xfId="9928" xr:uid="{820C930C-0C0D-4D90-8B1D-1CA9C2D72E08}"/>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3D0A395F-3DBF-4E5F-B95A-61D6259D88CB}"/>
    <cellStyle name="Normal 8 4 2 2 4 2 3" xfId="12486" xr:uid="{664AF498-BE29-4017-8538-A66BD39241E1}"/>
    <cellStyle name="Normal 8 4 2 2 4 3" xfId="6109" xr:uid="{00000000-0005-0000-0000-0000DD1D0000}"/>
    <cellStyle name="Normal 8 4 2 2 4 3 2" xfId="14559" xr:uid="{40501491-C315-4154-84FF-CAE205FC3B3B}"/>
    <cellStyle name="Normal 8 4 2 2 4 4" xfId="10341" xr:uid="{A371FED4-44B9-400F-A647-630B1AACCD03}"/>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56EFCD50-D8D5-4B46-B7BC-DC3069002A6E}"/>
    <cellStyle name="Normal 8 4 2 2 5 2 3" xfId="12899" xr:uid="{67325A28-C969-4A52-B54F-F4C003D84BF7}"/>
    <cellStyle name="Normal 8 4 2 2 5 3" xfId="6522" xr:uid="{00000000-0005-0000-0000-0000E11D0000}"/>
    <cellStyle name="Normal 8 4 2 2 5 3 2" xfId="14972" xr:uid="{65FAEB22-B47F-448E-9819-80ABC067BD55}"/>
    <cellStyle name="Normal 8 4 2 2 5 4" xfId="10754" xr:uid="{0C1A311A-0B91-41F8-91D7-9C141F05B9F6}"/>
    <cellStyle name="Normal 8 4 2 2 6" xfId="2652" xr:uid="{00000000-0005-0000-0000-0000E21D0000}"/>
    <cellStyle name="Normal 8 4 2 2 6 2" xfId="6935" xr:uid="{00000000-0005-0000-0000-0000E31D0000}"/>
    <cellStyle name="Normal 8 4 2 2 6 2 2" xfId="15385" xr:uid="{34433A79-C9EA-4F5E-BADB-6C3BF9C86456}"/>
    <cellStyle name="Normal 8 4 2 2 6 3" xfId="11167" xr:uid="{178164C9-24CC-4990-B43D-5F34670F8947}"/>
    <cellStyle name="Normal 8 4 2 2 7" xfId="4870" xr:uid="{00000000-0005-0000-0000-0000E41D0000}"/>
    <cellStyle name="Normal 8 4 2 2 7 2" xfId="13320" xr:uid="{72F02C9C-9F04-4384-AC76-C502C6FC65AA}"/>
    <cellStyle name="Normal 8 4 2 2 8" xfId="9102" xr:uid="{9F0A339F-3AEB-4629-96C8-2DA7808F8870}"/>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8FFFF439-6390-4355-8BCE-249C7F14CC46}"/>
    <cellStyle name="Normal 8 4 2 3 2 3" xfId="11659" xr:uid="{59E5DFF4-AF07-4720-8258-C7D3336330C8}"/>
    <cellStyle name="Normal 8 4 2 3 3" xfId="5282" xr:uid="{00000000-0005-0000-0000-0000E81D0000}"/>
    <cellStyle name="Normal 8 4 2 3 3 2" xfId="13732" xr:uid="{82AE1B43-74BB-4EA5-A7D3-31E18BF6E58B}"/>
    <cellStyle name="Normal 8 4 2 3 4" xfId="9514" xr:uid="{F6429434-C43F-41B9-8C95-E5645215AF85}"/>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AE9F1905-C510-4C7F-A99B-7CAC07ED501A}"/>
    <cellStyle name="Normal 8 4 2 4 2 3" xfId="12072" xr:uid="{08BFAB8E-1212-4815-9195-F67E2B565F5B}"/>
    <cellStyle name="Normal 8 4 2 4 3" xfId="5695" xr:uid="{00000000-0005-0000-0000-0000EC1D0000}"/>
    <cellStyle name="Normal 8 4 2 4 3 2" xfId="14145" xr:uid="{C126939C-8AE0-446F-80A1-21AB97B9872D}"/>
    <cellStyle name="Normal 8 4 2 4 4" xfId="9927" xr:uid="{EBAE9BBB-8BB9-42B5-BC86-94CE4D9D7ABD}"/>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2810DE4D-0C7F-4CBE-B6DC-A0DD6AD0098E}"/>
    <cellStyle name="Normal 8 4 2 5 2 3" xfId="12485" xr:uid="{4E912E7C-7D17-4E77-9F47-E7B7D865C5FF}"/>
    <cellStyle name="Normal 8 4 2 5 3" xfId="6108" xr:uid="{00000000-0005-0000-0000-0000F01D0000}"/>
    <cellStyle name="Normal 8 4 2 5 3 2" xfId="14558" xr:uid="{560167DB-5D14-4B3E-981A-012EB88461DC}"/>
    <cellStyle name="Normal 8 4 2 5 4" xfId="10340" xr:uid="{F438FC9D-8CE3-4CAE-9CC1-F6D0F4A668D6}"/>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FAEC9F22-93E3-4E8A-B880-D197EDC4DBBA}"/>
    <cellStyle name="Normal 8 4 2 6 2 3" xfId="12898" xr:uid="{F5B3B185-9B59-4332-8161-FE8E6A196A98}"/>
    <cellStyle name="Normal 8 4 2 6 3" xfId="6521" xr:uid="{00000000-0005-0000-0000-0000F41D0000}"/>
    <cellStyle name="Normal 8 4 2 6 3 2" xfId="14971" xr:uid="{996B2748-1FD0-4779-AB15-1C22A69A2A2F}"/>
    <cellStyle name="Normal 8 4 2 6 4" xfId="10753" xr:uid="{603690AB-AA60-4753-9ADF-12155C2BC2F1}"/>
    <cellStyle name="Normal 8 4 2 7" xfId="2651" xr:uid="{00000000-0005-0000-0000-0000F51D0000}"/>
    <cellStyle name="Normal 8 4 2 7 2" xfId="6934" xr:uid="{00000000-0005-0000-0000-0000F61D0000}"/>
    <cellStyle name="Normal 8 4 2 7 2 2" xfId="15384" xr:uid="{1D140EE7-B347-4E4B-85DF-9D7B42E70EED}"/>
    <cellStyle name="Normal 8 4 2 7 3" xfId="11166" xr:uid="{61243AD6-08B3-49BB-8C8A-8225B86FBFD2}"/>
    <cellStyle name="Normal 8 4 2 8" xfId="4869" xr:uid="{00000000-0005-0000-0000-0000F71D0000}"/>
    <cellStyle name="Normal 8 4 2 8 2" xfId="13319" xr:uid="{CD14CB98-AAE1-4D9B-A65C-CDB739DFD646}"/>
    <cellStyle name="Normal 8 4 2 9" xfId="9101" xr:uid="{A649F353-2AAD-4F3C-B8E4-28585681113A}"/>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1AE503AB-D938-44DD-A3BC-91F254D04596}"/>
    <cellStyle name="Normal 8 4 3 2 2 3" xfId="11661" xr:uid="{E315AD28-5E35-4B2C-8BF5-0431E9F368F1}"/>
    <cellStyle name="Normal 8 4 3 2 3" xfId="5284" xr:uid="{00000000-0005-0000-0000-0000FC1D0000}"/>
    <cellStyle name="Normal 8 4 3 2 3 2" xfId="13734" xr:uid="{E6381E3F-9746-4E66-967B-45C7451EA0D6}"/>
    <cellStyle name="Normal 8 4 3 2 4" xfId="9516" xr:uid="{67FED1B1-B6A5-44B4-9E75-32121948F79A}"/>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A292F463-3DD3-4D5F-8378-5A3A4B6187B3}"/>
    <cellStyle name="Normal 8 4 3 3 2 3" xfId="12074" xr:uid="{AE699722-8BD0-4E8B-B5A1-FC6254A0DC8C}"/>
    <cellStyle name="Normal 8 4 3 3 3" xfId="5697" xr:uid="{00000000-0005-0000-0000-0000001E0000}"/>
    <cellStyle name="Normal 8 4 3 3 3 2" xfId="14147" xr:uid="{2EB74691-860C-4032-B5B9-3C393110849C}"/>
    <cellStyle name="Normal 8 4 3 3 4" xfId="9929" xr:uid="{BA1F7498-CC23-458A-B271-6302F6A3C047}"/>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1A4070C3-BF97-4725-97F1-E94D37901B84}"/>
    <cellStyle name="Normal 8 4 3 4 2 3" xfId="12487" xr:uid="{43623247-C8F9-43E6-8A44-ED59EF373E7F}"/>
    <cellStyle name="Normal 8 4 3 4 3" xfId="6110" xr:uid="{00000000-0005-0000-0000-0000041E0000}"/>
    <cellStyle name="Normal 8 4 3 4 3 2" xfId="14560" xr:uid="{0E8312A4-74D6-4948-BD54-2E53090CC15C}"/>
    <cellStyle name="Normal 8 4 3 4 4" xfId="10342" xr:uid="{41588EE0-5CCB-4F97-8A08-93A7CCFE4EF2}"/>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32834035-6D8D-4C0F-8F5F-80545A517C08}"/>
    <cellStyle name="Normal 8 4 3 5 2 3" xfId="12900" xr:uid="{4ADFF99A-48F9-45A3-8E79-9E5ED8F28A90}"/>
    <cellStyle name="Normal 8 4 3 5 3" xfId="6523" xr:uid="{00000000-0005-0000-0000-0000081E0000}"/>
    <cellStyle name="Normal 8 4 3 5 3 2" xfId="14973" xr:uid="{35090E3C-E441-4F94-9B6F-2C4A5FE3E7E9}"/>
    <cellStyle name="Normal 8 4 3 5 4" xfId="10755" xr:uid="{ABD2E7E7-0589-4311-896D-9C6552F5E10E}"/>
    <cellStyle name="Normal 8 4 3 6" xfId="2653" xr:uid="{00000000-0005-0000-0000-0000091E0000}"/>
    <cellStyle name="Normal 8 4 3 6 2" xfId="6936" xr:uid="{00000000-0005-0000-0000-00000A1E0000}"/>
    <cellStyle name="Normal 8 4 3 6 2 2" xfId="15386" xr:uid="{15A3AF68-36A2-4329-B12D-265DAD60B8DA}"/>
    <cellStyle name="Normal 8 4 3 6 3" xfId="11168" xr:uid="{74E5EDF0-4B30-4FE8-A4FC-992580BBDC2D}"/>
    <cellStyle name="Normal 8 4 3 7" xfId="4871" xr:uid="{00000000-0005-0000-0000-00000B1E0000}"/>
    <cellStyle name="Normal 8 4 3 7 2" xfId="13321" xr:uid="{226ED39D-667D-490B-BA39-648D28EA3996}"/>
    <cellStyle name="Normal 8 4 3 8" xfId="9103" xr:uid="{E423BD51-169C-4BB6-936A-C476CF8D1723}"/>
    <cellStyle name="Normal 8 4 4" xfId="970" xr:uid="{00000000-0005-0000-0000-00000C1E0000}"/>
    <cellStyle name="Normal 8 4 4 2" xfId="3204" xr:uid="{00000000-0005-0000-0000-00000D1E0000}"/>
    <cellStyle name="Normal 8 4 4 2 2" xfId="7426" xr:uid="{00000000-0005-0000-0000-00000E1E0000}"/>
    <cellStyle name="Normal 8 4 4 2 2 2" xfId="15876" xr:uid="{31C88EFB-2276-40A9-A68F-9A469637C2D4}"/>
    <cellStyle name="Normal 8 4 4 2 3" xfId="11658" xr:uid="{79F838E8-8872-45D0-9EA7-DEFD40C0E0C8}"/>
    <cellStyle name="Normal 8 4 4 3" xfId="5281" xr:uid="{00000000-0005-0000-0000-00000F1E0000}"/>
    <cellStyle name="Normal 8 4 4 3 2" xfId="13731" xr:uid="{0B0269F8-54EC-4F76-9A60-7FE7387E01B4}"/>
    <cellStyle name="Normal 8 4 4 4" xfId="9513" xr:uid="{298401B1-556A-4C12-8E45-B7F75BB0B283}"/>
    <cellStyle name="Normal 8 4 5" xfId="1387" xr:uid="{00000000-0005-0000-0000-0000101E0000}"/>
    <cellStyle name="Normal 8 4 5 2" xfId="3617" xr:uid="{00000000-0005-0000-0000-0000111E0000}"/>
    <cellStyle name="Normal 8 4 5 2 2" xfId="7839" xr:uid="{00000000-0005-0000-0000-0000121E0000}"/>
    <cellStyle name="Normal 8 4 5 2 2 2" xfId="16289" xr:uid="{58F4A7F4-35F8-4424-B550-CA63A13688A8}"/>
    <cellStyle name="Normal 8 4 5 2 3" xfId="12071" xr:uid="{9417C18E-3242-4960-83D1-6AB6B434A2D3}"/>
    <cellStyle name="Normal 8 4 5 3" xfId="5694" xr:uid="{00000000-0005-0000-0000-0000131E0000}"/>
    <cellStyle name="Normal 8 4 5 3 2" xfId="14144" xr:uid="{EE25052D-F02B-41D3-892B-92E37D8E4AF5}"/>
    <cellStyle name="Normal 8 4 5 4" xfId="9926" xr:uid="{CD2DD2E9-0F86-4E2C-BFBE-CD338B570A57}"/>
    <cellStyle name="Normal 8 4 6" xfId="1800" xr:uid="{00000000-0005-0000-0000-0000141E0000}"/>
    <cellStyle name="Normal 8 4 6 2" xfId="4030" xr:uid="{00000000-0005-0000-0000-0000151E0000}"/>
    <cellStyle name="Normal 8 4 6 2 2" xfId="8252" xr:uid="{00000000-0005-0000-0000-0000161E0000}"/>
    <cellStyle name="Normal 8 4 6 2 2 2" xfId="16702" xr:uid="{EEF9EF07-3971-458E-8521-CE23AD9047BF}"/>
    <cellStyle name="Normal 8 4 6 2 3" xfId="12484" xr:uid="{791A246C-9E5A-40E2-8E6E-82EAAD9DAC51}"/>
    <cellStyle name="Normal 8 4 6 3" xfId="6107" xr:uid="{00000000-0005-0000-0000-0000171E0000}"/>
    <cellStyle name="Normal 8 4 6 3 2" xfId="14557" xr:uid="{71BC71BB-838C-4F39-BAB8-56CC1472DFFD}"/>
    <cellStyle name="Normal 8 4 6 4" xfId="10339" xr:uid="{18A15758-2307-42CB-B8AB-881DF8A3ED9F}"/>
    <cellStyle name="Normal 8 4 7" xfId="2214" xr:uid="{00000000-0005-0000-0000-0000181E0000}"/>
    <cellStyle name="Normal 8 4 7 2" xfId="4443" xr:uid="{00000000-0005-0000-0000-0000191E0000}"/>
    <cellStyle name="Normal 8 4 7 2 2" xfId="8665" xr:uid="{00000000-0005-0000-0000-00001A1E0000}"/>
    <cellStyle name="Normal 8 4 7 2 2 2" xfId="17115" xr:uid="{FE8C72D2-1FC1-4BB0-98F1-FB8ACC9DB087}"/>
    <cellStyle name="Normal 8 4 7 2 3" xfId="12897" xr:uid="{EE968405-D718-495D-8328-7A9A7BC73E02}"/>
    <cellStyle name="Normal 8 4 7 3" xfId="6520" xr:uid="{00000000-0005-0000-0000-00001B1E0000}"/>
    <cellStyle name="Normal 8 4 7 3 2" xfId="14970" xr:uid="{9E4CEAC6-EC35-4C29-B8C4-849BCA9FBD2B}"/>
    <cellStyle name="Normal 8 4 7 4" xfId="10752" xr:uid="{C229D213-96B5-4B59-B863-1921250527F8}"/>
    <cellStyle name="Normal 8 4 8" xfId="2650" xr:uid="{00000000-0005-0000-0000-00001C1E0000}"/>
    <cellStyle name="Normal 8 4 8 2" xfId="6933" xr:uid="{00000000-0005-0000-0000-00001D1E0000}"/>
    <cellStyle name="Normal 8 4 8 2 2" xfId="15383" xr:uid="{E55CF1E4-6179-4A62-94AE-DDDDD78FE57C}"/>
    <cellStyle name="Normal 8 4 8 3" xfId="11165" xr:uid="{3964F777-7176-4361-A4D8-5A6BFBC89B72}"/>
    <cellStyle name="Normal 8 4 9" xfId="4868" xr:uid="{00000000-0005-0000-0000-00001E1E0000}"/>
    <cellStyle name="Normal 8 4 9 2" xfId="13318" xr:uid="{FC44C719-75BC-457A-AAFE-C290D62B348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0BD3C44A-B9BA-4795-A8BB-1ECB72D0A67F}"/>
    <cellStyle name="Normal 8 5 2 2 2 3" xfId="11663" xr:uid="{B96201D1-5F3A-4D1B-9D51-76222DE5B1BC}"/>
    <cellStyle name="Normal 8 5 2 2 3" xfId="5286" xr:uid="{00000000-0005-0000-0000-0000241E0000}"/>
    <cellStyle name="Normal 8 5 2 2 3 2" xfId="13736" xr:uid="{9C4B483F-A852-4AFB-AB39-B4CE2F1289C9}"/>
    <cellStyle name="Normal 8 5 2 2 4" xfId="9518" xr:uid="{CC8C4EC1-2C71-43AC-95D5-30775658AAFB}"/>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0A2D93C4-84B0-496A-B46B-28BDECB6685D}"/>
    <cellStyle name="Normal 8 5 2 3 2 3" xfId="12076" xr:uid="{6759CD77-53DA-42F2-BF08-EF6F5B282F9E}"/>
    <cellStyle name="Normal 8 5 2 3 3" xfId="5699" xr:uid="{00000000-0005-0000-0000-0000281E0000}"/>
    <cellStyle name="Normal 8 5 2 3 3 2" xfId="14149" xr:uid="{1BD8FC0D-91BA-479C-9B76-26E46257DF08}"/>
    <cellStyle name="Normal 8 5 2 3 4" xfId="9931" xr:uid="{E609D9EB-944E-498B-936A-A19703EF575E}"/>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196F5F44-0124-4D74-9CBA-EA0E7ECA1858}"/>
    <cellStyle name="Normal 8 5 2 4 2 3" xfId="12489" xr:uid="{3729AD83-5B49-4BD6-9827-E99835DA37C7}"/>
    <cellStyle name="Normal 8 5 2 4 3" xfId="6112" xr:uid="{00000000-0005-0000-0000-00002C1E0000}"/>
    <cellStyle name="Normal 8 5 2 4 3 2" xfId="14562" xr:uid="{8FDA90AD-6EF1-4EA7-B83F-873AF09EE28B}"/>
    <cellStyle name="Normal 8 5 2 4 4" xfId="10344" xr:uid="{618FA15F-6DFD-4DFD-8807-6D408D7EA52F}"/>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CBF26692-99AA-4D59-9A3C-E58A432390C6}"/>
    <cellStyle name="Normal 8 5 2 5 2 3" xfId="12902" xr:uid="{CC4FE66E-3817-46EA-BD8F-759AB0346B4B}"/>
    <cellStyle name="Normal 8 5 2 5 3" xfId="6525" xr:uid="{00000000-0005-0000-0000-0000301E0000}"/>
    <cellStyle name="Normal 8 5 2 5 3 2" xfId="14975" xr:uid="{09934690-FFFD-4014-99F7-CA68644A2AFC}"/>
    <cellStyle name="Normal 8 5 2 5 4" xfId="10757" xr:uid="{00AAC489-9713-471A-95F3-9EB984079BC0}"/>
    <cellStyle name="Normal 8 5 2 6" xfId="2655" xr:uid="{00000000-0005-0000-0000-0000311E0000}"/>
    <cellStyle name="Normal 8 5 2 6 2" xfId="6938" xr:uid="{00000000-0005-0000-0000-0000321E0000}"/>
    <cellStyle name="Normal 8 5 2 6 2 2" xfId="15388" xr:uid="{7E82AA26-266E-4187-B2D1-4197D45DD280}"/>
    <cellStyle name="Normal 8 5 2 6 3" xfId="11170" xr:uid="{EB78070F-E7FF-49F1-A5D4-F4B4EFA4698A}"/>
    <cellStyle name="Normal 8 5 2 7" xfId="4873" xr:uid="{00000000-0005-0000-0000-0000331E0000}"/>
    <cellStyle name="Normal 8 5 2 7 2" xfId="13323" xr:uid="{375A5B26-551B-4A9D-AE4E-C841CC97A52E}"/>
    <cellStyle name="Normal 8 5 2 8" xfId="9105" xr:uid="{271FABE6-4EFE-4BF0-A413-058A0E28FF02}"/>
    <cellStyle name="Normal 8 5 3" xfId="974" xr:uid="{00000000-0005-0000-0000-0000341E0000}"/>
    <cellStyle name="Normal 8 5 3 2" xfId="3208" xr:uid="{00000000-0005-0000-0000-0000351E0000}"/>
    <cellStyle name="Normal 8 5 3 2 2" xfId="7430" xr:uid="{00000000-0005-0000-0000-0000361E0000}"/>
    <cellStyle name="Normal 8 5 3 2 2 2" xfId="15880" xr:uid="{F6F5D917-38D9-4F4C-93E3-CC009ACC7F03}"/>
    <cellStyle name="Normal 8 5 3 2 3" xfId="11662" xr:uid="{EB20EE2E-C345-4408-8EAE-7E400D74F1E6}"/>
    <cellStyle name="Normal 8 5 3 3" xfId="5285" xr:uid="{00000000-0005-0000-0000-0000371E0000}"/>
    <cellStyle name="Normal 8 5 3 3 2" xfId="13735" xr:uid="{C437A3FD-1855-401E-ACFB-2DFD3341FAB9}"/>
    <cellStyle name="Normal 8 5 3 4" xfId="9517" xr:uid="{6B564785-A41D-49F8-AEA9-72C2DDFDA64E}"/>
    <cellStyle name="Normal 8 5 4" xfId="1391" xr:uid="{00000000-0005-0000-0000-0000381E0000}"/>
    <cellStyle name="Normal 8 5 4 2" xfId="3621" xr:uid="{00000000-0005-0000-0000-0000391E0000}"/>
    <cellStyle name="Normal 8 5 4 2 2" xfId="7843" xr:uid="{00000000-0005-0000-0000-00003A1E0000}"/>
    <cellStyle name="Normal 8 5 4 2 2 2" xfId="16293" xr:uid="{57361AC5-B9D7-429C-87D4-361BB9B77DD6}"/>
    <cellStyle name="Normal 8 5 4 2 3" xfId="12075" xr:uid="{761FE739-40EA-4012-9549-6CA8624E742C}"/>
    <cellStyle name="Normal 8 5 4 3" xfId="5698" xr:uid="{00000000-0005-0000-0000-00003B1E0000}"/>
    <cellStyle name="Normal 8 5 4 3 2" xfId="14148" xr:uid="{5FEB15F9-22AC-4787-911D-113C6C2180A4}"/>
    <cellStyle name="Normal 8 5 4 4" xfId="9930" xr:uid="{0F9CD6B3-313A-4233-856A-DA99A6853EE5}"/>
    <cellStyle name="Normal 8 5 5" xfId="1804" xr:uid="{00000000-0005-0000-0000-00003C1E0000}"/>
    <cellStyle name="Normal 8 5 5 2" xfId="4034" xr:uid="{00000000-0005-0000-0000-00003D1E0000}"/>
    <cellStyle name="Normal 8 5 5 2 2" xfId="8256" xr:uid="{00000000-0005-0000-0000-00003E1E0000}"/>
    <cellStyle name="Normal 8 5 5 2 2 2" xfId="16706" xr:uid="{72984CD1-EFD9-4692-BCC9-ACB06C6E5909}"/>
    <cellStyle name="Normal 8 5 5 2 3" xfId="12488" xr:uid="{BFF7AFCF-6ECB-436A-8FD8-76BFCA0C3D0C}"/>
    <cellStyle name="Normal 8 5 5 3" xfId="6111" xr:uid="{00000000-0005-0000-0000-00003F1E0000}"/>
    <cellStyle name="Normal 8 5 5 3 2" xfId="14561" xr:uid="{95E0D59A-BD6C-48DE-92F4-DF6A6948BF6F}"/>
    <cellStyle name="Normal 8 5 5 4" xfId="10343" xr:uid="{67139906-E7B6-4FBE-940B-C30CDCF76643}"/>
    <cellStyle name="Normal 8 5 6" xfId="2218" xr:uid="{00000000-0005-0000-0000-0000401E0000}"/>
    <cellStyle name="Normal 8 5 6 2" xfId="4447" xr:uid="{00000000-0005-0000-0000-0000411E0000}"/>
    <cellStyle name="Normal 8 5 6 2 2" xfId="8669" xr:uid="{00000000-0005-0000-0000-0000421E0000}"/>
    <cellStyle name="Normal 8 5 6 2 2 2" xfId="17119" xr:uid="{AA62B08F-8791-4C13-8850-DB7A58EE2375}"/>
    <cellStyle name="Normal 8 5 6 2 3" xfId="12901" xr:uid="{8E18FC39-F522-4B54-9596-27B8AF000BE7}"/>
    <cellStyle name="Normal 8 5 6 3" xfId="6524" xr:uid="{00000000-0005-0000-0000-0000431E0000}"/>
    <cellStyle name="Normal 8 5 6 3 2" xfId="14974" xr:uid="{99059421-B8DC-4425-83C5-7B05543AC030}"/>
    <cellStyle name="Normal 8 5 6 4" xfId="10756" xr:uid="{DE2D54BC-E327-494E-BAD0-6E93DEF671FB}"/>
    <cellStyle name="Normal 8 5 7" xfId="2654" xr:uid="{00000000-0005-0000-0000-0000441E0000}"/>
    <cellStyle name="Normal 8 5 7 2" xfId="6937" xr:uid="{00000000-0005-0000-0000-0000451E0000}"/>
    <cellStyle name="Normal 8 5 7 2 2" xfId="15387" xr:uid="{26644305-9971-421C-87F0-39CCB7979C05}"/>
    <cellStyle name="Normal 8 5 7 3" xfId="11169" xr:uid="{8D4D4140-585F-43BB-9A3A-ADFE45B17B04}"/>
    <cellStyle name="Normal 8 5 8" xfId="4872" xr:uid="{00000000-0005-0000-0000-0000461E0000}"/>
    <cellStyle name="Normal 8 5 8 2" xfId="13322" xr:uid="{1731E29B-6142-4EFD-8E4F-72F4A5AB95C9}"/>
    <cellStyle name="Normal 8 5 9" xfId="9104" xr:uid="{98945F59-DD41-4C95-B30E-10C46B5274A1}"/>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680F1942-842C-4E41-B509-8BD61C583964}"/>
    <cellStyle name="Normal 8 6 2 2 3" xfId="11664" xr:uid="{6A5011A8-00ED-4C7D-AE65-C828544CE394}"/>
    <cellStyle name="Normal 8 6 2 3" xfId="5287" xr:uid="{00000000-0005-0000-0000-00004B1E0000}"/>
    <cellStyle name="Normal 8 6 2 3 2" xfId="13737" xr:uid="{C9C6CCDE-BCD0-4C45-A09D-C78B82EBF934}"/>
    <cellStyle name="Normal 8 6 2 4" xfId="9519" xr:uid="{4334D719-CF43-401D-BB3A-22E62E4D44B6}"/>
    <cellStyle name="Normal 8 6 3" xfId="1393" xr:uid="{00000000-0005-0000-0000-00004C1E0000}"/>
    <cellStyle name="Normal 8 6 3 2" xfId="3623" xr:uid="{00000000-0005-0000-0000-00004D1E0000}"/>
    <cellStyle name="Normal 8 6 3 2 2" xfId="7845" xr:uid="{00000000-0005-0000-0000-00004E1E0000}"/>
    <cellStyle name="Normal 8 6 3 2 2 2" xfId="16295" xr:uid="{26AB7EB8-FEE1-4E0E-B628-D67DF63C11D0}"/>
    <cellStyle name="Normal 8 6 3 2 3" xfId="12077" xr:uid="{876F9EDB-B030-442D-8BF7-53DAE7629FB1}"/>
    <cellStyle name="Normal 8 6 3 3" xfId="5700" xr:uid="{00000000-0005-0000-0000-00004F1E0000}"/>
    <cellStyle name="Normal 8 6 3 3 2" xfId="14150" xr:uid="{47FB0C7B-369E-454A-AB78-3D7885D91D44}"/>
    <cellStyle name="Normal 8 6 3 4" xfId="9932" xr:uid="{C9DE2E3A-6410-4DD4-A5B5-BA4CF1744884}"/>
    <cellStyle name="Normal 8 6 4" xfId="1806" xr:uid="{00000000-0005-0000-0000-0000501E0000}"/>
    <cellStyle name="Normal 8 6 4 2" xfId="4036" xr:uid="{00000000-0005-0000-0000-0000511E0000}"/>
    <cellStyle name="Normal 8 6 4 2 2" xfId="8258" xr:uid="{00000000-0005-0000-0000-0000521E0000}"/>
    <cellStyle name="Normal 8 6 4 2 2 2" xfId="16708" xr:uid="{35EC16DD-1031-4AB8-80B0-A155ADDB12A6}"/>
    <cellStyle name="Normal 8 6 4 2 3" xfId="12490" xr:uid="{6BF5251C-44B9-4F65-942F-C36B29B48B08}"/>
    <cellStyle name="Normal 8 6 4 3" xfId="6113" xr:uid="{00000000-0005-0000-0000-0000531E0000}"/>
    <cellStyle name="Normal 8 6 4 3 2" xfId="14563" xr:uid="{D3FD0597-0DF2-4752-84EA-69A4DC15CD19}"/>
    <cellStyle name="Normal 8 6 4 4" xfId="10345" xr:uid="{819F71D1-CCF4-4024-9E72-49B5E8FA4A10}"/>
    <cellStyle name="Normal 8 6 5" xfId="2220" xr:uid="{00000000-0005-0000-0000-0000541E0000}"/>
    <cellStyle name="Normal 8 6 5 2" xfId="4449" xr:uid="{00000000-0005-0000-0000-0000551E0000}"/>
    <cellStyle name="Normal 8 6 5 2 2" xfId="8671" xr:uid="{00000000-0005-0000-0000-0000561E0000}"/>
    <cellStyle name="Normal 8 6 5 2 2 2" xfId="17121" xr:uid="{90776D9D-66DF-487A-A054-FD5B9D4339F8}"/>
    <cellStyle name="Normal 8 6 5 2 3" xfId="12903" xr:uid="{C048CAE7-3395-4189-8385-E1A93BD40E2D}"/>
    <cellStyle name="Normal 8 6 5 3" xfId="6526" xr:uid="{00000000-0005-0000-0000-0000571E0000}"/>
    <cellStyle name="Normal 8 6 5 3 2" xfId="14976" xr:uid="{08CF6267-23A0-4CF6-BA8F-92BD493EBC18}"/>
    <cellStyle name="Normal 8 6 5 4" xfId="10758" xr:uid="{F1176CB7-BC9D-4742-AAF7-97A420BDFDC6}"/>
    <cellStyle name="Normal 8 6 6" xfId="2656" xr:uid="{00000000-0005-0000-0000-0000581E0000}"/>
    <cellStyle name="Normal 8 6 6 2" xfId="6939" xr:uid="{00000000-0005-0000-0000-0000591E0000}"/>
    <cellStyle name="Normal 8 6 6 2 2" xfId="15389" xr:uid="{ED15A0EF-ACDB-4449-B3A4-00E45B9AD1CC}"/>
    <cellStyle name="Normal 8 6 6 3" xfId="11171" xr:uid="{E381FF37-88A3-49FA-A180-C052CB05EB3C}"/>
    <cellStyle name="Normal 8 6 7" xfId="4874" xr:uid="{00000000-0005-0000-0000-00005A1E0000}"/>
    <cellStyle name="Normal 8 6 7 2" xfId="13324" xr:uid="{1A04EE6F-9D44-48FB-9C2E-250F66AD333D}"/>
    <cellStyle name="Normal 8 6 8" xfId="9106" xr:uid="{98163162-4262-43F1-BEF0-496D31DA6EC8}"/>
    <cellStyle name="Normal 8 7" xfId="945" xr:uid="{00000000-0005-0000-0000-00005B1E0000}"/>
    <cellStyle name="Normal 8 7 2" xfId="3179" xr:uid="{00000000-0005-0000-0000-00005C1E0000}"/>
    <cellStyle name="Normal 8 7 2 2" xfId="7401" xr:uid="{00000000-0005-0000-0000-00005D1E0000}"/>
    <cellStyle name="Normal 8 7 2 2 2" xfId="15851" xr:uid="{A2D60055-F396-4D68-886C-6F76C0763C7F}"/>
    <cellStyle name="Normal 8 7 2 3" xfId="11633" xr:uid="{703106F3-9B18-49F8-80F3-28A8DFD4D5EA}"/>
    <cellStyle name="Normal 8 7 3" xfId="5256" xr:uid="{00000000-0005-0000-0000-00005E1E0000}"/>
    <cellStyle name="Normal 8 7 3 2" xfId="13706" xr:uid="{BF1549AE-FB7D-4A10-959D-3B9E9C5BC274}"/>
    <cellStyle name="Normal 8 7 4" xfId="9488" xr:uid="{ED906030-3A62-48A4-9D08-CB2DC41CEEFA}"/>
    <cellStyle name="Normal 8 8" xfId="1362" xr:uid="{00000000-0005-0000-0000-00005F1E0000}"/>
    <cellStyle name="Normal 8 8 2" xfId="3592" xr:uid="{00000000-0005-0000-0000-0000601E0000}"/>
    <cellStyle name="Normal 8 8 2 2" xfId="7814" xr:uid="{00000000-0005-0000-0000-0000611E0000}"/>
    <cellStyle name="Normal 8 8 2 2 2" xfId="16264" xr:uid="{9A62E0A5-DFA0-4A1B-890D-9238637A441E}"/>
    <cellStyle name="Normal 8 8 2 3" xfId="12046" xr:uid="{0AEAA725-9D2B-4965-B244-270D5C9E468A}"/>
    <cellStyle name="Normal 8 8 3" xfId="5669" xr:uid="{00000000-0005-0000-0000-0000621E0000}"/>
    <cellStyle name="Normal 8 8 3 2" xfId="14119" xr:uid="{A9F9322F-FCD8-4877-A85D-80CF1C2E64B3}"/>
    <cellStyle name="Normal 8 8 4" xfId="9901" xr:uid="{0FC68E2D-1C5A-422F-8446-3C7DA0CE63DA}"/>
    <cellStyle name="Normal 8 9" xfId="1775" xr:uid="{00000000-0005-0000-0000-0000631E0000}"/>
    <cellStyle name="Normal 8 9 2" xfId="4005" xr:uid="{00000000-0005-0000-0000-0000641E0000}"/>
    <cellStyle name="Normal 8 9 2 2" xfId="8227" xr:uid="{00000000-0005-0000-0000-0000651E0000}"/>
    <cellStyle name="Normal 8 9 2 2 2" xfId="16677" xr:uid="{AD0527E7-1E8D-4651-897A-07253CF4FE4B}"/>
    <cellStyle name="Normal 8 9 2 3" xfId="12459" xr:uid="{4D8FD43E-54A6-4C1A-A71E-C02CE39D1139}"/>
    <cellStyle name="Normal 8 9 3" xfId="6082" xr:uid="{00000000-0005-0000-0000-0000661E0000}"/>
    <cellStyle name="Normal 8 9 3 2" xfId="14532" xr:uid="{394E7506-20AD-4610-8173-39A9BA1B7430}"/>
    <cellStyle name="Normal 8 9 4" xfId="10314" xr:uid="{137E2F85-3C93-4C85-BECB-D9245D2FF903}"/>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7BAAC7B3-7E04-44C2-B829-EF3A4EDD1B02}"/>
    <cellStyle name="Normal 9 2 10 3" xfId="11172" xr:uid="{EA05E255-1109-4632-AEDD-ACD55317CDC2}"/>
    <cellStyle name="Normal 9 2 11" xfId="4875" xr:uid="{00000000-0005-0000-0000-00006B1E0000}"/>
    <cellStyle name="Normal 9 2 11 2" xfId="13325" xr:uid="{33B1A0FC-82FD-4EA5-A3F5-8214CAFF3BD0}"/>
    <cellStyle name="Normal 9 2 12" xfId="9107" xr:uid="{C0F37820-1187-41E3-A1BB-5A71C0B5A9A0}"/>
    <cellStyle name="Normal 9 2 2" xfId="512" xr:uid="{00000000-0005-0000-0000-00006C1E0000}"/>
    <cellStyle name="Normal 9 2 2 10" xfId="4876" xr:uid="{00000000-0005-0000-0000-00006D1E0000}"/>
    <cellStyle name="Normal 9 2 2 10 2" xfId="13326" xr:uid="{C89D9665-23AE-4ED9-B31A-E7C2B5E38231}"/>
    <cellStyle name="Normal 9 2 2 11" xfId="9108" xr:uid="{36427D2A-79ED-456A-93FC-8DC2BDC70149}"/>
    <cellStyle name="Normal 9 2 2 2" xfId="513" xr:uid="{00000000-0005-0000-0000-00006E1E0000}"/>
    <cellStyle name="Normal 9 2 2 2 10" xfId="9109" xr:uid="{B6C04F3F-2A05-4CDC-B43B-999BF17FDDBF}"/>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B8AE998E-ED9F-421B-BC99-4EF2046B612E}"/>
    <cellStyle name="Normal 9 2 2 2 2 2 2 2 3" xfId="11669" xr:uid="{9DF30ABB-053A-4055-B5EF-9E0C90AB2093}"/>
    <cellStyle name="Normal 9 2 2 2 2 2 2 3" xfId="5292" xr:uid="{00000000-0005-0000-0000-0000741E0000}"/>
    <cellStyle name="Normal 9 2 2 2 2 2 2 3 2" xfId="13742" xr:uid="{7BA019D0-38DB-4C17-A3C1-2E0AE1C95598}"/>
    <cellStyle name="Normal 9 2 2 2 2 2 2 4" xfId="9524" xr:uid="{58F156DC-855C-4FC3-8450-3F4F4EF4328E}"/>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A6A55F86-9CF3-42DC-BE3E-31F6867DFAE4}"/>
    <cellStyle name="Normal 9 2 2 2 2 2 3 2 3" xfId="12082" xr:uid="{E1108CD9-1AD2-4D89-AA8C-9485FBE13CEC}"/>
    <cellStyle name="Normal 9 2 2 2 2 2 3 3" xfId="5705" xr:uid="{00000000-0005-0000-0000-0000781E0000}"/>
    <cellStyle name="Normal 9 2 2 2 2 2 3 3 2" xfId="14155" xr:uid="{3D7E1DE7-7B59-4E4F-93E7-F60377790C09}"/>
    <cellStyle name="Normal 9 2 2 2 2 2 3 4" xfId="9937" xr:uid="{6F52AC84-3AE9-4BB1-8577-72FC99228B54}"/>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1CA00F1C-9B37-4C85-B27C-EB8055E35C4E}"/>
    <cellStyle name="Normal 9 2 2 2 2 2 4 2 3" xfId="12495" xr:uid="{4FCC64C4-F020-4B3B-B068-9A9847FC516E}"/>
    <cellStyle name="Normal 9 2 2 2 2 2 4 3" xfId="6118" xr:uid="{00000000-0005-0000-0000-00007C1E0000}"/>
    <cellStyle name="Normal 9 2 2 2 2 2 4 3 2" xfId="14568" xr:uid="{29E40433-B9AB-4323-921F-5F646D1B4828}"/>
    <cellStyle name="Normal 9 2 2 2 2 2 4 4" xfId="10350" xr:uid="{BB2231D3-48B3-4645-9FEF-5A39566C9563}"/>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46D2E5CD-6618-49AD-B7D7-601A8B872748}"/>
    <cellStyle name="Normal 9 2 2 2 2 2 5 2 3" xfId="12908" xr:uid="{E8165C14-E14C-4014-A6E0-1306ECC849D4}"/>
    <cellStyle name="Normal 9 2 2 2 2 2 5 3" xfId="6531" xr:uid="{00000000-0005-0000-0000-0000801E0000}"/>
    <cellStyle name="Normal 9 2 2 2 2 2 5 3 2" xfId="14981" xr:uid="{723779FD-D7E0-418C-8128-F198A980B17F}"/>
    <cellStyle name="Normal 9 2 2 2 2 2 5 4" xfId="10763" xr:uid="{74DEBA4C-10B9-4EFA-8DC6-8D1A1DBFB779}"/>
    <cellStyle name="Normal 9 2 2 2 2 2 6" xfId="2661" xr:uid="{00000000-0005-0000-0000-0000811E0000}"/>
    <cellStyle name="Normal 9 2 2 2 2 2 6 2" xfId="6944" xr:uid="{00000000-0005-0000-0000-0000821E0000}"/>
    <cellStyle name="Normal 9 2 2 2 2 2 6 2 2" xfId="15394" xr:uid="{B3C82E70-E641-4372-80EE-0FA550896FD8}"/>
    <cellStyle name="Normal 9 2 2 2 2 2 6 3" xfId="11176" xr:uid="{B742B956-0483-4BDC-A60F-07B895E9AC57}"/>
    <cellStyle name="Normal 9 2 2 2 2 2 7" xfId="4879" xr:uid="{00000000-0005-0000-0000-0000831E0000}"/>
    <cellStyle name="Normal 9 2 2 2 2 2 7 2" xfId="13329" xr:uid="{CBE15FA2-E2A6-49E5-82D8-2A58DCE79048}"/>
    <cellStyle name="Normal 9 2 2 2 2 2 8" xfId="9111" xr:uid="{05D4BB9B-6C4F-4D8A-A8C6-403DA919B16D}"/>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972A6E3F-3083-40E2-8CE7-E8A6EF91B793}"/>
    <cellStyle name="Normal 9 2 2 2 2 3 2 3" xfId="11668" xr:uid="{B3494E2C-9991-4B3D-A935-B60FC4A44E79}"/>
    <cellStyle name="Normal 9 2 2 2 2 3 3" xfId="5291" xr:uid="{00000000-0005-0000-0000-0000871E0000}"/>
    <cellStyle name="Normal 9 2 2 2 2 3 3 2" xfId="13741" xr:uid="{E2CEF9E1-08ED-4675-88FD-995E03DE08B5}"/>
    <cellStyle name="Normal 9 2 2 2 2 3 4" xfId="9523" xr:uid="{954CBC76-AE26-4187-BC83-2651E91DDAD6}"/>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AF78B127-0883-46E1-B3B8-90E571F476B8}"/>
    <cellStyle name="Normal 9 2 2 2 2 4 2 3" xfId="12081" xr:uid="{BF3C9E3B-1601-43C2-BBD6-32DBB0ADFBCB}"/>
    <cellStyle name="Normal 9 2 2 2 2 4 3" xfId="5704" xr:uid="{00000000-0005-0000-0000-00008B1E0000}"/>
    <cellStyle name="Normal 9 2 2 2 2 4 3 2" xfId="14154" xr:uid="{612A4D90-DE53-4B93-B75B-32F257A0B6FF}"/>
    <cellStyle name="Normal 9 2 2 2 2 4 4" xfId="9936" xr:uid="{3E6B2336-AEA6-446F-829C-5F828B042847}"/>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E0427339-2900-47F5-A92E-2BCE1D406F60}"/>
    <cellStyle name="Normal 9 2 2 2 2 5 2 3" xfId="12494" xr:uid="{AF759DDE-6018-4466-9D3F-D90F2200E862}"/>
    <cellStyle name="Normal 9 2 2 2 2 5 3" xfId="6117" xr:uid="{00000000-0005-0000-0000-00008F1E0000}"/>
    <cellStyle name="Normal 9 2 2 2 2 5 3 2" xfId="14567" xr:uid="{068C5BBA-5878-4663-93AA-91745D14BB2C}"/>
    <cellStyle name="Normal 9 2 2 2 2 5 4" xfId="10349" xr:uid="{4EAE0A02-16C9-4BB1-9645-949D96CDFA62}"/>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A6FE874A-7043-49D9-9DDD-DF30BD78F214}"/>
    <cellStyle name="Normal 9 2 2 2 2 6 2 3" xfId="12907" xr:uid="{757AEB67-4320-48A2-BC8A-2FECEB175C18}"/>
    <cellStyle name="Normal 9 2 2 2 2 6 3" xfId="6530" xr:uid="{00000000-0005-0000-0000-0000931E0000}"/>
    <cellStyle name="Normal 9 2 2 2 2 6 3 2" xfId="14980" xr:uid="{28A53B88-C357-4F5E-8271-D1D12CDB4FCE}"/>
    <cellStyle name="Normal 9 2 2 2 2 6 4" xfId="10762" xr:uid="{2D72DB67-8950-40EF-B399-1CF343AA7616}"/>
    <cellStyle name="Normal 9 2 2 2 2 7" xfId="2660" xr:uid="{00000000-0005-0000-0000-0000941E0000}"/>
    <cellStyle name="Normal 9 2 2 2 2 7 2" xfId="6943" xr:uid="{00000000-0005-0000-0000-0000951E0000}"/>
    <cellStyle name="Normal 9 2 2 2 2 7 2 2" xfId="15393" xr:uid="{014D28D6-A653-4FB3-B924-916ED473B698}"/>
    <cellStyle name="Normal 9 2 2 2 2 7 3" xfId="11175" xr:uid="{F3FE4F8B-4133-4DC1-A8D5-7849160ADDCB}"/>
    <cellStyle name="Normal 9 2 2 2 2 8" xfId="4878" xr:uid="{00000000-0005-0000-0000-0000961E0000}"/>
    <cellStyle name="Normal 9 2 2 2 2 8 2" xfId="13328" xr:uid="{0ED2B1AD-A1D9-4BD8-975B-AC7D373CAE58}"/>
    <cellStyle name="Normal 9 2 2 2 2 9" xfId="9110" xr:uid="{1C4620B5-D16F-4796-863C-DE10B4312D1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9CE2B14F-12F4-45A8-BD30-2E150A1BE8FF}"/>
    <cellStyle name="Normal 9 2 2 2 3 2 2 3" xfId="11670" xr:uid="{1A34E106-751D-4396-9FD5-CCDFBD8F3D5D}"/>
    <cellStyle name="Normal 9 2 2 2 3 2 3" xfId="5293" xr:uid="{00000000-0005-0000-0000-00009B1E0000}"/>
    <cellStyle name="Normal 9 2 2 2 3 2 3 2" xfId="13743" xr:uid="{311FBAA7-5A89-477A-B0CB-7359B3158154}"/>
    <cellStyle name="Normal 9 2 2 2 3 2 4" xfId="9525" xr:uid="{66459F40-28A6-450D-93DF-CA7A5D453BDD}"/>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244B833F-7A04-403F-A8BA-4496614D29AD}"/>
    <cellStyle name="Normal 9 2 2 2 3 3 2 3" xfId="12083" xr:uid="{876BA391-BDD7-4CDD-93B7-4B859E6E6664}"/>
    <cellStyle name="Normal 9 2 2 2 3 3 3" xfId="5706" xr:uid="{00000000-0005-0000-0000-00009F1E0000}"/>
    <cellStyle name="Normal 9 2 2 2 3 3 3 2" xfId="14156" xr:uid="{55B12AF9-EDBA-4A29-89D3-B4484596CA1E}"/>
    <cellStyle name="Normal 9 2 2 2 3 3 4" xfId="9938" xr:uid="{D28939EA-6F8B-46DB-8162-1D0753F397D2}"/>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687CF58D-7A70-40AB-8B06-ED6D6BFA8EF8}"/>
    <cellStyle name="Normal 9 2 2 2 3 4 2 3" xfId="12496" xr:uid="{939E6D4A-9E47-491A-BD74-8A5731628C1C}"/>
    <cellStyle name="Normal 9 2 2 2 3 4 3" xfId="6119" xr:uid="{00000000-0005-0000-0000-0000A31E0000}"/>
    <cellStyle name="Normal 9 2 2 2 3 4 3 2" xfId="14569" xr:uid="{CAEAD20B-5C72-48EA-8C50-91E64C2E6405}"/>
    <cellStyle name="Normal 9 2 2 2 3 4 4" xfId="10351" xr:uid="{E062855C-E506-4B12-8F83-25166A66438C}"/>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9010EEC9-121D-405A-89EB-89BE6B1E9E20}"/>
    <cellStyle name="Normal 9 2 2 2 3 5 2 3" xfId="12909" xr:uid="{E2391827-4BC1-40D8-9827-65B9016C3553}"/>
    <cellStyle name="Normal 9 2 2 2 3 5 3" xfId="6532" xr:uid="{00000000-0005-0000-0000-0000A71E0000}"/>
    <cellStyle name="Normal 9 2 2 2 3 5 3 2" xfId="14982" xr:uid="{5880AE72-31C9-48E1-8E50-6C0F24CBF0F1}"/>
    <cellStyle name="Normal 9 2 2 2 3 5 4" xfId="10764" xr:uid="{C54E8573-64D6-4A1B-910C-1678926EEDB8}"/>
    <cellStyle name="Normal 9 2 2 2 3 6" xfId="2662" xr:uid="{00000000-0005-0000-0000-0000A81E0000}"/>
    <cellStyle name="Normal 9 2 2 2 3 6 2" xfId="6945" xr:uid="{00000000-0005-0000-0000-0000A91E0000}"/>
    <cellStyle name="Normal 9 2 2 2 3 6 2 2" xfId="15395" xr:uid="{14A89C3C-3714-4B50-9FBE-AF736801FC2A}"/>
    <cellStyle name="Normal 9 2 2 2 3 6 3" xfId="11177" xr:uid="{185201FD-040C-4858-B0FA-5373A56D8428}"/>
    <cellStyle name="Normal 9 2 2 2 3 7" xfId="4880" xr:uid="{00000000-0005-0000-0000-0000AA1E0000}"/>
    <cellStyle name="Normal 9 2 2 2 3 7 2" xfId="13330" xr:uid="{99B462F3-169D-4BD0-9122-32CC87F16646}"/>
    <cellStyle name="Normal 9 2 2 2 3 8" xfId="9112" xr:uid="{16E0739E-A7C2-4F81-B1D2-51BCD0FE79F4}"/>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BAC9BCE6-AB60-49A6-9AC8-86BE048F073F}"/>
    <cellStyle name="Normal 9 2 2 2 4 2 3" xfId="11667" xr:uid="{AC173756-B9DA-44F4-B9ED-BB127816ABB6}"/>
    <cellStyle name="Normal 9 2 2 2 4 3" xfId="5290" xr:uid="{00000000-0005-0000-0000-0000AE1E0000}"/>
    <cellStyle name="Normal 9 2 2 2 4 3 2" xfId="13740" xr:uid="{67A3FC6E-A869-4E68-9C1E-4FB38A322FC8}"/>
    <cellStyle name="Normal 9 2 2 2 4 4" xfId="9522" xr:uid="{789C8FE3-9F41-44ED-8B43-48A630353355}"/>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8789478A-D659-4CE4-A58B-4514E441A161}"/>
    <cellStyle name="Normal 9 2 2 2 5 2 3" xfId="12080" xr:uid="{ACD3CC12-163D-4666-9E1A-88BF04E9A67E}"/>
    <cellStyle name="Normal 9 2 2 2 5 3" xfId="5703" xr:uid="{00000000-0005-0000-0000-0000B21E0000}"/>
    <cellStyle name="Normal 9 2 2 2 5 3 2" xfId="14153" xr:uid="{7423F85C-BF00-4256-B008-9C277DFA8278}"/>
    <cellStyle name="Normal 9 2 2 2 5 4" xfId="9935" xr:uid="{E6C742E6-1388-480D-BF3C-BDD88D15A954}"/>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F0FE534E-D400-4DBF-B0F6-D6585FF450FC}"/>
    <cellStyle name="Normal 9 2 2 2 6 2 3" xfId="12493" xr:uid="{AE2C5510-B6E4-493B-914C-3A08D08BA046}"/>
    <cellStyle name="Normal 9 2 2 2 6 3" xfId="6116" xr:uid="{00000000-0005-0000-0000-0000B61E0000}"/>
    <cellStyle name="Normal 9 2 2 2 6 3 2" xfId="14566" xr:uid="{A9D96217-6B93-4743-AD31-6D288A77C172}"/>
    <cellStyle name="Normal 9 2 2 2 6 4" xfId="10348" xr:uid="{55F5485F-CF9D-4820-B219-07E02D521AA2}"/>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D8E74545-E6D8-474B-A93A-514607E0FEAB}"/>
    <cellStyle name="Normal 9 2 2 2 7 2 3" xfId="12906" xr:uid="{C7B784A6-EED9-4F4F-82D1-255540A9EBEE}"/>
    <cellStyle name="Normal 9 2 2 2 7 3" xfId="6529" xr:uid="{00000000-0005-0000-0000-0000BA1E0000}"/>
    <cellStyle name="Normal 9 2 2 2 7 3 2" xfId="14979" xr:uid="{3B81C0AA-3018-4BE6-BE13-14AA129D84AE}"/>
    <cellStyle name="Normal 9 2 2 2 7 4" xfId="10761" xr:uid="{26EC9939-6752-46FF-9730-462D8BD328B5}"/>
    <cellStyle name="Normal 9 2 2 2 8" xfId="2659" xr:uid="{00000000-0005-0000-0000-0000BB1E0000}"/>
    <cellStyle name="Normal 9 2 2 2 8 2" xfId="6942" xr:uid="{00000000-0005-0000-0000-0000BC1E0000}"/>
    <cellStyle name="Normal 9 2 2 2 8 2 2" xfId="15392" xr:uid="{3C93FF18-34D4-432C-9512-2D4F426E1C04}"/>
    <cellStyle name="Normal 9 2 2 2 8 3" xfId="11174" xr:uid="{39518AE0-9690-4D1A-BEBC-2637323CAC1B}"/>
    <cellStyle name="Normal 9 2 2 2 9" xfId="4877" xr:uid="{00000000-0005-0000-0000-0000BD1E0000}"/>
    <cellStyle name="Normal 9 2 2 2 9 2" xfId="13327" xr:uid="{074C7206-308F-4ED8-B9B8-73CEDB4C3C67}"/>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B87B0CAF-0366-4D6A-9B70-7F806E0F573C}"/>
    <cellStyle name="Normal 9 2 2 3 2 2 2 3" xfId="11672" xr:uid="{15BBF64F-6FAA-4DED-8293-E9EC0C8F7789}"/>
    <cellStyle name="Normal 9 2 2 3 2 2 3" xfId="5295" xr:uid="{00000000-0005-0000-0000-0000C31E0000}"/>
    <cellStyle name="Normal 9 2 2 3 2 2 3 2" xfId="13745" xr:uid="{4D72B07C-E726-48CC-8EF4-9E87FFB35204}"/>
    <cellStyle name="Normal 9 2 2 3 2 2 4" xfId="9527" xr:uid="{EBA4F3EA-FD36-4B98-ADAC-2AEE5D30B9F4}"/>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0D8DD345-EB4C-4A6D-9D75-3F1649054553}"/>
    <cellStyle name="Normal 9 2 2 3 2 3 2 3" xfId="12085" xr:uid="{17A2ADAB-FFA5-4BD4-9365-6289CD8A33A5}"/>
    <cellStyle name="Normal 9 2 2 3 2 3 3" xfId="5708" xr:uid="{00000000-0005-0000-0000-0000C71E0000}"/>
    <cellStyle name="Normal 9 2 2 3 2 3 3 2" xfId="14158" xr:uid="{F1E94AAF-37FD-4CB1-A6C3-5080CB574564}"/>
    <cellStyle name="Normal 9 2 2 3 2 3 4" xfId="9940" xr:uid="{DBF10F6F-B8C4-4C4B-9C4E-10BE5EC426AB}"/>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44FEDA5C-01DF-433A-BB60-8738CC53E699}"/>
    <cellStyle name="Normal 9 2 2 3 2 4 2 3" xfId="12498" xr:uid="{478419E3-AD78-43A7-BA5D-7C56BD063AD2}"/>
    <cellStyle name="Normal 9 2 2 3 2 4 3" xfId="6121" xr:uid="{00000000-0005-0000-0000-0000CB1E0000}"/>
    <cellStyle name="Normal 9 2 2 3 2 4 3 2" xfId="14571" xr:uid="{94B92DAB-FD84-4BC5-B2C0-CD0CAB40FC16}"/>
    <cellStyle name="Normal 9 2 2 3 2 4 4" xfId="10353" xr:uid="{9C25B0BA-80AE-48C6-9CA6-14256A236A1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6E144B25-7955-42E2-AAA6-CF9EB754E43A}"/>
    <cellStyle name="Normal 9 2 2 3 2 5 2 3" xfId="12911" xr:uid="{E12F66BA-8502-4CCD-8D97-AD1382351EEE}"/>
    <cellStyle name="Normal 9 2 2 3 2 5 3" xfId="6534" xr:uid="{00000000-0005-0000-0000-0000CF1E0000}"/>
    <cellStyle name="Normal 9 2 2 3 2 5 3 2" xfId="14984" xr:uid="{19839501-BBF6-45B4-A08C-4F03E5A5CAE6}"/>
    <cellStyle name="Normal 9 2 2 3 2 5 4" xfId="10766" xr:uid="{3A8061EE-6885-49AE-9B19-D2AA85910F39}"/>
    <cellStyle name="Normal 9 2 2 3 2 6" xfId="2664" xr:uid="{00000000-0005-0000-0000-0000D01E0000}"/>
    <cellStyle name="Normal 9 2 2 3 2 6 2" xfId="6947" xr:uid="{00000000-0005-0000-0000-0000D11E0000}"/>
    <cellStyle name="Normal 9 2 2 3 2 6 2 2" xfId="15397" xr:uid="{F4EB1BA0-A8D3-4A89-959F-D5720CF4C0F9}"/>
    <cellStyle name="Normal 9 2 2 3 2 6 3" xfId="11179" xr:uid="{1F0B44B1-3FA1-49EC-8DEC-875145CBB5D6}"/>
    <cellStyle name="Normal 9 2 2 3 2 7" xfId="4882" xr:uid="{00000000-0005-0000-0000-0000D21E0000}"/>
    <cellStyle name="Normal 9 2 2 3 2 7 2" xfId="13332" xr:uid="{573283F2-48FD-4E08-8F19-7D377D85A4E5}"/>
    <cellStyle name="Normal 9 2 2 3 2 8" xfId="9114" xr:uid="{FEE6B07A-BF71-4AF0-A59B-8AA763070943}"/>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F5DBE2D7-D901-4EB9-BD8E-6DD679DB78C0}"/>
    <cellStyle name="Normal 9 2 2 3 3 2 3" xfId="11671" xr:uid="{F9AAFCA2-4A99-481D-95E6-887D7A75D6A9}"/>
    <cellStyle name="Normal 9 2 2 3 3 3" xfId="5294" xr:uid="{00000000-0005-0000-0000-0000D61E0000}"/>
    <cellStyle name="Normal 9 2 2 3 3 3 2" xfId="13744" xr:uid="{33D2FDCF-7B9F-47CE-AB00-22175580B605}"/>
    <cellStyle name="Normal 9 2 2 3 3 4" xfId="9526" xr:uid="{DD62F498-3328-402F-ACE7-0A070DC40280}"/>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84BE9B96-7128-43B6-8044-B1559EAE8CCD}"/>
    <cellStyle name="Normal 9 2 2 3 4 2 3" xfId="12084" xr:uid="{90ECFCE4-E359-465A-A1C4-51624881805F}"/>
    <cellStyle name="Normal 9 2 2 3 4 3" xfId="5707" xr:uid="{00000000-0005-0000-0000-0000DA1E0000}"/>
    <cellStyle name="Normal 9 2 2 3 4 3 2" xfId="14157" xr:uid="{AD97BA04-9908-4CF2-AB1B-592EE77D3ACF}"/>
    <cellStyle name="Normal 9 2 2 3 4 4" xfId="9939" xr:uid="{D23A46E1-C292-4E0A-962B-49B1BBC80DC2}"/>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BD7DAEB1-B183-4C42-AE1F-BF3FF45F22A9}"/>
    <cellStyle name="Normal 9 2 2 3 5 2 3" xfId="12497" xr:uid="{157CBB9F-49B1-4714-8354-0852B850B53A}"/>
    <cellStyle name="Normal 9 2 2 3 5 3" xfId="6120" xr:uid="{00000000-0005-0000-0000-0000DE1E0000}"/>
    <cellStyle name="Normal 9 2 2 3 5 3 2" xfId="14570" xr:uid="{8ECF898A-459C-4CF0-887A-628955671820}"/>
    <cellStyle name="Normal 9 2 2 3 5 4" xfId="10352" xr:uid="{695D814B-E172-423E-A404-9D084FD5DF40}"/>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DAFC48C4-30F6-47E5-9C00-483E2578F9EE}"/>
    <cellStyle name="Normal 9 2 2 3 6 2 3" xfId="12910" xr:uid="{1C8B7C58-770D-4BDB-B6D3-C14B73A97E4C}"/>
    <cellStyle name="Normal 9 2 2 3 6 3" xfId="6533" xr:uid="{00000000-0005-0000-0000-0000E21E0000}"/>
    <cellStyle name="Normal 9 2 2 3 6 3 2" xfId="14983" xr:uid="{A951EBED-44AD-4659-B462-551EF97D625F}"/>
    <cellStyle name="Normal 9 2 2 3 6 4" xfId="10765" xr:uid="{982F7A3D-6E98-4805-9EC1-2FF641458186}"/>
    <cellStyle name="Normal 9 2 2 3 7" xfId="2663" xr:uid="{00000000-0005-0000-0000-0000E31E0000}"/>
    <cellStyle name="Normal 9 2 2 3 7 2" xfId="6946" xr:uid="{00000000-0005-0000-0000-0000E41E0000}"/>
    <cellStyle name="Normal 9 2 2 3 7 2 2" xfId="15396" xr:uid="{9C74A35A-8CFA-47D9-9597-0CF5ABF4F0A6}"/>
    <cellStyle name="Normal 9 2 2 3 7 3" xfId="11178" xr:uid="{C47D7DBD-6E3D-4FE8-9F27-DFB316936E28}"/>
    <cellStyle name="Normal 9 2 2 3 8" xfId="4881" xr:uid="{00000000-0005-0000-0000-0000E51E0000}"/>
    <cellStyle name="Normal 9 2 2 3 8 2" xfId="13331" xr:uid="{DD894783-3ED4-43EB-BAFA-79667BD98786}"/>
    <cellStyle name="Normal 9 2 2 3 9" xfId="9113" xr:uid="{178CAFA9-3195-41C7-AE52-D0A143D94468}"/>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4539A77B-2D4D-4D36-99F0-C0929552583D}"/>
    <cellStyle name="Normal 9 2 2 4 2 2 3" xfId="11673" xr:uid="{343B57D1-C23B-4768-8ED3-344234ABC7E5}"/>
    <cellStyle name="Normal 9 2 2 4 2 3" xfId="5296" xr:uid="{00000000-0005-0000-0000-0000EA1E0000}"/>
    <cellStyle name="Normal 9 2 2 4 2 3 2" xfId="13746" xr:uid="{D2BCABF7-764D-4D23-BE3C-8E8FD885ECE8}"/>
    <cellStyle name="Normal 9 2 2 4 2 4" xfId="9528" xr:uid="{B6B3623D-2ECE-4D9F-93BF-0B18D60DA087}"/>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B6151202-C3AD-474A-9975-BD14D54FE74B}"/>
    <cellStyle name="Normal 9 2 2 4 3 2 3" xfId="12086" xr:uid="{2601019F-21E8-49B0-82CF-8891DA3A9BB9}"/>
    <cellStyle name="Normal 9 2 2 4 3 3" xfId="5709" xr:uid="{00000000-0005-0000-0000-0000EE1E0000}"/>
    <cellStyle name="Normal 9 2 2 4 3 3 2" xfId="14159" xr:uid="{563609D0-4895-48E7-A8A4-1375991EB2D7}"/>
    <cellStyle name="Normal 9 2 2 4 3 4" xfId="9941" xr:uid="{8F3766F7-3289-4304-A53D-C09217BA74B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7349D1B5-DE46-4697-B430-9BD776F892E7}"/>
    <cellStyle name="Normal 9 2 2 4 4 2 3" xfId="12499" xr:uid="{30763B2E-8D61-4133-82E1-96D7D23D014F}"/>
    <cellStyle name="Normal 9 2 2 4 4 3" xfId="6122" xr:uid="{00000000-0005-0000-0000-0000F21E0000}"/>
    <cellStyle name="Normal 9 2 2 4 4 3 2" xfId="14572" xr:uid="{FDC08BD9-1FB0-4626-B5A1-678D4D4DB37C}"/>
    <cellStyle name="Normal 9 2 2 4 4 4" xfId="10354" xr:uid="{6E40FA78-4D2E-420C-A6D5-DCBEE8C6BC89}"/>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38DA56D9-F9D3-458C-B6C9-6687C6ED4BFB}"/>
    <cellStyle name="Normal 9 2 2 4 5 2 3" xfId="12912" xr:uid="{C036F4BE-AC3C-4AFC-873E-BD89C181B6CB}"/>
    <cellStyle name="Normal 9 2 2 4 5 3" xfId="6535" xr:uid="{00000000-0005-0000-0000-0000F61E0000}"/>
    <cellStyle name="Normal 9 2 2 4 5 3 2" xfId="14985" xr:uid="{011FB5E4-AA28-4E1E-82FC-B39092F673F9}"/>
    <cellStyle name="Normal 9 2 2 4 5 4" xfId="10767" xr:uid="{9832ECA9-21A0-4C33-96A7-4B637969ED69}"/>
    <cellStyle name="Normal 9 2 2 4 6" xfId="2665" xr:uid="{00000000-0005-0000-0000-0000F71E0000}"/>
    <cellStyle name="Normal 9 2 2 4 6 2" xfId="6948" xr:uid="{00000000-0005-0000-0000-0000F81E0000}"/>
    <cellStyle name="Normal 9 2 2 4 6 2 2" xfId="15398" xr:uid="{05F599A9-CA01-4AAC-A7C7-CEA3F0AA8693}"/>
    <cellStyle name="Normal 9 2 2 4 6 3" xfId="11180" xr:uid="{8D64E0E8-0C03-4791-90F3-B7568CEB235A}"/>
    <cellStyle name="Normal 9 2 2 4 7" xfId="4883" xr:uid="{00000000-0005-0000-0000-0000F91E0000}"/>
    <cellStyle name="Normal 9 2 2 4 7 2" xfId="13333" xr:uid="{BFD3647C-41EE-46D5-83FA-88EEFE102633}"/>
    <cellStyle name="Normal 9 2 2 4 8" xfId="9115" xr:uid="{F6FEDE10-445E-4B91-848D-F78FBF55B7AE}"/>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AEB5ABF8-0031-46C7-BAFC-BB72757486B1}"/>
    <cellStyle name="Normal 9 2 2 5 2 3" xfId="11666" xr:uid="{E1F42B19-911B-4C98-B812-3EFE961CF651}"/>
    <cellStyle name="Normal 9 2 2 5 3" xfId="5289" xr:uid="{00000000-0005-0000-0000-0000FD1E0000}"/>
    <cellStyle name="Normal 9 2 2 5 3 2" xfId="13739" xr:uid="{6BB81345-3EBE-499F-9499-E0C40DD50564}"/>
    <cellStyle name="Normal 9 2 2 5 4" xfId="9521" xr:uid="{A96F5748-5727-4653-A463-99C1060D626E}"/>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31DBD2AB-9A58-4BA4-91AF-E81C01049120}"/>
    <cellStyle name="Normal 9 2 2 6 2 3" xfId="12079" xr:uid="{E44546E2-9AA9-408E-85E8-8FA48BC89A55}"/>
    <cellStyle name="Normal 9 2 2 6 3" xfId="5702" xr:uid="{00000000-0005-0000-0000-0000011F0000}"/>
    <cellStyle name="Normal 9 2 2 6 3 2" xfId="14152" xr:uid="{55DA0454-A7AE-484C-81CD-5058F2FC1718}"/>
    <cellStyle name="Normal 9 2 2 6 4" xfId="9934" xr:uid="{32AD7293-DFF5-4EF5-A32B-4BB2B1F6AA8D}"/>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D7B4E82E-6916-4DD4-BA6E-3A54D134BB37}"/>
    <cellStyle name="Normal 9 2 2 7 2 3" xfId="12492" xr:uid="{BD5E9E4C-D253-49FD-9292-D6BA17F71D2D}"/>
    <cellStyle name="Normal 9 2 2 7 3" xfId="6115" xr:uid="{00000000-0005-0000-0000-0000051F0000}"/>
    <cellStyle name="Normal 9 2 2 7 3 2" xfId="14565" xr:uid="{BE08769F-D32A-40B3-975A-D426CC5652E1}"/>
    <cellStyle name="Normal 9 2 2 7 4" xfId="10347" xr:uid="{2FC7C7CC-1037-44AA-BFBB-8A512A27143C}"/>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2D5BE583-CB11-49B8-A8C2-12155DF60D5F}"/>
    <cellStyle name="Normal 9 2 2 8 2 3" xfId="12905" xr:uid="{AD32D7AC-35B2-48EF-B785-2F028BDA2F03}"/>
    <cellStyle name="Normal 9 2 2 8 3" xfId="6528" xr:uid="{00000000-0005-0000-0000-0000091F0000}"/>
    <cellStyle name="Normal 9 2 2 8 3 2" xfId="14978" xr:uid="{098EB0A2-29F0-4BBF-896F-4D016E5C230C}"/>
    <cellStyle name="Normal 9 2 2 8 4" xfId="10760" xr:uid="{E099ADAD-8A39-4201-9693-D165808227A0}"/>
    <cellStyle name="Normal 9 2 2 9" xfId="2658" xr:uid="{00000000-0005-0000-0000-00000A1F0000}"/>
    <cellStyle name="Normal 9 2 2 9 2" xfId="6941" xr:uid="{00000000-0005-0000-0000-00000B1F0000}"/>
    <cellStyle name="Normal 9 2 2 9 2 2" xfId="15391" xr:uid="{EB81BC97-013F-4394-9DB0-9AFAC61E8BD5}"/>
    <cellStyle name="Normal 9 2 2 9 3" xfId="11173" xr:uid="{82DA8440-C36D-4834-92FE-9E69C6AFFF3F}"/>
    <cellStyle name="Normal 9 2 3" xfId="520" xr:uid="{00000000-0005-0000-0000-00000C1F0000}"/>
    <cellStyle name="Normal 9 2 3 10" xfId="9116" xr:uid="{4A168573-8846-47A9-A533-26BF9A5332A4}"/>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188DFDCF-E998-4118-A273-FAF84C5A4DA4}"/>
    <cellStyle name="Normal 9 2 3 2 2 2 2 3" xfId="11676" xr:uid="{7D09C6E3-7355-45BF-A62E-5CBED3C67283}"/>
    <cellStyle name="Normal 9 2 3 2 2 2 3" xfId="5299" xr:uid="{00000000-0005-0000-0000-0000121F0000}"/>
    <cellStyle name="Normal 9 2 3 2 2 2 3 2" xfId="13749" xr:uid="{B2130A39-5A6B-4C44-892C-54CE098F9960}"/>
    <cellStyle name="Normal 9 2 3 2 2 2 4" xfId="9531" xr:uid="{241D4CD2-5FFB-4429-85E1-40FD2BE7A3F4}"/>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78FBA4D7-B87F-46CC-AA33-2123501077F5}"/>
    <cellStyle name="Normal 9 2 3 2 2 3 2 3" xfId="12089" xr:uid="{28E8E757-355F-40B3-95E0-398FA11751AE}"/>
    <cellStyle name="Normal 9 2 3 2 2 3 3" xfId="5712" xr:uid="{00000000-0005-0000-0000-0000161F0000}"/>
    <cellStyle name="Normal 9 2 3 2 2 3 3 2" xfId="14162" xr:uid="{F6FBB72B-17AA-48BE-9336-18B42F03BFDB}"/>
    <cellStyle name="Normal 9 2 3 2 2 3 4" xfId="9944" xr:uid="{7F5ACD10-0DE9-4604-AC30-BEA7DC71DB1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83E34AD7-C396-4891-9BB6-11B6AB7A6E77}"/>
    <cellStyle name="Normal 9 2 3 2 2 4 2 3" xfId="12502" xr:uid="{FB5C54BD-8AB5-4E2D-AA11-F08332A9694A}"/>
    <cellStyle name="Normal 9 2 3 2 2 4 3" xfId="6125" xr:uid="{00000000-0005-0000-0000-00001A1F0000}"/>
    <cellStyle name="Normal 9 2 3 2 2 4 3 2" xfId="14575" xr:uid="{21E23053-5AB5-471D-B59F-FB830592BF1A}"/>
    <cellStyle name="Normal 9 2 3 2 2 4 4" xfId="10357" xr:uid="{C335BA1D-B46F-4DBB-A12F-B00FF139D34A}"/>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B349A7E6-3CE7-4E99-99B6-A684ADB01CEB}"/>
    <cellStyle name="Normal 9 2 3 2 2 5 2 3" xfId="12915" xr:uid="{C46A367C-0582-45EE-9270-6FAD4D0B19F2}"/>
    <cellStyle name="Normal 9 2 3 2 2 5 3" xfId="6538" xr:uid="{00000000-0005-0000-0000-00001E1F0000}"/>
    <cellStyle name="Normal 9 2 3 2 2 5 3 2" xfId="14988" xr:uid="{90C56A4F-18FD-4ACC-94A3-E615C6817597}"/>
    <cellStyle name="Normal 9 2 3 2 2 5 4" xfId="10770" xr:uid="{A77FE8BA-63DF-4272-9F10-552AA4E24B97}"/>
    <cellStyle name="Normal 9 2 3 2 2 6" xfId="2668" xr:uid="{00000000-0005-0000-0000-00001F1F0000}"/>
    <cellStyle name="Normal 9 2 3 2 2 6 2" xfId="6951" xr:uid="{00000000-0005-0000-0000-0000201F0000}"/>
    <cellStyle name="Normal 9 2 3 2 2 6 2 2" xfId="15401" xr:uid="{EADEC5E8-A4B7-43CD-87BE-7CD54EC1C91B}"/>
    <cellStyle name="Normal 9 2 3 2 2 6 3" xfId="11183" xr:uid="{E37E2D90-F4E7-4D45-B424-9AFBFD156435}"/>
    <cellStyle name="Normal 9 2 3 2 2 7" xfId="4886" xr:uid="{00000000-0005-0000-0000-0000211F0000}"/>
    <cellStyle name="Normal 9 2 3 2 2 7 2" xfId="13336" xr:uid="{9FF84441-983C-4692-B80E-54CF1D4F95D4}"/>
    <cellStyle name="Normal 9 2 3 2 2 8" xfId="9118" xr:uid="{6522234C-969A-45B8-8E21-FFDF28A982AB}"/>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35413399-12E4-4B10-84CE-C0BD4B1FE6AF}"/>
    <cellStyle name="Normal 9 2 3 2 3 2 3" xfId="11675" xr:uid="{AC439406-5798-408D-895F-94512318D6FA}"/>
    <cellStyle name="Normal 9 2 3 2 3 3" xfId="5298" xr:uid="{00000000-0005-0000-0000-0000251F0000}"/>
    <cellStyle name="Normal 9 2 3 2 3 3 2" xfId="13748" xr:uid="{CC246DFD-863E-4C9D-BBF2-79E35748B24E}"/>
    <cellStyle name="Normal 9 2 3 2 3 4" xfId="9530" xr:uid="{99BD3662-1B5A-46A5-8A65-438DCD7AB877}"/>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90C2841C-F16B-445C-937C-B10B18051FCF}"/>
    <cellStyle name="Normal 9 2 3 2 4 2 3" xfId="12088" xr:uid="{779681B8-631F-4930-A124-7F5E2ED1F80C}"/>
    <cellStyle name="Normal 9 2 3 2 4 3" xfId="5711" xr:uid="{00000000-0005-0000-0000-0000291F0000}"/>
    <cellStyle name="Normal 9 2 3 2 4 3 2" xfId="14161" xr:uid="{893B4EB0-924E-442F-953B-7927F0E3C213}"/>
    <cellStyle name="Normal 9 2 3 2 4 4" xfId="9943" xr:uid="{ED994E0A-A5AE-4F89-A5B5-30AF6855B2A3}"/>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68252887-B588-429B-AB41-856BDF84A473}"/>
    <cellStyle name="Normal 9 2 3 2 5 2 3" xfId="12501" xr:uid="{EE43D080-E4F2-4B87-942F-7DC96394A2A9}"/>
    <cellStyle name="Normal 9 2 3 2 5 3" xfId="6124" xr:uid="{00000000-0005-0000-0000-00002D1F0000}"/>
    <cellStyle name="Normal 9 2 3 2 5 3 2" xfId="14574" xr:uid="{7B80C256-7822-4450-AEAB-7F6005521B1F}"/>
    <cellStyle name="Normal 9 2 3 2 5 4" xfId="10356" xr:uid="{B1094292-EF7B-47EA-9E13-8A5091B93896}"/>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89C69789-C539-4FA8-A958-F486A54CA704}"/>
    <cellStyle name="Normal 9 2 3 2 6 2 3" xfId="12914" xr:uid="{79931B6D-4C83-4267-8AC2-A8F29EEA173C}"/>
    <cellStyle name="Normal 9 2 3 2 6 3" xfId="6537" xr:uid="{00000000-0005-0000-0000-0000311F0000}"/>
    <cellStyle name="Normal 9 2 3 2 6 3 2" xfId="14987" xr:uid="{824C3091-2CB9-41D8-BBA8-E388DEA08D5A}"/>
    <cellStyle name="Normal 9 2 3 2 6 4" xfId="10769" xr:uid="{1937F268-B60D-4777-80AE-D657303284BD}"/>
    <cellStyle name="Normal 9 2 3 2 7" xfId="2667" xr:uid="{00000000-0005-0000-0000-0000321F0000}"/>
    <cellStyle name="Normal 9 2 3 2 7 2" xfId="6950" xr:uid="{00000000-0005-0000-0000-0000331F0000}"/>
    <cellStyle name="Normal 9 2 3 2 7 2 2" xfId="15400" xr:uid="{AC9DE9BB-966A-4E9F-9906-A64C260256EC}"/>
    <cellStyle name="Normal 9 2 3 2 7 3" xfId="11182" xr:uid="{0FC2750C-744C-4F10-B7A9-9B54215CA271}"/>
    <cellStyle name="Normal 9 2 3 2 8" xfId="4885" xr:uid="{00000000-0005-0000-0000-0000341F0000}"/>
    <cellStyle name="Normal 9 2 3 2 8 2" xfId="13335" xr:uid="{2ED9BEC6-291D-4E87-A858-93237D6C9926}"/>
    <cellStyle name="Normal 9 2 3 2 9" xfId="9117" xr:uid="{29198980-EAE5-4FC4-AB8E-44F3EBA83AC3}"/>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B91A96F4-53D2-4EBA-BF7F-4E73CD9711E2}"/>
    <cellStyle name="Normal 9 2 3 3 2 2 3" xfId="11677" xr:uid="{79B6F9ED-09C0-4892-BF21-0F2B64FC2C03}"/>
    <cellStyle name="Normal 9 2 3 3 2 3" xfId="5300" xr:uid="{00000000-0005-0000-0000-0000391F0000}"/>
    <cellStyle name="Normal 9 2 3 3 2 3 2" xfId="13750" xr:uid="{DA5D0AE2-7C56-46EF-96BA-866140E0BCAA}"/>
    <cellStyle name="Normal 9 2 3 3 2 4" xfId="9532" xr:uid="{B32FEDA5-97CC-418D-833D-67278D078A52}"/>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0E122AEC-6EEC-4A1B-9959-08D5CFE10D4C}"/>
    <cellStyle name="Normal 9 2 3 3 3 2 3" xfId="12090" xr:uid="{143E2FFB-4941-4761-ABC2-938BFCC5FA78}"/>
    <cellStyle name="Normal 9 2 3 3 3 3" xfId="5713" xr:uid="{00000000-0005-0000-0000-00003D1F0000}"/>
    <cellStyle name="Normal 9 2 3 3 3 3 2" xfId="14163" xr:uid="{63476F9D-B08E-461F-BEC8-578B8BA68ADF}"/>
    <cellStyle name="Normal 9 2 3 3 3 4" xfId="9945" xr:uid="{0EDB04F2-586C-4D92-AB5D-62D8106D3F54}"/>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0B49EAE2-45A6-4E32-B6D5-A4B79721B28D}"/>
    <cellStyle name="Normal 9 2 3 3 4 2 3" xfId="12503" xr:uid="{4C12C935-4363-4337-A2E2-530ED9CB3C6A}"/>
    <cellStyle name="Normal 9 2 3 3 4 3" xfId="6126" xr:uid="{00000000-0005-0000-0000-0000411F0000}"/>
    <cellStyle name="Normal 9 2 3 3 4 3 2" xfId="14576" xr:uid="{4FF5A8F2-CB92-455A-9D77-23C2CD852BD3}"/>
    <cellStyle name="Normal 9 2 3 3 4 4" xfId="10358" xr:uid="{98842CAE-A4D2-4C7B-8F05-BDE0BD1B8C1C}"/>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A87EFEC6-494F-4634-9A4E-1C854FB3FF73}"/>
    <cellStyle name="Normal 9 2 3 3 5 2 3" xfId="12916" xr:uid="{39E0C2EF-36F5-449C-9DBD-8CA4D9B1AFA8}"/>
    <cellStyle name="Normal 9 2 3 3 5 3" xfId="6539" xr:uid="{00000000-0005-0000-0000-0000451F0000}"/>
    <cellStyle name="Normal 9 2 3 3 5 3 2" xfId="14989" xr:uid="{05BAA6EE-A856-4A67-B35C-0CAEECA6E33F}"/>
    <cellStyle name="Normal 9 2 3 3 5 4" xfId="10771" xr:uid="{CB1E7FDE-AB18-473E-9174-0899A6C6C69B}"/>
    <cellStyle name="Normal 9 2 3 3 6" xfId="2669" xr:uid="{00000000-0005-0000-0000-0000461F0000}"/>
    <cellStyle name="Normal 9 2 3 3 6 2" xfId="6952" xr:uid="{00000000-0005-0000-0000-0000471F0000}"/>
    <cellStyle name="Normal 9 2 3 3 6 2 2" xfId="15402" xr:uid="{4840E831-37BA-4B26-8BE9-3C4B3B147513}"/>
    <cellStyle name="Normal 9 2 3 3 6 3" xfId="11184" xr:uid="{528666EC-3C8B-4D64-9DD5-936FFC19873B}"/>
    <cellStyle name="Normal 9 2 3 3 7" xfId="4887" xr:uid="{00000000-0005-0000-0000-0000481F0000}"/>
    <cellStyle name="Normal 9 2 3 3 7 2" xfId="13337" xr:uid="{44B536CB-CA96-4527-BD7B-E256986BB56C}"/>
    <cellStyle name="Normal 9 2 3 3 8" xfId="9119" xr:uid="{9FF9A2A6-0588-49D9-A8A5-79A1E7C89240}"/>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DD5D492F-91C1-4A01-828D-FD026EC3FD6F}"/>
    <cellStyle name="Normal 9 2 3 4 2 3" xfId="11674" xr:uid="{F0D21786-8CA0-4549-9044-FDC0BD58F821}"/>
    <cellStyle name="Normal 9 2 3 4 3" xfId="5297" xr:uid="{00000000-0005-0000-0000-00004C1F0000}"/>
    <cellStyle name="Normal 9 2 3 4 3 2" xfId="13747" xr:uid="{54647352-ADDC-432B-B8C1-637778016748}"/>
    <cellStyle name="Normal 9 2 3 4 4" xfId="9529" xr:uid="{6DF78FE5-A7E9-40D5-9585-486B93B619B0}"/>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9AEEE455-C9A1-4F4F-91E4-4B2866B93B03}"/>
    <cellStyle name="Normal 9 2 3 5 2 3" xfId="12087" xr:uid="{20F148B6-F105-4E04-B1F6-527220B201E1}"/>
    <cellStyle name="Normal 9 2 3 5 3" xfId="5710" xr:uid="{00000000-0005-0000-0000-0000501F0000}"/>
    <cellStyle name="Normal 9 2 3 5 3 2" xfId="14160" xr:uid="{7702756E-67EB-4AF1-A182-4E9B7A3CBD69}"/>
    <cellStyle name="Normal 9 2 3 5 4" xfId="9942" xr:uid="{97FAB58E-6557-4C75-83E2-EBF88101CD8C}"/>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B86ACC07-4BE5-4355-AB08-5A9144E42A36}"/>
    <cellStyle name="Normal 9 2 3 6 2 3" xfId="12500" xr:uid="{10545740-1275-4B85-84C6-B26BFA64D76E}"/>
    <cellStyle name="Normal 9 2 3 6 3" xfId="6123" xr:uid="{00000000-0005-0000-0000-0000541F0000}"/>
    <cellStyle name="Normal 9 2 3 6 3 2" xfId="14573" xr:uid="{DDC858E2-7D54-4B43-888D-0FCA9B393C12}"/>
    <cellStyle name="Normal 9 2 3 6 4" xfId="10355" xr:uid="{0AD1F8CE-4547-4461-A161-5A70E8EA1537}"/>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70AD732B-ABCD-45CC-89A8-F751C6D8A4EB}"/>
    <cellStyle name="Normal 9 2 3 7 2 3" xfId="12913" xr:uid="{0E74AC0F-3875-4D06-9B73-ED2298A8AA38}"/>
    <cellStyle name="Normal 9 2 3 7 3" xfId="6536" xr:uid="{00000000-0005-0000-0000-0000581F0000}"/>
    <cellStyle name="Normal 9 2 3 7 3 2" xfId="14986" xr:uid="{96BF97FC-DB81-4089-8897-1D7DC07B0E0F}"/>
    <cellStyle name="Normal 9 2 3 7 4" xfId="10768" xr:uid="{D9E38C16-767C-49AE-868A-BA8EA1585710}"/>
    <cellStyle name="Normal 9 2 3 8" xfId="2666" xr:uid="{00000000-0005-0000-0000-0000591F0000}"/>
    <cellStyle name="Normal 9 2 3 8 2" xfId="6949" xr:uid="{00000000-0005-0000-0000-00005A1F0000}"/>
    <cellStyle name="Normal 9 2 3 8 2 2" xfId="15399" xr:uid="{F0380AE0-E1BD-4282-9C4E-8CF92E9C2DB9}"/>
    <cellStyle name="Normal 9 2 3 8 3" xfId="11181" xr:uid="{64A3C700-1D8D-4611-BDBD-D945E50D9F88}"/>
    <cellStyle name="Normal 9 2 3 9" xfId="4884" xr:uid="{00000000-0005-0000-0000-00005B1F0000}"/>
    <cellStyle name="Normal 9 2 3 9 2" xfId="13334" xr:uid="{33F802EF-F27D-4F41-90F9-CFB2EE098F52}"/>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4E94034D-79BA-46B0-AACB-0A2A6AB01190}"/>
    <cellStyle name="Normal 9 2 4 2 2 2 3" xfId="11679" xr:uid="{AEAA79C2-669B-49B7-93EC-8B7CD02BD272}"/>
    <cellStyle name="Normal 9 2 4 2 2 3" xfId="5302" xr:uid="{00000000-0005-0000-0000-0000611F0000}"/>
    <cellStyle name="Normal 9 2 4 2 2 3 2" xfId="13752" xr:uid="{C40ACB6B-A3B1-4FAF-A818-C848A750C86A}"/>
    <cellStyle name="Normal 9 2 4 2 2 4" xfId="9534" xr:uid="{FC6686D8-0B12-49F2-BEEB-70058078ED1B}"/>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93B0D18C-2B5D-4BFF-ABCB-5D565F584AD0}"/>
    <cellStyle name="Normal 9 2 4 2 3 2 3" xfId="12092" xr:uid="{DAD3BE78-0C23-4C35-9FE4-4C1E2F2F7293}"/>
    <cellStyle name="Normal 9 2 4 2 3 3" xfId="5715" xr:uid="{00000000-0005-0000-0000-0000651F0000}"/>
    <cellStyle name="Normal 9 2 4 2 3 3 2" xfId="14165" xr:uid="{48F2361D-0255-4EA9-A83E-74E51614B3D6}"/>
    <cellStyle name="Normal 9 2 4 2 3 4" xfId="9947" xr:uid="{C81329E3-9521-4039-AC7D-6E0FB68DE13A}"/>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4B89B278-5815-4D98-B5A2-53C3CE1D220C}"/>
    <cellStyle name="Normal 9 2 4 2 4 2 3" xfId="12505" xr:uid="{9273402A-54FF-4255-964F-6B059A2B4822}"/>
    <cellStyle name="Normal 9 2 4 2 4 3" xfId="6128" xr:uid="{00000000-0005-0000-0000-0000691F0000}"/>
    <cellStyle name="Normal 9 2 4 2 4 3 2" xfId="14578" xr:uid="{F1B47CF0-A05F-4159-AED0-4B3376333993}"/>
    <cellStyle name="Normal 9 2 4 2 4 4" xfId="10360" xr:uid="{F95C1338-7FC1-4867-ABA1-43223EB556D7}"/>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93E1941A-4FD2-4DB8-A4D0-E58F75AE68A0}"/>
    <cellStyle name="Normal 9 2 4 2 5 2 3" xfId="12918" xr:uid="{0611BBA4-2746-4517-8B63-50CC6776C965}"/>
    <cellStyle name="Normal 9 2 4 2 5 3" xfId="6541" xr:uid="{00000000-0005-0000-0000-00006D1F0000}"/>
    <cellStyle name="Normal 9 2 4 2 5 3 2" xfId="14991" xr:uid="{B3CE1003-D96B-43CF-B9B8-D9DF3621955C}"/>
    <cellStyle name="Normal 9 2 4 2 5 4" xfId="10773" xr:uid="{B52346A1-8240-4CA0-A0D2-8AAF053535C2}"/>
    <cellStyle name="Normal 9 2 4 2 6" xfId="2671" xr:uid="{00000000-0005-0000-0000-00006E1F0000}"/>
    <cellStyle name="Normal 9 2 4 2 6 2" xfId="6954" xr:uid="{00000000-0005-0000-0000-00006F1F0000}"/>
    <cellStyle name="Normal 9 2 4 2 6 2 2" xfId="15404" xr:uid="{2E18490B-40E5-49B0-AB13-62B4B816DC79}"/>
    <cellStyle name="Normal 9 2 4 2 6 3" xfId="11186" xr:uid="{AC759A6C-052E-4595-BB7E-4FADF6565A89}"/>
    <cellStyle name="Normal 9 2 4 2 7" xfId="4889" xr:uid="{00000000-0005-0000-0000-0000701F0000}"/>
    <cellStyle name="Normal 9 2 4 2 7 2" xfId="13339" xr:uid="{CD893EA0-4F72-48E8-984F-480147F8E5A1}"/>
    <cellStyle name="Normal 9 2 4 2 8" xfId="9121" xr:uid="{32059C4D-D6C6-439C-B473-D8444A9C4AAA}"/>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DD01103A-3109-4D0F-8EAB-325AB2D61C0E}"/>
    <cellStyle name="Normal 9 2 4 3 2 3" xfId="11678" xr:uid="{5427DE21-DC86-497F-AAFB-D3FE11D6403C}"/>
    <cellStyle name="Normal 9 2 4 3 3" xfId="5301" xr:uid="{00000000-0005-0000-0000-0000741F0000}"/>
    <cellStyle name="Normal 9 2 4 3 3 2" xfId="13751" xr:uid="{90E9E0BC-91DC-4EB7-A8DA-325B485D5336}"/>
    <cellStyle name="Normal 9 2 4 3 4" xfId="9533" xr:uid="{3D72235A-E532-4A09-B667-D481C9EF56F8}"/>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9FE0BEC9-9EC8-47FD-87A2-96573D27581C}"/>
    <cellStyle name="Normal 9 2 4 4 2 3" xfId="12091" xr:uid="{3777EA57-886B-4BA6-B644-A259216249CC}"/>
    <cellStyle name="Normal 9 2 4 4 3" xfId="5714" xr:uid="{00000000-0005-0000-0000-0000781F0000}"/>
    <cellStyle name="Normal 9 2 4 4 3 2" xfId="14164" xr:uid="{9105DEB8-E8A1-41A1-8BFA-11719EDA08B7}"/>
    <cellStyle name="Normal 9 2 4 4 4" xfId="9946" xr:uid="{FFEFAA39-56F0-462D-BA97-F8ECCA9ABFDA}"/>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06B4F189-9391-4318-B070-641E5492F917}"/>
    <cellStyle name="Normal 9 2 4 5 2 3" xfId="12504" xr:uid="{5E7A1799-95BD-4241-9C9D-16E0B1652051}"/>
    <cellStyle name="Normal 9 2 4 5 3" xfId="6127" xr:uid="{00000000-0005-0000-0000-00007C1F0000}"/>
    <cellStyle name="Normal 9 2 4 5 3 2" xfId="14577" xr:uid="{AEC6676F-9445-44E4-827B-37868125CEF9}"/>
    <cellStyle name="Normal 9 2 4 5 4" xfId="10359" xr:uid="{3BE40876-003F-459F-B229-F3DBDC92F1DB}"/>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50346FDE-218A-440E-9951-0ED63848F967}"/>
    <cellStyle name="Normal 9 2 4 6 2 3" xfId="12917" xr:uid="{5995CEF6-7089-4766-9BD8-C9CB86016663}"/>
    <cellStyle name="Normal 9 2 4 6 3" xfId="6540" xr:uid="{00000000-0005-0000-0000-0000801F0000}"/>
    <cellStyle name="Normal 9 2 4 6 3 2" xfId="14990" xr:uid="{1CCA50D5-9A35-4ECD-AD39-ECFC95D6C689}"/>
    <cellStyle name="Normal 9 2 4 6 4" xfId="10772" xr:uid="{FAA91E64-0A2F-4F67-9BDA-8DE3843011CE}"/>
    <cellStyle name="Normal 9 2 4 7" xfId="2670" xr:uid="{00000000-0005-0000-0000-0000811F0000}"/>
    <cellStyle name="Normal 9 2 4 7 2" xfId="6953" xr:uid="{00000000-0005-0000-0000-0000821F0000}"/>
    <cellStyle name="Normal 9 2 4 7 2 2" xfId="15403" xr:uid="{6CFAC4B6-DC57-474A-AAD1-4C98A274B9D4}"/>
    <cellStyle name="Normal 9 2 4 7 3" xfId="11185" xr:uid="{F2F6295E-460D-45E2-9A0D-AB88A46457F7}"/>
    <cellStyle name="Normal 9 2 4 8" xfId="4888" xr:uid="{00000000-0005-0000-0000-0000831F0000}"/>
    <cellStyle name="Normal 9 2 4 8 2" xfId="13338" xr:uid="{0C27139B-271F-499E-A5E0-B695F63AAFC0}"/>
    <cellStyle name="Normal 9 2 4 9" xfId="9120" xr:uid="{C6EFF2E4-C5EB-4D07-9D05-D01A63F016D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1CF6779D-219A-4377-BEDE-3E47C83D4CA6}"/>
    <cellStyle name="Normal 9 2 5 2 2 3" xfId="11680" xr:uid="{EE8F76D3-17FB-4FD0-8FF6-2BBB9D05A138}"/>
    <cellStyle name="Normal 9 2 5 2 3" xfId="5303" xr:uid="{00000000-0005-0000-0000-0000881F0000}"/>
    <cellStyle name="Normal 9 2 5 2 3 2" xfId="13753" xr:uid="{0FD6EEE1-6B46-4282-B6D1-C0F7431F7599}"/>
    <cellStyle name="Normal 9 2 5 2 4" xfId="9535" xr:uid="{328F1C4B-EC5B-41EB-92F1-8287325E09C2}"/>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53937049-0028-4126-B09E-87DBCD3E103C}"/>
    <cellStyle name="Normal 9 2 5 3 2 3" xfId="12093" xr:uid="{A7DDBC22-CC03-4AC5-9E85-B1A8484586BE}"/>
    <cellStyle name="Normal 9 2 5 3 3" xfId="5716" xr:uid="{00000000-0005-0000-0000-00008C1F0000}"/>
    <cellStyle name="Normal 9 2 5 3 3 2" xfId="14166" xr:uid="{ED8B4412-1FFB-4AA4-AE91-09E1F8C5E041}"/>
    <cellStyle name="Normal 9 2 5 3 4" xfId="9948" xr:uid="{89227E61-AAEF-49D8-BB18-D9CC67821129}"/>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9231B42A-4E6D-48FD-B307-152A0F431AB2}"/>
    <cellStyle name="Normal 9 2 5 4 2 3" xfId="12506" xr:uid="{EA41B649-D843-458E-84B9-1DA822209E7F}"/>
    <cellStyle name="Normal 9 2 5 4 3" xfId="6129" xr:uid="{00000000-0005-0000-0000-0000901F0000}"/>
    <cellStyle name="Normal 9 2 5 4 3 2" xfId="14579" xr:uid="{B9F17161-E63F-466E-88E9-1852A26496D1}"/>
    <cellStyle name="Normal 9 2 5 4 4" xfId="10361" xr:uid="{BFF1A5C6-958E-4AD3-9D93-35E33D9F5EAB}"/>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0CA0816C-A7E9-4FDF-BA57-79A721CEC695}"/>
    <cellStyle name="Normal 9 2 5 5 2 3" xfId="12919" xr:uid="{8BC4851F-45D7-4EBE-A992-BDB533330761}"/>
    <cellStyle name="Normal 9 2 5 5 3" xfId="6542" xr:uid="{00000000-0005-0000-0000-0000941F0000}"/>
    <cellStyle name="Normal 9 2 5 5 3 2" xfId="14992" xr:uid="{12C3F24F-E885-4EC3-8D11-F344F664F608}"/>
    <cellStyle name="Normal 9 2 5 5 4" xfId="10774" xr:uid="{A172A3FE-F7C9-477C-8686-0B7C31005960}"/>
    <cellStyle name="Normal 9 2 5 6" xfId="2672" xr:uid="{00000000-0005-0000-0000-0000951F0000}"/>
    <cellStyle name="Normal 9 2 5 6 2" xfId="6955" xr:uid="{00000000-0005-0000-0000-0000961F0000}"/>
    <cellStyle name="Normal 9 2 5 6 2 2" xfId="15405" xr:uid="{2F697035-CD41-473E-9943-932939637787}"/>
    <cellStyle name="Normal 9 2 5 6 3" xfId="11187" xr:uid="{E0A8185C-C397-4800-B3FA-AB24DFB07C51}"/>
    <cellStyle name="Normal 9 2 5 7" xfId="4890" xr:uid="{00000000-0005-0000-0000-0000971F0000}"/>
    <cellStyle name="Normal 9 2 5 7 2" xfId="13340" xr:uid="{304F962A-5734-45A1-B786-03261395997D}"/>
    <cellStyle name="Normal 9 2 5 8" xfId="9122" xr:uid="{96B458E6-0E20-420D-A541-81BEBFCD60F0}"/>
    <cellStyle name="Normal 9 2 6" xfId="978" xr:uid="{00000000-0005-0000-0000-0000981F0000}"/>
    <cellStyle name="Normal 9 2 6 2" xfId="3211" xr:uid="{00000000-0005-0000-0000-0000991F0000}"/>
    <cellStyle name="Normal 9 2 6 2 2" xfId="7433" xr:uid="{00000000-0005-0000-0000-00009A1F0000}"/>
    <cellStyle name="Normal 9 2 6 2 2 2" xfId="15883" xr:uid="{B0B14DBE-25B5-4A08-BB26-107CE27D1FD5}"/>
    <cellStyle name="Normal 9 2 6 2 3" xfId="11665" xr:uid="{088FCE03-6CA1-4B2A-A353-610DFF098F37}"/>
    <cellStyle name="Normal 9 2 6 3" xfId="5288" xr:uid="{00000000-0005-0000-0000-00009B1F0000}"/>
    <cellStyle name="Normal 9 2 6 3 2" xfId="13738" xr:uid="{08BBBBF8-D397-4B5A-90EE-14669B95A073}"/>
    <cellStyle name="Normal 9 2 6 4" xfId="9520" xr:uid="{39E604B9-B576-49B7-BC99-A1B2A7A22BA8}"/>
    <cellStyle name="Normal 9 2 7" xfId="1394" xr:uid="{00000000-0005-0000-0000-00009C1F0000}"/>
    <cellStyle name="Normal 9 2 7 2" xfId="3624" xr:uid="{00000000-0005-0000-0000-00009D1F0000}"/>
    <cellStyle name="Normal 9 2 7 2 2" xfId="7846" xr:uid="{00000000-0005-0000-0000-00009E1F0000}"/>
    <cellStyle name="Normal 9 2 7 2 2 2" xfId="16296" xr:uid="{AAAAAC0D-9A1B-484D-8F78-0537496133D1}"/>
    <cellStyle name="Normal 9 2 7 2 3" xfId="12078" xr:uid="{EA40C1A1-4824-4983-B3B0-D1B14CAC70C6}"/>
    <cellStyle name="Normal 9 2 7 3" xfId="5701" xr:uid="{00000000-0005-0000-0000-00009F1F0000}"/>
    <cellStyle name="Normal 9 2 7 3 2" xfId="14151" xr:uid="{7E46C836-8AF4-4E4A-9837-BC091E5B6139}"/>
    <cellStyle name="Normal 9 2 7 4" xfId="9933" xr:uid="{55650DAA-D5CB-4F94-9900-C0437C5CEAF6}"/>
    <cellStyle name="Normal 9 2 8" xfId="1807" xr:uid="{00000000-0005-0000-0000-0000A01F0000}"/>
    <cellStyle name="Normal 9 2 8 2" xfId="4037" xr:uid="{00000000-0005-0000-0000-0000A11F0000}"/>
    <cellStyle name="Normal 9 2 8 2 2" xfId="8259" xr:uid="{00000000-0005-0000-0000-0000A21F0000}"/>
    <cellStyle name="Normal 9 2 8 2 2 2" xfId="16709" xr:uid="{B35725D4-A4DF-431C-9352-4E80173ADB62}"/>
    <cellStyle name="Normal 9 2 8 2 3" xfId="12491" xr:uid="{6F4985D0-08F8-46E4-A654-D3B373CC2011}"/>
    <cellStyle name="Normal 9 2 8 3" xfId="6114" xr:uid="{00000000-0005-0000-0000-0000A31F0000}"/>
    <cellStyle name="Normal 9 2 8 3 2" xfId="14564" xr:uid="{67F0FD91-6F15-4505-91B0-29E7EFF1F4B2}"/>
    <cellStyle name="Normal 9 2 8 4" xfId="10346" xr:uid="{AF488647-73C4-4DF3-A04F-D115CD88C72F}"/>
    <cellStyle name="Normal 9 2 9" xfId="2221" xr:uid="{00000000-0005-0000-0000-0000A41F0000}"/>
    <cellStyle name="Normal 9 2 9 2" xfId="4450" xr:uid="{00000000-0005-0000-0000-0000A51F0000}"/>
    <cellStyle name="Normal 9 2 9 2 2" xfId="8672" xr:uid="{00000000-0005-0000-0000-0000A61F0000}"/>
    <cellStyle name="Normal 9 2 9 2 2 2" xfId="17122" xr:uid="{A8877C23-82AF-49E0-A9D3-1A9A30BC9F40}"/>
    <cellStyle name="Normal 9 2 9 2 3" xfId="12904" xr:uid="{C5893DCA-385D-4B3D-84F3-077E0B510D3A}"/>
    <cellStyle name="Normal 9 2 9 3" xfId="6527" xr:uid="{00000000-0005-0000-0000-0000A71F0000}"/>
    <cellStyle name="Normal 9 2 9 3 2" xfId="14977" xr:uid="{17879CEF-D197-4890-AC29-5FA48D162663}"/>
    <cellStyle name="Normal 9 2 9 4" xfId="10759" xr:uid="{26DF355E-92E9-49DC-ABAC-7D9A3FE248A2}"/>
    <cellStyle name="Normal 9 3" xfId="527" xr:uid="{00000000-0005-0000-0000-0000A81F0000}"/>
    <cellStyle name="Normal 9 3 10" xfId="4891" xr:uid="{00000000-0005-0000-0000-0000A91F0000}"/>
    <cellStyle name="Normal 9 3 10 2" xfId="13341" xr:uid="{03C3CBD8-C746-4E44-9EC5-917B741DE67D}"/>
    <cellStyle name="Normal 9 3 11" xfId="9123" xr:uid="{EFEEA5AA-79A1-4994-B509-2DE7B3C613FF}"/>
    <cellStyle name="Normal 9 3 2" xfId="528" xr:uid="{00000000-0005-0000-0000-0000AA1F0000}"/>
    <cellStyle name="Normal 9 3 2 10" xfId="9124" xr:uid="{80C2B2B5-6E4B-47F1-8907-A93E84D81F94}"/>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DE41E649-26B6-400D-94CC-CE534506DC89}"/>
    <cellStyle name="Normal 9 3 2 2 2 2 2 3" xfId="11684" xr:uid="{662E7812-7827-4CAC-A611-52DC8EBEEC79}"/>
    <cellStyle name="Normal 9 3 2 2 2 2 3" xfId="5307" xr:uid="{00000000-0005-0000-0000-0000B01F0000}"/>
    <cellStyle name="Normal 9 3 2 2 2 2 3 2" xfId="13757" xr:uid="{7C26CA8E-CA42-4E83-BF1E-01B42E5BF293}"/>
    <cellStyle name="Normal 9 3 2 2 2 2 4" xfId="9539" xr:uid="{5A23A794-237B-469A-834F-FC8F09EA9C55}"/>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C4F1C9D5-C96D-4D73-8845-FB3AEB54919E}"/>
    <cellStyle name="Normal 9 3 2 2 2 3 2 3" xfId="12097" xr:uid="{4766E82B-689E-4101-8374-9EF05F9F3F09}"/>
    <cellStyle name="Normal 9 3 2 2 2 3 3" xfId="5720" xr:uid="{00000000-0005-0000-0000-0000B41F0000}"/>
    <cellStyle name="Normal 9 3 2 2 2 3 3 2" xfId="14170" xr:uid="{06798CE0-30C1-4905-AA79-A7441477173C}"/>
    <cellStyle name="Normal 9 3 2 2 2 3 4" xfId="9952" xr:uid="{EDD99040-0009-4FAE-8809-98C0104FDCA6}"/>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11ABAC7A-EAFB-4F51-A131-D117486DEFA0}"/>
    <cellStyle name="Normal 9 3 2 2 2 4 2 3" xfId="12510" xr:uid="{4A97797A-66E7-44DF-B719-7030E098F1DD}"/>
    <cellStyle name="Normal 9 3 2 2 2 4 3" xfId="6133" xr:uid="{00000000-0005-0000-0000-0000B81F0000}"/>
    <cellStyle name="Normal 9 3 2 2 2 4 3 2" xfId="14583" xr:uid="{CD10C765-841B-4262-9E78-7CE441B0E0F4}"/>
    <cellStyle name="Normal 9 3 2 2 2 4 4" xfId="10365" xr:uid="{7A284C79-3D2D-49E8-8F71-EFEA56143E14}"/>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7B93AF14-22C2-447C-8958-E4679832711D}"/>
    <cellStyle name="Normal 9 3 2 2 2 5 2 3" xfId="12923" xr:uid="{F4B2C2CC-7761-495B-B0F6-CB17995F6C3E}"/>
    <cellStyle name="Normal 9 3 2 2 2 5 3" xfId="6546" xr:uid="{00000000-0005-0000-0000-0000BC1F0000}"/>
    <cellStyle name="Normal 9 3 2 2 2 5 3 2" xfId="14996" xr:uid="{BC27CE4A-A118-4E7E-A831-20526501DC20}"/>
    <cellStyle name="Normal 9 3 2 2 2 5 4" xfId="10778" xr:uid="{8BAF77A5-9CA1-4101-90AC-4CA7DEBFE497}"/>
    <cellStyle name="Normal 9 3 2 2 2 6" xfId="2676" xr:uid="{00000000-0005-0000-0000-0000BD1F0000}"/>
    <cellStyle name="Normal 9 3 2 2 2 6 2" xfId="6959" xr:uid="{00000000-0005-0000-0000-0000BE1F0000}"/>
    <cellStyle name="Normal 9 3 2 2 2 6 2 2" xfId="15409" xr:uid="{D64C30A2-C52E-47B1-B639-497B182D95C5}"/>
    <cellStyle name="Normal 9 3 2 2 2 6 3" xfId="11191" xr:uid="{54E154BF-107F-423A-BAE7-953525ADC631}"/>
    <cellStyle name="Normal 9 3 2 2 2 7" xfId="4894" xr:uid="{00000000-0005-0000-0000-0000BF1F0000}"/>
    <cellStyle name="Normal 9 3 2 2 2 7 2" xfId="13344" xr:uid="{FE1A61A7-5F2D-4659-8205-D770EC66ACBA}"/>
    <cellStyle name="Normal 9 3 2 2 2 8" xfId="9126" xr:uid="{34D30282-6720-4663-BE61-9ED753E2827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BD6281E3-66B2-42CF-A571-7648FCF86FA6}"/>
    <cellStyle name="Normal 9 3 2 2 3 2 3" xfId="11683" xr:uid="{6983D2D6-D158-4A1A-80DA-287E4C7E97E0}"/>
    <cellStyle name="Normal 9 3 2 2 3 3" xfId="5306" xr:uid="{00000000-0005-0000-0000-0000C31F0000}"/>
    <cellStyle name="Normal 9 3 2 2 3 3 2" xfId="13756" xr:uid="{548F850F-A95E-461A-B339-A9B704DC22FF}"/>
    <cellStyle name="Normal 9 3 2 2 3 4" xfId="9538" xr:uid="{067F4422-E0F2-4A9F-9674-4D9425302D60}"/>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60A7429F-0CE3-4C09-AE46-7678FBCA4E8B}"/>
    <cellStyle name="Normal 9 3 2 2 4 2 3" xfId="12096" xr:uid="{0949B5DB-E058-415E-AB3B-5D9EE4E2C963}"/>
    <cellStyle name="Normal 9 3 2 2 4 3" xfId="5719" xr:uid="{00000000-0005-0000-0000-0000C71F0000}"/>
    <cellStyle name="Normal 9 3 2 2 4 3 2" xfId="14169" xr:uid="{872FACF4-260C-4098-91CA-F1FAED67CB45}"/>
    <cellStyle name="Normal 9 3 2 2 4 4" xfId="9951" xr:uid="{9D5AC4E5-FB41-419F-9481-12B4FCA7C771}"/>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49B5B28C-58B6-4647-AA39-C28FFE1EFB2C}"/>
    <cellStyle name="Normal 9 3 2 2 5 2 3" xfId="12509" xr:uid="{DEB7A946-BC22-475F-BDA1-B1214ACFAB11}"/>
    <cellStyle name="Normal 9 3 2 2 5 3" xfId="6132" xr:uid="{00000000-0005-0000-0000-0000CB1F0000}"/>
    <cellStyle name="Normal 9 3 2 2 5 3 2" xfId="14582" xr:uid="{44C4F8CC-D115-46C2-A00F-05419BA34C08}"/>
    <cellStyle name="Normal 9 3 2 2 5 4" xfId="10364" xr:uid="{CCAEE99A-D6A2-4D6D-96F6-7389D0CE7325}"/>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16C75A12-E8DD-4728-99CF-44812527D74A}"/>
    <cellStyle name="Normal 9 3 2 2 6 2 3" xfId="12922" xr:uid="{7FB581AA-5B7E-4F68-839F-CCCF9C40B4BA}"/>
    <cellStyle name="Normal 9 3 2 2 6 3" xfId="6545" xr:uid="{00000000-0005-0000-0000-0000CF1F0000}"/>
    <cellStyle name="Normal 9 3 2 2 6 3 2" xfId="14995" xr:uid="{17B9E2BE-ED73-4893-B9FC-478D645A9292}"/>
    <cellStyle name="Normal 9 3 2 2 6 4" xfId="10777" xr:uid="{652593AC-520C-409B-B495-BAB95391D278}"/>
    <cellStyle name="Normal 9 3 2 2 7" xfId="2675" xr:uid="{00000000-0005-0000-0000-0000D01F0000}"/>
    <cellStyle name="Normal 9 3 2 2 7 2" xfId="6958" xr:uid="{00000000-0005-0000-0000-0000D11F0000}"/>
    <cellStyle name="Normal 9 3 2 2 7 2 2" xfId="15408" xr:uid="{4FE8A986-D012-4A54-8C8C-07747CC603FD}"/>
    <cellStyle name="Normal 9 3 2 2 7 3" xfId="11190" xr:uid="{509A7E6C-D424-4016-9EF0-E92A2337C146}"/>
    <cellStyle name="Normal 9 3 2 2 8" xfId="4893" xr:uid="{00000000-0005-0000-0000-0000D21F0000}"/>
    <cellStyle name="Normal 9 3 2 2 8 2" xfId="13343" xr:uid="{276AAD33-241F-4A10-88C7-FAE646BD5451}"/>
    <cellStyle name="Normal 9 3 2 2 9" xfId="9125" xr:uid="{AA76B7C8-6E92-4DCC-A119-BB77061ADE2B}"/>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DDF5F10F-9776-400E-9E64-01BCBB590752}"/>
    <cellStyle name="Normal 9 3 2 3 2 2 3" xfId="11685" xr:uid="{E23DF32A-071D-4A96-A9BF-93F7A7C6367E}"/>
    <cellStyle name="Normal 9 3 2 3 2 3" xfId="5308" xr:uid="{00000000-0005-0000-0000-0000D71F0000}"/>
    <cellStyle name="Normal 9 3 2 3 2 3 2" xfId="13758" xr:uid="{8FDD20AA-1EA0-42B5-9833-44608FB4BA13}"/>
    <cellStyle name="Normal 9 3 2 3 2 4" xfId="9540" xr:uid="{3B4E361A-8EEE-4FB2-A687-D125AABA1B35}"/>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767B4EAA-4276-437F-B459-7C7CD8F3F65D}"/>
    <cellStyle name="Normal 9 3 2 3 3 2 3" xfId="12098" xr:uid="{822DDB6F-B838-4902-BA5D-E859A95589DC}"/>
    <cellStyle name="Normal 9 3 2 3 3 3" xfId="5721" xr:uid="{00000000-0005-0000-0000-0000DB1F0000}"/>
    <cellStyle name="Normal 9 3 2 3 3 3 2" xfId="14171" xr:uid="{514209D7-ACF4-46BE-B9C0-63E42A379B07}"/>
    <cellStyle name="Normal 9 3 2 3 3 4" xfId="9953" xr:uid="{8E378A70-ED8F-40EB-9908-41DC1F953CE8}"/>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462CD4F4-0D29-43FC-9678-AC93B1C7114B}"/>
    <cellStyle name="Normal 9 3 2 3 4 2 3" xfId="12511" xr:uid="{8082ACEF-F387-4515-9EAB-A3853649506B}"/>
    <cellStyle name="Normal 9 3 2 3 4 3" xfId="6134" xr:uid="{00000000-0005-0000-0000-0000DF1F0000}"/>
    <cellStyle name="Normal 9 3 2 3 4 3 2" xfId="14584" xr:uid="{B3B9B36D-2269-4B96-8CED-24083613BA16}"/>
    <cellStyle name="Normal 9 3 2 3 4 4" xfId="10366" xr:uid="{BBCF30B6-FA40-456E-B313-D5658E17148F}"/>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793DFD9A-6FD9-44CC-8DF0-D430B7E3FD76}"/>
    <cellStyle name="Normal 9 3 2 3 5 2 3" xfId="12924" xr:uid="{A66B7E88-81CC-4A89-B59E-F991A9009583}"/>
    <cellStyle name="Normal 9 3 2 3 5 3" xfId="6547" xr:uid="{00000000-0005-0000-0000-0000E31F0000}"/>
    <cellStyle name="Normal 9 3 2 3 5 3 2" xfId="14997" xr:uid="{4128C291-E68F-4705-8AAB-035615B917C6}"/>
    <cellStyle name="Normal 9 3 2 3 5 4" xfId="10779" xr:uid="{C834F647-5F78-480D-AA12-C212AB3C762D}"/>
    <cellStyle name="Normal 9 3 2 3 6" xfId="2677" xr:uid="{00000000-0005-0000-0000-0000E41F0000}"/>
    <cellStyle name="Normal 9 3 2 3 6 2" xfId="6960" xr:uid="{00000000-0005-0000-0000-0000E51F0000}"/>
    <cellStyle name="Normal 9 3 2 3 6 2 2" xfId="15410" xr:uid="{23B024B5-98FB-4C11-8197-7DE781F198F2}"/>
    <cellStyle name="Normal 9 3 2 3 6 3" xfId="11192" xr:uid="{1C01EC44-1F6B-4FD5-AC06-45824B319A91}"/>
    <cellStyle name="Normal 9 3 2 3 7" xfId="4895" xr:uid="{00000000-0005-0000-0000-0000E61F0000}"/>
    <cellStyle name="Normal 9 3 2 3 7 2" xfId="13345" xr:uid="{4925BE9C-D7CF-4EA6-9356-A84F0B14D280}"/>
    <cellStyle name="Normal 9 3 2 3 8" xfId="9127" xr:uid="{CD578247-2FF0-4DC8-8849-911D4036CFCD}"/>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0FDB0E99-6AD6-4093-9D28-69C49173FF26}"/>
    <cellStyle name="Normal 9 3 2 4 2 3" xfId="11682" xr:uid="{5D5E85BA-DDEA-46F9-A3EF-EA3D1BA22F04}"/>
    <cellStyle name="Normal 9 3 2 4 3" xfId="5305" xr:uid="{00000000-0005-0000-0000-0000EA1F0000}"/>
    <cellStyle name="Normal 9 3 2 4 3 2" xfId="13755" xr:uid="{A0619385-7FC6-43D1-A9CD-99D9F0C828B2}"/>
    <cellStyle name="Normal 9 3 2 4 4" xfId="9537" xr:uid="{35AC60AD-AC09-47D0-A39C-BE82AFFE0162}"/>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40F19270-6232-419B-BB16-B2A82A8A1143}"/>
    <cellStyle name="Normal 9 3 2 5 2 3" xfId="12095" xr:uid="{7272FDE8-8C70-40D7-A55B-48AFFF314268}"/>
    <cellStyle name="Normal 9 3 2 5 3" xfId="5718" xr:uid="{00000000-0005-0000-0000-0000EE1F0000}"/>
    <cellStyle name="Normal 9 3 2 5 3 2" xfId="14168" xr:uid="{B0752750-B71B-4E77-9C59-A60CC427AAF5}"/>
    <cellStyle name="Normal 9 3 2 5 4" xfId="9950" xr:uid="{F37CC3BC-B0F5-4EAE-8589-17A9E5A21B2C}"/>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3B79DDA2-EE37-4C4F-BBF8-2A857FA77310}"/>
    <cellStyle name="Normal 9 3 2 6 2 3" xfId="12508" xr:uid="{DE8FB520-99C6-4555-B77A-EAB3A3516C52}"/>
    <cellStyle name="Normal 9 3 2 6 3" xfId="6131" xr:uid="{00000000-0005-0000-0000-0000F21F0000}"/>
    <cellStyle name="Normal 9 3 2 6 3 2" xfId="14581" xr:uid="{10A21E5D-637A-4511-9D25-0778A4C96E14}"/>
    <cellStyle name="Normal 9 3 2 6 4" xfId="10363" xr:uid="{46F89784-139D-4ED2-8BDB-E3317BF42501}"/>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4B8FD946-2461-4429-9EDB-BA067EEA9C21}"/>
    <cellStyle name="Normal 9 3 2 7 2 3" xfId="12921" xr:uid="{FC0AA795-078E-4684-973A-67969EC676CE}"/>
    <cellStyle name="Normal 9 3 2 7 3" xfId="6544" xr:uid="{00000000-0005-0000-0000-0000F61F0000}"/>
    <cellStyle name="Normal 9 3 2 7 3 2" xfId="14994" xr:uid="{6924977A-6C37-40A0-AEDF-6F8F9EEE72DD}"/>
    <cellStyle name="Normal 9 3 2 7 4" xfId="10776" xr:uid="{C164360A-283C-43DE-86D5-A5FE1B369FE4}"/>
    <cellStyle name="Normal 9 3 2 8" xfId="2674" xr:uid="{00000000-0005-0000-0000-0000F71F0000}"/>
    <cellStyle name="Normal 9 3 2 8 2" xfId="6957" xr:uid="{00000000-0005-0000-0000-0000F81F0000}"/>
    <cellStyle name="Normal 9 3 2 8 2 2" xfId="15407" xr:uid="{2D37D3DB-C5E4-408B-98CE-08E1848CA5FA}"/>
    <cellStyle name="Normal 9 3 2 8 3" xfId="11189" xr:uid="{38618709-8FD8-4635-A24B-A14879DCA1BB}"/>
    <cellStyle name="Normal 9 3 2 9" xfId="4892" xr:uid="{00000000-0005-0000-0000-0000F91F0000}"/>
    <cellStyle name="Normal 9 3 2 9 2" xfId="13342" xr:uid="{81E6081A-834F-47E7-8736-789A4081D5B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22077907-7F23-4782-8CEA-3420A692ACC5}"/>
    <cellStyle name="Normal 9 3 3 2 2 2 3" xfId="11687" xr:uid="{34614734-7E4A-44F0-ACBD-42892B34460A}"/>
    <cellStyle name="Normal 9 3 3 2 2 3" xfId="5310" xr:uid="{00000000-0005-0000-0000-0000FF1F0000}"/>
    <cellStyle name="Normal 9 3 3 2 2 3 2" xfId="13760" xr:uid="{D3117A76-01EC-43EC-9F73-260F9B6C7DB0}"/>
    <cellStyle name="Normal 9 3 3 2 2 4" xfId="9542" xr:uid="{43FCEF6D-5972-4117-BBB7-ABE4F377A07B}"/>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D2084ABE-114D-4669-9AC5-E05AB513DF04}"/>
    <cellStyle name="Normal 9 3 3 2 3 2 3" xfId="12100" xr:uid="{BBFBBA43-AFD6-43EB-B738-F793E4479EC3}"/>
    <cellStyle name="Normal 9 3 3 2 3 3" xfId="5723" xr:uid="{00000000-0005-0000-0000-000003200000}"/>
    <cellStyle name="Normal 9 3 3 2 3 3 2" xfId="14173" xr:uid="{8633EFC9-F3DC-44A5-B0EA-915C0976B580}"/>
    <cellStyle name="Normal 9 3 3 2 3 4" xfId="9955" xr:uid="{59CC96C0-EBD0-483C-B2A4-C52776CDB002}"/>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88950760-2A2C-4665-A5E6-8532FCC01D9D}"/>
    <cellStyle name="Normal 9 3 3 2 4 2 3" xfId="12513" xr:uid="{F61D6196-ACF6-4073-8529-F7504B28FAFF}"/>
    <cellStyle name="Normal 9 3 3 2 4 3" xfId="6136" xr:uid="{00000000-0005-0000-0000-000007200000}"/>
    <cellStyle name="Normal 9 3 3 2 4 3 2" xfId="14586" xr:uid="{C98DA2D7-5A42-4EE9-A4AE-D647661F3FBF}"/>
    <cellStyle name="Normal 9 3 3 2 4 4" xfId="10368" xr:uid="{AD7D3EC0-76CD-403A-9AF1-E97DA2667CA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0A0EAA62-5703-4874-ACA1-642F8AE87BF3}"/>
    <cellStyle name="Normal 9 3 3 2 5 2 3" xfId="12926" xr:uid="{9C792203-4A5A-4F4C-93E7-7E243FC1C7D1}"/>
    <cellStyle name="Normal 9 3 3 2 5 3" xfId="6549" xr:uid="{00000000-0005-0000-0000-00000B200000}"/>
    <cellStyle name="Normal 9 3 3 2 5 3 2" xfId="14999" xr:uid="{2F52DCA4-041B-4CF7-ACC6-0BD094E56061}"/>
    <cellStyle name="Normal 9 3 3 2 5 4" xfId="10781" xr:uid="{8FAE8C62-FA56-4B36-BA1B-562A4C79F6A8}"/>
    <cellStyle name="Normal 9 3 3 2 6" xfId="2679" xr:uid="{00000000-0005-0000-0000-00000C200000}"/>
    <cellStyle name="Normal 9 3 3 2 6 2" xfId="6962" xr:uid="{00000000-0005-0000-0000-00000D200000}"/>
    <cellStyle name="Normal 9 3 3 2 6 2 2" xfId="15412" xr:uid="{C4907772-0864-4FD2-A1CF-9F7BBF3F6416}"/>
    <cellStyle name="Normal 9 3 3 2 6 3" xfId="11194" xr:uid="{70C2F7B8-27AE-42E2-9E9E-562108EAB2CA}"/>
    <cellStyle name="Normal 9 3 3 2 7" xfId="4897" xr:uid="{00000000-0005-0000-0000-00000E200000}"/>
    <cellStyle name="Normal 9 3 3 2 7 2" xfId="13347" xr:uid="{13926022-1508-4D11-B0A4-1F0299C2030A}"/>
    <cellStyle name="Normal 9 3 3 2 8" xfId="9129" xr:uid="{5B2FA140-2C46-44C9-9651-E20F6747FE67}"/>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6DC51291-BB06-420F-B1AB-3D06A8034A31}"/>
    <cellStyle name="Normal 9 3 3 3 2 3" xfId="11686" xr:uid="{8E3E5447-AE94-443D-A4A1-60E8F80D8A3B}"/>
    <cellStyle name="Normal 9 3 3 3 3" xfId="5309" xr:uid="{00000000-0005-0000-0000-000012200000}"/>
    <cellStyle name="Normal 9 3 3 3 3 2" xfId="13759" xr:uid="{AF68F03D-51C3-4CD7-903C-63D7359FD105}"/>
    <cellStyle name="Normal 9 3 3 3 4" xfId="9541" xr:uid="{31DD85FC-628E-425F-BDD5-20D45BB66CA5}"/>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2435127F-34E7-4F52-A253-7434DDD0B0A0}"/>
    <cellStyle name="Normal 9 3 3 4 2 3" xfId="12099" xr:uid="{C3991FCD-0EE4-4C9C-80A0-23CD6F27F55D}"/>
    <cellStyle name="Normal 9 3 3 4 3" xfId="5722" xr:uid="{00000000-0005-0000-0000-000016200000}"/>
    <cellStyle name="Normal 9 3 3 4 3 2" xfId="14172" xr:uid="{0EFC981F-423A-4E24-B950-72ED9995D03D}"/>
    <cellStyle name="Normal 9 3 3 4 4" xfId="9954" xr:uid="{5A988B2C-EEAD-417F-A222-B27B6C4B6D50}"/>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5F62D46D-53E2-4FA9-815A-E4E0952302DA}"/>
    <cellStyle name="Normal 9 3 3 5 2 3" xfId="12512" xr:uid="{03D6F5A2-5A6A-4640-9408-0B4F6A601C70}"/>
    <cellStyle name="Normal 9 3 3 5 3" xfId="6135" xr:uid="{00000000-0005-0000-0000-00001A200000}"/>
    <cellStyle name="Normal 9 3 3 5 3 2" xfId="14585" xr:uid="{64DC23EB-976F-47C5-AF63-4E69EA2E032D}"/>
    <cellStyle name="Normal 9 3 3 5 4" xfId="10367" xr:uid="{92A2707C-9B10-4588-B9CE-AD527429230D}"/>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D51A0C04-3314-4D6C-AC88-0BD6325D02D6}"/>
    <cellStyle name="Normal 9 3 3 6 2 3" xfId="12925" xr:uid="{67BE5F38-B015-4766-8952-C2850380912B}"/>
    <cellStyle name="Normal 9 3 3 6 3" xfId="6548" xr:uid="{00000000-0005-0000-0000-00001E200000}"/>
    <cellStyle name="Normal 9 3 3 6 3 2" xfId="14998" xr:uid="{C9BB2B88-BD74-435F-8A55-B507EF27F972}"/>
    <cellStyle name="Normal 9 3 3 6 4" xfId="10780" xr:uid="{A350A763-6753-4C58-B2A1-CE09FC1123A5}"/>
    <cellStyle name="Normal 9 3 3 7" xfId="2678" xr:uid="{00000000-0005-0000-0000-00001F200000}"/>
    <cellStyle name="Normal 9 3 3 7 2" xfId="6961" xr:uid="{00000000-0005-0000-0000-000020200000}"/>
    <cellStyle name="Normal 9 3 3 7 2 2" xfId="15411" xr:uid="{C292EDB5-FF05-4BE8-ABA2-F064306576DE}"/>
    <cellStyle name="Normal 9 3 3 7 3" xfId="11193" xr:uid="{C08AD593-01AD-4CFC-9496-2434D6A72516}"/>
    <cellStyle name="Normal 9 3 3 8" xfId="4896" xr:uid="{00000000-0005-0000-0000-000021200000}"/>
    <cellStyle name="Normal 9 3 3 8 2" xfId="13346" xr:uid="{68B732A1-9246-4881-9CF8-F312CE0778BD}"/>
    <cellStyle name="Normal 9 3 3 9" xfId="9128" xr:uid="{4947BD91-7042-4534-B101-687567BB50AE}"/>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F5C967E1-6E16-4AC7-B3E5-E27D7B9201DB}"/>
    <cellStyle name="Normal 9 3 4 2 2 3" xfId="11688" xr:uid="{7AD9BC0D-1FD2-4680-9332-299367ABD8E8}"/>
    <cellStyle name="Normal 9 3 4 2 3" xfId="5311" xr:uid="{00000000-0005-0000-0000-000026200000}"/>
    <cellStyle name="Normal 9 3 4 2 3 2" xfId="13761" xr:uid="{271A3B16-10A8-4394-B576-E6086359D7A7}"/>
    <cellStyle name="Normal 9 3 4 2 4" xfId="9543" xr:uid="{B505548E-8F3D-4C53-94C4-78A5E5D3BE9D}"/>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60459A26-5269-484A-820B-CF0B83D79B77}"/>
    <cellStyle name="Normal 9 3 4 3 2 3" xfId="12101" xr:uid="{10E9C8DB-38B9-4C83-9E45-D5B83EA98AA8}"/>
    <cellStyle name="Normal 9 3 4 3 3" xfId="5724" xr:uid="{00000000-0005-0000-0000-00002A200000}"/>
    <cellStyle name="Normal 9 3 4 3 3 2" xfId="14174" xr:uid="{8A7E2333-9E68-4FA8-AA92-9B8FC1A9F802}"/>
    <cellStyle name="Normal 9 3 4 3 4" xfId="9956" xr:uid="{4A04D42F-7ED1-4344-B55D-FEF7BC7A9DB4}"/>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D9456B68-89A3-4523-9AE5-D71826059B18}"/>
    <cellStyle name="Normal 9 3 4 4 2 3" xfId="12514" xr:uid="{A227FA73-F0D7-4266-B5A4-2063B86FD073}"/>
    <cellStyle name="Normal 9 3 4 4 3" xfId="6137" xr:uid="{00000000-0005-0000-0000-00002E200000}"/>
    <cellStyle name="Normal 9 3 4 4 3 2" xfId="14587" xr:uid="{0FD04D23-1C10-4F4C-9849-D3DFA7AC1C96}"/>
    <cellStyle name="Normal 9 3 4 4 4" xfId="10369" xr:uid="{F1014532-21A1-4221-98BC-66A116892518}"/>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D1A02AD2-E0E1-4AF8-AE53-2499C58BF17A}"/>
    <cellStyle name="Normal 9 3 4 5 2 3" xfId="12927" xr:uid="{C9FAA11F-4216-4E3C-8020-1BB991F3EF40}"/>
    <cellStyle name="Normal 9 3 4 5 3" xfId="6550" xr:uid="{00000000-0005-0000-0000-000032200000}"/>
    <cellStyle name="Normal 9 3 4 5 3 2" xfId="15000" xr:uid="{599937EA-3DC3-468B-A49B-31FF3267B2F7}"/>
    <cellStyle name="Normal 9 3 4 5 4" xfId="10782" xr:uid="{980F0343-B3AC-4D4A-850E-C46D8612B0AE}"/>
    <cellStyle name="Normal 9 3 4 6" xfId="2680" xr:uid="{00000000-0005-0000-0000-000033200000}"/>
    <cellStyle name="Normal 9 3 4 6 2" xfId="6963" xr:uid="{00000000-0005-0000-0000-000034200000}"/>
    <cellStyle name="Normal 9 3 4 6 2 2" xfId="15413" xr:uid="{7CD4407C-A06C-43FA-9518-9675D56C3A8C}"/>
    <cellStyle name="Normal 9 3 4 6 3" xfId="11195" xr:uid="{057F8DE9-DEF0-47AB-A4F9-56A0F3FC9C49}"/>
    <cellStyle name="Normal 9 3 4 7" xfId="4898" xr:uid="{00000000-0005-0000-0000-000035200000}"/>
    <cellStyle name="Normal 9 3 4 7 2" xfId="13348" xr:uid="{1787086F-108E-4E08-A944-1BC41C06D9D7}"/>
    <cellStyle name="Normal 9 3 4 8" xfId="9130" xr:uid="{5E2D664D-2210-4E9E-AE88-42E62D885992}"/>
    <cellStyle name="Normal 9 3 5" xfId="994" xr:uid="{00000000-0005-0000-0000-000036200000}"/>
    <cellStyle name="Normal 9 3 5 2" xfId="3227" xr:uid="{00000000-0005-0000-0000-000037200000}"/>
    <cellStyle name="Normal 9 3 5 2 2" xfId="7449" xr:uid="{00000000-0005-0000-0000-000038200000}"/>
    <cellStyle name="Normal 9 3 5 2 2 2" xfId="15899" xr:uid="{1FEE0A97-9B22-4B69-90C3-9CD784BAC165}"/>
    <cellStyle name="Normal 9 3 5 2 3" xfId="11681" xr:uid="{77158A62-AC35-45F4-B430-CE0C6686EEEE}"/>
    <cellStyle name="Normal 9 3 5 3" xfId="5304" xr:uid="{00000000-0005-0000-0000-000039200000}"/>
    <cellStyle name="Normal 9 3 5 3 2" xfId="13754" xr:uid="{5925C629-1C62-4E7B-883C-32128BFD9FE2}"/>
    <cellStyle name="Normal 9 3 5 4" xfId="9536" xr:uid="{9A591EE0-F330-4767-BC9B-4F760CFCD017}"/>
    <cellStyle name="Normal 9 3 6" xfId="1410" xr:uid="{00000000-0005-0000-0000-00003A200000}"/>
    <cellStyle name="Normal 9 3 6 2" xfId="3640" xr:uid="{00000000-0005-0000-0000-00003B200000}"/>
    <cellStyle name="Normal 9 3 6 2 2" xfId="7862" xr:uid="{00000000-0005-0000-0000-00003C200000}"/>
    <cellStyle name="Normal 9 3 6 2 2 2" xfId="16312" xr:uid="{53C9A13F-9A94-440B-A3DB-18B190061D57}"/>
    <cellStyle name="Normal 9 3 6 2 3" xfId="12094" xr:uid="{8F9A4B2E-008E-4670-A375-62F77B2AEE8F}"/>
    <cellStyle name="Normal 9 3 6 3" xfId="5717" xr:uid="{00000000-0005-0000-0000-00003D200000}"/>
    <cellStyle name="Normal 9 3 6 3 2" xfId="14167" xr:uid="{2F5E986E-3831-4ABB-8E0D-EBBE61E652EF}"/>
    <cellStyle name="Normal 9 3 6 4" xfId="9949" xr:uid="{D665DABE-776B-46CC-90E3-E6F993C72AD4}"/>
    <cellStyle name="Normal 9 3 7" xfId="1823" xr:uid="{00000000-0005-0000-0000-00003E200000}"/>
    <cellStyle name="Normal 9 3 7 2" xfId="4053" xr:uid="{00000000-0005-0000-0000-00003F200000}"/>
    <cellStyle name="Normal 9 3 7 2 2" xfId="8275" xr:uid="{00000000-0005-0000-0000-000040200000}"/>
    <cellStyle name="Normal 9 3 7 2 2 2" xfId="16725" xr:uid="{4593BA33-A061-4FB9-B209-B13F6D5769A6}"/>
    <cellStyle name="Normal 9 3 7 2 3" xfId="12507" xr:uid="{F6D0EC3E-2837-4DE0-8455-D8B17F2484FA}"/>
    <cellStyle name="Normal 9 3 7 3" xfId="6130" xr:uid="{00000000-0005-0000-0000-000041200000}"/>
    <cellStyle name="Normal 9 3 7 3 2" xfId="14580" xr:uid="{33BBB289-D46E-4A77-932E-00F0CEC502E0}"/>
    <cellStyle name="Normal 9 3 7 4" xfId="10362" xr:uid="{18807281-AFAE-49FA-88E4-E42D20F4CBC8}"/>
    <cellStyle name="Normal 9 3 8" xfId="2237" xr:uid="{00000000-0005-0000-0000-000042200000}"/>
    <cellStyle name="Normal 9 3 8 2" xfId="4466" xr:uid="{00000000-0005-0000-0000-000043200000}"/>
    <cellStyle name="Normal 9 3 8 2 2" xfId="8688" xr:uid="{00000000-0005-0000-0000-000044200000}"/>
    <cellStyle name="Normal 9 3 8 2 2 2" xfId="17138" xr:uid="{E4CE0180-A575-4CF8-B893-2BDF436DE21F}"/>
    <cellStyle name="Normal 9 3 8 2 3" xfId="12920" xr:uid="{F63C04CB-ABE1-4806-8921-2C7D53C6F4A1}"/>
    <cellStyle name="Normal 9 3 8 3" xfId="6543" xr:uid="{00000000-0005-0000-0000-000045200000}"/>
    <cellStyle name="Normal 9 3 8 3 2" xfId="14993" xr:uid="{44B0C441-1FD8-4D09-93E6-EBE24415697C}"/>
    <cellStyle name="Normal 9 3 8 4" xfId="10775" xr:uid="{380878D9-5A7E-43BB-86B7-0E5629138B7A}"/>
    <cellStyle name="Normal 9 3 9" xfId="2673" xr:uid="{00000000-0005-0000-0000-000046200000}"/>
    <cellStyle name="Normal 9 3 9 2" xfId="6956" xr:uid="{00000000-0005-0000-0000-000047200000}"/>
    <cellStyle name="Normal 9 3 9 2 2" xfId="15406" xr:uid="{2CD0ABBC-7869-4942-8C6D-ED673AD21458}"/>
    <cellStyle name="Normal 9 3 9 3" xfId="11188" xr:uid="{2CB50958-2656-4C86-8539-0351A3AFF5F9}"/>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77FC4C7E-A7DC-4912-BB5C-4CA80FBD86B7}"/>
    <cellStyle name="Normal 9 5 2 2 2 3" xfId="11690" xr:uid="{DCC34CF8-91E1-42A8-8D23-E1746EC86D08}"/>
    <cellStyle name="Normal 9 5 2 2 3" xfId="5313" xr:uid="{00000000-0005-0000-0000-00004F200000}"/>
    <cellStyle name="Normal 9 5 2 2 3 2" xfId="13763" xr:uid="{B7CA92CD-43C8-42DE-974A-771B3B89D82F}"/>
    <cellStyle name="Normal 9 5 2 2 4" xfId="9545" xr:uid="{2F8BE727-9FB8-450A-8FFB-2C4D8C58537F}"/>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ADAF4439-D6A7-492F-B96F-23EDF6BDF84E}"/>
    <cellStyle name="Normal 9 5 2 3 2 3" xfId="12103" xr:uid="{0B56066F-8140-4DFB-9D6B-E4EFF4756D03}"/>
    <cellStyle name="Normal 9 5 2 3 3" xfId="5726" xr:uid="{00000000-0005-0000-0000-000053200000}"/>
    <cellStyle name="Normal 9 5 2 3 3 2" xfId="14176" xr:uid="{040F18AB-82D4-4C51-81AD-3D819AD99359}"/>
    <cellStyle name="Normal 9 5 2 3 4" xfId="9958" xr:uid="{331E290A-8011-4AC8-BE62-2AF784584752}"/>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08B9358B-F160-4BE2-9F3A-046AD4CD759F}"/>
    <cellStyle name="Normal 9 5 2 4 2 3" xfId="12516" xr:uid="{5B2F21B1-034A-485F-9FE7-CC2DC083C4FE}"/>
    <cellStyle name="Normal 9 5 2 4 3" xfId="6139" xr:uid="{00000000-0005-0000-0000-000057200000}"/>
    <cellStyle name="Normal 9 5 2 4 3 2" xfId="14589" xr:uid="{30FC5241-E0E2-48D9-917A-A5CA1B8B9F38}"/>
    <cellStyle name="Normal 9 5 2 4 4" xfId="10371" xr:uid="{3D252829-EF87-4146-B536-DF62EF9EA852}"/>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B40D11ED-5EF0-435D-8BBB-B538639C52EE}"/>
    <cellStyle name="Normal 9 5 2 5 2 3" xfId="12929" xr:uid="{B83061E9-EE61-4F8C-BA56-7936903B905A}"/>
    <cellStyle name="Normal 9 5 2 5 3" xfId="6552" xr:uid="{00000000-0005-0000-0000-00005B200000}"/>
    <cellStyle name="Normal 9 5 2 5 3 2" xfId="15002" xr:uid="{9B56D6F6-A197-4BF3-B685-C226DA8DEE4B}"/>
    <cellStyle name="Normal 9 5 2 5 4" xfId="10784" xr:uid="{AA2E9008-AC76-4154-BE78-0D62E1673CB0}"/>
    <cellStyle name="Normal 9 5 2 6" xfId="2682" xr:uid="{00000000-0005-0000-0000-00005C200000}"/>
    <cellStyle name="Normal 9 5 2 6 2" xfId="6965" xr:uid="{00000000-0005-0000-0000-00005D200000}"/>
    <cellStyle name="Normal 9 5 2 6 2 2" xfId="15415" xr:uid="{6D5F03C9-95B6-438F-89D5-13D26C0F9C67}"/>
    <cellStyle name="Normal 9 5 2 6 3" xfId="11197" xr:uid="{0F688C23-3B22-41CF-9EB1-D2A3A2C9FE0E}"/>
    <cellStyle name="Normal 9 5 2 7" xfId="4900" xr:uid="{00000000-0005-0000-0000-00005E200000}"/>
    <cellStyle name="Normal 9 5 2 7 2" xfId="13350" xr:uid="{3D082377-A1B8-45F3-9345-A1C1B4F16E9B}"/>
    <cellStyle name="Normal 9 5 2 8" xfId="9132" xr:uid="{E43BBF64-5D85-4CB4-AB96-3246D1D2E5EF}"/>
    <cellStyle name="Normal 9 5 3" xfId="1003" xr:uid="{00000000-0005-0000-0000-00005F200000}"/>
    <cellStyle name="Normal 9 5 3 2" xfId="3235" xr:uid="{00000000-0005-0000-0000-000060200000}"/>
    <cellStyle name="Normal 9 5 3 2 2" xfId="7457" xr:uid="{00000000-0005-0000-0000-000061200000}"/>
    <cellStyle name="Normal 9 5 3 2 2 2" xfId="15907" xr:uid="{E8A986E6-AB88-4BFB-8DBA-B3CEB41B38B0}"/>
    <cellStyle name="Normal 9 5 3 2 3" xfId="11689" xr:uid="{02BF51DA-0B32-4A49-9114-1492AEB4D58A}"/>
    <cellStyle name="Normal 9 5 3 3" xfId="5312" xr:uid="{00000000-0005-0000-0000-000062200000}"/>
    <cellStyle name="Normal 9 5 3 3 2" xfId="13762" xr:uid="{10E2DC98-BC20-4CBD-AEF4-E516AC2F6D53}"/>
    <cellStyle name="Normal 9 5 3 4" xfId="9544" xr:uid="{E4B98C13-014F-46B2-93EC-40A1BAD24B62}"/>
    <cellStyle name="Normal 9 5 4" xfId="1418" xr:uid="{00000000-0005-0000-0000-000063200000}"/>
    <cellStyle name="Normal 9 5 4 2" xfId="3648" xr:uid="{00000000-0005-0000-0000-000064200000}"/>
    <cellStyle name="Normal 9 5 4 2 2" xfId="7870" xr:uid="{00000000-0005-0000-0000-000065200000}"/>
    <cellStyle name="Normal 9 5 4 2 2 2" xfId="16320" xr:uid="{66D60798-A184-4350-9D84-EC3B7D10D8FC}"/>
    <cellStyle name="Normal 9 5 4 2 3" xfId="12102" xr:uid="{3A0A7CFE-FD5A-4A17-98AE-30D226A15C9B}"/>
    <cellStyle name="Normal 9 5 4 3" xfId="5725" xr:uid="{00000000-0005-0000-0000-000066200000}"/>
    <cellStyle name="Normal 9 5 4 3 2" xfId="14175" xr:uid="{DF12D08F-86F6-4875-84C5-47FE517302E6}"/>
    <cellStyle name="Normal 9 5 4 4" xfId="9957" xr:uid="{87703691-1DC0-49AE-83E3-1D955BD6283C}"/>
    <cellStyle name="Normal 9 5 5" xfId="1831" xr:uid="{00000000-0005-0000-0000-000067200000}"/>
    <cellStyle name="Normal 9 5 5 2" xfId="4061" xr:uid="{00000000-0005-0000-0000-000068200000}"/>
    <cellStyle name="Normal 9 5 5 2 2" xfId="8283" xr:uid="{00000000-0005-0000-0000-000069200000}"/>
    <cellStyle name="Normal 9 5 5 2 2 2" xfId="16733" xr:uid="{A83BE807-0C10-42D9-836F-1276FF9D8EB0}"/>
    <cellStyle name="Normal 9 5 5 2 3" xfId="12515" xr:uid="{01E060B5-1E66-4692-AB5D-6D884C2B4A30}"/>
    <cellStyle name="Normal 9 5 5 3" xfId="6138" xr:uid="{00000000-0005-0000-0000-00006A200000}"/>
    <cellStyle name="Normal 9 5 5 3 2" xfId="14588" xr:uid="{AD6BB0F5-D927-4881-A227-6E4CFC67DDD0}"/>
    <cellStyle name="Normal 9 5 5 4" xfId="10370" xr:uid="{203284BC-A1E0-4AC7-A970-0DFA22515E6D}"/>
    <cellStyle name="Normal 9 5 6" xfId="2245" xr:uid="{00000000-0005-0000-0000-00006B200000}"/>
    <cellStyle name="Normal 9 5 6 2" xfId="4474" xr:uid="{00000000-0005-0000-0000-00006C200000}"/>
    <cellStyle name="Normal 9 5 6 2 2" xfId="8696" xr:uid="{00000000-0005-0000-0000-00006D200000}"/>
    <cellStyle name="Normal 9 5 6 2 2 2" xfId="17146" xr:uid="{90D4E62B-76F6-449C-909A-296725B9B355}"/>
    <cellStyle name="Normal 9 5 6 2 3" xfId="12928" xr:uid="{E22AC9BD-559C-46FB-876E-3575566A214A}"/>
    <cellStyle name="Normal 9 5 6 3" xfId="6551" xr:uid="{00000000-0005-0000-0000-00006E200000}"/>
    <cellStyle name="Normal 9 5 6 3 2" xfId="15001" xr:uid="{12C4AFB5-C3BD-4334-B162-1F51C68730D0}"/>
    <cellStyle name="Normal 9 5 6 4" xfId="10783" xr:uid="{F232F5A3-374A-4B57-96A6-7EE67C1D1A2C}"/>
    <cellStyle name="Normal 9 5 7" xfId="2681" xr:uid="{00000000-0005-0000-0000-00006F200000}"/>
    <cellStyle name="Normal 9 5 7 2" xfId="6964" xr:uid="{00000000-0005-0000-0000-000070200000}"/>
    <cellStyle name="Normal 9 5 7 2 2" xfId="15414" xr:uid="{05125BAB-6555-427E-8BB6-60541CD89EF0}"/>
    <cellStyle name="Normal 9 5 7 3" xfId="11196" xr:uid="{F3486250-6DFD-48BB-B4BE-438016E947E9}"/>
    <cellStyle name="Normal 9 5 8" xfId="4899" xr:uid="{00000000-0005-0000-0000-000071200000}"/>
    <cellStyle name="Normal 9 5 8 2" xfId="13349" xr:uid="{2123902E-F702-4080-87DE-C90DB784F47A}"/>
    <cellStyle name="Normal 9 5 9" xfId="9131" xr:uid="{5251F758-3980-4F9E-A45D-E3A4F40A04F5}"/>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FF633191-A31C-4369-8B2C-A6691F3CD76A}"/>
    <cellStyle name="Normal 9 6 2 2 3" xfId="11691" xr:uid="{9297B92D-E962-4C94-84CC-AEAAC2E8C0EB}"/>
    <cellStyle name="Normal 9 6 2 3" xfId="5314" xr:uid="{00000000-0005-0000-0000-000076200000}"/>
    <cellStyle name="Normal 9 6 2 3 2" xfId="13764" xr:uid="{800BC71F-4AF5-4B8A-98DE-4A118F613EA6}"/>
    <cellStyle name="Normal 9 6 2 4" xfId="9546" xr:uid="{B35AD894-BD05-4398-AE3E-62E7A27126D5}"/>
    <cellStyle name="Normal 9 6 3" xfId="1420" xr:uid="{00000000-0005-0000-0000-000077200000}"/>
    <cellStyle name="Normal 9 6 3 2" xfId="3650" xr:uid="{00000000-0005-0000-0000-000078200000}"/>
    <cellStyle name="Normal 9 6 3 2 2" xfId="7872" xr:uid="{00000000-0005-0000-0000-000079200000}"/>
    <cellStyle name="Normal 9 6 3 2 2 2" xfId="16322" xr:uid="{E37DBB3A-F53B-48A7-9860-0030036BDCDF}"/>
    <cellStyle name="Normal 9 6 3 2 3" xfId="12104" xr:uid="{5EA39DDE-191D-4011-9F9F-F01F5C422ADD}"/>
    <cellStyle name="Normal 9 6 3 3" xfId="5727" xr:uid="{00000000-0005-0000-0000-00007A200000}"/>
    <cellStyle name="Normal 9 6 3 3 2" xfId="14177" xr:uid="{0344E871-219A-426B-B905-8DED34934A64}"/>
    <cellStyle name="Normal 9 6 3 4" xfId="9959" xr:uid="{246BBB3A-07F6-4669-A665-BC3A9E98F872}"/>
    <cellStyle name="Normal 9 6 4" xfId="1833" xr:uid="{00000000-0005-0000-0000-00007B200000}"/>
    <cellStyle name="Normal 9 6 4 2" xfId="4063" xr:uid="{00000000-0005-0000-0000-00007C200000}"/>
    <cellStyle name="Normal 9 6 4 2 2" xfId="8285" xr:uid="{00000000-0005-0000-0000-00007D200000}"/>
    <cellStyle name="Normal 9 6 4 2 2 2" xfId="16735" xr:uid="{5CC5D48E-0A34-4447-8C29-970F63D96C6B}"/>
    <cellStyle name="Normal 9 6 4 2 3" xfId="12517" xr:uid="{7B7FC607-FB84-4269-8208-6B80ECC24317}"/>
    <cellStyle name="Normal 9 6 4 3" xfId="6140" xr:uid="{00000000-0005-0000-0000-00007E200000}"/>
    <cellStyle name="Normal 9 6 4 3 2" xfId="14590" xr:uid="{EE620487-624E-4D63-A5FB-E1B88856DD26}"/>
    <cellStyle name="Normal 9 6 4 4" xfId="10372" xr:uid="{DA0EF977-898B-4133-A71E-71E8A6246FAC}"/>
    <cellStyle name="Normal 9 6 5" xfId="2247" xr:uid="{00000000-0005-0000-0000-00007F200000}"/>
    <cellStyle name="Normal 9 6 5 2" xfId="4476" xr:uid="{00000000-0005-0000-0000-000080200000}"/>
    <cellStyle name="Normal 9 6 5 2 2" xfId="8698" xr:uid="{00000000-0005-0000-0000-000081200000}"/>
    <cellStyle name="Normal 9 6 5 2 2 2" xfId="17148" xr:uid="{49D6CCC2-27F1-424D-BFBD-DFA915515FBB}"/>
    <cellStyle name="Normal 9 6 5 2 3" xfId="12930" xr:uid="{8489182D-060A-45E3-95D6-709B0FB55FC1}"/>
    <cellStyle name="Normal 9 6 5 3" xfId="6553" xr:uid="{00000000-0005-0000-0000-000082200000}"/>
    <cellStyle name="Normal 9 6 5 3 2" xfId="15003" xr:uid="{47B4E3CE-9A0A-49A1-9019-74BC69128660}"/>
    <cellStyle name="Normal 9 6 5 4" xfId="10785" xr:uid="{D087BD49-4206-4241-8665-11C8F42BC551}"/>
    <cellStyle name="Normal 9 6 6" xfId="2683" xr:uid="{00000000-0005-0000-0000-000083200000}"/>
    <cellStyle name="Normal 9 6 6 2" xfId="6966" xr:uid="{00000000-0005-0000-0000-000084200000}"/>
    <cellStyle name="Normal 9 6 6 2 2" xfId="15416" xr:uid="{06D3812E-DA1C-40AB-B1F4-3AFE3C4FDA12}"/>
    <cellStyle name="Normal 9 6 6 3" xfId="11198" xr:uid="{150F9074-6EB5-459B-BFC2-D262EBEA1425}"/>
    <cellStyle name="Normal 9 6 7" xfId="4901" xr:uid="{00000000-0005-0000-0000-000085200000}"/>
    <cellStyle name="Normal 9 6 7 2" xfId="13351" xr:uid="{B8023292-3138-4FAC-BD7C-D8AD98E5F294}"/>
    <cellStyle name="Normal 9 6 8" xfId="9133" xr:uid="{46095905-7DE7-4422-8AC3-819FDA330BC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E8D344C0-A7BD-41F9-9AD6-2D48072F103D}"/>
    <cellStyle name="Note 2 2 10 3" xfId="11279" xr:uid="{412633CF-6707-4AF2-838F-0C942276B502}"/>
    <cellStyle name="Note 2 2 11" xfId="4902" xr:uid="{00000000-0005-0000-0000-000094200000}"/>
    <cellStyle name="Note 2 2 11 2" xfId="13352" xr:uid="{44164C28-7891-490A-85D5-FA3B8DD4087D}"/>
    <cellStyle name="Note 2 2 12" xfId="9134" xr:uid="{C2806F8B-8814-4E65-8360-F9224F052425}"/>
    <cellStyle name="Note 2 2 2" xfId="546" xr:uid="{00000000-0005-0000-0000-000095200000}"/>
    <cellStyle name="Note 2 2 2 10" xfId="4903" xr:uid="{00000000-0005-0000-0000-000096200000}"/>
    <cellStyle name="Note 2 2 2 10 2" xfId="13353" xr:uid="{09F8C577-380D-400C-B3BA-35C00E1D7DB2}"/>
    <cellStyle name="Note 2 2 2 11" xfId="9135" xr:uid="{49A83719-FE6F-4C5C-A9FE-BBBF8F5BB7FD}"/>
    <cellStyle name="Note 2 2 2 2" xfId="547" xr:uid="{00000000-0005-0000-0000-000097200000}"/>
    <cellStyle name="Note 2 2 2 2 10" xfId="9136" xr:uid="{8F33269C-9E2C-4EBF-860F-BD2ADEBB9B9D}"/>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092B9B06-4D45-452B-ACEC-55E2AA770E50}"/>
    <cellStyle name="Note 2 2 2 2 2 2 3" xfId="11694" xr:uid="{5682908A-58ED-4B73-BC79-0EB4F19E0868}"/>
    <cellStyle name="Note 2 2 2 2 2 3" xfId="5317" xr:uid="{00000000-0005-0000-0000-00009B200000}"/>
    <cellStyle name="Note 2 2 2 2 2 3 2" xfId="13767" xr:uid="{700619D5-BDFF-442C-909A-8822564913E1}"/>
    <cellStyle name="Note 2 2 2 2 2 4" xfId="9549" xr:uid="{2EE9C187-0A2B-41CF-A7B6-4C4E08A1A543}"/>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5126DEAC-B516-413A-B407-5D1F4BA3FA2C}"/>
    <cellStyle name="Note 2 2 2 2 3 2 3" xfId="12107" xr:uid="{50E93ECB-AFED-4145-AF78-2E993A2B8B57}"/>
    <cellStyle name="Note 2 2 2 2 3 3" xfId="5730" xr:uid="{00000000-0005-0000-0000-00009F200000}"/>
    <cellStyle name="Note 2 2 2 2 3 3 2" xfId="14180" xr:uid="{789CB249-5681-4EE8-AE88-75FF42CC9355}"/>
    <cellStyle name="Note 2 2 2 2 3 4" xfId="9962" xr:uid="{DFABD9A6-C73B-4082-93E6-B52B0BAF7412}"/>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0E76D915-7B37-41B2-8B26-1F9ADBE66521}"/>
    <cellStyle name="Note 2 2 2 2 4 2 3" xfId="12520" xr:uid="{C4392830-DCCA-45B5-8893-75AB6C9A5D88}"/>
    <cellStyle name="Note 2 2 2 2 4 3" xfId="6143" xr:uid="{00000000-0005-0000-0000-0000A3200000}"/>
    <cellStyle name="Note 2 2 2 2 4 3 2" xfId="14593" xr:uid="{F3A716EA-A52B-4AD4-BAFE-D9D183DC1095}"/>
    <cellStyle name="Note 2 2 2 2 4 4" xfId="10375" xr:uid="{AEF47AA5-CDE4-44CC-81C6-713B87F6670F}"/>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FA5A87CC-0AC2-4761-A542-0D6364EDD611}"/>
    <cellStyle name="Note 2 2 2 2 5 2 3" xfId="12933" xr:uid="{8D21718C-2FF6-4100-A601-8739DA4A39EB}"/>
    <cellStyle name="Note 2 2 2 2 5 3" xfId="6556" xr:uid="{00000000-0005-0000-0000-0000A7200000}"/>
    <cellStyle name="Note 2 2 2 2 5 3 2" xfId="15006" xr:uid="{91CDFBB2-DF17-43CD-BEBC-045EFC41DE0E}"/>
    <cellStyle name="Note 2 2 2 2 5 4" xfId="10788" xr:uid="{4B274782-60F0-4E7E-B13B-1DC576ABB68F}"/>
    <cellStyle name="Note 2 2 2 2 6" xfId="2686" xr:uid="{00000000-0005-0000-0000-0000A8200000}"/>
    <cellStyle name="Note 2 2 2 2 6 2" xfId="6969" xr:uid="{00000000-0005-0000-0000-0000A9200000}"/>
    <cellStyle name="Note 2 2 2 2 6 2 2" xfId="15419" xr:uid="{1FAB5A09-8542-4569-92AF-073D9505F075}"/>
    <cellStyle name="Note 2 2 2 2 6 3" xfId="11201" xr:uid="{DE9C4D7D-60A0-4B2B-97D3-2F5E1A8F8BCA}"/>
    <cellStyle name="Note 2 2 2 2 7" xfId="2745" xr:uid="{00000000-0005-0000-0000-0000AA200000}"/>
    <cellStyle name="Note 2 2 2 2 8" xfId="2826" xr:uid="{00000000-0005-0000-0000-0000AB200000}"/>
    <cellStyle name="Note 2 2 2 2 8 2" xfId="7049" xr:uid="{00000000-0005-0000-0000-0000AC200000}"/>
    <cellStyle name="Note 2 2 2 2 8 2 2" xfId="15499" xr:uid="{D82779D4-3721-443F-812F-1631198E91A7}"/>
    <cellStyle name="Note 2 2 2 2 8 3" xfId="11281" xr:uid="{2CDBC70F-0BAD-497E-A2BD-2CFE53D47C3B}"/>
    <cellStyle name="Note 2 2 2 2 9" xfId="4904" xr:uid="{00000000-0005-0000-0000-0000AD200000}"/>
    <cellStyle name="Note 2 2 2 2 9 2" xfId="13354" xr:uid="{2F6644F3-281D-4F1E-BE22-BDD2E3321FF8}"/>
    <cellStyle name="Note 2 2 2 3" xfId="1007" xr:uid="{00000000-0005-0000-0000-0000AE200000}"/>
    <cellStyle name="Note 2 2 2 3 2" xfId="3239" xr:uid="{00000000-0005-0000-0000-0000AF200000}"/>
    <cellStyle name="Note 2 2 2 3 2 2" xfId="7461" xr:uid="{00000000-0005-0000-0000-0000B0200000}"/>
    <cellStyle name="Note 2 2 2 3 2 2 2" xfId="15911" xr:uid="{A7B320D1-32C6-4688-B84F-861CA7D316E8}"/>
    <cellStyle name="Note 2 2 2 3 2 3" xfId="11693" xr:uid="{829CD64E-3E4E-4185-830B-DCB93A216D9D}"/>
    <cellStyle name="Note 2 2 2 3 3" xfId="5316" xr:uid="{00000000-0005-0000-0000-0000B1200000}"/>
    <cellStyle name="Note 2 2 2 3 3 2" xfId="13766" xr:uid="{000CBADE-4808-4C29-A2D3-2699FC3095DC}"/>
    <cellStyle name="Note 2 2 2 3 4" xfId="9548" xr:uid="{A5DD4AAF-4DD3-4034-B054-45606081543A}"/>
    <cellStyle name="Note 2 2 2 4" xfId="1422" xr:uid="{00000000-0005-0000-0000-0000B2200000}"/>
    <cellStyle name="Note 2 2 2 4 2" xfId="3652" xr:uid="{00000000-0005-0000-0000-0000B3200000}"/>
    <cellStyle name="Note 2 2 2 4 2 2" xfId="7874" xr:uid="{00000000-0005-0000-0000-0000B4200000}"/>
    <cellStyle name="Note 2 2 2 4 2 2 2" xfId="16324" xr:uid="{BAFCF597-39B1-4F12-B92F-ABE6AAD6758E}"/>
    <cellStyle name="Note 2 2 2 4 2 3" xfId="12106" xr:uid="{DAF70E05-DE35-4E95-A4E3-3639A57DC4DF}"/>
    <cellStyle name="Note 2 2 2 4 3" xfId="5729" xr:uid="{00000000-0005-0000-0000-0000B5200000}"/>
    <cellStyle name="Note 2 2 2 4 3 2" xfId="14179" xr:uid="{AC2518F6-E327-4E40-8700-716019CFFA80}"/>
    <cellStyle name="Note 2 2 2 4 4" xfId="9961" xr:uid="{8BE61996-AE23-4698-A02C-5ED79526DF52}"/>
    <cellStyle name="Note 2 2 2 5" xfId="1836" xr:uid="{00000000-0005-0000-0000-0000B6200000}"/>
    <cellStyle name="Note 2 2 2 5 2" xfId="4065" xr:uid="{00000000-0005-0000-0000-0000B7200000}"/>
    <cellStyle name="Note 2 2 2 5 2 2" xfId="8287" xr:uid="{00000000-0005-0000-0000-0000B8200000}"/>
    <cellStyle name="Note 2 2 2 5 2 2 2" xfId="16737" xr:uid="{721EC478-1236-4A3C-B7EB-20CDA3E4DF75}"/>
    <cellStyle name="Note 2 2 2 5 2 3" xfId="12519" xr:uid="{A597C3BE-70B2-4FEA-B3B3-73190ADAAFF5}"/>
    <cellStyle name="Note 2 2 2 5 3" xfId="6142" xr:uid="{00000000-0005-0000-0000-0000B9200000}"/>
    <cellStyle name="Note 2 2 2 5 3 2" xfId="14592" xr:uid="{D638BB05-4DC7-4B8A-8C68-5106890F87C8}"/>
    <cellStyle name="Note 2 2 2 5 4" xfId="10374" xr:uid="{7B421D00-E913-4296-A348-7AA61F026AF0}"/>
    <cellStyle name="Note 2 2 2 6" xfId="2249" xr:uid="{00000000-0005-0000-0000-0000BA200000}"/>
    <cellStyle name="Note 2 2 2 6 2" xfId="4478" xr:uid="{00000000-0005-0000-0000-0000BB200000}"/>
    <cellStyle name="Note 2 2 2 6 2 2" xfId="8700" xr:uid="{00000000-0005-0000-0000-0000BC200000}"/>
    <cellStyle name="Note 2 2 2 6 2 2 2" xfId="17150" xr:uid="{DA36F725-88BA-4405-8572-F5CD589405DD}"/>
    <cellStyle name="Note 2 2 2 6 2 3" xfId="12932" xr:uid="{291A9C5D-CAB1-405E-B9E8-8E9C7F9FC6F2}"/>
    <cellStyle name="Note 2 2 2 6 3" xfId="6555" xr:uid="{00000000-0005-0000-0000-0000BD200000}"/>
    <cellStyle name="Note 2 2 2 6 3 2" xfId="15005" xr:uid="{7B865FD2-C230-4237-B1B2-BBD7E3DDD90B}"/>
    <cellStyle name="Note 2 2 2 6 4" xfId="10787" xr:uid="{6288CEC6-A07F-4A8A-A793-F8AAA8072590}"/>
    <cellStyle name="Note 2 2 2 7" xfId="2685" xr:uid="{00000000-0005-0000-0000-0000BE200000}"/>
    <cellStyle name="Note 2 2 2 7 2" xfId="6968" xr:uid="{00000000-0005-0000-0000-0000BF200000}"/>
    <cellStyle name="Note 2 2 2 7 2 2" xfId="15418" xr:uid="{E98D1D54-14E0-47F0-B01D-F76F837525D1}"/>
    <cellStyle name="Note 2 2 2 7 3" xfId="11200" xr:uid="{17C66889-8492-44E3-B15D-B225AC6B950D}"/>
    <cellStyle name="Note 2 2 2 8" xfId="2744" xr:uid="{00000000-0005-0000-0000-0000C0200000}"/>
    <cellStyle name="Note 2 2 2 9" xfId="2825" xr:uid="{00000000-0005-0000-0000-0000C1200000}"/>
    <cellStyle name="Note 2 2 2 9 2" xfId="7048" xr:uid="{00000000-0005-0000-0000-0000C2200000}"/>
    <cellStyle name="Note 2 2 2 9 2 2" xfId="15498" xr:uid="{69B62C68-42A6-4CFC-8461-0131D2B6D5D8}"/>
    <cellStyle name="Note 2 2 2 9 3" xfId="11280" xr:uid="{ABE1F221-36D5-4354-AFED-3CC7710C752E}"/>
    <cellStyle name="Note 2 2 3" xfId="548" xr:uid="{00000000-0005-0000-0000-0000C3200000}"/>
    <cellStyle name="Note 2 2 3 10" xfId="9137" xr:uid="{A6E51777-E06F-4FE7-9EDD-519FA1FB5138}"/>
    <cellStyle name="Note 2 2 3 2" xfId="1009" xr:uid="{00000000-0005-0000-0000-0000C4200000}"/>
    <cellStyle name="Note 2 2 3 2 2" xfId="3241" xr:uid="{00000000-0005-0000-0000-0000C5200000}"/>
    <cellStyle name="Note 2 2 3 2 2 2" xfId="7463" xr:uid="{00000000-0005-0000-0000-0000C6200000}"/>
    <cellStyle name="Note 2 2 3 2 2 2 2" xfId="15913" xr:uid="{F07F0A03-F0EE-4E2C-BC60-5B47CA70969A}"/>
    <cellStyle name="Note 2 2 3 2 2 3" xfId="11695" xr:uid="{377141E3-3477-4002-971B-145BCFC67919}"/>
    <cellStyle name="Note 2 2 3 2 3" xfId="5318" xr:uid="{00000000-0005-0000-0000-0000C7200000}"/>
    <cellStyle name="Note 2 2 3 2 3 2" xfId="13768" xr:uid="{1B1812BA-080C-45BE-857E-4672E04DD734}"/>
    <cellStyle name="Note 2 2 3 2 4" xfId="9550" xr:uid="{5B63DEAA-CCCE-4074-A272-B4A4AEFF6668}"/>
    <cellStyle name="Note 2 2 3 3" xfId="1424" xr:uid="{00000000-0005-0000-0000-0000C8200000}"/>
    <cellStyle name="Note 2 2 3 3 2" xfId="3654" xr:uid="{00000000-0005-0000-0000-0000C9200000}"/>
    <cellStyle name="Note 2 2 3 3 2 2" xfId="7876" xr:uid="{00000000-0005-0000-0000-0000CA200000}"/>
    <cellStyle name="Note 2 2 3 3 2 2 2" xfId="16326" xr:uid="{8ACEEE95-5768-4F65-AD66-F19BCCAA5565}"/>
    <cellStyle name="Note 2 2 3 3 2 3" xfId="12108" xr:uid="{715A1C64-9504-44D0-BFFC-CC90D3363566}"/>
    <cellStyle name="Note 2 2 3 3 3" xfId="5731" xr:uid="{00000000-0005-0000-0000-0000CB200000}"/>
    <cellStyle name="Note 2 2 3 3 3 2" xfId="14181" xr:uid="{4545544A-70A0-4172-8D3C-C08666D9A7EC}"/>
    <cellStyle name="Note 2 2 3 3 4" xfId="9963" xr:uid="{6E015FE0-AF9E-481A-BA69-ECBA3F4FFFC9}"/>
    <cellStyle name="Note 2 2 3 4" xfId="1838" xr:uid="{00000000-0005-0000-0000-0000CC200000}"/>
    <cellStyle name="Note 2 2 3 4 2" xfId="4067" xr:uid="{00000000-0005-0000-0000-0000CD200000}"/>
    <cellStyle name="Note 2 2 3 4 2 2" xfId="8289" xr:uid="{00000000-0005-0000-0000-0000CE200000}"/>
    <cellStyle name="Note 2 2 3 4 2 2 2" xfId="16739" xr:uid="{33C87074-1E3D-43FF-873B-96A6E8A83761}"/>
    <cellStyle name="Note 2 2 3 4 2 3" xfId="12521" xr:uid="{F3839EC6-2C7B-4850-9F13-59BCADBB67CF}"/>
    <cellStyle name="Note 2 2 3 4 3" xfId="6144" xr:uid="{00000000-0005-0000-0000-0000CF200000}"/>
    <cellStyle name="Note 2 2 3 4 3 2" xfId="14594" xr:uid="{4F54D9B6-D47C-4481-9278-65962BD83752}"/>
    <cellStyle name="Note 2 2 3 4 4" xfId="10376" xr:uid="{72553157-AB7E-41DA-8ED7-2E0F6E9BFA4D}"/>
    <cellStyle name="Note 2 2 3 5" xfId="2251" xr:uid="{00000000-0005-0000-0000-0000D0200000}"/>
    <cellStyle name="Note 2 2 3 5 2" xfId="4480" xr:uid="{00000000-0005-0000-0000-0000D1200000}"/>
    <cellStyle name="Note 2 2 3 5 2 2" xfId="8702" xr:uid="{00000000-0005-0000-0000-0000D2200000}"/>
    <cellStyle name="Note 2 2 3 5 2 2 2" xfId="17152" xr:uid="{2D3E48B4-9A71-427E-866A-8BFE0EF58F7B}"/>
    <cellStyle name="Note 2 2 3 5 2 3" xfId="12934" xr:uid="{5851BA04-DAD4-4570-A81A-E0B9A73E2F58}"/>
    <cellStyle name="Note 2 2 3 5 3" xfId="6557" xr:uid="{00000000-0005-0000-0000-0000D3200000}"/>
    <cellStyle name="Note 2 2 3 5 3 2" xfId="15007" xr:uid="{5172BF3B-9039-43D1-9B15-8EE61446946F}"/>
    <cellStyle name="Note 2 2 3 5 4" xfId="10789" xr:uid="{303EC8E0-F79D-4B36-A988-80261605AB50}"/>
    <cellStyle name="Note 2 2 3 6" xfId="2687" xr:uid="{00000000-0005-0000-0000-0000D4200000}"/>
    <cellStyle name="Note 2 2 3 6 2" xfId="6970" xr:uid="{00000000-0005-0000-0000-0000D5200000}"/>
    <cellStyle name="Note 2 2 3 6 2 2" xfId="15420" xr:uid="{92B1C29B-635D-4043-82A0-78745C618B22}"/>
    <cellStyle name="Note 2 2 3 6 3" xfId="11202" xr:uid="{DC8CE019-1BF4-4C30-A85B-8D77DA9324D3}"/>
    <cellStyle name="Note 2 2 3 7" xfId="2746" xr:uid="{00000000-0005-0000-0000-0000D6200000}"/>
    <cellStyle name="Note 2 2 3 8" xfId="2827" xr:uid="{00000000-0005-0000-0000-0000D7200000}"/>
    <cellStyle name="Note 2 2 3 8 2" xfId="7050" xr:uid="{00000000-0005-0000-0000-0000D8200000}"/>
    <cellStyle name="Note 2 2 3 8 2 2" xfId="15500" xr:uid="{CB37098E-F8C8-47BF-9E4E-4740A72628F8}"/>
    <cellStyle name="Note 2 2 3 8 3" xfId="11282" xr:uid="{BF92C6EB-B2C2-4C38-9CA7-609F624B27F3}"/>
    <cellStyle name="Note 2 2 3 9" xfId="4905" xr:uid="{00000000-0005-0000-0000-0000D9200000}"/>
    <cellStyle name="Note 2 2 3 9 2" xfId="13355" xr:uid="{5E31BEF1-E5C6-4D16-8415-A5CE80FF45CB}"/>
    <cellStyle name="Note 2 2 4" xfId="1006" xr:uid="{00000000-0005-0000-0000-0000DA200000}"/>
    <cellStyle name="Note 2 2 4 2" xfId="3238" xr:uid="{00000000-0005-0000-0000-0000DB200000}"/>
    <cellStyle name="Note 2 2 4 2 2" xfId="7460" xr:uid="{00000000-0005-0000-0000-0000DC200000}"/>
    <cellStyle name="Note 2 2 4 2 2 2" xfId="15910" xr:uid="{613BD76B-25DD-4202-8F68-5A6EA56BB2B0}"/>
    <cellStyle name="Note 2 2 4 2 3" xfId="11692" xr:uid="{A5DFFE51-1ED7-4126-ADEB-941060910F31}"/>
    <cellStyle name="Note 2 2 4 3" xfId="5315" xr:uid="{00000000-0005-0000-0000-0000DD200000}"/>
    <cellStyle name="Note 2 2 4 3 2" xfId="13765" xr:uid="{766F8062-6869-47E8-ADFE-C25939C55651}"/>
    <cellStyle name="Note 2 2 4 4" xfId="9547" xr:uid="{D39C2D90-C95D-4E93-902F-63EFC908E9D3}"/>
    <cellStyle name="Note 2 2 5" xfId="1421" xr:uid="{00000000-0005-0000-0000-0000DE200000}"/>
    <cellStyle name="Note 2 2 5 2" xfId="3651" xr:uid="{00000000-0005-0000-0000-0000DF200000}"/>
    <cellStyle name="Note 2 2 5 2 2" xfId="7873" xr:uid="{00000000-0005-0000-0000-0000E0200000}"/>
    <cellStyle name="Note 2 2 5 2 2 2" xfId="16323" xr:uid="{CE2CF3EF-AA16-486C-AA65-B2BF703B0C5C}"/>
    <cellStyle name="Note 2 2 5 2 3" xfId="12105" xr:uid="{E60D6652-1E62-4E05-9464-79BED1E24732}"/>
    <cellStyle name="Note 2 2 5 3" xfId="5728" xr:uid="{00000000-0005-0000-0000-0000E1200000}"/>
    <cellStyle name="Note 2 2 5 3 2" xfId="14178" xr:uid="{3D967134-D2C1-40C2-BCF4-31BFE8544209}"/>
    <cellStyle name="Note 2 2 5 4" xfId="9960" xr:uid="{810A9C25-6BCD-4A65-BDEA-04AE0B4141E8}"/>
    <cellStyle name="Note 2 2 6" xfId="1835" xr:uid="{00000000-0005-0000-0000-0000E2200000}"/>
    <cellStyle name="Note 2 2 6 2" xfId="4064" xr:uid="{00000000-0005-0000-0000-0000E3200000}"/>
    <cellStyle name="Note 2 2 6 2 2" xfId="8286" xr:uid="{00000000-0005-0000-0000-0000E4200000}"/>
    <cellStyle name="Note 2 2 6 2 2 2" xfId="16736" xr:uid="{11FB4EC7-9BF5-42CB-9CBF-00D3ACDBEBA8}"/>
    <cellStyle name="Note 2 2 6 2 3" xfId="12518" xr:uid="{E6250E63-947C-4CCE-893F-7359D2C947A1}"/>
    <cellStyle name="Note 2 2 6 3" xfId="6141" xr:uid="{00000000-0005-0000-0000-0000E5200000}"/>
    <cellStyle name="Note 2 2 6 3 2" xfId="14591" xr:uid="{A6FC7ADF-AC6C-4BEE-B677-66FA1032B896}"/>
    <cellStyle name="Note 2 2 6 4" xfId="10373" xr:uid="{39E8B6C1-ED1C-4603-9652-E52329482E68}"/>
    <cellStyle name="Note 2 2 7" xfId="2248" xr:uid="{00000000-0005-0000-0000-0000E6200000}"/>
    <cellStyle name="Note 2 2 7 2" xfId="4477" xr:uid="{00000000-0005-0000-0000-0000E7200000}"/>
    <cellStyle name="Note 2 2 7 2 2" xfId="8699" xr:uid="{00000000-0005-0000-0000-0000E8200000}"/>
    <cellStyle name="Note 2 2 7 2 2 2" xfId="17149" xr:uid="{7D1A318D-D92F-4167-8269-E7A86693B73F}"/>
    <cellStyle name="Note 2 2 7 2 3" xfId="12931" xr:uid="{ECECFC5B-7360-4BF5-9770-CEEA3C8A08CD}"/>
    <cellStyle name="Note 2 2 7 3" xfId="6554" xr:uid="{00000000-0005-0000-0000-0000E9200000}"/>
    <cellStyle name="Note 2 2 7 3 2" xfId="15004" xr:uid="{432EECDD-B748-4422-AACE-3D60CF151972}"/>
    <cellStyle name="Note 2 2 7 4" xfId="10786" xr:uid="{E99D784D-3671-4B7E-B9E6-5C9D88DA5301}"/>
    <cellStyle name="Note 2 2 8" xfId="2684" xr:uid="{00000000-0005-0000-0000-0000EA200000}"/>
    <cellStyle name="Note 2 2 8 2" xfId="6967" xr:uid="{00000000-0005-0000-0000-0000EB200000}"/>
    <cellStyle name="Note 2 2 8 2 2" xfId="15417" xr:uid="{8AC1C4B1-C29C-4D27-93F9-3EEE8EF7CFE7}"/>
    <cellStyle name="Note 2 2 8 3" xfId="11199" xr:uid="{F24BED35-67D3-4984-BFF0-8C2F8D2AA252}"/>
    <cellStyle name="Note 2 2 9" xfId="2743" xr:uid="{00000000-0005-0000-0000-0000EC200000}"/>
    <cellStyle name="Note 2 3" xfId="549" xr:uid="{00000000-0005-0000-0000-0000ED200000}"/>
    <cellStyle name="Note 2 3 10" xfId="4906" xr:uid="{00000000-0005-0000-0000-0000EE200000}"/>
    <cellStyle name="Note 2 3 10 2" xfId="13356" xr:uid="{7B054B34-9DCE-48B1-AB60-1648318CBF4F}"/>
    <cellStyle name="Note 2 3 11" xfId="9138" xr:uid="{3D454947-8B5E-4F55-9497-4781A3A13E53}"/>
    <cellStyle name="Note 2 3 2" xfId="550" xr:uid="{00000000-0005-0000-0000-0000EF200000}"/>
    <cellStyle name="Note 2 3 2 10" xfId="9139" xr:uid="{4EEBB7F9-5824-4DBA-A0AA-69B47B7A2964}"/>
    <cellStyle name="Note 2 3 2 2" xfId="1011" xr:uid="{00000000-0005-0000-0000-0000F0200000}"/>
    <cellStyle name="Note 2 3 2 2 2" xfId="3243" xr:uid="{00000000-0005-0000-0000-0000F1200000}"/>
    <cellStyle name="Note 2 3 2 2 2 2" xfId="7465" xr:uid="{00000000-0005-0000-0000-0000F2200000}"/>
    <cellStyle name="Note 2 3 2 2 2 2 2" xfId="15915" xr:uid="{D2C86150-443E-4ABD-858F-6B8EC725CE2C}"/>
    <cellStyle name="Note 2 3 2 2 2 3" xfId="11697" xr:uid="{5C9CD9F6-BA69-4443-8989-0FD71C6B0A70}"/>
    <cellStyle name="Note 2 3 2 2 3" xfId="5320" xr:uid="{00000000-0005-0000-0000-0000F3200000}"/>
    <cellStyle name="Note 2 3 2 2 3 2" xfId="13770" xr:uid="{258F3354-0722-44E0-A009-5493421DC4DD}"/>
    <cellStyle name="Note 2 3 2 2 4" xfId="9552" xr:uid="{46754D94-9228-469E-8841-3C74F07D97A2}"/>
    <cellStyle name="Note 2 3 2 3" xfId="1426" xr:uid="{00000000-0005-0000-0000-0000F4200000}"/>
    <cellStyle name="Note 2 3 2 3 2" xfId="3656" xr:uid="{00000000-0005-0000-0000-0000F5200000}"/>
    <cellStyle name="Note 2 3 2 3 2 2" xfId="7878" xr:uid="{00000000-0005-0000-0000-0000F6200000}"/>
    <cellStyle name="Note 2 3 2 3 2 2 2" xfId="16328" xr:uid="{DD6224B1-E791-471A-B815-25AFBD2464DE}"/>
    <cellStyle name="Note 2 3 2 3 2 3" xfId="12110" xr:uid="{8D6C0FEB-B513-4C82-8414-8BAFB0CF0B23}"/>
    <cellStyle name="Note 2 3 2 3 3" xfId="5733" xr:uid="{00000000-0005-0000-0000-0000F7200000}"/>
    <cellStyle name="Note 2 3 2 3 3 2" xfId="14183" xr:uid="{18D1AFC7-2D0F-44D5-BB3A-04A4876F14D3}"/>
    <cellStyle name="Note 2 3 2 3 4" xfId="9965" xr:uid="{E6BF5CC6-DAB2-4453-B7E9-3440D5B5030B}"/>
    <cellStyle name="Note 2 3 2 4" xfId="1840" xr:uid="{00000000-0005-0000-0000-0000F8200000}"/>
    <cellStyle name="Note 2 3 2 4 2" xfId="4069" xr:uid="{00000000-0005-0000-0000-0000F9200000}"/>
    <cellStyle name="Note 2 3 2 4 2 2" xfId="8291" xr:uid="{00000000-0005-0000-0000-0000FA200000}"/>
    <cellStyle name="Note 2 3 2 4 2 2 2" xfId="16741" xr:uid="{2A1BF940-5BC2-48F4-A887-8A502F57FF6A}"/>
    <cellStyle name="Note 2 3 2 4 2 3" xfId="12523" xr:uid="{09C8AFC2-CC71-448E-A3DF-A427FAB70885}"/>
    <cellStyle name="Note 2 3 2 4 3" xfId="6146" xr:uid="{00000000-0005-0000-0000-0000FB200000}"/>
    <cellStyle name="Note 2 3 2 4 3 2" xfId="14596" xr:uid="{DB57CC76-3A38-47AC-B8C0-B79FF19DDC00}"/>
    <cellStyle name="Note 2 3 2 4 4" xfId="10378" xr:uid="{2700EEC4-2B4C-41A2-AAA4-59A7424A3F52}"/>
    <cellStyle name="Note 2 3 2 5" xfId="2253" xr:uid="{00000000-0005-0000-0000-0000FC200000}"/>
    <cellStyle name="Note 2 3 2 5 2" xfId="4482" xr:uid="{00000000-0005-0000-0000-0000FD200000}"/>
    <cellStyle name="Note 2 3 2 5 2 2" xfId="8704" xr:uid="{00000000-0005-0000-0000-0000FE200000}"/>
    <cellStyle name="Note 2 3 2 5 2 2 2" xfId="17154" xr:uid="{5AC9DA11-CD60-4AAD-BB5A-D1D6D2731A4A}"/>
    <cellStyle name="Note 2 3 2 5 2 3" xfId="12936" xr:uid="{85CCEA77-C4D4-4C58-8D49-0649B72F255F}"/>
    <cellStyle name="Note 2 3 2 5 3" xfId="6559" xr:uid="{00000000-0005-0000-0000-0000FF200000}"/>
    <cellStyle name="Note 2 3 2 5 3 2" xfId="15009" xr:uid="{81BD83BC-DC80-45F6-B6F9-EF4FB9EA8A7F}"/>
    <cellStyle name="Note 2 3 2 5 4" xfId="10791" xr:uid="{D495C8F9-BEC8-43BC-A11E-32CD9135219E}"/>
    <cellStyle name="Note 2 3 2 6" xfId="2689" xr:uid="{00000000-0005-0000-0000-000000210000}"/>
    <cellStyle name="Note 2 3 2 6 2" xfId="6972" xr:uid="{00000000-0005-0000-0000-000001210000}"/>
    <cellStyle name="Note 2 3 2 6 2 2" xfId="15422" xr:uid="{BFB32ED7-E690-46DD-8FC5-3140698B555D}"/>
    <cellStyle name="Note 2 3 2 6 3" xfId="11204" xr:uid="{1774EF4C-EB1C-4A09-B2C9-1E1CE1F5ABD7}"/>
    <cellStyle name="Note 2 3 2 7" xfId="2748" xr:uid="{00000000-0005-0000-0000-000002210000}"/>
    <cellStyle name="Note 2 3 2 8" xfId="2829" xr:uid="{00000000-0005-0000-0000-000003210000}"/>
    <cellStyle name="Note 2 3 2 8 2" xfId="7052" xr:uid="{00000000-0005-0000-0000-000004210000}"/>
    <cellStyle name="Note 2 3 2 8 2 2" xfId="15502" xr:uid="{FC5A1D7C-1286-4DFB-A632-48E7522169BF}"/>
    <cellStyle name="Note 2 3 2 8 3" xfId="11284" xr:uid="{F57F506D-505E-4076-AE31-AAE72CDDB9DC}"/>
    <cellStyle name="Note 2 3 2 9" xfId="4907" xr:uid="{00000000-0005-0000-0000-000005210000}"/>
    <cellStyle name="Note 2 3 2 9 2" xfId="13357" xr:uid="{76AABA9C-F9FC-45C8-B8D5-AED6B4206656}"/>
    <cellStyle name="Note 2 3 3" xfId="1010" xr:uid="{00000000-0005-0000-0000-000006210000}"/>
    <cellStyle name="Note 2 3 3 2" xfId="3242" xr:uid="{00000000-0005-0000-0000-000007210000}"/>
    <cellStyle name="Note 2 3 3 2 2" xfId="7464" xr:uid="{00000000-0005-0000-0000-000008210000}"/>
    <cellStyle name="Note 2 3 3 2 2 2" xfId="15914" xr:uid="{4ACB3FE0-8170-4B77-B0FE-AB8FECA69546}"/>
    <cellStyle name="Note 2 3 3 2 3" xfId="11696" xr:uid="{2277AC58-F833-4682-8E91-F5CD65EE66AE}"/>
    <cellStyle name="Note 2 3 3 3" xfId="5319" xr:uid="{00000000-0005-0000-0000-000009210000}"/>
    <cellStyle name="Note 2 3 3 3 2" xfId="13769" xr:uid="{0415368D-BEC2-4C3A-8EE4-26EAB49B4E90}"/>
    <cellStyle name="Note 2 3 3 4" xfId="9551" xr:uid="{A7200CDD-1CAE-489C-9A40-1E8270B452E4}"/>
    <cellStyle name="Note 2 3 4" xfId="1425" xr:uid="{00000000-0005-0000-0000-00000A210000}"/>
    <cellStyle name="Note 2 3 4 2" xfId="3655" xr:uid="{00000000-0005-0000-0000-00000B210000}"/>
    <cellStyle name="Note 2 3 4 2 2" xfId="7877" xr:uid="{00000000-0005-0000-0000-00000C210000}"/>
    <cellStyle name="Note 2 3 4 2 2 2" xfId="16327" xr:uid="{72CC5804-AA22-4AA3-B8E1-8F75DF9C09E7}"/>
    <cellStyle name="Note 2 3 4 2 3" xfId="12109" xr:uid="{71F937B6-B8E0-4EB0-B537-4A43D5877C0C}"/>
    <cellStyle name="Note 2 3 4 3" xfId="5732" xr:uid="{00000000-0005-0000-0000-00000D210000}"/>
    <cellStyle name="Note 2 3 4 3 2" xfId="14182" xr:uid="{F5E2737F-DB38-4948-9D7F-496FFC722496}"/>
    <cellStyle name="Note 2 3 4 4" xfId="9964" xr:uid="{DD06BE01-1DE3-44C3-B679-8AA664A969B1}"/>
    <cellStyle name="Note 2 3 5" xfId="1839" xr:uid="{00000000-0005-0000-0000-00000E210000}"/>
    <cellStyle name="Note 2 3 5 2" xfId="4068" xr:uid="{00000000-0005-0000-0000-00000F210000}"/>
    <cellStyle name="Note 2 3 5 2 2" xfId="8290" xr:uid="{00000000-0005-0000-0000-000010210000}"/>
    <cellStyle name="Note 2 3 5 2 2 2" xfId="16740" xr:uid="{0DAD6580-A765-447A-A6ED-72D04146D1A7}"/>
    <cellStyle name="Note 2 3 5 2 3" xfId="12522" xr:uid="{D4FF3E3F-D0DE-4CE0-92B7-A7A59582A56C}"/>
    <cellStyle name="Note 2 3 5 3" xfId="6145" xr:uid="{00000000-0005-0000-0000-000011210000}"/>
    <cellStyle name="Note 2 3 5 3 2" xfId="14595" xr:uid="{7136AE86-5375-4AD4-90B7-08F2E1C3DB90}"/>
    <cellStyle name="Note 2 3 5 4" xfId="10377" xr:uid="{D63D645C-42EB-463B-A165-5EA2A87C3F42}"/>
    <cellStyle name="Note 2 3 6" xfId="2252" xr:uid="{00000000-0005-0000-0000-000012210000}"/>
    <cellStyle name="Note 2 3 6 2" xfId="4481" xr:uid="{00000000-0005-0000-0000-000013210000}"/>
    <cellStyle name="Note 2 3 6 2 2" xfId="8703" xr:uid="{00000000-0005-0000-0000-000014210000}"/>
    <cellStyle name="Note 2 3 6 2 2 2" xfId="17153" xr:uid="{B00F06AC-D32C-46A5-8BBF-9F3AB1F97413}"/>
    <cellStyle name="Note 2 3 6 2 3" xfId="12935" xr:uid="{787E1BC7-C61A-43C3-91DD-ECC0B1550B3B}"/>
    <cellStyle name="Note 2 3 6 3" xfId="6558" xr:uid="{00000000-0005-0000-0000-000015210000}"/>
    <cellStyle name="Note 2 3 6 3 2" xfId="15008" xr:uid="{94573DEC-F7A7-4357-A116-7F3D1281BE17}"/>
    <cellStyle name="Note 2 3 6 4" xfId="10790" xr:uid="{BD0595C9-E450-48F2-A4E1-C77043B2811E}"/>
    <cellStyle name="Note 2 3 7" xfId="2688" xr:uid="{00000000-0005-0000-0000-000016210000}"/>
    <cellStyle name="Note 2 3 7 2" xfId="6971" xr:uid="{00000000-0005-0000-0000-000017210000}"/>
    <cellStyle name="Note 2 3 7 2 2" xfId="15421" xr:uid="{7C524199-A46A-4C01-B5A7-842258620D47}"/>
    <cellStyle name="Note 2 3 7 3" xfId="11203" xr:uid="{50022D35-5F06-4B7D-B0D9-BACCCB54FF3F}"/>
    <cellStyle name="Note 2 3 8" xfId="2747" xr:uid="{00000000-0005-0000-0000-000018210000}"/>
    <cellStyle name="Note 2 3 9" xfId="2828" xr:uid="{00000000-0005-0000-0000-000019210000}"/>
    <cellStyle name="Note 2 3 9 2" xfId="7051" xr:uid="{00000000-0005-0000-0000-00001A210000}"/>
    <cellStyle name="Note 2 3 9 2 2" xfId="15501" xr:uid="{D1F67B2C-AFF5-4194-8136-46CAA73DD8AB}"/>
    <cellStyle name="Note 2 3 9 3" xfId="11283" xr:uid="{25A34B6D-C237-4088-85D1-FF841D8811C6}"/>
    <cellStyle name="Note 2 4" xfId="551" xr:uid="{00000000-0005-0000-0000-00001B210000}"/>
    <cellStyle name="Note 2 4 10" xfId="9140" xr:uid="{1378E7FA-4954-46E9-992B-A1A8BE821882}"/>
    <cellStyle name="Note 2 4 2" xfId="1012" xr:uid="{00000000-0005-0000-0000-00001C210000}"/>
    <cellStyle name="Note 2 4 2 2" xfId="3244" xr:uid="{00000000-0005-0000-0000-00001D210000}"/>
    <cellStyle name="Note 2 4 2 2 2" xfId="7466" xr:uid="{00000000-0005-0000-0000-00001E210000}"/>
    <cellStyle name="Note 2 4 2 2 2 2" xfId="15916" xr:uid="{BD374D99-B651-4EA2-9606-FD1379CDA201}"/>
    <cellStyle name="Note 2 4 2 2 3" xfId="11698" xr:uid="{68F1C521-3F57-4B34-ACA4-D4F492E08CDF}"/>
    <cellStyle name="Note 2 4 2 3" xfId="5321" xr:uid="{00000000-0005-0000-0000-00001F210000}"/>
    <cellStyle name="Note 2 4 2 3 2" xfId="13771" xr:uid="{980FCCAD-E0FF-4F06-A44A-AEF5077C88B7}"/>
    <cellStyle name="Note 2 4 2 4" xfId="9553" xr:uid="{4538EBB2-B20B-482A-BDB0-8258C2CD2E06}"/>
    <cellStyle name="Note 2 4 3" xfId="1427" xr:uid="{00000000-0005-0000-0000-000020210000}"/>
    <cellStyle name="Note 2 4 3 2" xfId="3657" xr:uid="{00000000-0005-0000-0000-000021210000}"/>
    <cellStyle name="Note 2 4 3 2 2" xfId="7879" xr:uid="{00000000-0005-0000-0000-000022210000}"/>
    <cellStyle name="Note 2 4 3 2 2 2" xfId="16329" xr:uid="{2BDAFB19-9685-4453-988D-315FB7F9569D}"/>
    <cellStyle name="Note 2 4 3 2 3" xfId="12111" xr:uid="{398AAE0A-C5EB-46D7-9887-1E339B58D5ED}"/>
    <cellStyle name="Note 2 4 3 3" xfId="5734" xr:uid="{00000000-0005-0000-0000-000023210000}"/>
    <cellStyle name="Note 2 4 3 3 2" xfId="14184" xr:uid="{4F68074E-74E8-4F3F-903E-6DB2CDCA5846}"/>
    <cellStyle name="Note 2 4 3 4" xfId="9966" xr:uid="{060A8B7E-A39D-4213-82E4-E4B33B0B256B}"/>
    <cellStyle name="Note 2 4 4" xfId="1841" xr:uid="{00000000-0005-0000-0000-000024210000}"/>
    <cellStyle name="Note 2 4 4 2" xfId="4070" xr:uid="{00000000-0005-0000-0000-000025210000}"/>
    <cellStyle name="Note 2 4 4 2 2" xfId="8292" xr:uid="{00000000-0005-0000-0000-000026210000}"/>
    <cellStyle name="Note 2 4 4 2 2 2" xfId="16742" xr:uid="{6EC841C0-68A0-4A02-910F-EC56D8D2BD93}"/>
    <cellStyle name="Note 2 4 4 2 3" xfId="12524" xr:uid="{04DDE153-9E07-41CB-AF09-FB39E2D8EC58}"/>
    <cellStyle name="Note 2 4 4 3" xfId="6147" xr:uid="{00000000-0005-0000-0000-000027210000}"/>
    <cellStyle name="Note 2 4 4 3 2" xfId="14597" xr:uid="{829D5ED8-CAB7-45FD-B123-CF36F0955B9F}"/>
    <cellStyle name="Note 2 4 4 4" xfId="10379" xr:uid="{D61A44F2-0540-44EE-A559-7D39B3415FC5}"/>
    <cellStyle name="Note 2 4 5" xfId="2254" xr:uid="{00000000-0005-0000-0000-000028210000}"/>
    <cellStyle name="Note 2 4 5 2" xfId="4483" xr:uid="{00000000-0005-0000-0000-000029210000}"/>
    <cellStyle name="Note 2 4 5 2 2" xfId="8705" xr:uid="{00000000-0005-0000-0000-00002A210000}"/>
    <cellStyle name="Note 2 4 5 2 2 2" xfId="17155" xr:uid="{4F1B65D3-12ED-4456-9403-5AF8BB88916A}"/>
    <cellStyle name="Note 2 4 5 2 3" xfId="12937" xr:uid="{22101F08-0CB4-4AEC-AFC1-8A2066324BA5}"/>
    <cellStyle name="Note 2 4 5 3" xfId="6560" xr:uid="{00000000-0005-0000-0000-00002B210000}"/>
    <cellStyle name="Note 2 4 5 3 2" xfId="15010" xr:uid="{7524D921-30B2-42FD-B808-3788D750B709}"/>
    <cellStyle name="Note 2 4 5 4" xfId="10792" xr:uid="{47D6B118-3CAD-4E3D-8BD6-D7E2D214C4D0}"/>
    <cellStyle name="Note 2 4 6" xfId="2690" xr:uid="{00000000-0005-0000-0000-00002C210000}"/>
    <cellStyle name="Note 2 4 6 2" xfId="6973" xr:uid="{00000000-0005-0000-0000-00002D210000}"/>
    <cellStyle name="Note 2 4 6 2 2" xfId="15423" xr:uid="{C6D84784-BFDC-47FF-B06E-1D5BD1252FCC}"/>
    <cellStyle name="Note 2 4 6 3" xfId="11205" xr:uid="{C0046A62-F5DD-4B4E-8A74-4FFCBF2B23C4}"/>
    <cellStyle name="Note 2 4 7" xfId="2749" xr:uid="{00000000-0005-0000-0000-00002E210000}"/>
    <cellStyle name="Note 2 4 8" xfId="2830" xr:uid="{00000000-0005-0000-0000-00002F210000}"/>
    <cellStyle name="Note 2 4 8 2" xfId="7053" xr:uid="{00000000-0005-0000-0000-000030210000}"/>
    <cellStyle name="Note 2 4 8 2 2" xfId="15503" xr:uid="{13FE779F-4675-4AA4-AB0C-D68FDE901E1C}"/>
    <cellStyle name="Note 2 4 8 3" xfId="11285" xr:uid="{DD059EF0-D87E-4FB1-B4A3-578493201F5C}"/>
    <cellStyle name="Note 2 4 9" xfId="4908" xr:uid="{00000000-0005-0000-0000-000031210000}"/>
    <cellStyle name="Note 2 4 9 2" xfId="13358" xr:uid="{3A978E70-7A10-49FC-BCC3-84E6E4847F06}"/>
    <cellStyle name="Note 2 5" xfId="552" xr:uid="{00000000-0005-0000-0000-000032210000}"/>
    <cellStyle name="Note 2 5 10" xfId="9141" xr:uid="{D7A6939E-6185-49DE-ADAB-49FEA35DDC3C}"/>
    <cellStyle name="Note 2 5 2" xfId="1013" xr:uid="{00000000-0005-0000-0000-000033210000}"/>
    <cellStyle name="Note 2 5 2 2" xfId="3245" xr:uid="{00000000-0005-0000-0000-000034210000}"/>
    <cellStyle name="Note 2 5 2 2 2" xfId="7467" xr:uid="{00000000-0005-0000-0000-000035210000}"/>
    <cellStyle name="Note 2 5 2 2 2 2" xfId="15917" xr:uid="{95387A00-3D8D-4AF7-A1CB-A2805D4DD821}"/>
    <cellStyle name="Note 2 5 2 2 3" xfId="11699" xr:uid="{567A4DE4-5642-4207-8C14-6E117A59FC8C}"/>
    <cellStyle name="Note 2 5 2 3" xfId="5322" xr:uid="{00000000-0005-0000-0000-000036210000}"/>
    <cellStyle name="Note 2 5 2 3 2" xfId="13772" xr:uid="{F08819CE-CA79-46E3-A746-96AACB4C3A83}"/>
    <cellStyle name="Note 2 5 2 4" xfId="9554" xr:uid="{AEFA9CAD-82F6-4976-89F1-A11245F80260}"/>
    <cellStyle name="Note 2 5 3" xfId="1428" xr:uid="{00000000-0005-0000-0000-000037210000}"/>
    <cellStyle name="Note 2 5 3 2" xfId="3658" xr:uid="{00000000-0005-0000-0000-000038210000}"/>
    <cellStyle name="Note 2 5 3 2 2" xfId="7880" xr:uid="{00000000-0005-0000-0000-000039210000}"/>
    <cellStyle name="Note 2 5 3 2 2 2" xfId="16330" xr:uid="{D9746F5D-982C-4D60-A727-24625968A2BD}"/>
    <cellStyle name="Note 2 5 3 2 3" xfId="12112" xr:uid="{0043DD17-809B-49F9-A3C4-1C29C246FE43}"/>
    <cellStyle name="Note 2 5 3 3" xfId="5735" xr:uid="{00000000-0005-0000-0000-00003A210000}"/>
    <cellStyle name="Note 2 5 3 3 2" xfId="14185" xr:uid="{72930023-7023-4BC2-ADFB-CDBBBB32C0F0}"/>
    <cellStyle name="Note 2 5 3 4" xfId="9967" xr:uid="{D772F652-2F1F-4C69-B506-35821CFE2610}"/>
    <cellStyle name="Note 2 5 4" xfId="1842" xr:uid="{00000000-0005-0000-0000-00003B210000}"/>
    <cellStyle name="Note 2 5 4 2" xfId="4071" xr:uid="{00000000-0005-0000-0000-00003C210000}"/>
    <cellStyle name="Note 2 5 4 2 2" xfId="8293" xr:uid="{00000000-0005-0000-0000-00003D210000}"/>
    <cellStyle name="Note 2 5 4 2 2 2" xfId="16743" xr:uid="{40DC3FA1-51E2-4954-80F4-AEB3EDC2B94B}"/>
    <cellStyle name="Note 2 5 4 2 3" xfId="12525" xr:uid="{BFE5F96A-A7E5-4F59-A6A1-572034F2966F}"/>
    <cellStyle name="Note 2 5 4 3" xfId="6148" xr:uid="{00000000-0005-0000-0000-00003E210000}"/>
    <cellStyle name="Note 2 5 4 3 2" xfId="14598" xr:uid="{07676003-C783-4712-B6D1-B6CB2D7BF3A0}"/>
    <cellStyle name="Note 2 5 4 4" xfId="10380" xr:uid="{DDEF81ED-9978-4A6C-B615-84D53634DCDE}"/>
    <cellStyle name="Note 2 5 5" xfId="2255" xr:uid="{00000000-0005-0000-0000-00003F210000}"/>
    <cellStyle name="Note 2 5 5 2" xfId="4484" xr:uid="{00000000-0005-0000-0000-000040210000}"/>
    <cellStyle name="Note 2 5 5 2 2" xfId="8706" xr:uid="{00000000-0005-0000-0000-000041210000}"/>
    <cellStyle name="Note 2 5 5 2 2 2" xfId="17156" xr:uid="{54DE96D8-1A3C-4D6F-9880-F9C3CF41157A}"/>
    <cellStyle name="Note 2 5 5 2 3" xfId="12938" xr:uid="{C8FC14F0-9DC6-4874-B64B-6C855A3EEAE9}"/>
    <cellStyle name="Note 2 5 5 3" xfId="6561" xr:uid="{00000000-0005-0000-0000-000042210000}"/>
    <cellStyle name="Note 2 5 5 3 2" xfId="15011" xr:uid="{61D0E449-ECC9-471B-AE61-E1D3019F4DDD}"/>
    <cellStyle name="Note 2 5 5 4" xfId="10793" xr:uid="{2AB21A1D-14FA-4305-9E0D-38A87C3BB78A}"/>
    <cellStyle name="Note 2 5 6" xfId="2691" xr:uid="{00000000-0005-0000-0000-000043210000}"/>
    <cellStyle name="Note 2 5 6 2" xfId="6974" xr:uid="{00000000-0005-0000-0000-000044210000}"/>
    <cellStyle name="Note 2 5 6 2 2" xfId="15424" xr:uid="{FF953C99-99F9-4D31-B222-FF799C9EC60A}"/>
    <cellStyle name="Note 2 5 6 3" xfId="11206" xr:uid="{C7B7F90F-30F6-4FEA-A9A4-1F8E009FBD00}"/>
    <cellStyle name="Note 2 5 7" xfId="2750" xr:uid="{00000000-0005-0000-0000-000045210000}"/>
    <cellStyle name="Note 2 5 8" xfId="2831" xr:uid="{00000000-0005-0000-0000-000046210000}"/>
    <cellStyle name="Note 2 5 8 2" xfId="7054" xr:uid="{00000000-0005-0000-0000-000047210000}"/>
    <cellStyle name="Note 2 5 8 2 2" xfId="15504" xr:uid="{30F74873-7E6A-4962-B287-EE8A90E37A32}"/>
    <cellStyle name="Note 2 5 8 3" xfId="11286" xr:uid="{578A537A-05B2-489F-BDAB-61827DEC4661}"/>
    <cellStyle name="Note 2 5 9" xfId="4909" xr:uid="{00000000-0005-0000-0000-000048210000}"/>
    <cellStyle name="Note 2 5 9 2" xfId="13359" xr:uid="{B8369E27-3563-44E8-B966-82311B3965EC}"/>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1B1C747D-3B84-41B2-B3D8-79E9B3B2971B}"/>
    <cellStyle name="Note 3 2 10 3" xfId="11287" xr:uid="{0CA393C9-7C92-4128-BB4C-0D311C936C7F}"/>
    <cellStyle name="Note 3 2 11" xfId="4910" xr:uid="{00000000-0005-0000-0000-00004D210000}"/>
    <cellStyle name="Note 3 2 11 2" xfId="13360" xr:uid="{FCB584B6-0359-41F3-BC5B-448BDD248435}"/>
    <cellStyle name="Note 3 2 12" xfId="9142" xr:uid="{967B1463-A7CD-4BAE-B47B-DAB88D5F1351}"/>
    <cellStyle name="Note 3 2 2" xfId="555" xr:uid="{00000000-0005-0000-0000-00004E210000}"/>
    <cellStyle name="Note 3 2 2 10" xfId="4911" xr:uid="{00000000-0005-0000-0000-00004F210000}"/>
    <cellStyle name="Note 3 2 2 10 2" xfId="13361" xr:uid="{03E90259-0CBF-4CA4-BC8C-F0E950F1079D}"/>
    <cellStyle name="Note 3 2 2 11" xfId="9143" xr:uid="{35F494A4-03B8-4C8B-91DD-AD5466F2718A}"/>
    <cellStyle name="Note 3 2 2 2" xfId="556" xr:uid="{00000000-0005-0000-0000-000050210000}"/>
    <cellStyle name="Note 3 2 2 2 10" xfId="9144" xr:uid="{2AF80279-2856-46BD-A0AA-5BE78D3506B7}"/>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3F78C017-98F7-4871-A848-6D46B18321EF}"/>
    <cellStyle name="Note 3 2 2 2 2 2 3" xfId="11702" xr:uid="{476085C4-C48F-433D-AD2B-71E12AB947B7}"/>
    <cellStyle name="Note 3 2 2 2 2 3" xfId="5325" xr:uid="{00000000-0005-0000-0000-000054210000}"/>
    <cellStyle name="Note 3 2 2 2 2 3 2" xfId="13775" xr:uid="{59FBFD07-BD22-48D0-A715-9889B6302E94}"/>
    <cellStyle name="Note 3 2 2 2 2 4" xfId="9557" xr:uid="{2C9F6D40-A4BA-4070-91AD-73945428509B}"/>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3F51DFDD-462E-44E1-92EE-95E7F4D76121}"/>
    <cellStyle name="Note 3 2 2 2 3 2 3" xfId="12115" xr:uid="{1B811556-AC54-4B9A-915A-4CDD16D85ACF}"/>
    <cellStyle name="Note 3 2 2 2 3 3" xfId="5738" xr:uid="{00000000-0005-0000-0000-000058210000}"/>
    <cellStyle name="Note 3 2 2 2 3 3 2" xfId="14188" xr:uid="{63CDFEB8-5160-4EBD-925A-31B7CC2EB52D}"/>
    <cellStyle name="Note 3 2 2 2 3 4" xfId="9970" xr:uid="{C2790132-EE60-49F1-9683-9BCF988047C1}"/>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049F90FF-211E-4A62-80C3-12F58D14D23D}"/>
    <cellStyle name="Note 3 2 2 2 4 2 3" xfId="12528" xr:uid="{C8BC9B2A-FBA7-47D6-8089-86E64E5F32C6}"/>
    <cellStyle name="Note 3 2 2 2 4 3" xfId="6151" xr:uid="{00000000-0005-0000-0000-00005C210000}"/>
    <cellStyle name="Note 3 2 2 2 4 3 2" xfId="14601" xr:uid="{83B7C3DC-E3A7-49E5-AFB7-631A82A5B0D3}"/>
    <cellStyle name="Note 3 2 2 2 4 4" xfId="10383" xr:uid="{C662C097-94E2-4F30-B228-F8C9149DD399}"/>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C9FEB3F3-EF87-43AD-861F-1CAAC87A83BE}"/>
    <cellStyle name="Note 3 2 2 2 5 2 3" xfId="12941" xr:uid="{F05EBA9A-B3FE-4EC4-8973-074631B9FF05}"/>
    <cellStyle name="Note 3 2 2 2 5 3" xfId="6564" xr:uid="{00000000-0005-0000-0000-000060210000}"/>
    <cellStyle name="Note 3 2 2 2 5 3 2" xfId="15014" xr:uid="{5CA558AD-1490-4F6D-96D3-8D7E1972F0C8}"/>
    <cellStyle name="Note 3 2 2 2 5 4" xfId="10796" xr:uid="{C342CED6-47E9-4E76-AC50-783ED815D1A3}"/>
    <cellStyle name="Note 3 2 2 2 6" xfId="2694" xr:uid="{00000000-0005-0000-0000-000061210000}"/>
    <cellStyle name="Note 3 2 2 2 6 2" xfId="6977" xr:uid="{00000000-0005-0000-0000-000062210000}"/>
    <cellStyle name="Note 3 2 2 2 6 2 2" xfId="15427" xr:uid="{A257436A-1D50-443C-917B-9ACDE0176C24}"/>
    <cellStyle name="Note 3 2 2 2 6 3" xfId="11209" xr:uid="{578C2A4D-B5E7-4A86-935D-6B806F1D8966}"/>
    <cellStyle name="Note 3 2 2 2 7" xfId="2753" xr:uid="{00000000-0005-0000-0000-000063210000}"/>
    <cellStyle name="Note 3 2 2 2 8" xfId="2834" xr:uid="{00000000-0005-0000-0000-000064210000}"/>
    <cellStyle name="Note 3 2 2 2 8 2" xfId="7057" xr:uid="{00000000-0005-0000-0000-000065210000}"/>
    <cellStyle name="Note 3 2 2 2 8 2 2" xfId="15507" xr:uid="{A08EEDE5-D92D-4772-BD3A-FFC86C7F6CBB}"/>
    <cellStyle name="Note 3 2 2 2 8 3" xfId="11289" xr:uid="{74075CDE-F70A-41EF-BC3D-0673CA7E8E49}"/>
    <cellStyle name="Note 3 2 2 2 9" xfId="4912" xr:uid="{00000000-0005-0000-0000-000066210000}"/>
    <cellStyle name="Note 3 2 2 2 9 2" xfId="13362" xr:uid="{5F85DA7C-6663-4986-AC68-DD850BE45DAC}"/>
    <cellStyle name="Note 3 2 2 3" xfId="1015" xr:uid="{00000000-0005-0000-0000-000067210000}"/>
    <cellStyle name="Note 3 2 2 3 2" xfId="3247" xr:uid="{00000000-0005-0000-0000-000068210000}"/>
    <cellStyle name="Note 3 2 2 3 2 2" xfId="7469" xr:uid="{00000000-0005-0000-0000-000069210000}"/>
    <cellStyle name="Note 3 2 2 3 2 2 2" xfId="15919" xr:uid="{0C71CFDA-9DF0-4945-8181-3DBE44D13A76}"/>
    <cellStyle name="Note 3 2 2 3 2 3" xfId="11701" xr:uid="{A4B6FA2A-9E44-4231-8BDC-3E470BCF72F1}"/>
    <cellStyle name="Note 3 2 2 3 3" xfId="5324" xr:uid="{00000000-0005-0000-0000-00006A210000}"/>
    <cellStyle name="Note 3 2 2 3 3 2" xfId="13774" xr:uid="{CCFD476F-2E6B-4291-8BAB-F89CA6B01851}"/>
    <cellStyle name="Note 3 2 2 3 4" xfId="9556" xr:uid="{9B2ACC15-CD76-496F-9EF7-A1BB7CAF34B7}"/>
    <cellStyle name="Note 3 2 2 4" xfId="1430" xr:uid="{00000000-0005-0000-0000-00006B210000}"/>
    <cellStyle name="Note 3 2 2 4 2" xfId="3660" xr:uid="{00000000-0005-0000-0000-00006C210000}"/>
    <cellStyle name="Note 3 2 2 4 2 2" xfId="7882" xr:uid="{00000000-0005-0000-0000-00006D210000}"/>
    <cellStyle name="Note 3 2 2 4 2 2 2" xfId="16332" xr:uid="{4B264701-A1CD-4207-9088-604CF3F2C865}"/>
    <cellStyle name="Note 3 2 2 4 2 3" xfId="12114" xr:uid="{817C36E1-31AB-4918-BB80-CA0E3C8C2AD8}"/>
    <cellStyle name="Note 3 2 2 4 3" xfId="5737" xr:uid="{00000000-0005-0000-0000-00006E210000}"/>
    <cellStyle name="Note 3 2 2 4 3 2" xfId="14187" xr:uid="{4C463EE4-A7E8-4E40-A49D-1B5AFF04921E}"/>
    <cellStyle name="Note 3 2 2 4 4" xfId="9969" xr:uid="{FD92283B-B669-424A-A591-9220D33A784D}"/>
    <cellStyle name="Note 3 2 2 5" xfId="1844" xr:uid="{00000000-0005-0000-0000-00006F210000}"/>
    <cellStyle name="Note 3 2 2 5 2" xfId="4073" xr:uid="{00000000-0005-0000-0000-000070210000}"/>
    <cellStyle name="Note 3 2 2 5 2 2" xfId="8295" xr:uid="{00000000-0005-0000-0000-000071210000}"/>
    <cellStyle name="Note 3 2 2 5 2 2 2" xfId="16745" xr:uid="{35B2AC5D-FDB6-4E69-99B0-E81A60D41A17}"/>
    <cellStyle name="Note 3 2 2 5 2 3" xfId="12527" xr:uid="{28226FF2-EEB4-440F-BB22-92553F677BE1}"/>
    <cellStyle name="Note 3 2 2 5 3" xfId="6150" xr:uid="{00000000-0005-0000-0000-000072210000}"/>
    <cellStyle name="Note 3 2 2 5 3 2" xfId="14600" xr:uid="{BED536D4-8C23-461C-996F-A49781FB60DA}"/>
    <cellStyle name="Note 3 2 2 5 4" xfId="10382" xr:uid="{74B5AB61-5876-4229-A76B-3DF9C1AA025C}"/>
    <cellStyle name="Note 3 2 2 6" xfId="2257" xr:uid="{00000000-0005-0000-0000-000073210000}"/>
    <cellStyle name="Note 3 2 2 6 2" xfId="4486" xr:uid="{00000000-0005-0000-0000-000074210000}"/>
    <cellStyle name="Note 3 2 2 6 2 2" xfId="8708" xr:uid="{00000000-0005-0000-0000-000075210000}"/>
    <cellStyle name="Note 3 2 2 6 2 2 2" xfId="17158" xr:uid="{006A81A4-581F-4104-86FD-7BF7A1231686}"/>
    <cellStyle name="Note 3 2 2 6 2 3" xfId="12940" xr:uid="{19AA0EB0-D556-4AF2-89EA-D1867C2044B3}"/>
    <cellStyle name="Note 3 2 2 6 3" xfId="6563" xr:uid="{00000000-0005-0000-0000-000076210000}"/>
    <cellStyle name="Note 3 2 2 6 3 2" xfId="15013" xr:uid="{85588DFF-D97C-454D-9930-7DF98669DE65}"/>
    <cellStyle name="Note 3 2 2 6 4" xfId="10795" xr:uid="{9470DD52-0F96-45A6-920A-BDCD8A624C3E}"/>
    <cellStyle name="Note 3 2 2 7" xfId="2693" xr:uid="{00000000-0005-0000-0000-000077210000}"/>
    <cellStyle name="Note 3 2 2 7 2" xfId="6976" xr:uid="{00000000-0005-0000-0000-000078210000}"/>
    <cellStyle name="Note 3 2 2 7 2 2" xfId="15426" xr:uid="{CCD8073C-C92B-4642-BCF6-8A3489FC71B5}"/>
    <cellStyle name="Note 3 2 2 7 3" xfId="11208" xr:uid="{BC11B395-8736-4CB5-80EF-56C92B90C8A5}"/>
    <cellStyle name="Note 3 2 2 8" xfId="2752" xr:uid="{00000000-0005-0000-0000-000079210000}"/>
    <cellStyle name="Note 3 2 2 9" xfId="2833" xr:uid="{00000000-0005-0000-0000-00007A210000}"/>
    <cellStyle name="Note 3 2 2 9 2" xfId="7056" xr:uid="{00000000-0005-0000-0000-00007B210000}"/>
    <cellStyle name="Note 3 2 2 9 2 2" xfId="15506" xr:uid="{39EB6D13-E73C-4274-B31B-E418654ABAFF}"/>
    <cellStyle name="Note 3 2 2 9 3" xfId="11288" xr:uid="{6CE03E69-C9B4-4627-A5E0-6EB967936DAC}"/>
    <cellStyle name="Note 3 2 3" xfId="557" xr:uid="{00000000-0005-0000-0000-00007C210000}"/>
    <cellStyle name="Note 3 2 3 10" xfId="9145" xr:uid="{1E6015C0-538A-4B17-9403-74842B9094A8}"/>
    <cellStyle name="Note 3 2 3 2" xfId="1017" xr:uid="{00000000-0005-0000-0000-00007D210000}"/>
    <cellStyle name="Note 3 2 3 2 2" xfId="3249" xr:uid="{00000000-0005-0000-0000-00007E210000}"/>
    <cellStyle name="Note 3 2 3 2 2 2" xfId="7471" xr:uid="{00000000-0005-0000-0000-00007F210000}"/>
    <cellStyle name="Note 3 2 3 2 2 2 2" xfId="15921" xr:uid="{80E8A4C7-82D1-43AA-89AA-07103E835372}"/>
    <cellStyle name="Note 3 2 3 2 2 3" xfId="11703" xr:uid="{C953598F-AC90-448A-9E64-405AF83D72D6}"/>
    <cellStyle name="Note 3 2 3 2 3" xfId="5326" xr:uid="{00000000-0005-0000-0000-000080210000}"/>
    <cellStyle name="Note 3 2 3 2 3 2" xfId="13776" xr:uid="{D7D80939-3B93-488D-BB68-B984A4282D20}"/>
    <cellStyle name="Note 3 2 3 2 4" xfId="9558" xr:uid="{30DF1006-8BBD-447D-A191-F71E913B48FD}"/>
    <cellStyle name="Note 3 2 3 3" xfId="1432" xr:uid="{00000000-0005-0000-0000-000081210000}"/>
    <cellStyle name="Note 3 2 3 3 2" xfId="3662" xr:uid="{00000000-0005-0000-0000-000082210000}"/>
    <cellStyle name="Note 3 2 3 3 2 2" xfId="7884" xr:uid="{00000000-0005-0000-0000-000083210000}"/>
    <cellStyle name="Note 3 2 3 3 2 2 2" xfId="16334" xr:uid="{6D97E486-160A-464D-B373-53DBF09AFBAC}"/>
    <cellStyle name="Note 3 2 3 3 2 3" xfId="12116" xr:uid="{7C8706AB-5BA5-4230-AE05-2A136A3C2443}"/>
    <cellStyle name="Note 3 2 3 3 3" xfId="5739" xr:uid="{00000000-0005-0000-0000-000084210000}"/>
    <cellStyle name="Note 3 2 3 3 3 2" xfId="14189" xr:uid="{5B487E65-F021-457B-ACE4-7EC1926BD832}"/>
    <cellStyle name="Note 3 2 3 3 4" xfId="9971" xr:uid="{48D8983E-50F5-4AAF-8A5A-95A399557134}"/>
    <cellStyle name="Note 3 2 3 4" xfId="1846" xr:uid="{00000000-0005-0000-0000-000085210000}"/>
    <cellStyle name="Note 3 2 3 4 2" xfId="4075" xr:uid="{00000000-0005-0000-0000-000086210000}"/>
    <cellStyle name="Note 3 2 3 4 2 2" xfId="8297" xr:uid="{00000000-0005-0000-0000-000087210000}"/>
    <cellStyle name="Note 3 2 3 4 2 2 2" xfId="16747" xr:uid="{993BB6C4-76D2-461D-9E11-DAF75622FD5D}"/>
    <cellStyle name="Note 3 2 3 4 2 3" xfId="12529" xr:uid="{32F7BD1D-5C05-4881-908B-C45FF3E89294}"/>
    <cellStyle name="Note 3 2 3 4 3" xfId="6152" xr:uid="{00000000-0005-0000-0000-000088210000}"/>
    <cellStyle name="Note 3 2 3 4 3 2" xfId="14602" xr:uid="{24801AB7-AA0D-4B11-A72F-B64976DD8B80}"/>
    <cellStyle name="Note 3 2 3 4 4" xfId="10384" xr:uid="{8EA62C01-A693-4210-B8BC-A558815D9A3C}"/>
    <cellStyle name="Note 3 2 3 5" xfId="2259" xr:uid="{00000000-0005-0000-0000-000089210000}"/>
    <cellStyle name="Note 3 2 3 5 2" xfId="4488" xr:uid="{00000000-0005-0000-0000-00008A210000}"/>
    <cellStyle name="Note 3 2 3 5 2 2" xfId="8710" xr:uid="{00000000-0005-0000-0000-00008B210000}"/>
    <cellStyle name="Note 3 2 3 5 2 2 2" xfId="17160" xr:uid="{859ACAD3-2DBB-42D8-8405-91E4A3F83879}"/>
    <cellStyle name="Note 3 2 3 5 2 3" xfId="12942" xr:uid="{B428029F-4C90-407A-A5FC-F361714D65AF}"/>
    <cellStyle name="Note 3 2 3 5 3" xfId="6565" xr:uid="{00000000-0005-0000-0000-00008C210000}"/>
    <cellStyle name="Note 3 2 3 5 3 2" xfId="15015" xr:uid="{DE0CDDB4-728E-47F0-9D94-3BFD86966BD9}"/>
    <cellStyle name="Note 3 2 3 5 4" xfId="10797" xr:uid="{2F3B53CB-2E09-4936-A9A6-68B50CD35511}"/>
    <cellStyle name="Note 3 2 3 6" xfId="2695" xr:uid="{00000000-0005-0000-0000-00008D210000}"/>
    <cellStyle name="Note 3 2 3 6 2" xfId="6978" xr:uid="{00000000-0005-0000-0000-00008E210000}"/>
    <cellStyle name="Note 3 2 3 6 2 2" xfId="15428" xr:uid="{7496F5A0-8A56-4609-8C05-A2CCCC4F09B6}"/>
    <cellStyle name="Note 3 2 3 6 3" xfId="11210" xr:uid="{B9BD3B5B-D8A8-4521-BA0A-5BF25D00D4B6}"/>
    <cellStyle name="Note 3 2 3 7" xfId="2754" xr:uid="{00000000-0005-0000-0000-00008F210000}"/>
    <cellStyle name="Note 3 2 3 8" xfId="2835" xr:uid="{00000000-0005-0000-0000-000090210000}"/>
    <cellStyle name="Note 3 2 3 8 2" xfId="7058" xr:uid="{00000000-0005-0000-0000-000091210000}"/>
    <cellStyle name="Note 3 2 3 8 2 2" xfId="15508" xr:uid="{DC172717-B840-4CEB-8D1A-36A0B6B66209}"/>
    <cellStyle name="Note 3 2 3 8 3" xfId="11290" xr:uid="{D528C32E-EDAF-4404-A2B1-53E0AB61EBF6}"/>
    <cellStyle name="Note 3 2 3 9" xfId="4913" xr:uid="{00000000-0005-0000-0000-000092210000}"/>
    <cellStyle name="Note 3 2 3 9 2" xfId="13363" xr:uid="{A3A09AA5-D5CE-42AA-B3D7-BEE80754E4C0}"/>
    <cellStyle name="Note 3 2 4" xfId="1014" xr:uid="{00000000-0005-0000-0000-000093210000}"/>
    <cellStyle name="Note 3 2 4 2" xfId="3246" xr:uid="{00000000-0005-0000-0000-000094210000}"/>
    <cellStyle name="Note 3 2 4 2 2" xfId="7468" xr:uid="{00000000-0005-0000-0000-000095210000}"/>
    <cellStyle name="Note 3 2 4 2 2 2" xfId="15918" xr:uid="{0E5C4541-B023-4892-8D6A-93900348E00B}"/>
    <cellStyle name="Note 3 2 4 2 3" xfId="11700" xr:uid="{5AE46D53-F74B-43A6-B630-0D4DC7D32DA3}"/>
    <cellStyle name="Note 3 2 4 3" xfId="5323" xr:uid="{00000000-0005-0000-0000-000096210000}"/>
    <cellStyle name="Note 3 2 4 3 2" xfId="13773" xr:uid="{441D0E09-B58C-4436-815E-6A82773A6CEF}"/>
    <cellStyle name="Note 3 2 4 4" xfId="9555" xr:uid="{66F66036-AF84-4F42-B8E0-245E1D0CEB70}"/>
    <cellStyle name="Note 3 2 5" xfId="1429" xr:uid="{00000000-0005-0000-0000-000097210000}"/>
    <cellStyle name="Note 3 2 5 2" xfId="3659" xr:uid="{00000000-0005-0000-0000-000098210000}"/>
    <cellStyle name="Note 3 2 5 2 2" xfId="7881" xr:uid="{00000000-0005-0000-0000-000099210000}"/>
    <cellStyle name="Note 3 2 5 2 2 2" xfId="16331" xr:uid="{930F1CAA-A7BA-45F7-B891-C75337440A40}"/>
    <cellStyle name="Note 3 2 5 2 3" xfId="12113" xr:uid="{22B53564-F607-4980-8C79-EBDDD247417A}"/>
    <cellStyle name="Note 3 2 5 3" xfId="5736" xr:uid="{00000000-0005-0000-0000-00009A210000}"/>
    <cellStyle name="Note 3 2 5 3 2" xfId="14186" xr:uid="{EF22F5C0-8DDF-449A-B4AE-2FE122A8157C}"/>
    <cellStyle name="Note 3 2 5 4" xfId="9968" xr:uid="{E0000B84-E231-4BDA-AF3D-C3FE92BAAF9C}"/>
    <cellStyle name="Note 3 2 6" xfId="1843" xr:uid="{00000000-0005-0000-0000-00009B210000}"/>
    <cellStyle name="Note 3 2 6 2" xfId="4072" xr:uid="{00000000-0005-0000-0000-00009C210000}"/>
    <cellStyle name="Note 3 2 6 2 2" xfId="8294" xr:uid="{00000000-0005-0000-0000-00009D210000}"/>
    <cellStyle name="Note 3 2 6 2 2 2" xfId="16744" xr:uid="{F5356D27-ABBF-439F-A242-1C416D5B032D}"/>
    <cellStyle name="Note 3 2 6 2 3" xfId="12526" xr:uid="{0B86E4C3-AA50-47D1-BA9F-D02FF294286D}"/>
    <cellStyle name="Note 3 2 6 3" xfId="6149" xr:uid="{00000000-0005-0000-0000-00009E210000}"/>
    <cellStyle name="Note 3 2 6 3 2" xfId="14599" xr:uid="{1B24AC99-FA26-41F1-A960-FC8D5F38B2F5}"/>
    <cellStyle name="Note 3 2 6 4" xfId="10381" xr:uid="{1C1E2F0B-8435-44CD-BD23-FB0F58C86313}"/>
    <cellStyle name="Note 3 2 7" xfId="2256" xr:uid="{00000000-0005-0000-0000-00009F210000}"/>
    <cellStyle name="Note 3 2 7 2" xfId="4485" xr:uid="{00000000-0005-0000-0000-0000A0210000}"/>
    <cellStyle name="Note 3 2 7 2 2" xfId="8707" xr:uid="{00000000-0005-0000-0000-0000A1210000}"/>
    <cellStyle name="Note 3 2 7 2 2 2" xfId="17157" xr:uid="{F00E8B7D-2218-4FF2-9E60-3CF47F6B9CC8}"/>
    <cellStyle name="Note 3 2 7 2 3" xfId="12939" xr:uid="{5C32B340-8058-4C66-9C77-8BB8D856B92E}"/>
    <cellStyle name="Note 3 2 7 3" xfId="6562" xr:uid="{00000000-0005-0000-0000-0000A2210000}"/>
    <cellStyle name="Note 3 2 7 3 2" xfId="15012" xr:uid="{CA1A69DB-E5E8-460C-88EE-D8D1E7CA0F1E}"/>
    <cellStyle name="Note 3 2 7 4" xfId="10794" xr:uid="{BF968FCA-4C01-40C9-A893-6EB6CDFD52C4}"/>
    <cellStyle name="Note 3 2 8" xfId="2692" xr:uid="{00000000-0005-0000-0000-0000A3210000}"/>
    <cellStyle name="Note 3 2 8 2" xfId="6975" xr:uid="{00000000-0005-0000-0000-0000A4210000}"/>
    <cellStyle name="Note 3 2 8 2 2" xfId="15425" xr:uid="{DE9514A2-13D4-489D-A89F-60A471E8491F}"/>
    <cellStyle name="Note 3 2 8 3" xfId="11207" xr:uid="{56B67B79-73C8-4112-A552-B75AE2F50B45}"/>
    <cellStyle name="Note 3 2 9" xfId="2751" xr:uid="{00000000-0005-0000-0000-0000A5210000}"/>
    <cellStyle name="Note 3 3" xfId="558" xr:uid="{00000000-0005-0000-0000-0000A6210000}"/>
    <cellStyle name="Note 3 3 10" xfId="4914" xr:uid="{00000000-0005-0000-0000-0000A7210000}"/>
    <cellStyle name="Note 3 3 10 2" xfId="13364" xr:uid="{5AD16514-9262-42E1-B25D-97C8EEC8F069}"/>
    <cellStyle name="Note 3 3 11" xfId="9146" xr:uid="{484D0CD0-4A8D-4E59-92D7-522D089B83D7}"/>
    <cellStyle name="Note 3 3 2" xfId="559" xr:uid="{00000000-0005-0000-0000-0000A8210000}"/>
    <cellStyle name="Note 3 3 2 10" xfId="9147" xr:uid="{AC4342E8-2161-4D49-ABBE-EE86A7AD162F}"/>
    <cellStyle name="Note 3 3 2 2" xfId="1019" xr:uid="{00000000-0005-0000-0000-0000A9210000}"/>
    <cellStyle name="Note 3 3 2 2 2" xfId="3251" xr:uid="{00000000-0005-0000-0000-0000AA210000}"/>
    <cellStyle name="Note 3 3 2 2 2 2" xfId="7473" xr:uid="{00000000-0005-0000-0000-0000AB210000}"/>
    <cellStyle name="Note 3 3 2 2 2 2 2" xfId="15923" xr:uid="{3ECC27BA-59C1-4DC4-9A9E-69A1CE3F69AF}"/>
    <cellStyle name="Note 3 3 2 2 2 3" xfId="11705" xr:uid="{A199C89D-D188-45E2-8063-E8FB0676994F}"/>
    <cellStyle name="Note 3 3 2 2 3" xfId="5328" xr:uid="{00000000-0005-0000-0000-0000AC210000}"/>
    <cellStyle name="Note 3 3 2 2 3 2" xfId="13778" xr:uid="{697E3D09-CD45-4B91-9EE3-9AB6B2301522}"/>
    <cellStyle name="Note 3 3 2 2 4" xfId="9560" xr:uid="{802B595A-BFCA-40F3-9A66-21FF44B419AB}"/>
    <cellStyle name="Note 3 3 2 3" xfId="1434" xr:uid="{00000000-0005-0000-0000-0000AD210000}"/>
    <cellStyle name="Note 3 3 2 3 2" xfId="3664" xr:uid="{00000000-0005-0000-0000-0000AE210000}"/>
    <cellStyle name="Note 3 3 2 3 2 2" xfId="7886" xr:uid="{00000000-0005-0000-0000-0000AF210000}"/>
    <cellStyle name="Note 3 3 2 3 2 2 2" xfId="16336" xr:uid="{8C26EE25-90C1-4833-96CF-12FA493EDE0F}"/>
    <cellStyle name="Note 3 3 2 3 2 3" xfId="12118" xr:uid="{02479352-1F75-4A27-88E7-8018CFE820F0}"/>
    <cellStyle name="Note 3 3 2 3 3" xfId="5741" xr:uid="{00000000-0005-0000-0000-0000B0210000}"/>
    <cellStyle name="Note 3 3 2 3 3 2" xfId="14191" xr:uid="{25AEB3BD-028E-4F36-AEDE-3E204C2A1ACB}"/>
    <cellStyle name="Note 3 3 2 3 4" xfId="9973" xr:uid="{2FE6ADD2-6C5B-4386-B970-E3D3B130AE90}"/>
    <cellStyle name="Note 3 3 2 4" xfId="1848" xr:uid="{00000000-0005-0000-0000-0000B1210000}"/>
    <cellStyle name="Note 3 3 2 4 2" xfId="4077" xr:uid="{00000000-0005-0000-0000-0000B2210000}"/>
    <cellStyle name="Note 3 3 2 4 2 2" xfId="8299" xr:uid="{00000000-0005-0000-0000-0000B3210000}"/>
    <cellStyle name="Note 3 3 2 4 2 2 2" xfId="16749" xr:uid="{14877AD0-B5F9-4ED1-8075-43DE97F3BA1F}"/>
    <cellStyle name="Note 3 3 2 4 2 3" xfId="12531" xr:uid="{4DDFCE32-1E3A-4939-BBA0-4AD96F641B51}"/>
    <cellStyle name="Note 3 3 2 4 3" xfId="6154" xr:uid="{00000000-0005-0000-0000-0000B4210000}"/>
    <cellStyle name="Note 3 3 2 4 3 2" xfId="14604" xr:uid="{2A84BF2E-5606-4200-9D05-08215FE7CB11}"/>
    <cellStyle name="Note 3 3 2 4 4" xfId="10386" xr:uid="{EFCAB6F7-8C43-45E9-B224-AD72576F728D}"/>
    <cellStyle name="Note 3 3 2 5" xfId="2261" xr:uid="{00000000-0005-0000-0000-0000B5210000}"/>
    <cellStyle name="Note 3 3 2 5 2" xfId="4490" xr:uid="{00000000-0005-0000-0000-0000B6210000}"/>
    <cellStyle name="Note 3 3 2 5 2 2" xfId="8712" xr:uid="{00000000-0005-0000-0000-0000B7210000}"/>
    <cellStyle name="Note 3 3 2 5 2 2 2" xfId="17162" xr:uid="{0FDCF179-F8C8-482C-A169-1611BFA3B8E6}"/>
    <cellStyle name="Note 3 3 2 5 2 3" xfId="12944" xr:uid="{9E62A0C7-E7B2-40E5-AEA2-642E52FF593D}"/>
    <cellStyle name="Note 3 3 2 5 3" xfId="6567" xr:uid="{00000000-0005-0000-0000-0000B8210000}"/>
    <cellStyle name="Note 3 3 2 5 3 2" xfId="15017" xr:uid="{CBA70261-4F16-4743-9416-37DD586ABC69}"/>
    <cellStyle name="Note 3 3 2 5 4" xfId="10799" xr:uid="{93477236-2315-4CE8-91BE-874D85F30D48}"/>
    <cellStyle name="Note 3 3 2 6" xfId="2697" xr:uid="{00000000-0005-0000-0000-0000B9210000}"/>
    <cellStyle name="Note 3 3 2 6 2" xfId="6980" xr:uid="{00000000-0005-0000-0000-0000BA210000}"/>
    <cellStyle name="Note 3 3 2 6 2 2" xfId="15430" xr:uid="{D0167E8A-70EB-42E8-A725-E242468777F1}"/>
    <cellStyle name="Note 3 3 2 6 3" xfId="11212" xr:uid="{AB6FC7C5-E3B9-4632-A3F2-F6930E988AED}"/>
    <cellStyle name="Note 3 3 2 7" xfId="2756" xr:uid="{00000000-0005-0000-0000-0000BB210000}"/>
    <cellStyle name="Note 3 3 2 8" xfId="2837" xr:uid="{00000000-0005-0000-0000-0000BC210000}"/>
    <cellStyle name="Note 3 3 2 8 2" xfId="7060" xr:uid="{00000000-0005-0000-0000-0000BD210000}"/>
    <cellStyle name="Note 3 3 2 8 2 2" xfId="15510" xr:uid="{C4DC786E-D773-4A5E-B9BB-3C2C526D58A2}"/>
    <cellStyle name="Note 3 3 2 8 3" xfId="11292" xr:uid="{030ED893-D811-4C2E-86C1-92A7D75FC783}"/>
    <cellStyle name="Note 3 3 2 9" xfId="4915" xr:uid="{00000000-0005-0000-0000-0000BE210000}"/>
    <cellStyle name="Note 3 3 2 9 2" xfId="13365" xr:uid="{417D7D49-1F83-4F04-9777-998ED121C3DC}"/>
    <cellStyle name="Note 3 3 3" xfId="1018" xr:uid="{00000000-0005-0000-0000-0000BF210000}"/>
    <cellStyle name="Note 3 3 3 2" xfId="3250" xr:uid="{00000000-0005-0000-0000-0000C0210000}"/>
    <cellStyle name="Note 3 3 3 2 2" xfId="7472" xr:uid="{00000000-0005-0000-0000-0000C1210000}"/>
    <cellStyle name="Note 3 3 3 2 2 2" xfId="15922" xr:uid="{210D7643-781F-4B1F-8C87-D871B7697D7B}"/>
    <cellStyle name="Note 3 3 3 2 3" xfId="11704" xr:uid="{4A1C4982-932E-45C2-A92D-A2EC980CE30C}"/>
    <cellStyle name="Note 3 3 3 3" xfId="5327" xr:uid="{00000000-0005-0000-0000-0000C2210000}"/>
    <cellStyle name="Note 3 3 3 3 2" xfId="13777" xr:uid="{3263D4FB-00CA-4DAF-AEA6-AFC5EE367CB1}"/>
    <cellStyle name="Note 3 3 3 4" xfId="9559" xr:uid="{7E73B350-F12A-4F07-8A8F-6D44B7BB5767}"/>
    <cellStyle name="Note 3 3 4" xfId="1433" xr:uid="{00000000-0005-0000-0000-0000C3210000}"/>
    <cellStyle name="Note 3 3 4 2" xfId="3663" xr:uid="{00000000-0005-0000-0000-0000C4210000}"/>
    <cellStyle name="Note 3 3 4 2 2" xfId="7885" xr:uid="{00000000-0005-0000-0000-0000C5210000}"/>
    <cellStyle name="Note 3 3 4 2 2 2" xfId="16335" xr:uid="{D361E480-8E37-461C-9482-D983F480EDFB}"/>
    <cellStyle name="Note 3 3 4 2 3" xfId="12117" xr:uid="{F9043697-F094-4B25-9ED1-891CDD811E64}"/>
    <cellStyle name="Note 3 3 4 3" xfId="5740" xr:uid="{00000000-0005-0000-0000-0000C6210000}"/>
    <cellStyle name="Note 3 3 4 3 2" xfId="14190" xr:uid="{6D8C85C8-D83C-4205-92B3-97A5AFA4CB60}"/>
    <cellStyle name="Note 3 3 4 4" xfId="9972" xr:uid="{F7C31E77-9043-43C8-9702-C14EFCE358A6}"/>
    <cellStyle name="Note 3 3 5" xfId="1847" xr:uid="{00000000-0005-0000-0000-0000C7210000}"/>
    <cellStyle name="Note 3 3 5 2" xfId="4076" xr:uid="{00000000-0005-0000-0000-0000C8210000}"/>
    <cellStyle name="Note 3 3 5 2 2" xfId="8298" xr:uid="{00000000-0005-0000-0000-0000C9210000}"/>
    <cellStyle name="Note 3 3 5 2 2 2" xfId="16748" xr:uid="{93BC4F6A-E2B3-42D4-927E-56B96F8DF629}"/>
    <cellStyle name="Note 3 3 5 2 3" xfId="12530" xr:uid="{E07F6F82-1650-41FE-9777-84EEF1AEF7D4}"/>
    <cellStyle name="Note 3 3 5 3" xfId="6153" xr:uid="{00000000-0005-0000-0000-0000CA210000}"/>
    <cellStyle name="Note 3 3 5 3 2" xfId="14603" xr:uid="{2137759C-47B2-4E51-9455-790D9FB36B8F}"/>
    <cellStyle name="Note 3 3 5 4" xfId="10385" xr:uid="{D03A5DBD-9EB1-4ADF-A4B7-AEA6A0A6B055}"/>
    <cellStyle name="Note 3 3 6" xfId="2260" xr:uid="{00000000-0005-0000-0000-0000CB210000}"/>
    <cellStyle name="Note 3 3 6 2" xfId="4489" xr:uid="{00000000-0005-0000-0000-0000CC210000}"/>
    <cellStyle name="Note 3 3 6 2 2" xfId="8711" xr:uid="{00000000-0005-0000-0000-0000CD210000}"/>
    <cellStyle name="Note 3 3 6 2 2 2" xfId="17161" xr:uid="{92F39326-7145-435A-A65F-2F53933A5B48}"/>
    <cellStyle name="Note 3 3 6 2 3" xfId="12943" xr:uid="{988E3FA2-1495-40F0-8274-9AD23C5D5E1A}"/>
    <cellStyle name="Note 3 3 6 3" xfId="6566" xr:uid="{00000000-0005-0000-0000-0000CE210000}"/>
    <cellStyle name="Note 3 3 6 3 2" xfId="15016" xr:uid="{B480C196-4C78-4853-A562-CCEFF7B31CD5}"/>
    <cellStyle name="Note 3 3 6 4" xfId="10798" xr:uid="{0368A971-67A4-4513-ADC9-19859EC714FD}"/>
    <cellStyle name="Note 3 3 7" xfId="2696" xr:uid="{00000000-0005-0000-0000-0000CF210000}"/>
    <cellStyle name="Note 3 3 7 2" xfId="6979" xr:uid="{00000000-0005-0000-0000-0000D0210000}"/>
    <cellStyle name="Note 3 3 7 2 2" xfId="15429" xr:uid="{B3DC2E86-381C-45DD-AA3E-60625416ADCC}"/>
    <cellStyle name="Note 3 3 7 3" xfId="11211" xr:uid="{D981E570-FD72-45BE-B170-405774EE571A}"/>
    <cellStyle name="Note 3 3 8" xfId="2755" xr:uid="{00000000-0005-0000-0000-0000D1210000}"/>
    <cellStyle name="Note 3 3 9" xfId="2836" xr:uid="{00000000-0005-0000-0000-0000D2210000}"/>
    <cellStyle name="Note 3 3 9 2" xfId="7059" xr:uid="{00000000-0005-0000-0000-0000D3210000}"/>
    <cellStyle name="Note 3 3 9 2 2" xfId="15509" xr:uid="{BBBB43F7-734F-45B8-AB28-F34A08E87307}"/>
    <cellStyle name="Note 3 3 9 3" xfId="11291" xr:uid="{D4C93139-47C8-45A8-9642-BE02504A5EC3}"/>
    <cellStyle name="Note 3 4" xfId="560" xr:uid="{00000000-0005-0000-0000-0000D4210000}"/>
    <cellStyle name="Note 3 4 10" xfId="9148" xr:uid="{7DC096D7-5149-477E-8E70-1E0D7B46F672}"/>
    <cellStyle name="Note 3 4 2" xfId="1020" xr:uid="{00000000-0005-0000-0000-0000D5210000}"/>
    <cellStyle name="Note 3 4 2 2" xfId="3252" xr:uid="{00000000-0005-0000-0000-0000D6210000}"/>
    <cellStyle name="Note 3 4 2 2 2" xfId="7474" xr:uid="{00000000-0005-0000-0000-0000D7210000}"/>
    <cellStyle name="Note 3 4 2 2 2 2" xfId="15924" xr:uid="{7007ADCB-E77E-4B31-B98C-D29076B3292C}"/>
    <cellStyle name="Note 3 4 2 2 3" xfId="11706" xr:uid="{A2EDABB1-DAE8-457B-AF5C-C0C696CBA68E}"/>
    <cellStyle name="Note 3 4 2 3" xfId="5329" xr:uid="{00000000-0005-0000-0000-0000D8210000}"/>
    <cellStyle name="Note 3 4 2 3 2" xfId="13779" xr:uid="{4A27D348-1BD7-468C-BB8A-9DC87576A517}"/>
    <cellStyle name="Note 3 4 2 4" xfId="9561" xr:uid="{5E0B2C6D-A452-4986-9268-CE74DC50297C}"/>
    <cellStyle name="Note 3 4 3" xfId="1435" xr:uid="{00000000-0005-0000-0000-0000D9210000}"/>
    <cellStyle name="Note 3 4 3 2" xfId="3665" xr:uid="{00000000-0005-0000-0000-0000DA210000}"/>
    <cellStyle name="Note 3 4 3 2 2" xfId="7887" xr:uid="{00000000-0005-0000-0000-0000DB210000}"/>
    <cellStyle name="Note 3 4 3 2 2 2" xfId="16337" xr:uid="{31BD28C8-059D-4BEB-970E-C3B7A7551516}"/>
    <cellStyle name="Note 3 4 3 2 3" xfId="12119" xr:uid="{7B6CD04B-EDE1-462D-9257-33164A98DBCE}"/>
    <cellStyle name="Note 3 4 3 3" xfId="5742" xr:uid="{00000000-0005-0000-0000-0000DC210000}"/>
    <cellStyle name="Note 3 4 3 3 2" xfId="14192" xr:uid="{EE29A988-187D-4D7A-9430-3503F58CC56F}"/>
    <cellStyle name="Note 3 4 3 4" xfId="9974" xr:uid="{8031F089-9CCF-4565-8BFA-8D58D592C79A}"/>
    <cellStyle name="Note 3 4 4" xfId="1849" xr:uid="{00000000-0005-0000-0000-0000DD210000}"/>
    <cellStyle name="Note 3 4 4 2" xfId="4078" xr:uid="{00000000-0005-0000-0000-0000DE210000}"/>
    <cellStyle name="Note 3 4 4 2 2" xfId="8300" xr:uid="{00000000-0005-0000-0000-0000DF210000}"/>
    <cellStyle name="Note 3 4 4 2 2 2" xfId="16750" xr:uid="{4D7FCC52-C9C1-421A-AF59-32904C531EBB}"/>
    <cellStyle name="Note 3 4 4 2 3" xfId="12532" xr:uid="{61E61604-3853-4215-881F-A9656109A8D4}"/>
    <cellStyle name="Note 3 4 4 3" xfId="6155" xr:uid="{00000000-0005-0000-0000-0000E0210000}"/>
    <cellStyle name="Note 3 4 4 3 2" xfId="14605" xr:uid="{50211A94-9EC5-47A2-BA81-3C6641AAAF5A}"/>
    <cellStyle name="Note 3 4 4 4" xfId="10387" xr:uid="{0BBF036E-56FA-457F-A89F-DCA835C9E0F5}"/>
    <cellStyle name="Note 3 4 5" xfId="2262" xr:uid="{00000000-0005-0000-0000-0000E1210000}"/>
    <cellStyle name="Note 3 4 5 2" xfId="4491" xr:uid="{00000000-0005-0000-0000-0000E2210000}"/>
    <cellStyle name="Note 3 4 5 2 2" xfId="8713" xr:uid="{00000000-0005-0000-0000-0000E3210000}"/>
    <cellStyle name="Note 3 4 5 2 2 2" xfId="17163" xr:uid="{DFB654C7-5C31-477B-A237-591BB3285ADC}"/>
    <cellStyle name="Note 3 4 5 2 3" xfId="12945" xr:uid="{64A18159-2959-4464-8F7B-0AC81345B4B1}"/>
    <cellStyle name="Note 3 4 5 3" xfId="6568" xr:uid="{00000000-0005-0000-0000-0000E4210000}"/>
    <cellStyle name="Note 3 4 5 3 2" xfId="15018" xr:uid="{CF69ED7D-E029-4520-81C9-83D93EBAEBDB}"/>
    <cellStyle name="Note 3 4 5 4" xfId="10800" xr:uid="{76C6CDC4-6302-4205-9CB6-91F3F1FE8433}"/>
    <cellStyle name="Note 3 4 6" xfId="2698" xr:uid="{00000000-0005-0000-0000-0000E5210000}"/>
    <cellStyle name="Note 3 4 6 2" xfId="6981" xr:uid="{00000000-0005-0000-0000-0000E6210000}"/>
    <cellStyle name="Note 3 4 6 2 2" xfId="15431" xr:uid="{C4FC0B10-4F93-49EA-9FA5-2F29B73345CA}"/>
    <cellStyle name="Note 3 4 6 3" xfId="11213" xr:uid="{AF08CC72-3D88-476E-A407-D18C785F4B72}"/>
    <cellStyle name="Note 3 4 7" xfId="2757" xr:uid="{00000000-0005-0000-0000-0000E7210000}"/>
    <cellStyle name="Note 3 4 8" xfId="2838" xr:uid="{00000000-0005-0000-0000-0000E8210000}"/>
    <cellStyle name="Note 3 4 8 2" xfId="7061" xr:uid="{00000000-0005-0000-0000-0000E9210000}"/>
    <cellStyle name="Note 3 4 8 2 2" xfId="15511" xr:uid="{99A2BC22-04D6-4522-A6E7-91A7FD1362A1}"/>
    <cellStyle name="Note 3 4 8 3" xfId="11293" xr:uid="{7FB22D4F-C967-412A-9B93-0EAF5545E6A4}"/>
    <cellStyle name="Note 3 4 9" xfId="4916" xr:uid="{00000000-0005-0000-0000-0000EA210000}"/>
    <cellStyle name="Note 3 4 9 2" xfId="13366" xr:uid="{1EA63D89-70BD-4506-8ED9-39FEB572B9AD}"/>
    <cellStyle name="Note 3 5" xfId="561" xr:uid="{00000000-0005-0000-0000-0000EB210000}"/>
    <cellStyle name="Note 3 5 10" xfId="9149" xr:uid="{E6E69A44-642E-4EB6-BCED-927A16ABE82E}"/>
    <cellStyle name="Note 3 5 2" xfId="1021" xr:uid="{00000000-0005-0000-0000-0000EC210000}"/>
    <cellStyle name="Note 3 5 2 2" xfId="3253" xr:uid="{00000000-0005-0000-0000-0000ED210000}"/>
    <cellStyle name="Note 3 5 2 2 2" xfId="7475" xr:uid="{00000000-0005-0000-0000-0000EE210000}"/>
    <cellStyle name="Note 3 5 2 2 2 2" xfId="15925" xr:uid="{A73F0EF9-CE4C-4662-BF23-DF6E4EE2C7FF}"/>
    <cellStyle name="Note 3 5 2 2 3" xfId="11707" xr:uid="{DF8ED857-5197-44EA-8970-13763CEAC39A}"/>
    <cellStyle name="Note 3 5 2 3" xfId="5330" xr:uid="{00000000-0005-0000-0000-0000EF210000}"/>
    <cellStyle name="Note 3 5 2 3 2" xfId="13780" xr:uid="{7A1A69EE-7886-49A8-AE64-1C24D6C894D7}"/>
    <cellStyle name="Note 3 5 2 4" xfId="9562" xr:uid="{0354971B-DF7E-4A9D-A130-AECA6083650F}"/>
    <cellStyle name="Note 3 5 3" xfId="1436" xr:uid="{00000000-0005-0000-0000-0000F0210000}"/>
    <cellStyle name="Note 3 5 3 2" xfId="3666" xr:uid="{00000000-0005-0000-0000-0000F1210000}"/>
    <cellStyle name="Note 3 5 3 2 2" xfId="7888" xr:uid="{00000000-0005-0000-0000-0000F2210000}"/>
    <cellStyle name="Note 3 5 3 2 2 2" xfId="16338" xr:uid="{00E5F8A1-3F47-4880-BC79-7A7EFFF33350}"/>
    <cellStyle name="Note 3 5 3 2 3" xfId="12120" xr:uid="{B4E71A21-FAF5-4FE7-8EA0-79DD0B450E81}"/>
    <cellStyle name="Note 3 5 3 3" xfId="5743" xr:uid="{00000000-0005-0000-0000-0000F3210000}"/>
    <cellStyle name="Note 3 5 3 3 2" xfId="14193" xr:uid="{C70EB797-D128-4880-9B85-D6E19E569431}"/>
    <cellStyle name="Note 3 5 3 4" xfId="9975" xr:uid="{47AE4CC1-3A4E-4AF5-A583-5D1CDAAD6EE1}"/>
    <cellStyle name="Note 3 5 4" xfId="1850" xr:uid="{00000000-0005-0000-0000-0000F4210000}"/>
    <cellStyle name="Note 3 5 4 2" xfId="4079" xr:uid="{00000000-0005-0000-0000-0000F5210000}"/>
    <cellStyle name="Note 3 5 4 2 2" xfId="8301" xr:uid="{00000000-0005-0000-0000-0000F6210000}"/>
    <cellStyle name="Note 3 5 4 2 2 2" xfId="16751" xr:uid="{91BDC1B0-C54C-4C64-A8FE-44864C839108}"/>
    <cellStyle name="Note 3 5 4 2 3" xfId="12533" xr:uid="{76FAD64E-9EB9-46FC-A106-C6D69148BC10}"/>
    <cellStyle name="Note 3 5 4 3" xfId="6156" xr:uid="{00000000-0005-0000-0000-0000F7210000}"/>
    <cellStyle name="Note 3 5 4 3 2" xfId="14606" xr:uid="{D4932059-C00B-4729-957F-619AE4548E2E}"/>
    <cellStyle name="Note 3 5 4 4" xfId="10388" xr:uid="{F8D4AEF2-6203-461E-91D2-746C939BD9DA}"/>
    <cellStyle name="Note 3 5 5" xfId="2263" xr:uid="{00000000-0005-0000-0000-0000F8210000}"/>
    <cellStyle name="Note 3 5 5 2" xfId="4492" xr:uid="{00000000-0005-0000-0000-0000F9210000}"/>
    <cellStyle name="Note 3 5 5 2 2" xfId="8714" xr:uid="{00000000-0005-0000-0000-0000FA210000}"/>
    <cellStyle name="Note 3 5 5 2 2 2" xfId="17164" xr:uid="{A85ABD87-D49D-4BBA-8962-F639DEFF1DFD}"/>
    <cellStyle name="Note 3 5 5 2 3" xfId="12946" xr:uid="{DE567F2F-C97F-4D05-80E9-6037A68BA3F1}"/>
    <cellStyle name="Note 3 5 5 3" xfId="6569" xr:uid="{00000000-0005-0000-0000-0000FB210000}"/>
    <cellStyle name="Note 3 5 5 3 2" xfId="15019" xr:uid="{36E1E32C-BA21-442E-A387-F7B8116D9F93}"/>
    <cellStyle name="Note 3 5 5 4" xfId="10801" xr:uid="{D42F1F51-569B-423E-ACB2-F88D8485D06E}"/>
    <cellStyle name="Note 3 5 6" xfId="2699" xr:uid="{00000000-0005-0000-0000-0000FC210000}"/>
    <cellStyle name="Note 3 5 6 2" xfId="6982" xr:uid="{00000000-0005-0000-0000-0000FD210000}"/>
    <cellStyle name="Note 3 5 6 2 2" xfId="15432" xr:uid="{56D44DD7-94A9-4EFD-AB3E-3F01A8A45112}"/>
    <cellStyle name="Note 3 5 6 3" xfId="11214" xr:uid="{FE5BBF45-F144-4B8B-8AB2-4AC0A70A7280}"/>
    <cellStyle name="Note 3 5 7" xfId="2758" xr:uid="{00000000-0005-0000-0000-0000FE210000}"/>
    <cellStyle name="Note 3 5 8" xfId="2839" xr:uid="{00000000-0005-0000-0000-0000FF210000}"/>
    <cellStyle name="Note 3 5 8 2" xfId="7062" xr:uid="{00000000-0005-0000-0000-000000220000}"/>
    <cellStyle name="Note 3 5 8 2 2" xfId="15512" xr:uid="{DDC74D45-2760-41E0-8423-57DFE9E74750}"/>
    <cellStyle name="Note 3 5 8 3" xfId="11294" xr:uid="{BCAC8D8D-4A27-461A-8A64-BF17991F21AF}"/>
    <cellStyle name="Note 3 5 9" xfId="4917" xr:uid="{00000000-0005-0000-0000-000001220000}"/>
    <cellStyle name="Note 3 5 9 2" xfId="13367" xr:uid="{5E4A8AB1-0627-4B4F-9F6C-B65E42BE735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5B7DC9B8-5B9C-45E0-B815-0B87FCC86B43}"/>
    <cellStyle name="Percent 4" xfId="4502" xr:uid="{00000000-0005-0000-0000-000007220000}"/>
    <cellStyle name="Percent 4 2" xfId="8717" xr:uid="{00000000-0005-0000-0000-000008220000}"/>
    <cellStyle name="Percent 4 2 2" xfId="17167" xr:uid="{D998CBF2-68BD-4780-920C-2A87D2A64A3B}"/>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03B85534-C1DB-4A2D-AC9D-208977204C20}"/>
    <cellStyle name="Percent 4 3 2 2 2 3" xfId="17180" xr:uid="{EF706F0B-2C91-4ABF-A41B-457E625E24E7}"/>
    <cellStyle name="Percent 4 3 2 2 3" xfId="17176" xr:uid="{585C6BE3-271A-4AEE-BA88-DCCF245792EB}"/>
    <cellStyle name="Percent 4 3 2 3" xfId="17173" xr:uid="{AE36A13F-926A-4C9C-A8B6-CEADFC7372D9}"/>
    <cellStyle name="Percent 4 3 3" xfId="17170" xr:uid="{2B41D9F6-9A23-4D8F-9CFB-DF76A7111F26}"/>
    <cellStyle name="Percent 4 4" xfId="12953" xr:uid="{55B1F1ED-0226-4C9D-B94F-68FB38873A7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5" customHeight="1">
      <c r="A7" s="204"/>
      <c r="B7" s="204"/>
      <c r="C7" s="205"/>
      <c r="D7" s="1263" t="s">
        <v>2033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5" customHeight="1">
      <c r="A15" s="204"/>
      <c r="B15" s="204"/>
      <c r="C15" s="205"/>
      <c r="D15" s="1263" t="s">
        <v>2595</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2594</v>
      </c>
      <c r="E18" s="441"/>
      <c r="G18" s="441"/>
      <c r="H18" s="441"/>
      <c r="I18" s="441"/>
      <c r="J18" s="1265" t="s">
        <v>2593</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5" customHeight="1">
      <c r="A20" s="204"/>
      <c r="B20" s="204"/>
      <c r="C20" s="205"/>
      <c r="D20" s="1263" t="s">
        <v>2035</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5" customHeight="1">
      <c r="A30" s="204"/>
      <c r="B30" s="204"/>
      <c r="C30" s="205"/>
      <c r="D30" s="1263" t="s">
        <v>2036</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2509</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2140</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2043</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2044</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5" customHeight="1">
      <c r="A40" s="4"/>
      <c r="B40"/>
      <c r="C40" s="2"/>
      <c r="D40" s="4"/>
      <c r="E40" s="4" t="s">
        <v>653</v>
      </c>
      <c r="F40" s="1263" t="s">
        <v>1163</v>
      </c>
    </row>
    <row r="41" spans="1:38" s="1263" customFormat="1" ht="1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5" customHeight="1">
      <c r="A43" s="4"/>
      <c r="B43"/>
      <c r="C43" s="2"/>
      <c r="D43" s="4"/>
      <c r="E43" s="3" t="s">
        <v>348</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3" t="s">
        <v>2038</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5" customHeight="1">
      <c r="A57" s="204"/>
      <c r="B57" s="205"/>
      <c r="C57" s="205"/>
      <c r="D57" s="205"/>
      <c r="E57" s="204"/>
      <c r="F57" s="206" t="s">
        <v>509</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5" customHeight="1">
      <c r="A67" s="4"/>
      <c r="C67" s="2"/>
      <c r="D67" s="4"/>
      <c r="E67" s="4"/>
      <c r="F67" t="s">
        <v>509</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76" workbookViewId="0">
      <selection activeCell="I98" sqref="I9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1584</v>
      </c>
      <c r="B1" s="2667"/>
      <c r="C1" s="2667"/>
      <c r="D1" s="2667"/>
      <c r="E1" s="2667"/>
      <c r="F1" s="2667"/>
      <c r="G1" s="2667"/>
      <c r="H1" s="2667"/>
      <c r="I1" s="2667"/>
      <c r="J1" s="2667"/>
    </row>
    <row r="2" spans="1:13" ht="15" customHeight="1" thickBot="1">
      <c r="A2" s="1046"/>
      <c r="B2" s="1046"/>
      <c r="I2" s="1047"/>
      <c r="K2" s="1048"/>
    </row>
    <row r="3" spans="1:13" s="1051" customFormat="1" ht="20.25" customHeight="1">
      <c r="A3" s="1100"/>
      <c r="B3" s="1101"/>
      <c r="C3" s="1102"/>
      <c r="D3" s="1107"/>
      <c r="E3" s="1102"/>
      <c r="F3" s="1103" t="s">
        <v>1988</v>
      </c>
      <c r="G3" s="1102"/>
      <c r="H3" s="1104">
        <f>E18</f>
        <v>21656700</v>
      </c>
      <c r="I3" s="1105"/>
    </row>
    <row r="4" spans="1:13" s="1051" customFormat="1" ht="20.25" customHeight="1">
      <c r="B4" s="1094"/>
      <c r="D4" s="1108"/>
      <c r="F4" s="1092" t="s">
        <v>1990</v>
      </c>
      <c r="G4" s="1091" t="s">
        <v>1989</v>
      </c>
      <c r="H4" s="1093">
        <f>I18</f>
        <v>8966667.2532679737</v>
      </c>
      <c r="I4" s="1095"/>
      <c r="K4" s="1055"/>
    </row>
    <row r="5" spans="1:13" s="1051" customFormat="1" ht="20.25" customHeight="1" thickBot="1">
      <c r="B5" s="1096"/>
      <c r="C5" s="1097"/>
      <c r="D5" s="1109"/>
      <c r="E5" s="1098"/>
      <c r="F5" s="1109" t="s">
        <v>1940</v>
      </c>
      <c r="G5" s="1110"/>
      <c r="H5" s="1106">
        <f>IFERROR(H3/H4,0)</f>
        <v>2.4152451951539788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1938</v>
      </c>
      <c r="C8" s="2671"/>
      <c r="D8" s="2671"/>
      <c r="E8" s="2672"/>
      <c r="G8" s="2673" t="s">
        <v>1939</v>
      </c>
      <c r="H8" s="2674"/>
      <c r="I8" s="2675"/>
      <c r="K8" s="1057"/>
    </row>
    <row r="9" spans="1:13" ht="15" customHeight="1">
      <c r="A9" s="1046"/>
      <c r="B9" s="2668" t="s">
        <v>1972</v>
      </c>
      <c r="C9" s="2668"/>
      <c r="D9" s="2668"/>
      <c r="E9" s="1059">
        <f>G33</f>
        <v>4625000</v>
      </c>
      <c r="G9" s="2676" t="s">
        <v>1970</v>
      </c>
      <c r="H9" s="2676"/>
      <c r="I9" s="1060">
        <f>SUMIF(Application!M554:M565,"Loan, Tax-Exempt",Application!AM554:AM565)</f>
        <v>9812428</v>
      </c>
      <c r="K9" s="1061"/>
      <c r="M9" s="1062"/>
    </row>
    <row r="10" spans="1:13" ht="15" customHeight="1" thickBot="1">
      <c r="A10" s="1046"/>
      <c r="B10" s="2668" t="s">
        <v>1973</v>
      </c>
      <c r="C10" s="2668"/>
      <c r="D10" s="2668"/>
      <c r="E10" s="1060">
        <f>G47</f>
        <v>11599200</v>
      </c>
      <c r="G10" s="2680" t="s">
        <v>1941</v>
      </c>
      <c r="H10" s="2680"/>
      <c r="I10" s="1140">
        <f>'Basis &amp; Credits'!AB78</f>
        <v>0</v>
      </c>
      <c r="M10" s="1062"/>
    </row>
    <row r="11" spans="1:13" ht="15" customHeight="1">
      <c r="A11" s="1046"/>
      <c r="B11" s="2684" t="s">
        <v>2261</v>
      </c>
      <c r="C11" s="2685"/>
      <c r="D11" s="2686"/>
      <c r="E11" s="1060">
        <f>SUM(E12,E13)</f>
        <v>160000</v>
      </c>
      <c r="G11" s="2683" t="s">
        <v>1981</v>
      </c>
      <c r="H11" s="2683"/>
      <c r="I11" s="1139">
        <f>I9+I10</f>
        <v>9812428</v>
      </c>
      <c r="M11" s="1062"/>
    </row>
    <row r="12" spans="1:13" ht="15" customHeight="1">
      <c r="A12" s="1063"/>
      <c r="B12" s="2669" t="s">
        <v>2263</v>
      </c>
      <c r="C12" s="2669"/>
      <c r="D12" s="2669"/>
      <c r="E12" s="1165">
        <f>G56</f>
        <v>0</v>
      </c>
      <c r="M12" s="1062"/>
    </row>
    <row r="13" spans="1:13" ht="15" customHeight="1">
      <c r="A13" s="1049"/>
      <c r="B13" s="2669" t="s">
        <v>2264</v>
      </c>
      <c r="C13" s="2669"/>
      <c r="D13" s="2669"/>
      <c r="E13" s="1165">
        <f>G65</f>
        <v>160000</v>
      </c>
      <c r="G13" s="2673" t="s">
        <v>2004</v>
      </c>
      <c r="H13" s="2674"/>
      <c r="I13" s="2675"/>
      <c r="M13" s="1062"/>
    </row>
    <row r="14" spans="1:13" ht="15" customHeight="1">
      <c r="A14" s="1049"/>
      <c r="B14" s="2684" t="s">
        <v>2262</v>
      </c>
      <c r="C14" s="2685"/>
      <c r="D14" s="2686"/>
      <c r="E14" s="1167">
        <f>MAX(E15,E16)+E17</f>
        <v>5272500</v>
      </c>
      <c r="G14" s="2676" t="s">
        <v>139</v>
      </c>
      <c r="H14" s="2676"/>
      <c r="I14" s="1064">
        <f>15%*(AND(G120="Yes",G122&lt;&gt;""))</f>
        <v>0</v>
      </c>
      <c r="M14" s="1062"/>
    </row>
    <row r="15" spans="1:13" ht="15" customHeight="1">
      <c r="A15" s="1049"/>
      <c r="B15" s="2687" t="s">
        <v>2268</v>
      </c>
      <c r="C15" s="2688"/>
      <c r="D15" s="2689"/>
      <c r="E15" s="1165">
        <f>G80</f>
        <v>0</v>
      </c>
      <c r="G15" s="1137" t="s">
        <v>1982</v>
      </c>
      <c r="H15" s="1137"/>
      <c r="I15" s="1064">
        <f>IF(Application!AJ1032&gt;0,10%,IF(Application!AJ1036&gt;0,5%,0))</f>
        <v>0</v>
      </c>
      <c r="M15" s="1062"/>
    </row>
    <row r="16" spans="1:13" ht="15" customHeight="1">
      <c r="A16" s="1049"/>
      <c r="B16" s="2687" t="s">
        <v>2267</v>
      </c>
      <c r="C16" s="2688"/>
      <c r="D16" s="2689"/>
      <c r="E16" s="1165">
        <f>G90</f>
        <v>0</v>
      </c>
      <c r="G16" s="2676" t="s">
        <v>1983</v>
      </c>
      <c r="H16" s="2676"/>
      <c r="I16" s="1064">
        <f>G132</f>
        <v>8.6192810457516339E-2</v>
      </c>
    </row>
    <row r="17" spans="1:21" ht="15" customHeight="1" thickBot="1">
      <c r="A17" s="1049"/>
      <c r="B17" s="2687" t="s">
        <v>2266</v>
      </c>
      <c r="C17" s="2688"/>
      <c r="D17" s="2689"/>
      <c r="E17" s="1165">
        <f>G115</f>
        <v>5272500</v>
      </c>
      <c r="G17" s="2676" t="s">
        <v>2276</v>
      </c>
      <c r="H17" s="2676"/>
      <c r="I17" s="1064">
        <f>IF(AND(G139="Yes",OR(G136,G137)),IF(G143&gt;15%,15%,G143),0)</f>
        <v>0</v>
      </c>
    </row>
    <row r="18" spans="1:21" ht="15" customHeight="1">
      <c r="A18" s="1046"/>
      <c r="B18" s="2679" t="s">
        <v>1937</v>
      </c>
      <c r="C18" s="2679"/>
      <c r="D18" s="2679"/>
      <c r="E18" s="1111">
        <f>SUM(E9:E11,E14)</f>
        <v>21656700</v>
      </c>
      <c r="G18" s="1138" t="s">
        <v>1971</v>
      </c>
      <c r="H18" s="1138"/>
      <c r="I18" s="1112">
        <f>I11-((I11*I14)+(I11*I15)+(I11*I16)+(I11*I17))</f>
        <v>8966667.2532679737</v>
      </c>
      <c r="M18" s="1065">
        <f>SUM(Cdlac[Quantity])</f>
        <v>71</v>
      </c>
      <c r="O18" s="1084" t="s">
        <v>582</v>
      </c>
      <c r="P18" s="1044">
        <f>MATCH(Application!T189,Application!CB160:CB217,0)</f>
        <v>1</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1078.8</v>
      </c>
      <c r="Q21" s="1164"/>
      <c r="R21" s="1065" cm="1">
        <f t="array" ref="R21">IF(Cdlac[[#This Row],[Quantity]]&gt;0,INDEX(HudFmrs,$P$18,Cdlac[[#This Row],[Bedrooms]]+1),"")</f>
        <v>2682</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7" t="s">
        <v>1985</v>
      </c>
      <c r="D22" s="2677" t="s">
        <v>1986</v>
      </c>
      <c r="E22" s="2677" t="s">
        <v>1987</v>
      </c>
      <c r="F22" s="2677" t="s">
        <v>2600</v>
      </c>
      <c r="G22" s="2677" t="s">
        <v>1984</v>
      </c>
      <c r="H22" s="1070"/>
      <c r="I22" s="1069"/>
      <c r="L22" s="1044">
        <f>IFERROR(MIN(4,MATCH(Application!B720,UnitSizes,0)-1),"")</f>
        <v>3</v>
      </c>
      <c r="M22" s="1065">
        <f>Application!G720</f>
        <v>5</v>
      </c>
      <c r="N22" s="1071">
        <f>Application!AC720</f>
        <v>0.3</v>
      </c>
      <c r="O22" s="1071">
        <f>IF(Cdlac[[#This Row],[Quantity]]&gt;0,IF(Cdlac[[#This Row],[Federal]],30%,IF(AND(OR(NOT($G$38),$G$38=""),$G$43),40%,Cdlac[[#This Row],[iAMI]])),"")</f>
        <v>0.3</v>
      </c>
      <c r="P22" s="1065" cm="1">
        <f t="array" ref="P22">IF(Cdlac[[#This Row],[Quantity]]&gt;0,INDEX(TcacRents,$P$18,Cdlac[[#This Row],[Bedrooms]]+1)*Cdlac[[#This Row],[AMI]],"")</f>
        <v>1246.2</v>
      </c>
      <c r="Q22" s="1164"/>
      <c r="R22" s="1065" cm="1">
        <f t="array" ref="R22">IF(Cdlac[[#This Row],[Quantity]]&gt;0,INDEX(HudFmrs,$P$18,Cdlac[[#This Row],[Bedrooms]]+1),"")</f>
        <v>3432</v>
      </c>
      <c r="S22" s="1065">
        <f>IF(Cdlac[[#This Row],[Quantity]]&gt;0,MAX(0,Cdlac[[#This Row],[Fair Market Rent]]-IF(AND($G$37,$G$38,$G$38&lt;&gt;"",NOT(Cdlac[[#This Row],[Federal]]),Cdlac[[#This Row],[Preservation Rent]]&lt;&gt;""),Cdlac[[#This Row],[Preservation Rent]],Cdlac[[#This Row],[Restricted Rent]])),"")</f>
        <v>2185.8000000000002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8"/>
      <c r="D23" s="2678"/>
      <c r="E23" s="2678"/>
      <c r="F23" s="2678"/>
      <c r="G23" s="2678"/>
      <c r="H23" s="1070"/>
      <c r="I23" s="1069"/>
      <c r="L23" s="1044">
        <f>IFERROR(MIN(4,MATCH(Application!B721,UnitSizes,0)-1),"")</f>
        <v>1</v>
      </c>
      <c r="M23" s="1065">
        <f>Application!G721</f>
        <v>2</v>
      </c>
      <c r="N23" s="1071">
        <f>Application!AC721</f>
        <v>0.5</v>
      </c>
      <c r="O23" s="1071">
        <f>IF(Cdlac[[#This Row],[Quantity]]&gt;0,IF(Cdlac[[#This Row],[Federal]],30%,IF(AND(OR(NOT($G$38),$G$38=""),$G$43),40%,Cdlac[[#This Row],[iAMI]])),"")</f>
        <v>0.5</v>
      </c>
      <c r="P23" s="1065" cm="1">
        <f t="array" ref="P23">IF(Cdlac[[#This Row],[Quantity]]&gt;0,INDEX(TcacRents,$P$18,Cdlac[[#This Row],[Bedrooms]]+1)*Cdlac[[#This Row],[AMI]],"")</f>
        <v>1498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703</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v>
      </c>
      <c r="N24" s="1071">
        <f>Application!AC722</f>
        <v>0.5</v>
      </c>
      <c r="O24" s="1071">
        <f>IF(Cdlac[[#This Row],[Quantity]]&gt;0,IF(Cdlac[[#This Row],[Federal]],30%,IF(AND(OR(NOT($G$38),$G$38=""),$G$43),40%,Cdlac[[#This Row],[iAMI]])),"")</f>
        <v>0.5</v>
      </c>
      <c r="P24" s="1065" cm="1">
        <f t="array" ref="P24">IF(Cdlac[[#This Row],[Quantity]]&gt;0,INDEX(TcacRents,$P$18,Cdlac[[#This Row],[Bedrooms]]+1)*Cdlac[[#This Row],[AMI]],"")</f>
        <v>1798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884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v>
      </c>
      <c r="F25" s="1072">
        <f>E25</f>
        <v>6</v>
      </c>
      <c r="G25" s="1072">
        <f>D25*F25</f>
        <v>6</v>
      </c>
      <c r="L25" s="1044">
        <f>IFERROR(MIN(4,MATCH(Application!B723,UnitSizes,0)-1),"")</f>
        <v>3</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2077</v>
      </c>
      <c r="Q25" s="1164"/>
      <c r="R25" s="1065" cm="1">
        <f t="array" ref="R25">IF(Cdlac[[#This Row],[Quantity]]&gt;0,INDEX(HudFmrs,$P$18,Cdlac[[#This Row],[Bedrooms]]+1),"")</f>
        <v>3432</v>
      </c>
      <c r="S25" s="1065">
        <f>IF(Cdlac[[#This Row],[Quantity]]&gt;0,MAX(0,Cdlac[[#This Row],[Fair Market Rent]]-IF(AND($G$37,$G$38,$G$38&lt;&gt;"",NOT(Cdlac[[#This Row],[Federal]]),Cdlac[[#This Row],[Preservation Rent]]&lt;&gt;""),Cdlac[[#This Row],[Preservation Rent]],Cdlac[[#This Row],[Restricted Rent]])),"")</f>
        <v>1355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44</v>
      </c>
      <c r="G26" s="1072">
        <f>D26*F26</f>
        <v>55</v>
      </c>
      <c r="H26" s="1074"/>
      <c r="I26" s="1074"/>
      <c r="L26" s="1044">
        <f>IFERROR(MIN(4,MATCH(Application!B724,UnitSizes,0)-1),"")</f>
        <v>1</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1797.6</v>
      </c>
      <c r="Q26" s="1164"/>
      <c r="R26" s="1065" cm="1">
        <f t="array" ref="R26">IF(Cdlac[[#This Row],[Quantity]]&gt;0,INDEX(HudFmrs,$P$18,Cdlac[[#This Row],[Bedrooms]]+1),"")</f>
        <v>2201</v>
      </c>
      <c r="S26" s="1065">
        <f>IF(Cdlac[[#This Row],[Quantity]]&gt;0,MAX(0,Cdlac[[#This Row],[Fair Market Rent]]-IF(AND($G$37,$G$38,$G$38&lt;&gt;"",NOT(Cdlac[[#This Row],[Federal]]),Cdlac[[#This Row],[Preservation Rent]]&lt;&gt;""),Cdlac[[#This Row],[Preservation Rent]],Cdlac[[#This Row],[Restricted Rent]])),"")</f>
        <v>403.40000000000009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37</v>
      </c>
      <c r="F27" s="1075">
        <f>MIN(E27,ROUNDDOWN(E29*30%,0))</f>
        <v>21</v>
      </c>
      <c r="G27" s="1072">
        <f>D27*F27</f>
        <v>31.5</v>
      </c>
      <c r="H27" s="1074"/>
      <c r="I27" s="1074"/>
      <c r="L27" s="1044">
        <f>IFERROR(MIN(4,MATCH(Application!B725,UnitSizes,0)-1),"")</f>
        <v>2</v>
      </c>
      <c r="M27" s="1065">
        <f>Application!G725</f>
        <v>22</v>
      </c>
      <c r="N27" s="1071">
        <f>Application!AC725</f>
        <v>0.6</v>
      </c>
      <c r="O27" s="1071">
        <f>IF(Cdlac[[#This Row],[Quantity]]&gt;0,IF(Cdlac[[#This Row],[Federal]],30%,IF(AND(OR(NOT($G$38),$G$38=""),$G$43),40%,Cdlac[[#This Row],[iAMI]])),"")</f>
        <v>0.6</v>
      </c>
      <c r="P27" s="1065" cm="1">
        <f t="array" ref="P27">IF(Cdlac[[#This Row],[Quantity]]&gt;0,INDEX(TcacRents,$P$18,Cdlac[[#This Row],[Bedrooms]]+1)*Cdlac[[#This Row],[AMI]],"")</f>
        <v>2157.6</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524.40000000000009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29</v>
      </c>
      <c r="N28" s="1071">
        <f>Application!AC726</f>
        <v>0.6</v>
      </c>
      <c r="O28" s="1071">
        <f>IF(Cdlac[[#This Row],[Quantity]]&gt;0,IF(Cdlac[[#This Row],[Federal]],30%,IF(AND(OR(NOT($G$38),$G$38=""),$G$43),40%,Cdlac[[#This Row],[iAMI]])),"")</f>
        <v>0.6</v>
      </c>
      <c r="P28" s="1065" cm="1">
        <f t="array" ref="P28">IF(Cdlac[[#This Row],[Quantity]]&gt;0,INDEX(TcacRents,$P$18,Cdlac[[#This Row],[Bedrooms]]+1)*Cdlac[[#This Row],[AMI]],"")</f>
        <v>2492.4</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939.59999999999991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91" t="s">
        <v>1585</v>
      </c>
      <c r="D29" s="2692"/>
      <c r="E29" s="1089">
        <f>SUM(E24:E28)</f>
        <v>71</v>
      </c>
      <c r="F29" s="1089">
        <f>SUM(F24:F28)</f>
        <v>71</v>
      </c>
      <c r="G29" s="1090">
        <f>SUMPRODUCT(D24:D28,F24:F28)</f>
        <v>92.5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92.5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4625000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4" t="str">
        <f>IF(AND(G37,G38,G38&lt;&gt;""),"Enter the average rent charged for each unit type over the last three years, as documented with rent rolls or property audits, in cells Q20:Q44","")</f>
        <v/>
      </c>
      <c r="D39" s="2694"/>
      <c r="E39" s="2694"/>
      <c r="F39" s="2694"/>
      <c r="G39" s="2694"/>
      <c r="H39" s="269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4"/>
      <c r="D40" s="2694"/>
      <c r="E40" s="2694"/>
      <c r="F40" s="2694"/>
      <c r="G40" s="2694"/>
      <c r="H40" s="269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4"/>
      <c r="D41" s="2694"/>
      <c r="E41" s="2694"/>
      <c r="F41" s="2694"/>
      <c r="G41" s="2694"/>
      <c r="H41" s="269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0.55352112676056331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64440</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11599200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35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8</v>
      </c>
    </row>
    <row r="61" spans="2:21" ht="15" customHeight="1">
      <c r="E61" s="1117" t="s">
        <v>1993</v>
      </c>
      <c r="G61" s="1079">
        <f>ROUNDDOWN(E29*50%,0)</f>
        <v>35</v>
      </c>
    </row>
    <row r="62" spans="2:21" ht="15" customHeight="1">
      <c r="E62" s="1117"/>
      <c r="G62" s="1079"/>
    </row>
    <row r="63" spans="2:21" ht="15" customHeight="1">
      <c r="E63" s="1117" t="s">
        <v>1953</v>
      </c>
      <c r="G63" s="1114">
        <f>MIN(G60:G61)</f>
        <v>8</v>
      </c>
    </row>
    <row r="64" spans="2:21" ht="15" customHeight="1">
      <c r="E64" s="1117" t="s">
        <v>1943</v>
      </c>
      <c r="F64" s="1113" t="s">
        <v>1991</v>
      </c>
      <c r="G64" s="1124">
        <v>20000</v>
      </c>
    </row>
    <row r="65" spans="2:14" ht="15" customHeight="1">
      <c r="E65" s="1118" t="s">
        <v>1975</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669</v>
      </c>
    </row>
    <row r="70" spans="2:14" ht="15" customHeight="1">
      <c r="C70" s="1077" t="s">
        <v>1980</v>
      </c>
      <c r="G70" s="1081" t="str">
        <f>IF(Application!D211="Large Family","Yes","No")</f>
        <v>Yes</v>
      </c>
    </row>
    <row r="71" spans="2:14" ht="15" customHeight="1" thickBot="1">
      <c r="C71" s="1077" t="s">
        <v>1966</v>
      </c>
      <c r="G71" s="1043" t="s">
        <v>669</v>
      </c>
    </row>
    <row r="72" spans="2:14" ht="15" customHeight="1">
      <c r="C72" s="1077" t="s">
        <v>1967</v>
      </c>
      <c r="G72" s="1044" t="str">
        <f>Application!T193</f>
        <v>High Resource</v>
      </c>
      <c r="L72" s="2664" t="s">
        <v>1968</v>
      </c>
      <c r="M72" s="2665"/>
      <c r="N72" s="1131">
        <v>30000</v>
      </c>
    </row>
    <row r="73" spans="2:14" ht="15" customHeight="1">
      <c r="C73" s="2666" t="s">
        <v>2260</v>
      </c>
      <c r="D73" s="2666"/>
      <c r="E73" s="2666"/>
      <c r="F73" s="2666"/>
      <c r="G73" s="1043" t="s">
        <v>669</v>
      </c>
      <c r="L73" s="2681" t="s">
        <v>1936</v>
      </c>
      <c r="M73" s="2682"/>
      <c r="N73" s="1132">
        <v>20000</v>
      </c>
    </row>
    <row r="74" spans="2:14" ht="15" customHeight="1" thickBot="1">
      <c r="C74" s="2666"/>
      <c r="D74" s="2666"/>
      <c r="E74" s="2666"/>
      <c r="F74" s="2666"/>
      <c r="L74" s="2656" t="s">
        <v>1969</v>
      </c>
      <c r="M74" s="2657"/>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20000</v>
      </c>
    </row>
    <row r="79" spans="2:14" ht="15" customHeight="1">
      <c r="E79" s="1084" t="str">
        <f>E96</f>
        <v>Bedroom-Adjusted Low-Income Units</v>
      </c>
      <c r="F79" s="1113" t="s">
        <v>1991</v>
      </c>
      <c r="G79" s="1114">
        <f>G29</f>
        <v>92.5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92.5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6</v>
      </c>
    </row>
    <row r="95" spans="2:9" ht="15" customHeight="1">
      <c r="E95" s="1084" t="s">
        <v>1943</v>
      </c>
      <c r="F95" s="1113" t="s">
        <v>1991</v>
      </c>
      <c r="G95" s="1076">
        <v>4000</v>
      </c>
    </row>
    <row r="96" spans="2:9" ht="15" customHeight="1" thickBot="1">
      <c r="E96" s="1084" t="s">
        <v>1995</v>
      </c>
      <c r="F96" s="1113" t="s">
        <v>1991</v>
      </c>
      <c r="G96" s="1126">
        <f>G29</f>
        <v>92.5</v>
      </c>
    </row>
    <row r="97" spans="2:14" ht="15" customHeight="1">
      <c r="E97" s="1118" t="s">
        <v>1960</v>
      </c>
      <c r="F97" s="1046"/>
      <c r="G97" s="1123">
        <f>G94*G95*G96</f>
        <v>2220000</v>
      </c>
      <c r="L97" s="1127" t="str">
        <f>'Points System'!H638</f>
        <v>(i)</v>
      </c>
      <c r="M97" s="2662" t="s">
        <v>1404</v>
      </c>
      <c r="N97" s="2663"/>
    </row>
    <row r="98" spans="2:14" ht="15" customHeight="1">
      <c r="C98" s="1077"/>
      <c r="G98" s="1114"/>
      <c r="L98" s="1128" t="str">
        <f>'Points System'!H650</f>
        <v>N/A</v>
      </c>
      <c r="M98" s="2658" t="s">
        <v>1955</v>
      </c>
      <c r="N98" s="2659"/>
    </row>
    <row r="99" spans="2:14" ht="15" customHeight="1">
      <c r="E99" s="1084" t="s">
        <v>1996</v>
      </c>
      <c r="G99" s="1126">
        <f>COUNTIFS(L97:L104,"(i)")</f>
        <v>2</v>
      </c>
      <c r="L99" s="1128" t="str">
        <f>'Points System'!H685</f>
        <v>(i)</v>
      </c>
      <c r="M99" s="2658" t="s">
        <v>1956</v>
      </c>
      <c r="N99" s="2659"/>
    </row>
    <row r="100" spans="2:14" ht="15" customHeight="1">
      <c r="E100" s="1084" t="s">
        <v>1943</v>
      </c>
      <c r="F100" s="1113" t="s">
        <v>1991</v>
      </c>
      <c r="G100" s="1124">
        <v>4000</v>
      </c>
      <c r="L100" s="1128" t="str">
        <f>IF(OR('Points System'!H709="(ii)",'Points System'!H709="(i)"),"(i)","N/A")</f>
        <v>N/A</v>
      </c>
      <c r="M100" s="2658" t="s">
        <v>1957</v>
      </c>
      <c r="N100" s="2659"/>
    </row>
    <row r="101" spans="2:14" ht="15" customHeight="1">
      <c r="E101" s="1118" t="s">
        <v>1961</v>
      </c>
      <c r="F101" s="1046"/>
      <c r="G101" s="1123">
        <f>G96*G99*G100</f>
        <v>740000</v>
      </c>
      <c r="L101" s="1129" t="str">
        <f>'Points System'!H723</f>
        <v>N/A</v>
      </c>
      <c r="M101" s="2658" t="s">
        <v>1430</v>
      </c>
      <c r="N101" s="2659"/>
    </row>
    <row r="102" spans="2:14" ht="15" customHeight="1">
      <c r="L102" s="1128" t="str">
        <f>'Points System'!H735</f>
        <v>N/A</v>
      </c>
      <c r="M102" s="2658" t="s">
        <v>1958</v>
      </c>
      <c r="N102" s="2659"/>
    </row>
    <row r="103" spans="2:14" ht="15" customHeight="1">
      <c r="C103" s="1080" t="s">
        <v>1963</v>
      </c>
      <c r="L103" s="1128" t="str">
        <f>'Points System'!H751</f>
        <v>N/A</v>
      </c>
      <c r="M103" s="2658" t="s">
        <v>1959</v>
      </c>
      <c r="N103" s="2659"/>
    </row>
    <row r="104" spans="2:14" ht="15" customHeight="1" thickBot="1">
      <c r="C104" s="1077" t="s">
        <v>1964</v>
      </c>
      <c r="G104" s="1043"/>
      <c r="L104" s="1130" t="str">
        <f>'Points System'!H763</f>
        <v>N/A</v>
      </c>
      <c r="M104" s="2660" t="s">
        <v>1433</v>
      </c>
      <c r="N104" s="2661"/>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92.5</v>
      </c>
    </row>
    <row r="112" spans="2:14" ht="15" customHeight="1">
      <c r="E112" s="1084" t="s">
        <v>1943</v>
      </c>
      <c r="F112" s="1113" t="s">
        <v>1991</v>
      </c>
      <c r="G112" s="1124">
        <v>25000</v>
      </c>
    </row>
    <row r="113" spans="2:9" ht="15" customHeight="1">
      <c r="E113" s="1118" t="s">
        <v>1962</v>
      </c>
      <c r="F113" s="1046"/>
      <c r="G113" s="1123">
        <f>G109*G112*G96</f>
        <v>2312500</v>
      </c>
    </row>
    <row r="114" spans="2:9" ht="15" customHeight="1">
      <c r="C114" s="1077"/>
      <c r="E114" s="1077"/>
    </row>
    <row r="115" spans="2:9" ht="15" customHeight="1">
      <c r="E115" s="1118" t="s">
        <v>2270</v>
      </c>
      <c r="G115" s="1123">
        <f>G113+G101+G97</f>
        <v>5272500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3" t="s">
        <v>2225</v>
      </c>
      <c r="D119" s="2693"/>
      <c r="E119" s="2693"/>
      <c r="F119" s="2693"/>
    </row>
    <row r="120" spans="2:9" ht="15" customHeight="1">
      <c r="C120" s="2693"/>
      <c r="D120" s="2693"/>
      <c r="E120" s="2693"/>
      <c r="F120" s="2693"/>
      <c r="G120" s="1043"/>
    </row>
    <row r="121" spans="2:9" ht="15" customHeight="1"/>
    <row r="122" spans="2:9" ht="15" customHeight="1">
      <c r="C122" s="1044" t="s">
        <v>2227</v>
      </c>
      <c r="G122" s="2695"/>
      <c r="H122" s="2695"/>
    </row>
    <row r="123" spans="2:9" ht="15" customHeight="1">
      <c r="G123" s="2695"/>
      <c r="H123" s="2695"/>
    </row>
    <row r="124" spans="2:9" ht="15" customHeight="1">
      <c r="G124" s="2696"/>
      <c r="H124" s="2696"/>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1999</v>
      </c>
      <c r="G131" s="1078">
        <f>MEDIAN((Application!CU160:CU217))</f>
        <v>489600</v>
      </c>
    </row>
    <row r="132" spans="2:9" ht="15">
      <c r="D132" s="1046"/>
      <c r="E132" s="1118" t="s">
        <v>2001</v>
      </c>
      <c r="F132" s="1134"/>
      <c r="G132" s="1135">
        <f>((G130-G131)/G131)*0.25</f>
        <v>8.6192810457516339E-2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690" t="s">
        <v>2273</v>
      </c>
      <c r="D138" s="2690"/>
      <c r="E138" s="2690"/>
      <c r="F138" s="2690"/>
    </row>
    <row r="139" spans="2:9">
      <c r="B139" s="1045"/>
      <c r="C139" s="2690"/>
      <c r="D139" s="2690"/>
      <c r="E139" s="2690"/>
      <c r="F139" s="2690"/>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1471864.2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D4" sqref="D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7" t="s">
        <v>909</v>
      </c>
      <c r="B1" s="2697"/>
      <c r="C1" s="2697"/>
      <c r="D1" s="2697"/>
      <c r="E1" s="2697"/>
      <c r="F1" s="2697"/>
      <c r="G1" s="2697"/>
      <c r="H1" s="2697"/>
      <c r="I1" s="2697"/>
      <c r="J1" s="2697"/>
      <c r="K1" s="204"/>
      <c r="L1" s="204"/>
    </row>
    <row r="2" spans="1:12">
      <c r="A2" s="210"/>
      <c r="B2" s="210"/>
      <c r="C2" s="210"/>
      <c r="D2" s="210"/>
      <c r="E2" s="210"/>
      <c r="F2" s="210"/>
      <c r="G2" s="210"/>
      <c r="H2" s="210"/>
      <c r="I2" s="210"/>
      <c r="J2" s="210"/>
    </row>
    <row r="3" spans="1:12" ht="100.5">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1 Bedroom</v>
      </c>
      <c r="B4" s="1082">
        <f>Application!G718</f>
        <v>1</v>
      </c>
      <c r="C4" s="1162"/>
      <c r="D4" s="428">
        <f>Application!O718</f>
        <v>802</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2</v>
      </c>
      <c r="C5" s="1162"/>
      <c r="D5" s="428">
        <f>Application!O719</f>
        <v>948</v>
      </c>
      <c r="E5" s="429"/>
      <c r="F5" s="1083"/>
      <c r="G5" s="428">
        <f t="shared" ref="G5:G38" si="2">F5*B5</f>
        <v>0</v>
      </c>
      <c r="H5" s="429"/>
      <c r="I5" s="428" t="str">
        <f t="shared" si="0"/>
        <v/>
      </c>
      <c r="J5" s="428" t="str">
        <f t="shared" si="1"/>
        <v/>
      </c>
      <c r="K5" s="204"/>
      <c r="L5" s="305"/>
    </row>
    <row r="6" spans="1:12">
      <c r="A6" s="428" t="str">
        <f>Application!B720</f>
        <v>3 Bedrooms</v>
      </c>
      <c r="B6" s="1082">
        <f>Application!G720</f>
        <v>5</v>
      </c>
      <c r="C6" s="1162"/>
      <c r="D6" s="428">
        <f>Application!O720</f>
        <v>1083</v>
      </c>
      <c r="E6" s="429"/>
      <c r="F6" s="1083"/>
      <c r="G6" s="428">
        <f t="shared" si="2"/>
        <v>0</v>
      </c>
      <c r="H6" s="429"/>
      <c r="I6" s="428" t="str">
        <f t="shared" si="0"/>
        <v/>
      </c>
      <c r="J6" s="428" t="str">
        <f t="shared" si="1"/>
        <v/>
      </c>
      <c r="K6" s="204"/>
      <c r="L6" s="305"/>
    </row>
    <row r="7" spans="1:12">
      <c r="A7" s="428" t="str">
        <f>Application!B721</f>
        <v>1 Bedroom</v>
      </c>
      <c r="B7" s="1082">
        <f>Application!G721</f>
        <v>2</v>
      </c>
      <c r="C7" s="1162"/>
      <c r="D7" s="428">
        <f>Application!O721</f>
        <v>1206</v>
      </c>
      <c r="E7" s="429"/>
      <c r="F7" s="1083"/>
      <c r="G7" s="428">
        <f t="shared" si="2"/>
        <v>0</v>
      </c>
      <c r="H7" s="429"/>
      <c r="I7" s="428" t="str">
        <f t="shared" si="0"/>
        <v/>
      </c>
      <c r="J7" s="428" t="str">
        <f t="shared" si="1"/>
        <v/>
      </c>
      <c r="K7" s="204"/>
      <c r="L7" s="305"/>
    </row>
    <row r="8" spans="1:12">
      <c r="A8" s="428" t="str">
        <f>Application!B722</f>
        <v>2 Bedrooms</v>
      </c>
      <c r="B8" s="1082">
        <f>Application!G722</f>
        <v>4</v>
      </c>
      <c r="C8" s="1162"/>
      <c r="D8" s="428">
        <f>Application!O722</f>
        <v>1258.25</v>
      </c>
      <c r="E8" s="429"/>
      <c r="F8" s="1083"/>
      <c r="G8" s="428">
        <f t="shared" si="2"/>
        <v>0</v>
      </c>
      <c r="H8" s="429"/>
      <c r="I8" s="428" t="str">
        <f t="shared" si="0"/>
        <v/>
      </c>
      <c r="J8" s="428" t="str">
        <f t="shared" si="1"/>
        <v/>
      </c>
      <c r="K8" s="204"/>
      <c r="L8" s="305"/>
    </row>
    <row r="9" spans="1:12">
      <c r="A9" s="428" t="str">
        <f>Application!B723</f>
        <v>3 Bedrooms</v>
      </c>
      <c r="B9" s="1082">
        <f>Application!G723</f>
        <v>3</v>
      </c>
      <c r="C9" s="1162"/>
      <c r="D9" s="428">
        <f>Application!O723</f>
        <v>1533</v>
      </c>
      <c r="E9" s="429"/>
      <c r="F9" s="1083"/>
      <c r="G9" s="428">
        <f t="shared" si="2"/>
        <v>0</v>
      </c>
      <c r="H9" s="429"/>
      <c r="I9" s="428" t="str">
        <f t="shared" si="0"/>
        <v/>
      </c>
      <c r="J9" s="428" t="str">
        <f t="shared" si="1"/>
        <v/>
      </c>
      <c r="K9" s="204"/>
      <c r="L9" s="305"/>
    </row>
    <row r="10" spans="1:12">
      <c r="A10" s="428" t="str">
        <f>Application!B724</f>
        <v>1 Bedroom</v>
      </c>
      <c r="B10" s="1082">
        <f>Application!G724</f>
        <v>3</v>
      </c>
      <c r="C10" s="1162"/>
      <c r="D10" s="428">
        <f>Application!O724</f>
        <v>1455</v>
      </c>
      <c r="E10" s="429"/>
      <c r="F10" s="1083"/>
      <c r="G10" s="428">
        <f t="shared" si="2"/>
        <v>0</v>
      </c>
      <c r="H10" s="429"/>
      <c r="I10" s="428" t="str">
        <f t="shared" si="0"/>
        <v/>
      </c>
      <c r="J10" s="428" t="str">
        <f t="shared" si="1"/>
        <v/>
      </c>
      <c r="K10" s="204"/>
      <c r="L10" s="305"/>
    </row>
    <row r="11" spans="1:12">
      <c r="A11" s="428" t="str">
        <f>Application!B725</f>
        <v>2 Bedrooms</v>
      </c>
      <c r="B11" s="1082">
        <f>Application!G725</f>
        <v>22</v>
      </c>
      <c r="C11" s="1162"/>
      <c r="D11" s="428">
        <f>Application!O725</f>
        <v>1773</v>
      </c>
      <c r="E11" s="429"/>
      <c r="F11" s="1083"/>
      <c r="G11" s="428">
        <f t="shared" si="2"/>
        <v>0</v>
      </c>
      <c r="H11" s="429"/>
      <c r="I11" s="428" t="str">
        <f t="shared" si="0"/>
        <v/>
      </c>
      <c r="J11" s="428" t="str">
        <f t="shared" si="1"/>
        <v/>
      </c>
      <c r="K11" s="204"/>
      <c r="L11" s="305"/>
    </row>
    <row r="12" spans="1:12">
      <c r="A12" s="428" t="str">
        <f>Application!B726</f>
        <v>3 Bedrooms</v>
      </c>
      <c r="B12" s="1082">
        <f>Application!G726</f>
        <v>29</v>
      </c>
      <c r="C12" s="1162"/>
      <c r="D12" s="428">
        <f>Application!O726</f>
        <v>1994.53</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121369.37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2255</v>
      </c>
    </row>
    <row r="43" spans="1:12">
      <c r="A43" s="2698" t="s">
        <v>2487</v>
      </c>
      <c r="B43" s="2698"/>
      <c r="C43" s="2698"/>
      <c r="D43" s="2698"/>
      <c r="E43" s="2698"/>
      <c r="F43" s="2698"/>
      <c r="G43" s="2698"/>
      <c r="H43" s="2698"/>
      <c r="I43" s="2698"/>
      <c r="J43" s="2698"/>
    </row>
    <row r="44" spans="1:12">
      <c r="A44" s="2698"/>
      <c r="B44" s="2698"/>
      <c r="C44" s="2698"/>
      <c r="D44" s="2698"/>
      <c r="E44" s="2698"/>
      <c r="F44" s="2698"/>
      <c r="G44" s="2698"/>
      <c r="H44" s="2698"/>
      <c r="I44" s="2698"/>
      <c r="J44" s="2698"/>
    </row>
    <row r="45" spans="1:12">
      <c r="A45" s="2698" t="s">
        <v>2256</v>
      </c>
      <c r="B45" s="2698"/>
      <c r="C45" s="2698"/>
      <c r="D45" s="2698"/>
      <c r="E45" s="2698"/>
      <c r="F45" s="2698"/>
      <c r="G45" s="2698"/>
      <c r="H45" s="2698"/>
      <c r="I45" s="2698"/>
      <c r="J45" s="2698"/>
    </row>
    <row r="46" spans="1:12">
      <c r="A46" s="2698"/>
      <c r="B46" s="2698"/>
      <c r="C46" s="2698"/>
      <c r="D46" s="2698"/>
      <c r="E46" s="2698"/>
      <c r="F46" s="2698"/>
      <c r="G46" s="2698"/>
      <c r="H46" s="2698"/>
      <c r="I46" s="2698"/>
      <c r="J46" s="269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10" zoomScaleNormal="110" workbookViewId="0">
      <selection activeCell="C13" sqref="C13"/>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1456432.44</v>
      </c>
      <c r="G4" s="219">
        <f>E4*$C$4</f>
        <v>1492843.2509999997</v>
      </c>
      <c r="I4" s="219">
        <f>G4*$C$4</f>
        <v>1530164.3322749995</v>
      </c>
      <c r="K4" s="219">
        <f>I4*$C$4</f>
        <v>1568418.4405818742</v>
      </c>
      <c r="M4" s="219">
        <f>K4*$C$4</f>
        <v>1607628.9015964209</v>
      </c>
      <c r="O4" s="219">
        <f>M4*$C$4</f>
        <v>1647819.6241363313</v>
      </c>
      <c r="Q4" s="219">
        <f>O4*$C$4</f>
        <v>1689015.1147397393</v>
      </c>
      <c r="S4" s="219">
        <f>Q4*$C$4</f>
        <v>1731240.4926082327</v>
      </c>
      <c r="U4" s="219">
        <f>S4*$C$4</f>
        <v>1774521.5049234384</v>
      </c>
      <c r="W4" s="219">
        <f>U4*$C$4</f>
        <v>1818884.5425465242</v>
      </c>
      <c r="Y4" s="219">
        <f>W4*$C$4</f>
        <v>1864356.6561101871</v>
      </c>
      <c r="AA4" s="219">
        <f>Y4*$C$4</f>
        <v>1910965.5725129417</v>
      </c>
      <c r="AC4" s="219">
        <f>AA4*$C$4</f>
        <v>1958739.711825765</v>
      </c>
      <c r="AE4" s="219">
        <f>AC4*$C$4</f>
        <v>2007708.2046214088</v>
      </c>
      <c r="AG4" s="219">
        <f>AE4*$C$4</f>
        <v>2057900.9097369439</v>
      </c>
    </row>
    <row r="5" spans="1:34" s="210" customFormat="1" ht="14.25">
      <c r="B5" s="210" t="s">
        <v>838</v>
      </c>
      <c r="C5" s="238">
        <f>IF(Application!$D$211="Special Needs",(((0.1*Application!$T$212)+(0.05*(1-Application!$T$212)))),0.05)</f>
        <v>0.05</v>
      </c>
      <c r="E5" s="221">
        <f>-E4*$C$5</f>
        <v>-72821.622000000003</v>
      </c>
      <c r="F5" s="221"/>
      <c r="G5" s="221">
        <f>-G4*$C$5</f>
        <v>-74642.162549999994</v>
      </c>
      <c r="H5" s="221"/>
      <c r="I5" s="221">
        <f>-I4*$C$5</f>
        <v>-76508.216613749973</v>
      </c>
      <c r="J5" s="221"/>
      <c r="K5" s="221">
        <f>-K4*$C$5</f>
        <v>-78420.922029093708</v>
      </c>
      <c r="L5" s="221"/>
      <c r="M5" s="221">
        <f>-M4*$C$5</f>
        <v>-80381.445079821046</v>
      </c>
      <c r="N5" s="221"/>
      <c r="O5" s="221">
        <f>-O4*$C$5</f>
        <v>-82390.981206816563</v>
      </c>
      <c r="P5" s="221"/>
      <c r="Q5" s="221">
        <f>-Q4*$C$5</f>
        <v>-84450.755736986976</v>
      </c>
      <c r="R5" s="221"/>
      <c r="S5" s="221">
        <f>-S4*$C$5</f>
        <v>-86562.024630411644</v>
      </c>
      <c r="T5" s="221"/>
      <c r="U5" s="221">
        <f>-U4*$C$5</f>
        <v>-88726.075246171924</v>
      </c>
      <c r="V5" s="221"/>
      <c r="W5" s="221">
        <f>-W4*$C$5</f>
        <v>-90944.227127326216</v>
      </c>
      <c r="X5" s="221"/>
      <c r="Y5" s="221">
        <f>-Y4*$C$5</f>
        <v>-93217.832805509359</v>
      </c>
      <c r="Z5" s="221"/>
      <c r="AA5" s="221">
        <f>-AA4*$C$5</f>
        <v>-95548.278625647086</v>
      </c>
      <c r="AB5" s="221"/>
      <c r="AC5" s="221">
        <f>-AC4*$C$5</f>
        <v>-97936.985591288249</v>
      </c>
      <c r="AD5" s="221"/>
      <c r="AE5" s="221">
        <f>-AE4*$C$5</f>
        <v>-100385.41023107045</v>
      </c>
      <c r="AF5" s="221"/>
      <c r="AG5" s="221">
        <f>-AG4*$C$5</f>
        <v>-102895.0454868472</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7776</v>
      </c>
      <c r="F8" s="222"/>
      <c r="G8" s="222">
        <f>E8*$C$8</f>
        <v>7970.4</v>
      </c>
      <c r="H8" s="222"/>
      <c r="I8" s="222">
        <f>G8*$C$8</f>
        <v>8169.6599999999989</v>
      </c>
      <c r="J8" s="222"/>
      <c r="K8" s="222">
        <f>I8*$C$8</f>
        <v>8373.9014999999981</v>
      </c>
      <c r="L8" s="222"/>
      <c r="M8" s="222">
        <f>K8*$C$8</f>
        <v>8583.2490374999979</v>
      </c>
      <c r="N8" s="222"/>
      <c r="O8" s="222">
        <f>M8*$C$8</f>
        <v>8797.8302634374977</v>
      </c>
      <c r="P8" s="222"/>
      <c r="Q8" s="222">
        <f>O8*$C$8</f>
        <v>9017.7760200234352</v>
      </c>
      <c r="R8" s="222"/>
      <c r="S8" s="222">
        <f>Q8*$C$8</f>
        <v>9243.2204205240196</v>
      </c>
      <c r="T8" s="222"/>
      <c r="U8" s="222">
        <f>S8*$C$8</f>
        <v>9474.3009310371199</v>
      </c>
      <c r="V8" s="222"/>
      <c r="W8" s="222">
        <f>U8*$C$8</f>
        <v>9711.1584543130466</v>
      </c>
      <c r="X8" s="222"/>
      <c r="Y8" s="222">
        <f>W8*$C$8</f>
        <v>9953.9374156708727</v>
      </c>
      <c r="Z8" s="222"/>
      <c r="AA8" s="222">
        <f>Y8*$C$8</f>
        <v>10202.785851062643</v>
      </c>
      <c r="AB8" s="222"/>
      <c r="AC8" s="222">
        <f>AA8*$C$8</f>
        <v>10457.855497339207</v>
      </c>
      <c r="AD8" s="222"/>
      <c r="AE8" s="222">
        <f>AC8*$C$8</f>
        <v>10719.301884772687</v>
      </c>
      <c r="AF8" s="222"/>
      <c r="AG8" s="222">
        <f>AE8*$C$8</f>
        <v>10987.284431892003</v>
      </c>
    </row>
    <row r="9" spans="1:34" s="210" customFormat="1" ht="14.25">
      <c r="B9" s="210" t="s">
        <v>838</v>
      </c>
      <c r="C9" s="238">
        <f>IF(Application!$D$211="Special Needs",(((0.1*Application!$T$212)+(0.05*(1-Application!$T$212)))),0.05)</f>
        <v>0.05</v>
      </c>
      <c r="E9" s="221">
        <f>-E8*$C$9</f>
        <v>-388.8</v>
      </c>
      <c r="F9" s="221"/>
      <c r="G9" s="221">
        <f>-G8*$C$9</f>
        <v>-398.52</v>
      </c>
      <c r="H9" s="221"/>
      <c r="I9" s="221">
        <f>-I8*$C$9</f>
        <v>-408.48299999999995</v>
      </c>
      <c r="J9" s="221"/>
      <c r="K9" s="221">
        <f>-K8*$C$9</f>
        <v>-418.69507499999992</v>
      </c>
      <c r="L9" s="221"/>
      <c r="M9" s="221">
        <f>-M8*$C$9</f>
        <v>-429.16245187499993</v>
      </c>
      <c r="N9" s="221"/>
      <c r="O9" s="221">
        <f>-O8*$C$9</f>
        <v>-439.89151317187492</v>
      </c>
      <c r="P9" s="221"/>
      <c r="Q9" s="221">
        <f>-Q8*$C$9</f>
        <v>-450.88880100117177</v>
      </c>
      <c r="R9" s="221"/>
      <c r="S9" s="221">
        <f>-S8*$C$9</f>
        <v>-462.16102102620101</v>
      </c>
      <c r="T9" s="221"/>
      <c r="U9" s="221">
        <f>-U8*$C$9</f>
        <v>-473.71504655185601</v>
      </c>
      <c r="V9" s="221"/>
      <c r="W9" s="221">
        <f>-W8*$C$9</f>
        <v>-485.55792271565235</v>
      </c>
      <c r="X9" s="221"/>
      <c r="Y9" s="221">
        <f>-Y8*$C$9</f>
        <v>-497.69687078354366</v>
      </c>
      <c r="Z9" s="221"/>
      <c r="AA9" s="221">
        <f>-AA8*$C$9</f>
        <v>-510.13929255313218</v>
      </c>
      <c r="AB9" s="221"/>
      <c r="AC9" s="221">
        <f>-AC8*$C$9</f>
        <v>-522.89277486696039</v>
      </c>
      <c r="AD9" s="221"/>
      <c r="AE9" s="221">
        <f>-AE8*$C$9</f>
        <v>-535.96509423863438</v>
      </c>
      <c r="AF9" s="221"/>
      <c r="AG9" s="221">
        <f>-AG8*$C$9</f>
        <v>-549.36422159460017</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1390998.0179999999</v>
      </c>
      <c r="G11" s="223">
        <f>SUM(G4:G10)</f>
        <v>1425772.9684499996</v>
      </c>
      <c r="I11" s="223">
        <f>SUM(I4:I10)</f>
        <v>1461417.2926612494</v>
      </c>
      <c r="K11" s="223">
        <f>SUM(K4:K10)</f>
        <v>1497952.7249777806</v>
      </c>
      <c r="M11" s="223">
        <f>SUM(M4:M10)</f>
        <v>1535401.5431022248</v>
      </c>
      <c r="O11" s="223">
        <f>SUM(O4:O10)</f>
        <v>1573786.5816797803</v>
      </c>
      <c r="Q11" s="223">
        <f>SUM(Q4:Q10)</f>
        <v>1613131.2462217747</v>
      </c>
      <c r="S11" s="223">
        <f>SUM(S4:S10)</f>
        <v>1653459.5273773186</v>
      </c>
      <c r="U11" s="223">
        <f>SUM(U4:U10)</f>
        <v>1694796.0155617518</v>
      </c>
      <c r="W11" s="223">
        <f>SUM(W4:W10)</f>
        <v>1737165.9159507954</v>
      </c>
      <c r="Y11" s="223">
        <f>SUM(Y4:Y10)</f>
        <v>1780595.0638495649</v>
      </c>
      <c r="AA11" s="223">
        <f>SUM(AA4:AA10)</f>
        <v>1825109.9404458043</v>
      </c>
      <c r="AC11" s="223">
        <f>SUM(AC4:AC10)</f>
        <v>1870737.6889569492</v>
      </c>
      <c r="AE11" s="223">
        <f>SUM(AE4:AE10)</f>
        <v>1917506.1311808727</v>
      </c>
      <c r="AG11" s="223">
        <f>SUM(AG4:AG10)</f>
        <v>1965443.7844603942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104373</v>
      </c>
      <c r="G15" s="219">
        <f>E15*$C$14</f>
        <v>108026.05499999999</v>
      </c>
      <c r="I15" s="219">
        <f>G15*$C$14</f>
        <v>111806.96692499999</v>
      </c>
      <c r="K15" s="219">
        <f>I15*$C$14</f>
        <v>115720.21076737497</v>
      </c>
      <c r="M15" s="219">
        <f>K15*$C$14</f>
        <v>119770.41814423309</v>
      </c>
      <c r="O15" s="219">
        <f>M15*$C$14</f>
        <v>123962.38277928124</v>
      </c>
      <c r="Q15" s="219">
        <f>O15*$C$14</f>
        <v>128301.06617655607</v>
      </c>
      <c r="S15" s="219">
        <f>Q15*$C$14</f>
        <v>132791.60349273551</v>
      </c>
      <c r="U15" s="219">
        <f>S15*$C$14</f>
        <v>137439.30961498123</v>
      </c>
      <c r="W15" s="219">
        <f>U15*$C$14</f>
        <v>142249.68545150556</v>
      </c>
      <c r="Y15" s="219">
        <f>W15*$C$14</f>
        <v>147228.42444230826</v>
      </c>
      <c r="AA15" s="219">
        <f>Y15*$C$14</f>
        <v>152381.41929778902</v>
      </c>
      <c r="AC15" s="219">
        <f>AA15*$C$14</f>
        <v>157714.76897321161</v>
      </c>
      <c r="AE15" s="219">
        <f>AC15*$C$14</f>
        <v>163234.78588727402</v>
      </c>
      <c r="AG15" s="219">
        <f>AE15*$C$14</f>
        <v>168948.0033933286</v>
      </c>
    </row>
    <row r="16" spans="1:34" s="210" customFormat="1" ht="14.25">
      <c r="A16" s="210" t="s">
        <v>344</v>
      </c>
      <c r="C16" s="233"/>
      <c r="E16" s="222">
        <f>Application!W849</f>
        <v>69117</v>
      </c>
      <c r="F16" s="222"/>
      <c r="G16" s="222">
        <f t="shared" ref="G16:AG21" si="0">E16*$C$14</f>
        <v>71536.095000000001</v>
      </c>
      <c r="H16" s="222"/>
      <c r="I16" s="222">
        <f t="shared" si="0"/>
        <v>74039.858324999994</v>
      </c>
      <c r="J16" s="222"/>
      <c r="K16" s="222">
        <f t="shared" si="0"/>
        <v>76631.253366374993</v>
      </c>
      <c r="L16" s="222"/>
      <c r="M16" s="222">
        <f t="shared" si="0"/>
        <v>79313.347234198111</v>
      </c>
      <c r="N16" s="222"/>
      <c r="O16" s="222">
        <f t="shared" si="0"/>
        <v>82089.314387395032</v>
      </c>
      <c r="P16" s="222"/>
      <c r="Q16" s="222">
        <f t="shared" si="0"/>
        <v>84962.440390953852</v>
      </c>
      <c r="R16" s="222"/>
      <c r="S16" s="222">
        <f t="shared" si="0"/>
        <v>87936.125804637224</v>
      </c>
      <c r="T16" s="222"/>
      <c r="U16" s="222">
        <f t="shared" si="0"/>
        <v>91013.890207799515</v>
      </c>
      <c r="V16" s="222"/>
      <c r="W16" s="222">
        <f t="shared" si="0"/>
        <v>94199.376365072487</v>
      </c>
      <c r="X16" s="222"/>
      <c r="Y16" s="222">
        <f t="shared" si="0"/>
        <v>97496.354537850013</v>
      </c>
      <c r="Z16" s="222"/>
      <c r="AA16" s="222">
        <f t="shared" si="0"/>
        <v>100908.72694667475</v>
      </c>
      <c r="AB16" s="222"/>
      <c r="AC16" s="222">
        <f t="shared" si="0"/>
        <v>104440.53238980836</v>
      </c>
      <c r="AD16" s="222"/>
      <c r="AE16" s="222">
        <f t="shared" si="0"/>
        <v>108095.95102345165</v>
      </c>
      <c r="AF16" s="222"/>
      <c r="AG16" s="222">
        <f t="shared" si="0"/>
        <v>111879.30930927244</v>
      </c>
    </row>
    <row r="17" spans="1:33" s="210" customFormat="1" ht="14.25">
      <c r="A17" s="210" t="s">
        <v>561</v>
      </c>
      <c r="C17" s="233"/>
      <c r="E17" s="222">
        <f>Application!W855</f>
        <v>159710</v>
      </c>
      <c r="F17" s="222"/>
      <c r="G17" s="222">
        <f t="shared" si="0"/>
        <v>165299.84999999998</v>
      </c>
      <c r="H17" s="222"/>
      <c r="I17" s="222">
        <f t="shared" si="0"/>
        <v>171085.34474999996</v>
      </c>
      <c r="J17" s="222"/>
      <c r="K17" s="222">
        <f t="shared" si="0"/>
        <v>177073.33181624993</v>
      </c>
      <c r="L17" s="222"/>
      <c r="M17" s="222">
        <f t="shared" si="0"/>
        <v>183270.89842981866</v>
      </c>
      <c r="N17" s="222"/>
      <c r="O17" s="222">
        <f t="shared" si="0"/>
        <v>189685.37987486229</v>
      </c>
      <c r="P17" s="222"/>
      <c r="Q17" s="222">
        <f t="shared" si="0"/>
        <v>196324.36817048246</v>
      </c>
      <c r="R17" s="222"/>
      <c r="S17" s="222">
        <f t="shared" si="0"/>
        <v>203195.72105644931</v>
      </c>
      <c r="T17" s="222"/>
      <c r="U17" s="222">
        <f t="shared" si="0"/>
        <v>210307.57129342502</v>
      </c>
      <c r="V17" s="222"/>
      <c r="W17" s="222">
        <f t="shared" si="0"/>
        <v>217668.33628869487</v>
      </c>
      <c r="X17" s="222"/>
      <c r="Y17" s="222">
        <f t="shared" si="0"/>
        <v>225286.72805879917</v>
      </c>
      <c r="Z17" s="222"/>
      <c r="AA17" s="222">
        <f t="shared" si="0"/>
        <v>233171.76354085712</v>
      </c>
      <c r="AB17" s="222"/>
      <c r="AC17" s="222">
        <f t="shared" si="0"/>
        <v>241332.77526478711</v>
      </c>
      <c r="AD17" s="222"/>
      <c r="AE17" s="222">
        <f t="shared" si="0"/>
        <v>249779.42239905463</v>
      </c>
      <c r="AF17" s="222"/>
      <c r="AG17" s="222">
        <f t="shared" si="0"/>
        <v>258521.70218302152</v>
      </c>
    </row>
    <row r="18" spans="1:33" s="210" customFormat="1" ht="14.25">
      <c r="A18" s="210" t="s">
        <v>842</v>
      </c>
      <c r="C18" s="233"/>
      <c r="E18" s="222">
        <f>Application!W862</f>
        <v>143173</v>
      </c>
      <c r="F18" s="222"/>
      <c r="G18" s="222">
        <f t="shared" si="0"/>
        <v>148184.05499999999</v>
      </c>
      <c r="H18" s="222"/>
      <c r="I18" s="222">
        <f t="shared" si="0"/>
        <v>153370.49692499998</v>
      </c>
      <c r="J18" s="222"/>
      <c r="K18" s="222">
        <f t="shared" si="0"/>
        <v>158738.46431737498</v>
      </c>
      <c r="L18" s="222"/>
      <c r="M18" s="222">
        <f t="shared" si="0"/>
        <v>164294.31056848308</v>
      </c>
      <c r="N18" s="222"/>
      <c r="O18" s="222">
        <f t="shared" si="0"/>
        <v>170044.61143837997</v>
      </c>
      <c r="P18" s="222"/>
      <c r="Q18" s="222">
        <f t="shared" si="0"/>
        <v>175996.17283872326</v>
      </c>
      <c r="R18" s="222"/>
      <c r="S18" s="222">
        <f t="shared" si="0"/>
        <v>182156.03888807856</v>
      </c>
      <c r="T18" s="222"/>
      <c r="U18" s="222">
        <f t="shared" si="0"/>
        <v>188531.5002491613</v>
      </c>
      <c r="V18" s="222"/>
      <c r="W18" s="222">
        <f t="shared" si="0"/>
        <v>195130.10275788192</v>
      </c>
      <c r="X18" s="222"/>
      <c r="Y18" s="222">
        <f t="shared" si="0"/>
        <v>201959.65635440778</v>
      </c>
      <c r="Z18" s="222"/>
      <c r="AA18" s="222">
        <f t="shared" si="0"/>
        <v>209028.24432681204</v>
      </c>
      <c r="AB18" s="222"/>
      <c r="AC18" s="222">
        <f t="shared" si="0"/>
        <v>216344.23287825045</v>
      </c>
      <c r="AD18" s="222"/>
      <c r="AE18" s="222">
        <f t="shared" si="0"/>
        <v>223916.28102898921</v>
      </c>
      <c r="AF18" s="222"/>
      <c r="AG18" s="222">
        <f t="shared" si="0"/>
        <v>231753.3508650038</v>
      </c>
    </row>
    <row r="19" spans="1:33" s="210" customFormat="1" ht="14.25">
      <c r="A19" s="210" t="s">
        <v>155</v>
      </c>
      <c r="C19" s="233"/>
      <c r="E19" s="222">
        <f>Application!W863</f>
        <v>65894</v>
      </c>
      <c r="F19" s="222"/>
      <c r="G19" s="222">
        <f t="shared" si="0"/>
        <v>68200.289999999994</v>
      </c>
      <c r="H19" s="222"/>
      <c r="I19" s="222">
        <f t="shared" si="0"/>
        <v>70587.300149999981</v>
      </c>
      <c r="J19" s="222"/>
      <c r="K19" s="222">
        <f t="shared" si="0"/>
        <v>73057.855655249979</v>
      </c>
      <c r="L19" s="222"/>
      <c r="M19" s="222">
        <f t="shared" si="0"/>
        <v>75614.880603183716</v>
      </c>
      <c r="N19" s="222"/>
      <c r="O19" s="222">
        <f t="shared" si="0"/>
        <v>78261.401424295138</v>
      </c>
      <c r="P19" s="222"/>
      <c r="Q19" s="222">
        <f t="shared" si="0"/>
        <v>81000.550474145464</v>
      </c>
      <c r="R19" s="222"/>
      <c r="S19" s="222">
        <f t="shared" si="0"/>
        <v>83835.569740740553</v>
      </c>
      <c r="T19" s="222"/>
      <c r="U19" s="222">
        <f t="shared" si="0"/>
        <v>86769.814681666467</v>
      </c>
      <c r="V19" s="222"/>
      <c r="W19" s="222">
        <f t="shared" si="0"/>
        <v>89806.758195524788</v>
      </c>
      <c r="X19" s="222"/>
      <c r="Y19" s="222">
        <f t="shared" si="0"/>
        <v>92949.994732368155</v>
      </c>
      <c r="Z19" s="222"/>
      <c r="AA19" s="222">
        <f t="shared" si="0"/>
        <v>96203.244548001036</v>
      </c>
      <c r="AB19" s="222"/>
      <c r="AC19" s="222">
        <f t="shared" si="0"/>
        <v>99570.358107181062</v>
      </c>
      <c r="AD19" s="222"/>
      <c r="AE19" s="222">
        <f t="shared" si="0"/>
        <v>103055.32064093239</v>
      </c>
      <c r="AF19" s="222"/>
      <c r="AG19" s="222">
        <f t="shared" si="0"/>
        <v>106662.25686336502</v>
      </c>
    </row>
    <row r="20" spans="1:33" s="210" customFormat="1" ht="14.25">
      <c r="A20" s="210" t="s">
        <v>390</v>
      </c>
      <c r="C20" s="233"/>
      <c r="E20" s="222">
        <f>Application!W872</f>
        <v>186497</v>
      </c>
      <c r="F20" s="222"/>
      <c r="G20" s="222">
        <f t="shared" si="0"/>
        <v>193024.39499999999</v>
      </c>
      <c r="H20" s="222"/>
      <c r="I20" s="222">
        <f t="shared" si="0"/>
        <v>199780.24882499999</v>
      </c>
      <c r="J20" s="222"/>
      <c r="K20" s="222">
        <f t="shared" si="0"/>
        <v>206772.55753387496</v>
      </c>
      <c r="L20" s="222"/>
      <c r="M20" s="222">
        <f t="shared" si="0"/>
        <v>214009.59704756056</v>
      </c>
      <c r="N20" s="222"/>
      <c r="O20" s="222">
        <f t="shared" si="0"/>
        <v>221499.93294422515</v>
      </c>
      <c r="P20" s="222"/>
      <c r="Q20" s="222">
        <f t="shared" si="0"/>
        <v>229252.43059727302</v>
      </c>
      <c r="R20" s="222"/>
      <c r="S20" s="222">
        <f t="shared" si="0"/>
        <v>237276.26566817757</v>
      </c>
      <c r="T20" s="222"/>
      <c r="U20" s="222">
        <f t="shared" si="0"/>
        <v>245580.93496656377</v>
      </c>
      <c r="V20" s="222"/>
      <c r="W20" s="222">
        <f t="shared" si="0"/>
        <v>254176.26769039349</v>
      </c>
      <c r="X20" s="222"/>
      <c r="Y20" s="222">
        <f t="shared" si="0"/>
        <v>263072.43705955724</v>
      </c>
      <c r="Z20" s="222"/>
      <c r="AA20" s="222">
        <f t="shared" si="0"/>
        <v>272279.97235664172</v>
      </c>
      <c r="AB20" s="222"/>
      <c r="AC20" s="222">
        <f t="shared" si="0"/>
        <v>281809.77138912416</v>
      </c>
      <c r="AD20" s="222"/>
      <c r="AE20" s="222">
        <f t="shared" si="0"/>
        <v>291673.11338774348</v>
      </c>
      <c r="AF20" s="222"/>
      <c r="AG20" s="222">
        <f t="shared" si="0"/>
        <v>301881.67235631449</v>
      </c>
    </row>
    <row r="21" spans="1:33" s="210" customFormat="1" ht="14.25">
      <c r="A21" s="226" t="s">
        <v>961</v>
      </c>
      <c r="B21" s="226"/>
      <c r="C21" s="233"/>
      <c r="E21" s="232">
        <f>Application!W879</f>
        <v>100</v>
      </c>
      <c r="F21" s="222"/>
      <c r="G21" s="232">
        <f t="shared" si="0"/>
        <v>103.49999999999999</v>
      </c>
      <c r="H21" s="222"/>
      <c r="I21" s="232">
        <f t="shared" si="0"/>
        <v>107.12249999999997</v>
      </c>
      <c r="J21" s="222"/>
      <c r="K21" s="232">
        <f t="shared" si="0"/>
        <v>110.87178749999997</v>
      </c>
      <c r="L21" s="222"/>
      <c r="M21" s="232">
        <f t="shared" si="0"/>
        <v>114.75230006249996</v>
      </c>
      <c r="N21" s="222"/>
      <c r="O21" s="232">
        <f t="shared" si="0"/>
        <v>118.76863056468744</v>
      </c>
      <c r="P21" s="222"/>
      <c r="Q21" s="232">
        <f t="shared" si="0"/>
        <v>122.92553263445149</v>
      </c>
      <c r="R21" s="222"/>
      <c r="S21" s="232">
        <f t="shared" si="0"/>
        <v>127.22792627665727</v>
      </c>
      <c r="T21" s="222"/>
      <c r="U21" s="232">
        <f t="shared" si="0"/>
        <v>131.68090369634027</v>
      </c>
      <c r="V21" s="222"/>
      <c r="W21" s="232">
        <f t="shared" si="0"/>
        <v>136.28973532571217</v>
      </c>
      <c r="X21" s="222"/>
      <c r="Y21" s="232">
        <f t="shared" si="0"/>
        <v>141.0598760621121</v>
      </c>
      <c r="Z21" s="222"/>
      <c r="AA21" s="232">
        <f t="shared" si="0"/>
        <v>145.996971724286</v>
      </c>
      <c r="AB21" s="222"/>
      <c r="AC21" s="232">
        <f t="shared" si="0"/>
        <v>151.10686573463599</v>
      </c>
      <c r="AD21" s="222"/>
      <c r="AE21" s="232">
        <f t="shared" si="0"/>
        <v>156.39560603534824</v>
      </c>
      <c r="AF21" s="222"/>
      <c r="AG21" s="232">
        <f t="shared" si="0"/>
        <v>161.86945224658541</v>
      </c>
    </row>
    <row r="22" spans="1:33" s="223" customFormat="1" ht="15">
      <c r="A22" s="223" t="s">
        <v>843</v>
      </c>
      <c r="C22" s="233"/>
      <c r="E22" s="223">
        <f>SUM(E15:E21)</f>
        <v>728864</v>
      </c>
      <c r="G22" s="223">
        <f>SUM(G15:G21)</f>
        <v>754374.24</v>
      </c>
      <c r="I22" s="223">
        <f>SUM(I15:I21)</f>
        <v>780777.33840000001</v>
      </c>
      <c r="K22" s="223">
        <f>SUM(K15:K21)</f>
        <v>808104.5452439998</v>
      </c>
      <c r="M22" s="223">
        <f>SUM(M15:M21)</f>
        <v>836388.20432753977</v>
      </c>
      <c r="O22" s="223">
        <f>SUM(O15:O21)</f>
        <v>865661.7914790035</v>
      </c>
      <c r="Q22" s="223">
        <f>SUM(Q15:Q21)</f>
        <v>895959.95418076857</v>
      </c>
      <c r="S22" s="223">
        <f>SUM(S15:S21)</f>
        <v>927318.55257709534</v>
      </c>
      <c r="U22" s="223">
        <f>SUM(U15:U21)</f>
        <v>959774.7019172936</v>
      </c>
      <c r="W22" s="223">
        <f>SUM(W15:W21)</f>
        <v>993366.81648439891</v>
      </c>
      <c r="Y22" s="223">
        <f>SUM(Y15:Y21)</f>
        <v>1028134.6550613526</v>
      </c>
      <c r="AA22" s="223">
        <f>SUM(AA15:AA21)</f>
        <v>1064119.3679885</v>
      </c>
      <c r="AC22" s="223">
        <f>SUM(AC15:AC21)</f>
        <v>1101363.5458680973</v>
      </c>
      <c r="AE22" s="223">
        <f>SUM(AE15:AE21)</f>
        <v>1139911.2699734806</v>
      </c>
      <c r="AG22" s="223">
        <f>SUM(AG15:AG21)</f>
        <v>1179808.1644225526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85000</v>
      </c>
      <c r="F27" s="222"/>
      <c r="G27" s="222">
        <f>E27*$C$27</f>
        <v>87975</v>
      </c>
      <c r="H27" s="222"/>
      <c r="I27" s="222">
        <f>G27*$C$27</f>
        <v>91054.125</v>
      </c>
      <c r="J27" s="222"/>
      <c r="K27" s="222">
        <f>I27*$C$27</f>
        <v>94241.019374999989</v>
      </c>
      <c r="L27" s="222"/>
      <c r="M27" s="222">
        <f>K27*$C$27</f>
        <v>97539.455053124984</v>
      </c>
      <c r="N27" s="222"/>
      <c r="O27" s="222">
        <f>M27*$C$27</f>
        <v>100953.33597998435</v>
      </c>
      <c r="P27" s="222"/>
      <c r="Q27" s="222">
        <f>O27*$C$27</f>
        <v>104486.70273928379</v>
      </c>
      <c r="R27" s="222"/>
      <c r="S27" s="222">
        <f>Q27*$C$27</f>
        <v>108143.73733515872</v>
      </c>
      <c r="T27" s="222"/>
      <c r="U27" s="222">
        <f>S27*$C$27</f>
        <v>111928.76814188926</v>
      </c>
      <c r="V27" s="222"/>
      <c r="W27" s="222">
        <f>U27*$C$27</f>
        <v>115846.27502685538</v>
      </c>
      <c r="X27" s="222"/>
      <c r="Y27" s="222">
        <f>W27*$C$27</f>
        <v>119900.89465279531</v>
      </c>
      <c r="Z27" s="222"/>
      <c r="AA27" s="222">
        <f>Y27*$C$27</f>
        <v>124097.42596564314</v>
      </c>
      <c r="AB27" s="222"/>
      <c r="AC27" s="222">
        <f>AA27*$C$27</f>
        <v>128440.83587444064</v>
      </c>
      <c r="AD27" s="222"/>
      <c r="AE27" s="222">
        <f>AC27*$C$27</f>
        <v>132936.26513004606</v>
      </c>
      <c r="AF27" s="222"/>
      <c r="AG27" s="222">
        <f>AE27*$C$27</f>
        <v>137589.03440959766</v>
      </c>
    </row>
    <row r="28" spans="1:33" s="210" customFormat="1" ht="14.25">
      <c r="A28" s="210" t="s">
        <v>846</v>
      </c>
      <c r="C28" s="237"/>
      <c r="E28" s="222">
        <f>Application!AC889</f>
        <v>28584</v>
      </c>
      <c r="F28" s="222"/>
      <c r="G28" s="222">
        <f>$E$28</f>
        <v>28584</v>
      </c>
      <c r="H28" s="222"/>
      <c r="I28" s="222">
        <f>$E$28</f>
        <v>28584</v>
      </c>
      <c r="J28" s="222"/>
      <c r="K28" s="222">
        <f>$E$28</f>
        <v>28584</v>
      </c>
      <c r="L28" s="222"/>
      <c r="M28" s="222">
        <f>$E$28</f>
        <v>28584</v>
      </c>
      <c r="N28" s="222"/>
      <c r="O28" s="222">
        <f>$E$28</f>
        <v>28584</v>
      </c>
      <c r="P28" s="222"/>
      <c r="Q28" s="222">
        <f>$E$28</f>
        <v>28584</v>
      </c>
      <c r="R28" s="222"/>
      <c r="S28" s="222">
        <f>$E$28</f>
        <v>28584</v>
      </c>
      <c r="T28" s="222"/>
      <c r="U28" s="222">
        <f>$E$28</f>
        <v>28584</v>
      </c>
      <c r="V28" s="222"/>
      <c r="W28" s="222">
        <f>$E$28</f>
        <v>28584</v>
      </c>
      <c r="X28" s="222"/>
      <c r="Y28" s="222">
        <f>$E$28</f>
        <v>28584</v>
      </c>
      <c r="Z28" s="222"/>
      <c r="AA28" s="222">
        <f>$E$28</f>
        <v>28584</v>
      </c>
      <c r="AB28" s="222"/>
      <c r="AC28" s="222">
        <f>$E$28</f>
        <v>28584</v>
      </c>
      <c r="AD28" s="222"/>
      <c r="AE28" s="222">
        <f>$E$28</f>
        <v>28584</v>
      </c>
      <c r="AF28" s="222"/>
      <c r="AG28" s="222">
        <f>$E$28</f>
        <v>28584</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13963</v>
      </c>
      <c r="F30" s="222"/>
      <c r="G30" s="222">
        <f>E30*$C$30</f>
        <v>14242.26</v>
      </c>
      <c r="H30" s="222"/>
      <c r="I30" s="222">
        <f>G30*$C$30</f>
        <v>14527.1052</v>
      </c>
      <c r="J30" s="222"/>
      <c r="K30" s="222">
        <f>I30*$C$30</f>
        <v>14817.647304</v>
      </c>
      <c r="L30" s="222"/>
      <c r="M30" s="222">
        <f>K30*$C$30</f>
        <v>15114.00025008</v>
      </c>
      <c r="N30" s="222"/>
      <c r="O30" s="222">
        <f>M30*$C$30</f>
        <v>15416.2802550816</v>
      </c>
      <c r="P30" s="222"/>
      <c r="Q30" s="222">
        <f>O30*$C$30</f>
        <v>15724.605860183232</v>
      </c>
      <c r="R30" s="222"/>
      <c r="S30" s="222">
        <f>Q30*$C$30</f>
        <v>16039.097977386897</v>
      </c>
      <c r="T30" s="222"/>
      <c r="U30" s="222">
        <f>S30*$C$30</f>
        <v>16359.879936934634</v>
      </c>
      <c r="V30" s="222"/>
      <c r="W30" s="222">
        <f>U30*$C$30</f>
        <v>16687.077535673328</v>
      </c>
      <c r="X30" s="222"/>
      <c r="Y30" s="222">
        <f>W30*$C$30</f>
        <v>17020.819086386797</v>
      </c>
      <c r="Z30" s="222"/>
      <c r="AA30" s="222">
        <f>Y30*$C$30</f>
        <v>17361.235468114533</v>
      </c>
      <c r="AB30" s="222"/>
      <c r="AC30" s="222">
        <f>AA30*$C$30</f>
        <v>17708.460177476823</v>
      </c>
      <c r="AD30" s="222"/>
      <c r="AE30" s="222">
        <f>AC30*$C$30</f>
        <v>18062.62938102636</v>
      </c>
      <c r="AF30" s="222"/>
      <c r="AG30" s="222">
        <f>AE30*$C$30</f>
        <v>18423.881968646889</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Trustee/Issuer Fee</v>
      </c>
      <c r="C32" s="316">
        <v>1</v>
      </c>
      <c r="E32" s="222">
        <f>Application!AC894</f>
        <v>6000</v>
      </c>
      <c r="F32" s="222"/>
      <c r="G32" s="222">
        <f>E32*$C$32</f>
        <v>6000</v>
      </c>
      <c r="H32" s="222"/>
      <c r="I32" s="222">
        <f>G32*$C$32</f>
        <v>6000</v>
      </c>
      <c r="J32" s="222"/>
      <c r="K32" s="222">
        <f>I32*$C$32</f>
        <v>6000</v>
      </c>
      <c r="L32" s="222"/>
      <c r="M32" s="222">
        <f>K32*$C$32</f>
        <v>6000</v>
      </c>
      <c r="N32" s="222"/>
      <c r="O32" s="222">
        <f>M32*$C$32</f>
        <v>6000</v>
      </c>
      <c r="P32" s="222"/>
      <c r="Q32" s="222">
        <f>O32*$C$32</f>
        <v>6000</v>
      </c>
      <c r="R32" s="222"/>
      <c r="S32" s="222">
        <f>Q32*$C$32</f>
        <v>6000</v>
      </c>
      <c r="T32" s="222"/>
      <c r="U32" s="222">
        <f>S32*$C$32</f>
        <v>6000</v>
      </c>
      <c r="V32" s="222"/>
      <c r="W32" s="222">
        <f>U32*$C$32</f>
        <v>6000</v>
      </c>
      <c r="X32" s="222"/>
      <c r="Y32" s="222">
        <f>W32*$C$32</f>
        <v>6000</v>
      </c>
      <c r="Z32" s="222"/>
      <c r="AA32" s="222">
        <f>Y32*$C$32</f>
        <v>6000</v>
      </c>
      <c r="AB32" s="222"/>
      <c r="AC32" s="222">
        <f>AA32*$C$32</f>
        <v>6000</v>
      </c>
      <c r="AD32" s="222"/>
      <c r="AE32" s="222">
        <f>AC32*$C$32</f>
        <v>6000</v>
      </c>
      <c r="AF32" s="222"/>
      <c r="AG32" s="222">
        <f>AE32*$C$32</f>
        <v>6000</v>
      </c>
    </row>
    <row r="33" spans="1:33" s="210" customFormat="1" ht="14.25">
      <c r="A33" s="210">
        <f>Application!C895</f>
        <v>0</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862411</v>
      </c>
      <c r="G35" s="223">
        <f>SUM(G22:G33)</f>
        <v>891175.5</v>
      </c>
      <c r="I35" s="223">
        <f>SUM(I22:I33)</f>
        <v>920942.5686</v>
      </c>
      <c r="K35" s="223">
        <f>SUM(K22:K33)</f>
        <v>951747.21192299982</v>
      </c>
      <c r="M35" s="223">
        <f>SUM(M22:M33)</f>
        <v>983625.65963074483</v>
      </c>
      <c r="O35" s="223">
        <f>SUM(O22:O33)</f>
        <v>1016615.4077140695</v>
      </c>
      <c r="Q35" s="223">
        <f>SUM(Q22:Q33)</f>
        <v>1050755.2627802356</v>
      </c>
      <c r="S35" s="223">
        <f>SUM(S22:S33)</f>
        <v>1086085.3878896409</v>
      </c>
      <c r="U35" s="223">
        <f>SUM(U22:U33)</f>
        <v>1122647.3499961176</v>
      </c>
      <c r="W35" s="223">
        <f>SUM(W22:W33)</f>
        <v>1160484.1690469275</v>
      </c>
      <c r="Y35" s="223">
        <f>SUM(Y22:Y33)</f>
        <v>1199640.3688005349</v>
      </c>
      <c r="AA35" s="223">
        <f>SUM(AA22:AA33)</f>
        <v>1240162.0294222578</v>
      </c>
      <c r="AC35" s="223">
        <f>SUM(AC22:AC33)</f>
        <v>1282096.8419200147</v>
      </c>
      <c r="AE35" s="223">
        <f>SUM(AE22:AE33)</f>
        <v>1325494.164484553</v>
      </c>
      <c r="AG35" s="223">
        <f>SUM(AG22:AG33)</f>
        <v>1370405.0808007971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528587.01799999992</v>
      </c>
      <c r="G37" s="223">
        <f>G11-G35</f>
        <v>534597.46844999958</v>
      </c>
      <c r="I37" s="223">
        <f>I11-I35</f>
        <v>540474.72406124941</v>
      </c>
      <c r="K37" s="223">
        <f>K11-K35</f>
        <v>546205.51305478078</v>
      </c>
      <c r="M37" s="223">
        <f>M11-M35</f>
        <v>551775.88347147999</v>
      </c>
      <c r="O37" s="223">
        <f>O11-O35</f>
        <v>557171.1739657108</v>
      </c>
      <c r="Q37" s="223">
        <f>Q11-Q35</f>
        <v>562375.98344153911</v>
      </c>
      <c r="S37" s="223">
        <f>S11-S35</f>
        <v>567374.13948767772</v>
      </c>
      <c r="U37" s="223">
        <f>U11-U35</f>
        <v>572148.66556563415</v>
      </c>
      <c r="W37" s="223">
        <f>W11-W35</f>
        <v>576681.74690386793</v>
      </c>
      <c r="Y37" s="223">
        <f>Y11-Y35</f>
        <v>580954.69504903001</v>
      </c>
      <c r="AA37" s="223">
        <f>AA11-AA35</f>
        <v>584947.91102354648</v>
      </c>
      <c r="AC37" s="223">
        <f>AC11-AC35</f>
        <v>588640.84703693446</v>
      </c>
      <c r="AE37" s="223">
        <f>AE11-AE35</f>
        <v>592011.96669631964</v>
      </c>
      <c r="AG37" s="223">
        <f>AG11-AG35</f>
        <v>595038.70365959709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JP Morgan TE Perm Loan</v>
      </c>
      <c r="B40" s="226"/>
      <c r="C40" s="220"/>
      <c r="E40" s="222">
        <f>Application!AF627</f>
        <v>458930</v>
      </c>
      <c r="F40" s="222"/>
      <c r="G40" s="222">
        <f>$E$40</f>
        <v>458930</v>
      </c>
      <c r="H40" s="222"/>
      <c r="I40" s="222">
        <f>$E$40</f>
        <v>458930</v>
      </c>
      <c r="J40" s="222"/>
      <c r="K40" s="222">
        <f>$E$40</f>
        <v>458930</v>
      </c>
      <c r="L40" s="222"/>
      <c r="M40" s="222">
        <f>$E$40</f>
        <v>458930</v>
      </c>
      <c r="N40" s="222"/>
      <c r="O40" s="222">
        <f>$E$40</f>
        <v>458930</v>
      </c>
      <c r="P40" s="222"/>
      <c r="Q40" s="222">
        <f>$E$40</f>
        <v>458930</v>
      </c>
      <c r="R40" s="222"/>
      <c r="S40" s="222">
        <f>$E$40</f>
        <v>458930</v>
      </c>
      <c r="T40" s="222"/>
      <c r="U40" s="222">
        <f>$E$40</f>
        <v>458930</v>
      </c>
      <c r="V40" s="222"/>
      <c r="W40" s="222">
        <f>$E$40</f>
        <v>458930</v>
      </c>
      <c r="X40" s="222"/>
      <c r="Y40" s="222">
        <f>$E$40</f>
        <v>458930</v>
      </c>
      <c r="Z40" s="222"/>
      <c r="AA40" s="222">
        <f>$E$40</f>
        <v>458930</v>
      </c>
      <c r="AB40" s="222"/>
      <c r="AC40" s="222">
        <f>$E$40</f>
        <v>458930</v>
      </c>
      <c r="AD40" s="222"/>
      <c r="AE40" s="222">
        <f>$E$40</f>
        <v>458930</v>
      </c>
      <c r="AF40" s="222"/>
      <c r="AG40" s="222">
        <f>$E$40</f>
        <v>458930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458930</v>
      </c>
      <c r="G43" s="223">
        <f>SUM(G40:G42)</f>
        <v>458930</v>
      </c>
      <c r="I43" s="223">
        <f>SUM(I40:I42)</f>
        <v>458930</v>
      </c>
      <c r="K43" s="223">
        <f>SUM(K40:K42)</f>
        <v>458930</v>
      </c>
      <c r="M43" s="223">
        <f>SUM(M40:M42)</f>
        <v>458930</v>
      </c>
      <c r="O43" s="223">
        <f>SUM(O40:O42)</f>
        <v>458930</v>
      </c>
      <c r="Q43" s="223">
        <f>SUM(Q40:Q42)</f>
        <v>458930</v>
      </c>
      <c r="S43" s="223">
        <f>SUM(S40:S42)</f>
        <v>458930</v>
      </c>
      <c r="U43" s="223">
        <f>SUM(U40:U42)</f>
        <v>458930</v>
      </c>
      <c r="W43" s="223">
        <f>SUM(W40:W42)</f>
        <v>458930</v>
      </c>
      <c r="Y43" s="223">
        <f>SUM(Y40:Y42)</f>
        <v>458930</v>
      </c>
      <c r="AA43" s="223">
        <f>SUM(AA40:AA42)</f>
        <v>458930</v>
      </c>
      <c r="AC43" s="223">
        <f>SUM(AC40:AC42)</f>
        <v>458930</v>
      </c>
      <c r="AE43" s="223">
        <f>SUM(AE40:AE42)</f>
        <v>458930</v>
      </c>
      <c r="AG43" s="223">
        <f>SUM(AG40:AG42)</f>
        <v>458930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69657.017999999924</v>
      </c>
      <c r="G45" s="223">
        <f>G37-G43</f>
        <v>75667.468449999578</v>
      </c>
      <c r="I45" s="223">
        <f>I37-I43</f>
        <v>81544.724061249406</v>
      </c>
      <c r="K45" s="223">
        <f>K37-K43</f>
        <v>87275.513054780778</v>
      </c>
      <c r="M45" s="223">
        <f>M37-M43</f>
        <v>92845.883471479989</v>
      </c>
      <c r="O45" s="223">
        <f>O37-O43</f>
        <v>98241.173965710797</v>
      </c>
      <c r="Q45" s="223">
        <f>Q37-Q43</f>
        <v>103445.98344153911</v>
      </c>
      <c r="S45" s="223">
        <f>S37-S43</f>
        <v>108444.13948767772</v>
      </c>
      <c r="U45" s="223">
        <f>U37-U43</f>
        <v>113218.66556563415</v>
      </c>
      <c r="W45" s="223">
        <f>W37-W43</f>
        <v>117751.74690386793</v>
      </c>
      <c r="Y45" s="223">
        <f>Y37-Y43</f>
        <v>122024.69504903001</v>
      </c>
      <c r="AA45" s="223">
        <f>AA37-AA43</f>
        <v>126017.91102354648</v>
      </c>
      <c r="AC45" s="223">
        <f>AC37-AC43</f>
        <v>129710.84703693446</v>
      </c>
      <c r="AE45" s="223">
        <f>AE37-AE43</f>
        <v>133081.96669631964</v>
      </c>
      <c r="AG45" s="223">
        <f>AG37-AG43</f>
        <v>136108.70365959709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4.7573157002154642E-2</v>
      </c>
      <c r="G47" s="227">
        <f>G45/(G4+G6+G8)</f>
        <v>5.0417630729559244E-2</v>
      </c>
      <c r="I47" s="227">
        <f>I45/(I4+I6+I8)</f>
        <v>5.3008465307754903E-2</v>
      </c>
      <c r="K47" s="227">
        <f>K45/(K4+K6+K8)</f>
        <v>5.5350036098950714E-2</v>
      </c>
      <c r="M47" s="227">
        <f>M45/(M4+M6+M8)</f>
        <v>5.7446594146110946E-2</v>
      </c>
      <c r="O47" s="227">
        <f>O45/(O4+O6+O8)</f>
        <v>5.9302269033079745E-2</v>
      </c>
      <c r="Q47" s="227">
        <f>Q45/(Q4+Q6+Q8)</f>
        <v>6.0921071673266318E-2</v>
      </c>
      <c r="S47" s="227">
        <f>S45/(S4+S6+S8)</f>
        <v>6.2306897028622743E-2</v>
      </c>
      <c r="U47" s="227">
        <f>U45/(U4+U6+U8)</f>
        <v>6.3463526760594663E-2</v>
      </c>
      <c r="W47" s="227">
        <f>W45/(W4+W6+W8)</f>
        <v>6.4394631814686756E-2</v>
      </c>
      <c r="Y47" s="227">
        <f>Y45/(Y4+Y6+Y8)</f>
        <v>6.5103774940247952E-2</v>
      </c>
      <c r="AA47" s="227">
        <f>AA45/(AA4+AA6+AA8)</f>
        <v>6.5594413147038635E-2</v>
      </c>
      <c r="AC47" s="227">
        <f>AC45/(AC4+AC6+AC8)</f>
        <v>6.5869900100100826E-2</v>
      </c>
      <c r="AE47" s="227">
        <f>AE45/(AE4+AE6+AE8)</f>
        <v>6.5933488454425232E-2</v>
      </c>
      <c r="AG47" s="227">
        <f>AG45/(AG4+AG6+AG8)</f>
        <v>6.578833213086123E-2</v>
      </c>
    </row>
    <row r="48" spans="1:33" s="227" customFormat="1" ht="14.25">
      <c r="A48" s="227" t="s">
        <v>852</v>
      </c>
      <c r="C48" s="220"/>
      <c r="E48" s="227">
        <f>E45/E43</f>
        <v>0.15178135663390915</v>
      </c>
      <c r="G48" s="227">
        <f>G45/G43</f>
        <v>0.16487801723574311</v>
      </c>
      <c r="I48" s="227">
        <f>I45/I43</f>
        <v>0.17768444874218162</v>
      </c>
      <c r="K48" s="227">
        <f>K45/K43</f>
        <v>0.19017173219179564</v>
      </c>
      <c r="M48" s="227">
        <f>M45/M43</f>
        <v>0.20230946652317344</v>
      </c>
      <c r="O48" s="227">
        <f>O45/O43</f>
        <v>0.21406570493476304</v>
      </c>
      <c r="Q48" s="227">
        <f>Q45/Q43</f>
        <v>0.22540688872276624</v>
      </c>
      <c r="S48" s="227">
        <f>S45/S43</f>
        <v>0.23629777850146585</v>
      </c>
      <c r="U48" s="227">
        <f>U45/U43</f>
        <v>0.24670138270680528</v>
      </c>
      <c r="W48" s="227">
        <f>W45/W43</f>
        <v>0.2565788832803868</v>
      </c>
      <c r="Y48" s="227">
        <f>Y45/Y43</f>
        <v>0.26588955842727652</v>
      </c>
      <c r="AA48" s="227">
        <f>AA45/AA43</f>
        <v>0.27459070233705896</v>
      </c>
      <c r="AC48" s="227">
        <f>AC45/AC43</f>
        <v>0.28263754175350153</v>
      </c>
      <c r="AE48" s="227">
        <f>AE45/AE43</f>
        <v>0.28998314927400615</v>
      </c>
      <c r="AG48" s="227">
        <f>AG45/AG43</f>
        <v>0.29657835325560999</v>
      </c>
    </row>
    <row r="49" spans="1:34" s="228" customFormat="1" ht="14.25">
      <c r="A49" s="228" t="s">
        <v>850</v>
      </c>
      <c r="C49" s="229"/>
      <c r="E49" s="228">
        <f>E37/E43</f>
        <v>1.1517813566339092</v>
      </c>
      <c r="G49" s="228">
        <f>G37/G43</f>
        <v>1.1648780172357431</v>
      </c>
      <c r="I49" s="228">
        <f>I37/I43</f>
        <v>1.1776844487421816</v>
      </c>
      <c r="K49" s="228">
        <f>K37/K43</f>
        <v>1.1901717321917957</v>
      </c>
      <c r="M49" s="228">
        <f>M37/M43</f>
        <v>1.2023094665231735</v>
      </c>
      <c r="O49" s="228">
        <f>O37/O43</f>
        <v>1.214065704934763</v>
      </c>
      <c r="Q49" s="228">
        <f>Q37/Q43</f>
        <v>1.2254068887227663</v>
      </c>
      <c r="S49" s="228">
        <f>S37/S43</f>
        <v>1.2362977785014659</v>
      </c>
      <c r="U49" s="228">
        <f>U37/U43</f>
        <v>1.2467013827068052</v>
      </c>
      <c r="W49" s="228">
        <f>W37/W43</f>
        <v>1.2565788832803868</v>
      </c>
      <c r="Y49" s="228">
        <f>Y37/Y43</f>
        <v>1.2658895584272765</v>
      </c>
      <c r="AA49" s="228">
        <f>AA37/AA43</f>
        <v>1.2745907023370591</v>
      </c>
      <c r="AC49" s="228">
        <f>AC37/AC43</f>
        <v>1.2826375417535016</v>
      </c>
      <c r="AE49" s="228">
        <f>AE37/AE43</f>
        <v>1.2899831492740061</v>
      </c>
      <c r="AG49" s="228">
        <f>AG37/AG43</f>
        <v>1.2965783532556099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1" t="s">
        <v>1183</v>
      </c>
      <c r="B52" s="2701"/>
      <c r="C52" s="270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69657.017999999924</v>
      </c>
      <c r="G60" s="962">
        <f>G45-G58</f>
        <v>75667.468449999578</v>
      </c>
      <c r="I60" s="962">
        <f>I45-I58</f>
        <v>81544.724061249406</v>
      </c>
      <c r="K60" s="962">
        <f>K45-K58</f>
        <v>87275.513054780778</v>
      </c>
      <c r="M60" s="962">
        <f>M45-M58</f>
        <v>92845.883471479989</v>
      </c>
      <c r="O60" s="962">
        <f>O45-O58</f>
        <v>98241.173965710797</v>
      </c>
      <c r="Q60" s="962">
        <f>Q45-Q58</f>
        <v>103445.98344153911</v>
      </c>
      <c r="S60" s="962">
        <f>S45-S58</f>
        <v>108444.13948767772</v>
      </c>
      <c r="U60" s="962">
        <f>U45-U58</f>
        <v>113218.66556563415</v>
      </c>
      <c r="W60" s="962">
        <f>W45-W58</f>
        <v>117751.74690386793</v>
      </c>
      <c r="Y60" s="962">
        <f>Y45-Y58</f>
        <v>122024.69504903001</v>
      </c>
      <c r="AA60" s="962">
        <f>AA45-AA58</f>
        <v>126017.91102354648</v>
      </c>
      <c r="AC60" s="962">
        <f>AC45-AC58</f>
        <v>129710.84703693446</v>
      </c>
      <c r="AE60" s="962">
        <f>AE45-AE58</f>
        <v>133081.96669631964</v>
      </c>
      <c r="AG60" s="962">
        <f>AG45-AG58</f>
        <v>136108.70365959709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34828.508999999962</v>
      </c>
      <c r="G62" s="962">
        <f>G60*$C$62</f>
        <v>37833.734224999789</v>
      </c>
      <c r="I62" s="962">
        <f>I60*$C$62</f>
        <v>40772.362030624703</v>
      </c>
      <c r="K62" s="962">
        <f>K60*$C$62</f>
        <v>43637.756527390389</v>
      </c>
      <c r="M62" s="962">
        <f>M60*$C$62</f>
        <v>46422.941735739994</v>
      </c>
      <c r="O62" s="962">
        <f>O60*$C$62</f>
        <v>49120.586982855399</v>
      </c>
      <c r="Q62" s="962">
        <f>Q60*$C$62</f>
        <v>51722.991720769554</v>
      </c>
      <c r="S62" s="962">
        <f>S60*$C$62</f>
        <v>54222.06974383886</v>
      </c>
      <c r="U62" s="962">
        <f>U60*$C$62</f>
        <v>56609.332782817073</v>
      </c>
      <c r="W62" s="962">
        <f>W60*$C$62</f>
        <v>58875.873451933963</v>
      </c>
      <c r="Y62" s="962">
        <f>Y60*$C$62</f>
        <v>61012.347524515004</v>
      </c>
      <c r="AA62" s="962">
        <f>AA60*$C$62</f>
        <v>63008.955511773238</v>
      </c>
      <c r="AC62" s="962">
        <f>AC60*$C$62</f>
        <v>64855.423518467229</v>
      </c>
      <c r="AE62" s="962">
        <f>AE60*$C$62</f>
        <v>66540.983348159818</v>
      </c>
      <c r="AG62" s="962">
        <f>AG60*$C$62</f>
        <v>68054.351829798543</v>
      </c>
    </row>
    <row r="63" spans="1:34" s="962" customFormat="1">
      <c r="A63" s="2701" t="s">
        <v>1183</v>
      </c>
      <c r="B63" s="2701"/>
      <c r="C63" s="270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17414.254499999981</v>
      </c>
      <c r="G66" s="960">
        <f>G60*$C$65</f>
        <v>18916.867112499895</v>
      </c>
      <c r="I66" s="960">
        <f>I60*$C$65</f>
        <v>20386.181015312352</v>
      </c>
      <c r="K66" s="960">
        <f>K60*$C$65</f>
        <v>21818.878263695195</v>
      </c>
      <c r="M66" s="960">
        <f>M60*$C$65</f>
        <v>23211.470867869997</v>
      </c>
      <c r="O66" s="960">
        <f>O60*$C$65</f>
        <v>24560.293491427699</v>
      </c>
      <c r="Q66" s="960">
        <f>Q60*$C$65</f>
        <v>25861.495860384777</v>
      </c>
      <c r="S66" s="960">
        <f>S60*$C$65</f>
        <v>27111.03487191943</v>
      </c>
      <c r="U66" s="960">
        <f>U60*$C$65</f>
        <v>28304.666391408537</v>
      </c>
      <c r="W66" s="960">
        <f>W60*$C$65</f>
        <v>29437.936725966982</v>
      </c>
      <c r="Y66" s="960">
        <f>Y60*$C$65</f>
        <v>30506.173762257502</v>
      </c>
      <c r="AA66" s="960">
        <f>AA60*$C$65</f>
        <v>31504.477755886619</v>
      </c>
      <c r="AC66" s="960">
        <f>AC60*$C$65</f>
        <v>32427.711759233614</v>
      </c>
      <c r="AE66" s="960">
        <f>AE60*$C$65</f>
        <v>33270.491674079909</v>
      </c>
      <c r="AG66" s="960">
        <f>AG60*$C$65</f>
        <v>34027.175914899271</v>
      </c>
    </row>
    <row r="67" spans="1:34" s="960" customFormat="1">
      <c r="A67" s="965"/>
      <c r="B67" s="965"/>
      <c r="C67" s="970"/>
      <c r="E67" s="964">
        <f>$E60*$C$65</f>
        <v>17414.254499999981</v>
      </c>
      <c r="G67" s="960">
        <f>G60*$C$65</f>
        <v>18916.867112499895</v>
      </c>
      <c r="I67" s="960">
        <f>I60*$C$65</f>
        <v>20386.181015312352</v>
      </c>
      <c r="K67" s="960">
        <f>K60*$C$65</f>
        <v>21818.878263695195</v>
      </c>
      <c r="M67" s="960">
        <f>M60*$C$65</f>
        <v>23211.470867869997</v>
      </c>
      <c r="O67" s="960">
        <f>O60*$C$65</f>
        <v>24560.293491427699</v>
      </c>
      <c r="Q67" s="960">
        <f>Q60*$C$65</f>
        <v>25861.495860384777</v>
      </c>
      <c r="S67" s="960">
        <f>S60*$C$65</f>
        <v>27111.03487191943</v>
      </c>
      <c r="U67" s="960">
        <f>U60*$C$65</f>
        <v>28304.666391408537</v>
      </c>
      <c r="W67" s="960">
        <f>W60*$C$65</f>
        <v>29437.936725966982</v>
      </c>
      <c r="Y67" s="960">
        <f>Y60*$C$65</f>
        <v>30506.173762257502</v>
      </c>
      <c r="AA67" s="960">
        <f>AA60*$C$65</f>
        <v>31504.477755886619</v>
      </c>
      <c r="AC67" s="960">
        <f>AC60*$C$65</f>
        <v>32427.711759233614</v>
      </c>
      <c r="AE67" s="960">
        <f>AE60*$C$65</f>
        <v>33270.491674079909</v>
      </c>
      <c r="AG67" s="960">
        <f>AG60*$C$65</f>
        <v>34027.175914899271</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34828.508999999962</v>
      </c>
      <c r="G70" s="960">
        <f>SUM(G66:G69)</f>
        <v>37833.734224999789</v>
      </c>
      <c r="I70" s="960">
        <f>SUM(I66:I69)</f>
        <v>40772.362030624703</v>
      </c>
      <c r="K70" s="960">
        <f>SUM(K66:K69)</f>
        <v>43637.756527390389</v>
      </c>
      <c r="M70" s="960">
        <f>SUM(M66:M69)</f>
        <v>46422.941735739994</v>
      </c>
      <c r="O70" s="960">
        <f>SUM(O66:O69)</f>
        <v>49120.586982855399</v>
      </c>
      <c r="Q70" s="960">
        <f>SUM(Q66:Q69)</f>
        <v>51722.991720769554</v>
      </c>
      <c r="S70" s="960">
        <f>SUM(S66:S69)</f>
        <v>54222.06974383886</v>
      </c>
      <c r="U70" s="960">
        <f>SUM(U66:U69)</f>
        <v>56609.332782817073</v>
      </c>
      <c r="W70" s="960">
        <f>SUM(W66:W69)</f>
        <v>58875.873451933963</v>
      </c>
      <c r="Y70" s="960">
        <f>SUM(Y66:Y69)</f>
        <v>61012.347524515004</v>
      </c>
      <c r="AA70" s="960">
        <f>SUM(AA66:AA69)</f>
        <v>63008.955511773238</v>
      </c>
      <c r="AC70" s="960">
        <f>SUM(AC66:AC69)</f>
        <v>64855.423518467229</v>
      </c>
      <c r="AE70" s="960">
        <f>SUM(AE66:AE69)</f>
        <v>66540.983348159818</v>
      </c>
      <c r="AG70" s="960">
        <f>SUM(AG66:AG69)</f>
        <v>68054.351829798543</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9" t="s">
        <v>1720</v>
      </c>
      <c r="B77" s="2700"/>
      <c r="C77" s="2700"/>
      <c r="D77" s="2700"/>
      <c r="E77" s="2700"/>
      <c r="F77" s="2700"/>
      <c r="G77" s="2700"/>
      <c r="H77" s="2700"/>
      <c r="I77" s="2700"/>
      <c r="J77" s="2700"/>
      <c r="K77" s="2700"/>
      <c r="L77" s="2700"/>
      <c r="M77" s="2700"/>
      <c r="N77" s="2700"/>
      <c r="O77" s="2700"/>
      <c r="P77" s="2700"/>
      <c r="Q77" s="2700"/>
      <c r="R77" s="2700"/>
      <c r="S77" s="2700"/>
      <c r="T77" s="2700"/>
      <c r="U77" s="2700"/>
      <c r="V77" s="2700"/>
      <c r="W77" s="2700"/>
      <c r="X77" s="2700"/>
      <c r="Y77" s="2700"/>
      <c r="Z77" s="2700"/>
      <c r="AA77" s="2700"/>
      <c r="AB77" s="2700"/>
      <c r="AC77" s="2700"/>
      <c r="AD77" s="2700"/>
      <c r="AE77" s="2700"/>
      <c r="AF77" s="2700"/>
      <c r="AG77" s="270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500000</v>
      </c>
      <c r="C5" s="266">
        <f>'Sources and Uses Budget'!$C4</f>
        <v>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500000</v>
      </c>
      <c r="C9" s="270">
        <f>SUM(C5:C8)</f>
        <v>500000</v>
      </c>
      <c r="D9" s="270">
        <f t="shared" si="0"/>
        <v>0</v>
      </c>
      <c r="E9" s="268"/>
      <c r="F9" s="267"/>
    </row>
    <row r="10" spans="1:6" s="352" customFormat="1">
      <c r="A10" s="364" t="s">
        <v>594</v>
      </c>
      <c r="B10" s="266">
        <f>'Sources and Uses Budget'!$C9</f>
        <v>20500000</v>
      </c>
      <c r="C10" s="266">
        <f>'Sources and Uses Budget'!$C9</f>
        <v>20500000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20500000</v>
      </c>
      <c r="C12" s="270">
        <f>SUM(C10:C11)</f>
        <v>20500000</v>
      </c>
      <c r="D12" s="270">
        <f t="shared" si="0"/>
        <v>0</v>
      </c>
      <c r="E12" s="268"/>
      <c r="F12" s="267"/>
    </row>
    <row r="13" spans="1:6" s="352" customFormat="1">
      <c r="A13" s="365" t="s">
        <v>84</v>
      </c>
      <c r="B13" s="270">
        <f>SUM(B9+B12)</f>
        <v>21000000</v>
      </c>
      <c r="C13" s="270">
        <f>SUM(C9+C12)</f>
        <v>21000000</v>
      </c>
      <c r="D13" s="270">
        <f t="shared" si="0"/>
        <v>0</v>
      </c>
      <c r="E13" s="268"/>
      <c r="F13" s="267"/>
    </row>
    <row r="14" spans="1:6" s="352" customFormat="1">
      <c r="A14" s="366" t="s">
        <v>902</v>
      </c>
      <c r="B14" s="266">
        <f>'Sources and Uses Budget'!$C13</f>
        <v>107797</v>
      </c>
      <c r="C14" s="266">
        <f>'Sources and Uses Budget'!$C13</f>
        <v>107797</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200000</v>
      </c>
      <c r="C18" s="266">
        <f>'Sources and Uses Budget'!$C17</f>
        <v>200000</v>
      </c>
      <c r="D18" s="270">
        <f t="shared" si="0"/>
        <v>0</v>
      </c>
      <c r="E18" s="268"/>
      <c r="F18" s="267"/>
    </row>
    <row r="19" spans="1:6" s="352" customFormat="1">
      <c r="A19" s="145" t="s">
        <v>599</v>
      </c>
      <c r="B19" s="266">
        <f>'Sources and Uses Budget'!$C18</f>
        <v>4906000</v>
      </c>
      <c r="C19" s="266">
        <f>'Sources and Uses Budget'!$C18</f>
        <v>4906000</v>
      </c>
      <c r="D19" s="270">
        <f t="shared" si="0"/>
        <v>0</v>
      </c>
      <c r="E19" s="268"/>
      <c r="F19" s="267"/>
    </row>
    <row r="20" spans="1:6" s="352" customFormat="1">
      <c r="A20" s="145" t="s">
        <v>600</v>
      </c>
      <c r="B20" s="266">
        <f>'Sources and Uses Budget'!$C19</f>
        <v>416000</v>
      </c>
      <c r="C20" s="266">
        <f>'Sources and Uses Budget'!$C19</f>
        <v>416000</v>
      </c>
      <c r="D20" s="270">
        <f t="shared" si="0"/>
        <v>0</v>
      </c>
      <c r="E20" s="268"/>
      <c r="F20" s="267"/>
    </row>
    <row r="21" spans="1:6" s="352" customFormat="1">
      <c r="A21" s="145" t="s">
        <v>137</v>
      </c>
      <c r="B21" s="266">
        <f>'Sources and Uses Budget'!$C20</f>
        <v>130000</v>
      </c>
      <c r="C21" s="266">
        <f>'Sources and Uses Budget'!$C20</f>
        <v>130000</v>
      </c>
      <c r="D21" s="270">
        <f t="shared" si="0"/>
        <v>0</v>
      </c>
      <c r="E21" s="268"/>
      <c r="F21" s="267"/>
    </row>
    <row r="22" spans="1:6" s="352" customFormat="1">
      <c r="A22" s="145" t="s">
        <v>138</v>
      </c>
      <c r="B22" s="266">
        <f>'Sources and Uses Budget'!$C21</f>
        <v>130000</v>
      </c>
      <c r="C22" s="266">
        <f>'Sources and Uses Budget'!$C21</f>
        <v>130000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2210</v>
      </c>
      <c r="C24" s="266">
        <f>'Sources and Uses Budget'!$C23</f>
        <v>2210</v>
      </c>
      <c r="D24" s="270">
        <f t="shared" si="0"/>
        <v>0</v>
      </c>
      <c r="E24" s="268"/>
      <c r="F24" s="267"/>
    </row>
    <row r="25" spans="1:6" s="352" customFormat="1">
      <c r="A25" s="508" t="s">
        <v>1639</v>
      </c>
      <c r="B25" s="266">
        <f>'Sources and Uses Budget'!$C24</f>
        <v>170000</v>
      </c>
      <c r="C25" s="266">
        <f>'Sources and Uses Budget'!$C24</f>
        <v>170000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5954210</v>
      </c>
      <c r="C27" s="270">
        <f>SUM(C18:C26)</f>
        <v>5954210</v>
      </c>
      <c r="D27" s="270">
        <f>SUM(D18:D26)</f>
        <v>0</v>
      </c>
      <c r="E27" s="268"/>
      <c r="F27" s="267"/>
    </row>
    <row r="28" spans="1:6" s="352" customFormat="1">
      <c r="A28" s="271" t="s">
        <v>141</v>
      </c>
      <c r="B28" s="266">
        <f>'Sources and Uses Budget'!$C$27</f>
        <v>259000</v>
      </c>
      <c r="C28" s="266">
        <f>'Sources and Uses Budget'!$C$27</f>
        <v>259000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425000</v>
      </c>
      <c r="C41" s="266">
        <f>'Sources and Uses Budget'!$C40</f>
        <v>425000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425000</v>
      </c>
      <c r="C43" s="270">
        <f>SUM(C41:C42)</f>
        <v>425000</v>
      </c>
      <c r="D43" s="270">
        <f t="shared" si="0"/>
        <v>0</v>
      </c>
      <c r="E43" s="268"/>
      <c r="F43" s="267"/>
    </row>
    <row r="44" spans="1:6" s="352" customFormat="1">
      <c r="A44" s="271" t="s">
        <v>148</v>
      </c>
      <c r="B44" s="266">
        <f>'Sources and Uses Budget'!$C43</f>
        <v>375000</v>
      </c>
      <c r="C44" s="266">
        <f>'Sources and Uses Budget'!$C43</f>
        <v>375000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2200538</v>
      </c>
      <c r="C46" s="266">
        <f>'Sources and Uses Budget'!$C45</f>
        <v>2200538</v>
      </c>
      <c r="D46" s="270">
        <f t="shared" si="0"/>
        <v>0</v>
      </c>
      <c r="E46" s="268"/>
      <c r="F46" s="267"/>
    </row>
    <row r="47" spans="1:6" s="352" customFormat="1">
      <c r="A47" s="145" t="s">
        <v>151</v>
      </c>
      <c r="B47" s="266">
        <f>'Sources and Uses Budget'!$C46</f>
        <v>82310</v>
      </c>
      <c r="C47" s="266">
        <f>'Sources and Uses Budget'!$C46</f>
        <v>82310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26000</v>
      </c>
      <c r="C49" s="266">
        <f>'Sources and Uses Budget'!$C48</f>
        <v>26000</v>
      </c>
      <c r="D49" s="270">
        <f t="shared" si="0"/>
        <v>0</v>
      </c>
      <c r="E49" s="268"/>
      <c r="F49" s="267"/>
    </row>
    <row r="50" spans="1:6" s="352" customFormat="1">
      <c r="A50" s="145" t="s">
        <v>57</v>
      </c>
      <c r="B50" s="266">
        <f>'Sources and Uses Budget'!$C49</f>
        <v>135582</v>
      </c>
      <c r="C50" s="266">
        <f>'Sources and Uses Budget'!$C49</f>
        <v>135582</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30000</v>
      </c>
      <c r="C52" s="266">
        <f>'Sources and Uses Budget'!$C51</f>
        <v>30000</v>
      </c>
      <c r="D52" s="270">
        <f t="shared" si="0"/>
        <v>0</v>
      </c>
      <c r="E52" s="268"/>
      <c r="F52" s="267"/>
    </row>
    <row r="53" spans="1:6" s="352" customFormat="1">
      <c r="A53" s="145" t="s">
        <v>155</v>
      </c>
      <c r="B53" s="266">
        <f>'Sources and Uses Budget'!$C52</f>
        <v>150572</v>
      </c>
      <c r="C53" s="266">
        <f>'Sources and Uses Budget'!$C52</f>
        <v>150572</v>
      </c>
      <c r="D53" s="270">
        <f t="shared" si="0"/>
        <v>0</v>
      </c>
      <c r="E53" s="268"/>
      <c r="F53" s="267"/>
    </row>
    <row r="54" spans="1:6" s="352" customFormat="1">
      <c r="A54" s="155" t="str">
        <f>'Sources and Uses Budget'!A53</f>
        <v>Other: Lender Expenses</v>
      </c>
      <c r="B54" s="266">
        <f>'Sources and Uses Budget'!$C53</f>
        <v>45000</v>
      </c>
      <c r="C54" s="266">
        <f>'Sources and Uses Budget'!$C53</f>
        <v>45000</v>
      </c>
      <c r="D54" s="270">
        <f t="shared" si="0"/>
        <v>0</v>
      </c>
      <c r="E54" s="268"/>
      <c r="F54" s="267"/>
    </row>
    <row r="55" spans="1:6" s="353" customFormat="1">
      <c r="A55" s="271" t="s">
        <v>157</v>
      </c>
      <c r="B55" s="273">
        <f>SUM(B46:B54)</f>
        <v>2700002</v>
      </c>
      <c r="C55" s="273">
        <f>SUM(C46:C54)</f>
        <v>2700002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66330</v>
      </c>
      <c r="C57" s="266">
        <f>'Sources and Uses Budget'!$C56</f>
        <v>66330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Expenses</v>
      </c>
      <c r="B62" s="266">
        <f>'Sources and Uses Budget'!$C61</f>
        <v>55000</v>
      </c>
      <c r="C62" s="266">
        <f>'Sources and Uses Budget'!$C61</f>
        <v>55000</v>
      </c>
      <c r="D62" s="270">
        <f t="shared" si="0"/>
        <v>0</v>
      </c>
      <c r="E62" s="268"/>
      <c r="F62" s="267"/>
    </row>
    <row r="63" spans="1:6" s="352" customFormat="1" ht="13.7" customHeight="1">
      <c r="A63" s="271" t="s">
        <v>301</v>
      </c>
      <c r="B63" s="270">
        <f>SUM(B57:B62)</f>
        <v>136330</v>
      </c>
      <c r="C63" s="270">
        <f>SUM(C57:C62)</f>
        <v>136330</v>
      </c>
      <c r="D63" s="270">
        <f t="shared" si="0"/>
        <v>0</v>
      </c>
      <c r="E63" s="268"/>
      <c r="F63" s="267"/>
    </row>
    <row r="64" spans="1:6" s="352" customFormat="1">
      <c r="A64" s="274" t="s">
        <v>302</v>
      </c>
      <c r="B64" s="270">
        <f>SUM(B9+B12+B14+B15+B17+B26+B28+B39+B43+B44+B55+B63)</f>
        <v>25003129</v>
      </c>
      <c r="C64" s="270">
        <f>SUM(C9+C12+C14+C15+C17+C26+C28+C39+C43+C44+C55+C63)</f>
        <v>25003129</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110000</v>
      </c>
      <c r="C66" s="266">
        <f>'Sources and Uses Budget'!$C65</f>
        <v>110000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70000</v>
      </c>
      <c r="C70" s="266">
        <f>'Sources and Uses Budget'!$C69</f>
        <v>70000</v>
      </c>
      <c r="D70" s="270">
        <f t="shared" si="0"/>
        <v>0</v>
      </c>
      <c r="E70" s="268"/>
      <c r="F70" s="267"/>
    </row>
    <row r="71" spans="1:6" s="352" customFormat="1">
      <c r="A71" s="149" t="s">
        <v>1644</v>
      </c>
      <c r="B71" s="270">
        <f>SUM(B66:B70)</f>
        <v>180000</v>
      </c>
      <c r="C71" s="270">
        <f>SUM(C66:C70)</f>
        <v>180000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330336</v>
      </c>
      <c r="C76" s="266">
        <f>'Sources and Uses Budget'!$C75</f>
        <v>330336</v>
      </c>
      <c r="D76" s="270">
        <f t="shared" si="0"/>
        <v>0</v>
      </c>
      <c r="E76" s="268"/>
      <c r="F76" s="267"/>
    </row>
    <row r="77" spans="1:6" s="352" customFormat="1">
      <c r="A77" s="272" t="s">
        <v>34</v>
      </c>
      <c r="B77" s="266">
        <f>'Sources and Uses Budget'!$C76</f>
        <v>82400</v>
      </c>
      <c r="C77" s="266">
        <f>'Sources and Uses Budget'!$C76</f>
        <v>82400</v>
      </c>
      <c r="D77" s="270">
        <f t="shared" si="0"/>
        <v>0</v>
      </c>
      <c r="E77" s="268"/>
      <c r="F77" s="267"/>
    </row>
    <row r="78" spans="1:6" s="352" customFormat="1">
      <c r="A78" s="271" t="s">
        <v>606</v>
      </c>
      <c r="B78" s="270">
        <f>SUM(B73:B77)</f>
        <v>412736</v>
      </c>
      <c r="C78" s="270">
        <f>SUM(C73:C77)</f>
        <v>412736</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572421</v>
      </c>
      <c r="C80" s="266">
        <f>'Sources and Uses Budget'!$C79</f>
        <v>572421</v>
      </c>
      <c r="D80" s="270">
        <f t="shared" si="1"/>
        <v>0</v>
      </c>
      <c r="E80" s="268"/>
      <c r="F80" s="267"/>
    </row>
    <row r="81" spans="1:6" s="352" customFormat="1">
      <c r="A81" s="510" t="s">
        <v>58</v>
      </c>
      <c r="B81" s="266">
        <f>'Sources and Uses Budget'!$C80</f>
        <v>209224</v>
      </c>
      <c r="C81" s="266">
        <f>'Sources and Uses Budget'!$C80</f>
        <v>209224</v>
      </c>
      <c r="D81" s="270">
        <f>C81-B81</f>
        <v>0</v>
      </c>
      <c r="E81" s="268"/>
      <c r="F81" s="267"/>
    </row>
    <row r="82" spans="1:6" s="352" customFormat="1">
      <c r="A82" s="271" t="s">
        <v>1208</v>
      </c>
      <c r="B82" s="270">
        <f>SUM(B80:B81)</f>
        <v>781645</v>
      </c>
      <c r="C82" s="270">
        <f>SUM(C80:C81)</f>
        <v>781645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65012</v>
      </c>
      <c r="C84" s="266">
        <f>'Sources and Uses Budget'!$C83</f>
        <v>65012</v>
      </c>
      <c r="D84" s="270">
        <f t="shared" si="1"/>
        <v>0</v>
      </c>
      <c r="E84" s="268"/>
      <c r="F84" s="267"/>
    </row>
    <row r="85" spans="1:6" s="352" customFormat="1">
      <c r="A85" s="269" t="s">
        <v>767</v>
      </c>
      <c r="B85" s="266">
        <f>'Sources and Uses Budget'!$C84</f>
        <v>36000</v>
      </c>
      <c r="C85" s="266">
        <f>'Sources and Uses Budget'!$C84</f>
        <v>36000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144000</v>
      </c>
      <c r="C87" s="266">
        <f>'Sources and Uses Budget'!$C86</f>
        <v>144000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7666</v>
      </c>
      <c r="C89" s="266">
        <f>'Sources and Uses Budget'!$C88</f>
        <v>7666</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72000</v>
      </c>
      <c r="C94" s="266">
        <f>'Sources and Uses Budget'!$C93</f>
        <v>72000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344678</v>
      </c>
      <c r="C97" s="270">
        <f>SUM(C84:C96)</f>
        <v>344678</v>
      </c>
      <c r="D97" s="270">
        <f t="shared" si="1"/>
        <v>0</v>
      </c>
      <c r="E97" s="268"/>
      <c r="F97" s="267"/>
    </row>
    <row r="98" spans="1:6" s="352" customFormat="1">
      <c r="A98" s="271" t="s">
        <v>775</v>
      </c>
      <c r="B98" s="270">
        <f>SUM(B64+B71+B78+B82+B97)</f>
        <v>26722188</v>
      </c>
      <c r="C98" s="270">
        <f>SUM(C64+C71+C78+C82+C97)</f>
        <v>26722188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2428058</v>
      </c>
      <c r="C100" s="266">
        <f>'Sources and Uses Budget'!$C99</f>
        <v>2428058</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2428058</v>
      </c>
      <c r="C105" s="270">
        <f>SUM(C100:C104)</f>
        <v>2428058</v>
      </c>
      <c r="D105" s="270">
        <f t="shared" si="1"/>
        <v>0</v>
      </c>
      <c r="E105" s="268"/>
      <c r="F105" s="267"/>
    </row>
    <row r="106" spans="1:6" s="352" customFormat="1">
      <c r="A106" s="271" t="s">
        <v>780</v>
      </c>
      <c r="B106" s="273">
        <f>SUM(B98+B105)</f>
        <v>29150246</v>
      </c>
      <c r="C106" s="273">
        <f>SUM(C98+C105)</f>
        <v>29150246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3" workbookViewId="0">
      <selection sqref="A1:J1"/>
    </sheetView>
  </sheetViews>
  <sheetFormatPr defaultColWidth="0" defaultRowHeight="12.75" customHeight="1" zeroHeight="1"/>
  <cols>
    <col min="1" max="10" width="10.7109375" style="402" customWidth="1"/>
    <col min="11" max="16384" width="8.85546875" style="402" hidden="1"/>
  </cols>
  <sheetData>
    <row r="1" spans="1:10" ht="15.75">
      <c r="A1" s="1275" t="s">
        <v>1867</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row r="4" spans="1:10" ht="12.75" customHeight="1">
      <c r="A4" s="1277" t="s">
        <v>2045</v>
      </c>
      <c r="B4" s="1277"/>
      <c r="C4" s="1277"/>
      <c r="D4" s="1277"/>
      <c r="E4" s="1277"/>
      <c r="F4" s="1277"/>
      <c r="G4" s="1277"/>
      <c r="H4" s="1277"/>
      <c r="I4" s="1277"/>
      <c r="J4" s="1277"/>
    </row>
    <row r="5" spans="1:10">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row r="10" spans="1:10" ht="12.75" customHeight="1">
      <c r="A10" s="1281" t="s">
        <v>1872</v>
      </c>
      <c r="B10" s="1281"/>
      <c r="C10" s="1281"/>
      <c r="D10" s="1281"/>
      <c r="E10" s="1281"/>
      <c r="F10" s="1281"/>
      <c r="G10" s="1281"/>
      <c r="H10" s="1281"/>
      <c r="I10" s="1281"/>
      <c r="J10" s="1281"/>
    </row>
    <row r="11" spans="1:10">
      <c r="A11" s="1281"/>
      <c r="B11" s="1281"/>
      <c r="C11" s="1281"/>
      <c r="D11" s="1281"/>
      <c r="E11" s="1281"/>
      <c r="F11" s="1281"/>
      <c r="G11" s="1281"/>
      <c r="H11" s="1281"/>
      <c r="I11" s="1281"/>
      <c r="J11" s="1281"/>
    </row>
    <row r="12" spans="1:10">
      <c r="A12" s="1281"/>
      <c r="B12" s="1281"/>
      <c r="C12" s="1281"/>
      <c r="D12" s="1281"/>
      <c r="E12" s="1281"/>
      <c r="F12" s="1281"/>
      <c r="G12" s="1281"/>
      <c r="H12" s="1281"/>
      <c r="I12" s="1281"/>
      <c r="J12" s="1281"/>
    </row>
    <row r="13" spans="1:10">
      <c r="A13" s="1281"/>
      <c r="B13" s="1281"/>
      <c r="C13" s="1281"/>
      <c r="D13" s="1281"/>
      <c r="E13" s="1281"/>
      <c r="F13" s="1281"/>
      <c r="G13" s="1281"/>
      <c r="H13" s="1281"/>
      <c r="I13" s="1281"/>
      <c r="J13" s="1281"/>
    </row>
    <row r="14" spans="1:10">
      <c r="A14" s="1281"/>
      <c r="B14" s="1281"/>
      <c r="C14" s="1281"/>
      <c r="D14" s="1281"/>
      <c r="E14" s="1281"/>
      <c r="F14" s="1281"/>
      <c r="G14" s="1281"/>
      <c r="H14" s="1281"/>
      <c r="I14" s="1281"/>
      <c r="J14" s="1281"/>
    </row>
    <row r="15" spans="1:10">
      <c r="A15" s="1281"/>
      <c r="B15" s="1281"/>
      <c r="C15" s="1281"/>
      <c r="D15" s="1281"/>
      <c r="E15" s="1281"/>
      <c r="F15" s="1281"/>
      <c r="G15" s="1281"/>
      <c r="H15" s="1281"/>
      <c r="I15" s="1281"/>
      <c r="J15" s="1281"/>
    </row>
    <row r="16" spans="1:10">
      <c r="A16" s="524"/>
      <c r="B16" s="524"/>
      <c r="C16" s="524"/>
      <c r="D16" s="524"/>
      <c r="E16" s="524"/>
      <c r="F16" s="524"/>
      <c r="G16" s="524"/>
      <c r="H16" s="524"/>
      <c r="I16" s="524"/>
      <c r="J16" s="524"/>
    </row>
    <row r="17" spans="1:10">
      <c r="A17" s="476" t="s">
        <v>1871</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0" t="s">
        <v>1188</v>
      </c>
      <c r="B19" s="1280"/>
      <c r="C19" s="1280"/>
      <c r="D19" s="1280"/>
      <c r="E19" s="128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7" t="s">
        <v>1189</v>
      </c>
      <c r="B56" s="1277"/>
      <c r="C56" s="1277"/>
      <c r="D56" s="1277"/>
      <c r="E56" s="1277"/>
      <c r="F56" s="1277"/>
      <c r="G56" s="1277"/>
      <c r="H56" s="1277"/>
      <c r="I56" s="1277"/>
      <c r="J56" s="1277"/>
    </row>
    <row r="57" spans="1:10">
      <c r="A57" s="1277"/>
      <c r="B57" s="1277"/>
      <c r="C57" s="1277"/>
      <c r="D57" s="1277"/>
      <c r="E57" s="1277"/>
      <c r="F57" s="1277"/>
      <c r="G57" s="1277"/>
      <c r="H57" s="1277"/>
      <c r="I57" s="1277"/>
      <c r="J57" s="1277"/>
    </row>
    <row r="58" spans="1:10">
      <c r="A58" s="1277"/>
      <c r="B58" s="1277"/>
      <c r="C58" s="1277"/>
      <c r="D58" s="1277"/>
      <c r="E58" s="1277"/>
      <c r="F58" s="1277"/>
      <c r="G58" s="1277"/>
      <c r="H58" s="1277"/>
      <c r="I58" s="1277"/>
      <c r="J58" s="1277"/>
    </row>
    <row r="59" spans="1:10"/>
    <row r="60" spans="1:10">
      <c r="A60" s="402" t="s">
        <v>1188</v>
      </c>
    </row>
    <row r="61" spans="1:10"/>
    <row r="62" spans="1:10"/>
    <row r="63" spans="1:10"/>
    <row r="64" spans="1:10"/>
    <row r="65" spans="1:9"/>
    <row r="66" spans="1:9"/>
    <row r="67" spans="1:9"/>
    <row r="68" spans="1:9"/>
    <row r="69" spans="1:9"/>
    <row r="70" spans="1:9"/>
    <row r="71" spans="1:9">
      <c r="A71" s="1278" t="s">
        <v>1868</v>
      </c>
      <c r="B71" s="1278"/>
      <c r="C71" s="1278"/>
      <c r="D71" s="1278"/>
      <c r="E71" s="1278"/>
      <c r="F71" s="1278"/>
      <c r="G71" s="1278"/>
      <c r="H71" s="1278"/>
      <c r="I71" s="1278"/>
    </row>
    <row r="72" spans="1:9">
      <c r="A72" s="1270" t="s">
        <v>2043</v>
      </c>
      <c r="B72" s="1270"/>
      <c r="C72" s="1270"/>
      <c r="D72" s="1270"/>
      <c r="E72" s="1270"/>
    </row>
    <row r="73" spans="1:9">
      <c r="A73" s="1270" t="s">
        <v>2044</v>
      </c>
      <c r="B73" s="1270"/>
      <c r="C73" s="1270"/>
      <c r="D73" s="1270"/>
      <c r="E73" s="1270"/>
    </row>
    <row r="74" spans="1:9">
      <c r="A74" s="1270" t="s">
        <v>1869</v>
      </c>
      <c r="B74" s="1270"/>
      <c r="C74" s="1270"/>
      <c r="D74" s="1270"/>
      <c r="E74" s="1270"/>
    </row>
    <row r="75" spans="1:9"/>
    <row r="76" spans="1:9"/>
    <row r="77" spans="1:9"/>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49" zoomScaleNormal="100" workbookViewId="0">
      <selection activeCell="D435" sqref="D435:F46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2" t="s">
        <v>2449</v>
      </c>
      <c r="B2" s="1332"/>
      <c r="C2" s="1332"/>
      <c r="D2" s="1332"/>
      <c r="E2" s="1332"/>
      <c r="F2" s="1332"/>
      <c r="G2" s="1332"/>
      <c r="H2" s="1332"/>
      <c r="I2" s="1332"/>
    </row>
    <row r="3" spans="1:13">
      <c r="A3" s="1320" t="s">
        <v>2217</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2216</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ht="14.25">
      <c r="A15" s="484"/>
      <c r="B15" s="485" t="s">
        <v>2721</v>
      </c>
      <c r="C15" s="483"/>
      <c r="D15" s="1302" t="s">
        <v>1920</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1918</v>
      </c>
      <c r="F18" s="445"/>
      <c r="I18" s="490"/>
    </row>
    <row r="19" spans="1:9">
      <c r="A19" s="483"/>
      <c r="B19" s="483"/>
      <c r="C19" s="483"/>
      <c r="I19" s="490"/>
    </row>
    <row r="20" spans="1:9" ht="14.25">
      <c r="A20" s="484"/>
      <c r="B20" s="485" t="s">
        <v>2721</v>
      </c>
      <c r="D20" s="1302" t="s">
        <v>1921</v>
      </c>
      <c r="E20" s="1302"/>
      <c r="F20" s="1302"/>
      <c r="I20" s="490"/>
    </row>
    <row r="21" spans="1:9" ht="14.25">
      <c r="A21" s="484"/>
      <c r="D21" s="1302"/>
      <c r="E21" s="1302"/>
      <c r="F21" s="1302"/>
      <c r="I21" s="490"/>
    </row>
    <row r="22" spans="1:9" ht="14.25">
      <c r="A22" s="484"/>
      <c r="D22" s="392"/>
      <c r="E22" s="96" t="s">
        <v>1917</v>
      </c>
      <c r="F22" s="392"/>
      <c r="I22" s="490"/>
    </row>
    <row r="23" spans="1:9" ht="14.25">
      <c r="A23" s="484"/>
      <c r="B23" s="484"/>
      <c r="D23" s="446"/>
      <c r="I23" s="490"/>
    </row>
    <row r="24" spans="1:9" ht="14.25">
      <c r="A24" s="484"/>
      <c r="B24" s="485" t="s">
        <v>2722</v>
      </c>
      <c r="D24" s="1302" t="s">
        <v>1090</v>
      </c>
      <c r="E24" s="1302"/>
      <c r="F24" s="1302"/>
      <c r="I24" s="490"/>
    </row>
    <row r="25" spans="1:9" ht="14.25">
      <c r="A25" s="484"/>
      <c r="B25" s="484"/>
      <c r="D25" s="1302"/>
      <c r="E25" s="1302"/>
      <c r="F25" s="1302"/>
      <c r="I25" s="490"/>
    </row>
    <row r="26" spans="1:9">
      <c r="I26" s="490"/>
    </row>
    <row r="27" spans="1:9" ht="14.25">
      <c r="A27" s="484"/>
      <c r="B27" s="485" t="s">
        <v>2721</v>
      </c>
      <c r="D27" s="1302" t="s">
        <v>2046</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2721</v>
      </c>
      <c r="D33" s="1302" t="s">
        <v>2047</v>
      </c>
      <c r="E33" s="1302"/>
      <c r="F33" s="1302"/>
      <c r="I33" s="490"/>
    </row>
    <row r="34" spans="1:9">
      <c r="D34" s="1302"/>
      <c r="E34" s="1302"/>
      <c r="F34" s="1302"/>
      <c r="I34" s="490"/>
    </row>
    <row r="35" spans="1:9" ht="14.25">
      <c r="A35" s="484"/>
      <c r="B35" s="484"/>
      <c r="D35" s="447"/>
      <c r="I35" s="490"/>
    </row>
    <row r="36" spans="1:9" ht="14.45" customHeight="1">
      <c r="A36" s="484"/>
      <c r="B36" s="485" t="s">
        <v>2721</v>
      </c>
      <c r="D36" s="1302" t="s">
        <v>1213</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2722</v>
      </c>
      <c r="D41" s="1302" t="s">
        <v>1091</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2722</v>
      </c>
      <c r="D47" s="1302" t="s">
        <v>1092</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2721</v>
      </c>
      <c r="D52" s="1302" t="s">
        <v>1093</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2721</v>
      </c>
      <c r="D56" s="1325" t="s">
        <v>1094</v>
      </c>
      <c r="E56" s="1325"/>
      <c r="F56" s="1325"/>
      <c r="I56" s="490"/>
    </row>
    <row r="57" spans="1:9" ht="14.25">
      <c r="A57" s="484"/>
      <c r="B57" s="484"/>
      <c r="D57" s="1325"/>
      <c r="E57" s="1325"/>
      <c r="F57" s="1325"/>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2722</v>
      </c>
      <c r="D61" s="1302" t="s">
        <v>1095</v>
      </c>
      <c r="E61" s="1302"/>
      <c r="F61" s="1302"/>
      <c r="I61" s="490"/>
    </row>
    <row r="62" spans="1:9">
      <c r="D62" s="1302"/>
      <c r="E62" s="1302"/>
      <c r="F62" s="1302"/>
      <c r="I62" s="490"/>
    </row>
    <row r="63" spans="1:9">
      <c r="D63" s="1302"/>
      <c r="E63" s="1302"/>
      <c r="F63" s="1302"/>
      <c r="I63" s="490"/>
    </row>
    <row r="64" spans="1:9">
      <c r="I64" s="490"/>
    </row>
    <row r="65" spans="1:9" ht="14.25">
      <c r="A65" s="484"/>
      <c r="B65" s="485" t="s">
        <v>2722</v>
      </c>
      <c r="D65" s="1302" t="s">
        <v>1096</v>
      </c>
      <c r="E65" s="1302"/>
      <c r="F65" s="1302"/>
      <c r="I65" s="490"/>
    </row>
    <row r="66" spans="1:9">
      <c r="D66" s="1302"/>
      <c r="E66" s="1302"/>
      <c r="F66" s="1302"/>
      <c r="I66" s="490"/>
    </row>
    <row r="67" spans="1:9">
      <c r="I67" s="490"/>
    </row>
    <row r="68" spans="1:9" ht="14.25">
      <c r="A68" s="484"/>
      <c r="B68" s="485" t="s">
        <v>2721</v>
      </c>
      <c r="D68" s="1302" t="s">
        <v>1097</v>
      </c>
      <c r="E68" s="1302"/>
      <c r="F68" s="1302"/>
      <c r="I68" s="490"/>
    </row>
    <row r="69" spans="1:9">
      <c r="D69" s="1302"/>
      <c r="E69" s="1302"/>
      <c r="F69" s="1302"/>
      <c r="I69" s="490"/>
    </row>
    <row r="70" spans="1:9">
      <c r="D70" s="1302"/>
      <c r="E70" s="1302"/>
      <c r="F70" s="1302"/>
      <c r="I70" s="490"/>
    </row>
    <row r="71" spans="1:9">
      <c r="I71" s="490"/>
    </row>
    <row r="72" spans="1:9" ht="14.25">
      <c r="A72" s="484"/>
      <c r="B72" s="485" t="s">
        <v>2722</v>
      </c>
      <c r="D72" s="1302" t="s">
        <v>1098</v>
      </c>
      <c r="E72" s="1302"/>
      <c r="F72" s="1302"/>
      <c r="I72" s="490"/>
    </row>
    <row r="73" spans="1:9">
      <c r="D73" s="1302"/>
      <c r="E73" s="1302"/>
      <c r="F73" s="1302"/>
      <c r="I73" s="490"/>
    </row>
    <row r="74" spans="1:9" ht="14.25">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 customHeight="1">
      <c r="A80" s="484"/>
      <c r="B80" s="485" t="s">
        <v>2721</v>
      </c>
      <c r="D80" s="1302" t="s">
        <v>1244</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2721</v>
      </c>
      <c r="D89" s="1302" t="s">
        <v>1741</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2721</v>
      </c>
      <c r="D92" s="1302" t="s">
        <v>1744</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2721</v>
      </c>
      <c r="D96" s="1302" t="s">
        <v>1743</v>
      </c>
      <c r="E96" s="1302"/>
      <c r="F96" s="1302"/>
      <c r="I96" s="490"/>
    </row>
    <row r="97" spans="1:9" s="987" customFormat="1" ht="14.25">
      <c r="A97" s="985"/>
      <c r="B97" s="985"/>
      <c r="C97" s="986"/>
      <c r="D97" s="1302"/>
      <c r="E97" s="1302"/>
      <c r="F97" s="1302"/>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2722</v>
      </c>
      <c r="D100" s="1302" t="s">
        <v>1742</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2722</v>
      </c>
      <c r="D103" s="1302" t="s">
        <v>1193</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2722</v>
      </c>
      <c r="D119" s="1324" t="s">
        <v>1102</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2721</v>
      </c>
      <c r="C128" s="402"/>
      <c r="D128" s="1324" t="s">
        <v>2048</v>
      </c>
      <c r="E128" s="1324"/>
      <c r="F128" s="1324"/>
      <c r="I128" s="490"/>
    </row>
    <row r="129" spans="1:9" ht="14.25">
      <c r="A129" s="484"/>
      <c r="B129" s="484"/>
      <c r="C129" s="402"/>
      <c r="D129" s="1324"/>
      <c r="E129" s="1324"/>
      <c r="F129" s="1324"/>
      <c r="I129" s="490"/>
    </row>
    <row r="130" spans="1:9">
      <c r="I130" s="490"/>
    </row>
    <row r="131" spans="1:9" ht="14.25">
      <c r="A131" s="484"/>
      <c r="B131" s="485" t="s">
        <v>2721</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2721</v>
      </c>
      <c r="D137" s="1302" t="s">
        <v>1104</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2722</v>
      </c>
      <c r="D151" s="1302" t="s">
        <v>1176</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2071</v>
      </c>
      <c r="E169" s="1321"/>
      <c r="F169" s="1321"/>
      <c r="G169" s="507"/>
      <c r="I169" s="490"/>
    </row>
    <row r="170" spans="1:9" ht="13.7" customHeight="1">
      <c r="D170" s="1319"/>
      <c r="E170" s="1319"/>
      <c r="F170" s="1319"/>
      <c r="G170" s="1319"/>
      <c r="I170" s="490"/>
    </row>
    <row r="171" spans="1:9" ht="14.45" customHeight="1">
      <c r="A171" s="489"/>
      <c r="B171" s="485" t="s">
        <v>2721</v>
      </c>
      <c r="C171" s="476"/>
      <c r="D171" s="1273" t="s">
        <v>2211</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2721</v>
      </c>
      <c r="C177" s="476"/>
      <c r="D177" s="1273" t="s">
        <v>1105</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2722</v>
      </c>
      <c r="D182" s="1314" t="s">
        <v>2049</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2050</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1873</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2721</v>
      </c>
      <c r="D197" s="1289" t="s">
        <v>1746</v>
      </c>
      <c r="E197" s="1289"/>
      <c r="F197" s="1289"/>
      <c r="I197" s="490"/>
    </row>
    <row r="198" spans="1:9">
      <c r="A198" s="404"/>
      <c r="B198" s="404"/>
      <c r="D198" s="1288" t="s">
        <v>1900</v>
      </c>
      <c r="E198" s="1288"/>
      <c r="F198" s="1288"/>
      <c r="I198" s="490"/>
    </row>
    <row r="199" spans="1:9">
      <c r="A199" s="404"/>
      <c r="B199" s="404"/>
      <c r="D199" s="96" t="s">
        <v>1747</v>
      </c>
      <c r="E199" s="1326" t="s">
        <v>1923</v>
      </c>
      <c r="F199" s="1326"/>
      <c r="I199" s="490"/>
    </row>
    <row r="200" spans="1:9">
      <c r="A200" s="404"/>
      <c r="B200" s="404"/>
      <c r="D200" s="3"/>
      <c r="E200" s="3"/>
      <c r="F200" s="3"/>
      <c r="I200" s="490"/>
    </row>
    <row r="201" spans="1:9">
      <c r="A201" s="404"/>
      <c r="B201" s="485" t="s">
        <v>2722</v>
      </c>
      <c r="D201" s="1288" t="s">
        <v>1748</v>
      </c>
      <c r="E201" s="1288"/>
      <c r="F201" s="1288"/>
      <c r="I201" s="490"/>
    </row>
    <row r="202" spans="1:9">
      <c r="A202" s="404"/>
      <c r="B202" s="404"/>
      <c r="D202" s="1289" t="s">
        <v>1900</v>
      </c>
      <c r="E202" s="1289"/>
      <c r="F202" s="1289"/>
      <c r="I202" s="490"/>
    </row>
    <row r="203" spans="1:9">
      <c r="A203" s="404"/>
      <c r="B203" s="404"/>
      <c r="D203" s="57" t="s">
        <v>1749</v>
      </c>
      <c r="E203" s="1326" t="s">
        <v>1924</v>
      </c>
      <c r="F203" s="1326"/>
      <c r="I203" s="490"/>
    </row>
    <row r="204" spans="1:9">
      <c r="A204" s="404"/>
      <c r="B204" s="404"/>
      <c r="D204" s="3"/>
      <c r="E204" s="3"/>
      <c r="F204" s="3"/>
      <c r="I204" s="490"/>
    </row>
    <row r="205" spans="1:9">
      <c r="A205" s="404"/>
      <c r="B205" s="485" t="s">
        <v>2722</v>
      </c>
      <c r="D205" s="1288" t="s">
        <v>1750</v>
      </c>
      <c r="E205" s="1288"/>
      <c r="F205" s="1288"/>
      <c r="I205" s="490"/>
    </row>
    <row r="206" spans="1:9">
      <c r="A206" s="404"/>
      <c r="B206" s="404"/>
      <c r="D206" s="1289" t="s">
        <v>1900</v>
      </c>
      <c r="E206" s="1289"/>
      <c r="F206" s="1289"/>
      <c r="I206" s="490"/>
    </row>
    <row r="207" spans="1:9">
      <c r="A207" s="404"/>
      <c r="B207" s="404"/>
      <c r="D207" s="57" t="s">
        <v>1747</v>
      </c>
      <c r="E207" s="1326" t="s">
        <v>1925</v>
      </c>
      <c r="F207" s="1326"/>
      <c r="I207" s="490"/>
    </row>
    <row r="208" spans="1:9">
      <c r="A208" s="404"/>
      <c r="B208" s="404"/>
      <c r="D208" s="392"/>
      <c r="E208" s="392"/>
      <c r="F208" s="392"/>
      <c r="I208" s="490"/>
    </row>
    <row r="209" spans="1:9" ht="14.25" customHeight="1">
      <c r="A209" s="484"/>
      <c r="B209" s="485" t="s">
        <v>2722</v>
      </c>
      <c r="D209" s="386" t="s">
        <v>1893</v>
      </c>
      <c r="E209" s="385"/>
      <c r="F209" s="385"/>
      <c r="I209" s="490"/>
    </row>
    <row r="210" spans="1:9" ht="14.25">
      <c r="A210" s="484"/>
      <c r="B210" s="484"/>
      <c r="D210" s="1289" t="s">
        <v>1900</v>
      </c>
      <c r="E210" s="1289"/>
      <c r="F210" s="1289"/>
      <c r="I210" s="490"/>
    </row>
    <row r="211" spans="1:9">
      <c r="D211" s="385"/>
      <c r="E211" s="1326" t="s">
        <v>1926</v>
      </c>
      <c r="F211" s="1326"/>
      <c r="I211" s="490"/>
    </row>
    <row r="212" spans="1:9">
      <c r="D212" s="447"/>
      <c r="I212" s="490"/>
    </row>
    <row r="213" spans="1:9">
      <c r="B213" s="485" t="s">
        <v>2722</v>
      </c>
      <c r="D213" s="1288" t="s">
        <v>1751</v>
      </c>
      <c r="E213" s="1288"/>
      <c r="F213" s="1288"/>
      <c r="I213" s="490"/>
    </row>
    <row r="214" spans="1:9">
      <c r="D214" s="1289" t="s">
        <v>1900</v>
      </c>
      <c r="E214" s="1289"/>
      <c r="F214" s="1289"/>
      <c r="I214" s="490"/>
    </row>
    <row r="215" spans="1:9">
      <c r="D215" s="57" t="s">
        <v>1747</v>
      </c>
      <c r="E215" s="1326" t="s">
        <v>1927</v>
      </c>
      <c r="F215" s="1326"/>
      <c r="I215" s="490"/>
    </row>
    <row r="216" spans="1:9">
      <c r="D216" s="451"/>
      <c r="E216" s="451"/>
      <c r="F216" s="451"/>
      <c r="I216" s="490"/>
    </row>
    <row r="217" spans="1:9" ht="14.25">
      <c r="A217" s="484"/>
      <c r="B217" s="485" t="s">
        <v>2722</v>
      </c>
      <c r="D217" s="1302" t="s">
        <v>1215</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2721</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2721</v>
      </c>
      <c r="D233" s="1302" t="s">
        <v>1753</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1117</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2722</v>
      </c>
      <c r="D245" s="1302" t="s">
        <v>2051</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2722</v>
      </c>
      <c r="D250" s="1302" t="s">
        <v>2052</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2721</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2721</v>
      </c>
      <c r="D259" s="1302" t="s">
        <v>1118</v>
      </c>
      <c r="E259" s="1302"/>
      <c r="F259" s="1302"/>
      <c r="I259" s="490"/>
    </row>
    <row r="260" spans="1:9" ht="14.25">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2721</v>
      </c>
      <c r="D267" s="1302" t="s">
        <v>1195</v>
      </c>
      <c r="E267" s="1302"/>
      <c r="F267" s="1302"/>
      <c r="I267" s="490"/>
    </row>
    <row r="268" spans="1:9">
      <c r="D268" s="1302"/>
      <c r="E268" s="1302"/>
      <c r="F268" s="1302"/>
      <c r="I268" s="490"/>
    </row>
    <row r="269" spans="1:9">
      <c r="E269" s="1036" t="s">
        <v>1896</v>
      </c>
      <c r="I269" s="490"/>
    </row>
    <row r="270" spans="1:9">
      <c r="D270" s="446"/>
      <c r="E270" s="446"/>
      <c r="F270" s="446"/>
      <c r="I270" s="490"/>
    </row>
    <row r="271" spans="1:9" ht="14.45" customHeight="1">
      <c r="A271" s="484"/>
      <c r="B271" s="485" t="s">
        <v>2722</v>
      </c>
      <c r="D271" s="1302" t="s">
        <v>2054</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2722</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1123</v>
      </c>
      <c r="E288" s="1327"/>
      <c r="F288" s="1327"/>
      <c r="I288" s="490"/>
    </row>
    <row r="289" spans="1:9">
      <c r="E289" s="446"/>
      <c r="F289" s="446"/>
      <c r="I289" s="490"/>
    </row>
    <row r="290" spans="1:9" ht="14.25">
      <c r="A290" s="484"/>
      <c r="B290" s="485" t="s">
        <v>2721</v>
      </c>
      <c r="D290" s="1302" t="s">
        <v>1124</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2721</v>
      </c>
      <c r="D293" s="1302" t="s">
        <v>1125</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2722</v>
      </c>
      <c r="D297" s="1302" t="s">
        <v>1126</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1127</v>
      </c>
      <c r="E303" s="1300"/>
      <c r="F303" s="1300"/>
      <c r="I303" s="490"/>
    </row>
    <row r="304" spans="1:9">
      <c r="C304" s="490"/>
      <c r="D304" s="493"/>
      <c r="I304" s="490"/>
    </row>
    <row r="305" spans="1:9">
      <c r="B305" s="485" t="s">
        <v>2721</v>
      </c>
      <c r="D305" s="1300" t="s">
        <v>1128</v>
      </c>
      <c r="E305" s="1300"/>
      <c r="F305" s="1300"/>
      <c r="I305" s="490"/>
    </row>
    <row r="306" spans="1:9" ht="14.25">
      <c r="A306" s="484"/>
      <c r="B306" s="484"/>
      <c r="D306" s="494"/>
      <c r="E306" s="495"/>
      <c r="F306" s="495"/>
      <c r="I306" s="490"/>
    </row>
    <row r="307" spans="1:9" ht="13.7" customHeight="1">
      <c r="B307" s="485" t="s">
        <v>2722</v>
      </c>
      <c r="D307" s="1311" t="s">
        <v>1218</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2721</v>
      </c>
      <c r="D313" s="1311" t="s">
        <v>1129</v>
      </c>
      <c r="E313" s="1311"/>
      <c r="F313" s="1311"/>
      <c r="I313" s="490"/>
    </row>
    <row r="314" spans="1:9">
      <c r="D314" s="1311"/>
      <c r="E314" s="1311"/>
      <c r="F314" s="1311"/>
      <c r="I314" s="490"/>
    </row>
    <row r="315" spans="1:9" ht="14.25">
      <c r="A315" s="484"/>
      <c r="B315" s="484"/>
      <c r="D315" s="494"/>
      <c r="E315" s="495"/>
      <c r="F315" s="495"/>
      <c r="I315" s="490"/>
    </row>
    <row r="316" spans="1:9">
      <c r="B316" s="485" t="s">
        <v>2722</v>
      </c>
      <c r="D316" s="1300" t="s">
        <v>1130</v>
      </c>
      <c r="E316" s="1300"/>
      <c r="F316" s="1300"/>
      <c r="I316" s="490"/>
    </row>
    <row r="317" spans="1:9">
      <c r="E317" s="446"/>
      <c r="F317" s="446"/>
      <c r="I317" s="490"/>
    </row>
    <row r="318" spans="1:9" ht="14.25">
      <c r="A318" s="484"/>
      <c r="B318" s="485" t="s">
        <v>2721</v>
      </c>
      <c r="D318" s="1302" t="s">
        <v>2243</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2721</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2721</v>
      </c>
      <c r="D344" s="1302" t="s">
        <v>1901</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2244</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2721</v>
      </c>
      <c r="C355" s="487"/>
      <c r="D355" s="1300" t="s">
        <v>1899</v>
      </c>
      <c r="E355" s="1300"/>
      <c r="F355" s="1300"/>
      <c r="I355" s="490"/>
    </row>
    <row r="356" spans="1:9" ht="12.75" customHeight="1">
      <c r="D356" s="1037"/>
      <c r="E356" s="96" t="s">
        <v>1898</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ht="14.25">
      <c r="A360" s="484"/>
      <c r="B360" s="485" t="s">
        <v>2721</v>
      </c>
      <c r="C360" s="476"/>
      <c r="D360" s="1319" t="s">
        <v>2055</v>
      </c>
      <c r="E360" s="1319"/>
      <c r="F360" s="1319"/>
      <c r="I360" s="480"/>
    </row>
    <row r="361" spans="1:9">
      <c r="A361" s="476"/>
      <c r="B361" s="476"/>
      <c r="C361" s="476"/>
      <c r="D361" s="447"/>
      <c r="E361" s="447"/>
      <c r="F361" s="446"/>
      <c r="I361" s="490"/>
    </row>
    <row r="362" spans="1:9">
      <c r="A362" s="476"/>
      <c r="B362" s="485" t="s">
        <v>2722</v>
      </c>
      <c r="C362" s="476"/>
      <c r="D362" s="1273" t="s">
        <v>2056</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75" customHeight="1">
      <c r="A375" s="476"/>
      <c r="B375" s="485" t="s">
        <v>2721</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2722</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2722</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2721</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2721</v>
      </c>
      <c r="D423" s="1273" t="s">
        <v>1880</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2721</v>
      </c>
      <c r="C429" s="476"/>
      <c r="D429" s="1273" t="s">
        <v>1239</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2072</v>
      </c>
      <c r="E433" s="1273"/>
      <c r="F433" s="1273"/>
      <c r="I433" s="490"/>
    </row>
    <row r="434" spans="1:9">
      <c r="D434" s="446"/>
      <c r="E434" s="446"/>
      <c r="F434" s="446"/>
      <c r="I434" s="490"/>
    </row>
    <row r="435" spans="1:9" ht="14.25">
      <c r="A435" s="484"/>
      <c r="B435" s="485" t="s">
        <v>2721</v>
      </c>
      <c r="C435" s="487"/>
      <c r="D435" s="1302" t="s">
        <v>2057</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2722</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2722</v>
      </c>
      <c r="C471" s="484"/>
      <c r="D471" s="1302" t="s">
        <v>1196</v>
      </c>
      <c r="E471" s="1302"/>
      <c r="F471" s="1302"/>
      <c r="I471" s="490"/>
    </row>
    <row r="472" spans="1:9">
      <c r="D472" s="1302"/>
      <c r="E472" s="1302"/>
      <c r="F472" s="1302"/>
      <c r="I472" s="490"/>
    </row>
    <row r="473" spans="1:9">
      <c r="D473" s="446"/>
      <c r="E473" s="446"/>
      <c r="F473" s="446"/>
      <c r="I473" s="490"/>
    </row>
    <row r="474" spans="1:9" ht="14.25">
      <c r="B474" s="485" t="s">
        <v>2722</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2722</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2722</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2722</v>
      </c>
      <c r="C486" s="402"/>
      <c r="D486" s="1302"/>
      <c r="E486" s="1302"/>
      <c r="F486" s="1302"/>
      <c r="I486" s="490"/>
    </row>
    <row r="487" spans="1:9">
      <c r="A487" s="402"/>
      <c r="C487" s="402"/>
      <c r="D487" s="1302"/>
      <c r="E487" s="1302"/>
      <c r="F487" s="1302"/>
      <c r="I487" s="490"/>
    </row>
    <row r="488" spans="1:9">
      <c r="A488" s="402"/>
      <c r="B488" s="485" t="s">
        <v>2722</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2722</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ht="14.25">
      <c r="A499" s="484"/>
      <c r="B499" s="484"/>
      <c r="D499" s="1319" t="s">
        <v>1140</v>
      </c>
      <c r="E499" s="1319"/>
      <c r="F499" s="1319"/>
      <c r="I499" s="490"/>
    </row>
    <row r="500" spans="1:9" ht="14.25">
      <c r="A500" s="484"/>
      <c r="B500" s="484"/>
      <c r="D500" s="447"/>
      <c r="I500" s="490"/>
    </row>
    <row r="501" spans="1:9" ht="14.25">
      <c r="A501" s="484"/>
      <c r="B501" s="485" t="s">
        <v>2721</v>
      </c>
      <c r="D501" s="1273" t="s">
        <v>1141</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2721</v>
      </c>
      <c r="D504" s="1314" t="s">
        <v>1272</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2721</v>
      </c>
      <c r="D509" s="1300" t="s">
        <v>1142</v>
      </c>
      <c r="E509" s="1300"/>
      <c r="F509" s="1300"/>
      <c r="I509" s="490"/>
    </row>
    <row r="510" spans="1:9" ht="14.25">
      <c r="A510" s="484"/>
      <c r="B510" s="484"/>
      <c r="D510" s="446"/>
      <c r="I510" s="490"/>
    </row>
    <row r="511" spans="1:9" ht="14.25">
      <c r="A511" s="484"/>
      <c r="B511" s="485" t="s">
        <v>2721</v>
      </c>
      <c r="D511" s="1302" t="s">
        <v>1143</v>
      </c>
      <c r="E511" s="1302"/>
      <c r="F511" s="1302"/>
      <c r="I511" s="490"/>
    </row>
    <row r="512" spans="1:9" ht="14.25">
      <c r="A512" s="484"/>
      <c r="D512" s="1302"/>
      <c r="E512" s="1302"/>
      <c r="F512" s="1302"/>
      <c r="I512" s="490"/>
    </row>
    <row r="513" spans="1:9">
      <c r="A513" s="490"/>
      <c r="B513" s="490"/>
      <c r="D513" s="447"/>
      <c r="I513" s="490"/>
    </row>
    <row r="514" spans="1:9">
      <c r="A514" s="490"/>
      <c r="B514" s="485" t="s">
        <v>2722</v>
      </c>
      <c r="D514" s="1300" t="s">
        <v>1144</v>
      </c>
      <c r="E514" s="1300"/>
      <c r="F514" s="1300"/>
      <c r="I514" s="490"/>
    </row>
    <row r="515" spans="1:9">
      <c r="D515" s="446"/>
      <c r="E515" s="446"/>
      <c r="F515" s="446"/>
      <c r="I515" s="490"/>
    </row>
    <row r="516" spans="1:9">
      <c r="B516" s="485" t="s">
        <v>2722</v>
      </c>
      <c r="D516" s="1302" t="s">
        <v>2278</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2721</v>
      </c>
      <c r="C527" s="483"/>
      <c r="D527" s="1273" t="s">
        <v>2058</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2721</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5" customHeight="1">
      <c r="A536" s="483"/>
      <c r="B536" s="485" t="s">
        <v>2722</v>
      </c>
      <c r="C536" s="483"/>
      <c r="D536" s="1302" t="s">
        <v>2060</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1080</v>
      </c>
      <c r="E546" s="1300"/>
      <c r="F546" s="1300"/>
      <c r="I546" s="490"/>
    </row>
    <row r="547" spans="1:9">
      <c r="C547" s="487"/>
      <c r="D547" s="446"/>
      <c r="E547" s="446"/>
      <c r="F547" s="446"/>
      <c r="I547" s="490"/>
    </row>
    <row r="548" spans="1:9" ht="13.7" customHeight="1">
      <c r="A548" s="484"/>
      <c r="B548" s="485" t="s">
        <v>2721</v>
      </c>
      <c r="C548" s="487"/>
      <c r="D548" s="1300" t="s">
        <v>884</v>
      </c>
      <c r="E548" s="1300"/>
      <c r="F548" s="1300"/>
      <c r="I548" s="490"/>
    </row>
    <row r="549" spans="1:9" ht="13.7" customHeight="1">
      <c r="A549" s="487"/>
      <c r="B549" s="487"/>
      <c r="C549" s="487"/>
      <c r="D549" s="446"/>
      <c r="I549" s="490"/>
    </row>
    <row r="550" spans="1:9" ht="14.25">
      <c r="A550" s="484"/>
      <c r="B550" s="485" t="s">
        <v>2721</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2721</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2721</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2721</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2722</v>
      </c>
      <c r="C563" s="487"/>
      <c r="D563" s="1302" t="s">
        <v>2245</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2722</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2721</v>
      </c>
      <c r="C569" s="487"/>
      <c r="D569" s="1300" t="s">
        <v>1086</v>
      </c>
      <c r="E569" s="1300"/>
      <c r="F569" s="1300"/>
      <c r="I569" s="490"/>
    </row>
    <row r="570" spans="1:9">
      <c r="A570" s="490"/>
      <c r="B570" s="490"/>
      <c r="C570" s="487"/>
      <c r="D570" s="1300" t="s">
        <v>1905</v>
      </c>
      <c r="E570" s="1300"/>
      <c r="F570" s="1300"/>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2721</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2721</v>
      </c>
      <c r="C578" s="487"/>
      <c r="D578" s="1302" t="s">
        <v>2061</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2721</v>
      </c>
      <c r="D588" s="1314" t="s">
        <v>888</v>
      </c>
      <c r="E588" s="1314"/>
      <c r="F588" s="1314"/>
      <c r="I588" s="490"/>
    </row>
    <row r="589" spans="1:9">
      <c r="A589" s="490"/>
      <c r="B589" s="490"/>
      <c r="D589" s="476"/>
      <c r="I589" s="490"/>
    </row>
    <row r="590" spans="1:9">
      <c r="A590" s="490"/>
      <c r="B590" s="485" t="s">
        <v>2721</v>
      </c>
      <c r="D590" s="1314" t="s">
        <v>2062</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2722</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2721</v>
      </c>
      <c r="D599" s="1314" t="s">
        <v>2063</v>
      </c>
      <c r="E599" s="1314"/>
      <c r="F599" s="1314"/>
      <c r="I599" s="490"/>
    </row>
    <row r="600" spans="1:9">
      <c r="A600" s="490"/>
      <c r="B600" s="490"/>
      <c r="D600" s="1314"/>
      <c r="E600" s="1314"/>
      <c r="F600" s="1314"/>
      <c r="I600" s="490"/>
    </row>
    <row r="601" spans="1:9">
      <c r="A601" s="490"/>
      <c r="B601" s="490"/>
      <c r="D601" s="499"/>
      <c r="I601" s="490"/>
    </row>
    <row r="602" spans="1:9">
      <c r="A602" s="490"/>
      <c r="B602" s="485" t="s">
        <v>2722</v>
      </c>
      <c r="D602" s="1314" t="s">
        <v>1068</v>
      </c>
      <c r="E602" s="1314"/>
      <c r="F602" s="1314"/>
      <c r="I602" s="490"/>
    </row>
    <row r="603" spans="1:9">
      <c r="A603" s="490"/>
      <c r="B603" s="490"/>
      <c r="D603" s="1314"/>
      <c r="E603" s="1314"/>
      <c r="F603" s="1314"/>
      <c r="I603" s="490"/>
    </row>
    <row r="604" spans="1:9" ht="14.25">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2721</v>
      </c>
      <c r="D610" s="1315" t="s">
        <v>1906</v>
      </c>
      <c r="E610" s="1315"/>
      <c r="F610" s="1315"/>
      <c r="I610" s="490"/>
    </row>
    <row r="611" spans="1:9">
      <c r="D611" s="1315"/>
      <c r="E611" s="1315"/>
      <c r="F611" s="1315"/>
      <c r="I611" s="490"/>
    </row>
    <row r="612" spans="1:9">
      <c r="D612" s="385"/>
      <c r="E612" s="1036" t="s">
        <v>1907</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2721</v>
      </c>
      <c r="D620" s="1308" t="s">
        <v>1110</v>
      </c>
      <c r="E620" s="1308"/>
      <c r="F620" s="1308"/>
      <c r="I620" s="490"/>
    </row>
    <row r="621" spans="1:9">
      <c r="D621" s="1308"/>
      <c r="E621" s="1308"/>
      <c r="F621" s="1308"/>
      <c r="I621" s="490"/>
    </row>
    <row r="622" spans="1:9">
      <c r="I622" s="490"/>
    </row>
    <row r="623" spans="1:9">
      <c r="B623" s="485" t="s">
        <v>2721</v>
      </c>
      <c r="D623" s="1308" t="s">
        <v>1111</v>
      </c>
      <c r="E623" s="1308"/>
      <c r="F623" s="1308"/>
      <c r="I623" s="490"/>
    </row>
    <row r="624" spans="1:9">
      <c r="C624" s="500"/>
      <c r="D624" s="1308"/>
      <c r="E624" s="1308"/>
      <c r="F624" s="1308"/>
      <c r="I624" s="490"/>
    </row>
    <row r="625" spans="1:9">
      <c r="C625" s="500"/>
      <c r="I625" s="490"/>
    </row>
    <row r="626" spans="1:9">
      <c r="B626" s="485" t="s">
        <v>2722</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2721</v>
      </c>
      <c r="D633" s="1315" t="s">
        <v>2064</v>
      </c>
      <c r="E633" s="1315"/>
      <c r="F633" s="1315"/>
      <c r="I633" s="490"/>
    </row>
    <row r="634" spans="1:9">
      <c r="D634" s="1315"/>
      <c r="E634" s="1315"/>
      <c r="F634" s="1315"/>
      <c r="I634" s="490"/>
    </row>
    <row r="635" spans="1:9">
      <c r="D635" s="385"/>
      <c r="E635" s="1036" t="s">
        <v>1909</v>
      </c>
      <c r="F635" s="385"/>
      <c r="I635" s="490"/>
    </row>
    <row r="636" spans="1:9">
      <c r="D636" s="1302" t="s">
        <v>1908</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2721</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2722</v>
      </c>
      <c r="C643" s="487"/>
      <c r="D643" s="1302" t="s">
        <v>1224</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2722</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2722</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2722</v>
      </c>
      <c r="C658" s="487"/>
      <c r="D658" s="1302" t="s">
        <v>1282</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2722</v>
      </c>
      <c r="C664" s="487"/>
      <c r="D664" s="1302" t="s">
        <v>1281</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2722</v>
      </c>
      <c r="C669" s="487"/>
      <c r="D669" s="1302" t="s">
        <v>2065</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ht="14.25">
      <c r="A685" s="484"/>
      <c r="B685" s="485" t="s">
        <v>2722</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2722</v>
      </c>
      <c r="C690" s="483"/>
      <c r="D690" s="1302" t="s">
        <v>2066</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2722</v>
      </c>
      <c r="C694" s="483"/>
      <c r="D694" s="1300" t="s">
        <v>917</v>
      </c>
      <c r="E694" s="1300"/>
      <c r="F694" s="1300"/>
      <c r="H694" s="501"/>
      <c r="I694" s="483"/>
      <c r="J694" s="501"/>
      <c r="K694" s="501"/>
    </row>
    <row r="695" spans="1:11" ht="14.25">
      <c r="A695" s="484"/>
      <c r="B695" s="484"/>
      <c r="C695" s="483"/>
      <c r="D695" s="1300" t="s">
        <v>894</v>
      </c>
      <c r="E695" s="1300"/>
      <c r="F695" s="1300"/>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2722</v>
      </c>
      <c r="C698" s="483"/>
      <c r="D698" s="1300" t="s">
        <v>2460</v>
      </c>
      <c r="E698" s="1300"/>
      <c r="F698" s="1300"/>
      <c r="H698" s="501"/>
      <c r="I698" s="483"/>
      <c r="J698" s="501"/>
      <c r="K698" s="501"/>
    </row>
    <row r="699" spans="1:11" ht="14.25">
      <c r="A699" s="484"/>
      <c r="B699" s="484"/>
      <c r="C699" s="483"/>
      <c r="D699" s="1300" t="s">
        <v>894</v>
      </c>
      <c r="E699" s="1300"/>
      <c r="F699" s="1300"/>
      <c r="H699" s="501"/>
      <c r="I699" s="483"/>
      <c r="J699" s="501"/>
      <c r="K699" s="501"/>
    </row>
    <row r="700" spans="1:11">
      <c r="A700" s="483"/>
      <c r="B700" s="483"/>
      <c r="C700" s="483"/>
      <c r="E700" s="1036" t="s">
        <v>2461</v>
      </c>
      <c r="F700" s="404"/>
      <c r="H700" s="501"/>
      <c r="I700" s="483"/>
      <c r="J700" s="501"/>
      <c r="K700" s="501"/>
    </row>
    <row r="701" spans="1:11">
      <c r="A701" s="483"/>
      <c r="B701" s="483"/>
      <c r="C701" s="483"/>
      <c r="D701" s="404"/>
      <c r="H701" s="501"/>
      <c r="I701" s="483"/>
      <c r="J701" s="501"/>
      <c r="K701" s="501"/>
    </row>
    <row r="702" spans="1:11" ht="14.25">
      <c r="A702" s="484"/>
      <c r="B702" s="485" t="s">
        <v>2722</v>
      </c>
      <c r="C702" s="483"/>
      <c r="D702" s="1302" t="s">
        <v>2242</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2722</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2722</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2722</v>
      </c>
      <c r="C725" s="483"/>
      <c r="D725" s="1302" t="s">
        <v>2453</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2722</v>
      </c>
      <c r="C729" s="483"/>
      <c r="D729" s="1302" t="s">
        <v>2452</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2722</v>
      </c>
      <c r="C733" s="483"/>
      <c r="D733" s="1302" t="s">
        <v>2451</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2722</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2721</v>
      </c>
      <c r="C744" s="483"/>
      <c r="D744" s="1302" t="s">
        <v>2144</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2073</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2721</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75"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2721</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2722</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2721</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2722</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1853</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2721</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2722</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2722</v>
      </c>
      <c r="C794" s="989"/>
      <c r="D794" s="1295" t="s">
        <v>1757</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2722</v>
      </c>
      <c r="C798" s="989"/>
      <c r="D798" s="1295" t="s">
        <v>1758</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1801</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2722</v>
      </c>
      <c r="C808" s="989"/>
      <c r="D808" s="1295" t="s">
        <v>1759</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2721</v>
      </c>
      <c r="C815" s="989"/>
      <c r="D815" s="1295" t="s">
        <v>1760</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2722</v>
      </c>
      <c r="C822" s="989"/>
      <c r="D822" s="1290" t="s">
        <v>1761</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2721</v>
      </c>
      <c r="C834" s="989"/>
      <c r="D834" s="1263" t="s">
        <v>1764</v>
      </c>
      <c r="E834" s="1263"/>
      <c r="F834" s="1263"/>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2074</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2721</v>
      </c>
      <c r="C848" s="989"/>
      <c r="D848" s="1263" t="s">
        <v>1765</v>
      </c>
      <c r="E848" s="1263"/>
      <c r="F848" s="1263"/>
      <c r="G848" s="3"/>
      <c r="I848" s="490" t="s">
        <v>1881</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2722</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2067</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2721</v>
      </c>
      <c r="C861" s="989"/>
      <c r="D861" s="1263" t="s">
        <v>1767</v>
      </c>
      <c r="E861" s="1263"/>
      <c r="F861" s="1263"/>
      <c r="G861" s="3"/>
      <c r="I861" s="490" t="s">
        <v>1879</v>
      </c>
    </row>
    <row r="862" spans="1:9" ht="12.75" customHeight="1">
      <c r="A862" s="175"/>
      <c r="B862" s="175"/>
      <c r="C862" s="989"/>
      <c r="D862" s="1263" t="s">
        <v>1768</v>
      </c>
      <c r="E862" s="1263"/>
      <c r="F862" s="1263"/>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2722</v>
      </c>
      <c r="C865" s="989"/>
      <c r="D865" s="1263" t="s">
        <v>1769</v>
      </c>
      <c r="E865" s="1263"/>
      <c r="F865" s="1263"/>
      <c r="G865" s="3"/>
      <c r="I865" s="490" t="s">
        <v>1882</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2721</v>
      </c>
      <c r="C875" s="354"/>
      <c r="D875" s="1289" t="s">
        <v>1772</v>
      </c>
      <c r="E875" s="1289"/>
      <c r="F875" s="1289"/>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2721</v>
      </c>
      <c r="C878" s="354"/>
      <c r="D878" s="1263" t="s">
        <v>1773</v>
      </c>
      <c r="E878" s="1312"/>
      <c r="F878" s="1312"/>
      <c r="G878" s="3"/>
      <c r="I878" s="490" t="s">
        <v>1882</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2722</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2067</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2722</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2722</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2722</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2721</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2721</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2722</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2722</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2722</v>
      </c>
      <c r="C930" s="989"/>
      <c r="D930" s="1289" t="s">
        <v>2068</v>
      </c>
      <c r="E930" s="1289"/>
      <c r="F930" s="1289"/>
      <c r="G930" s="988"/>
      <c r="I930" s="490"/>
    </row>
    <row r="931" spans="1:9" ht="12.75" customHeight="1">
      <c r="A931" s="989"/>
      <c r="B931" s="989"/>
      <c r="C931" s="989"/>
      <c r="D931" s="118"/>
      <c r="E931" s="988"/>
      <c r="F931" s="988"/>
      <c r="G931" s="988"/>
      <c r="I931" s="490"/>
    </row>
    <row r="932" spans="1:9" ht="12.75" customHeight="1">
      <c r="A932" s="989"/>
      <c r="B932" s="485" t="s">
        <v>2722</v>
      </c>
      <c r="C932" s="989"/>
      <c r="D932" s="1289" t="s">
        <v>2069</v>
      </c>
      <c r="E932" s="1289"/>
      <c r="F932" s="1289"/>
      <c r="G932" s="988"/>
      <c r="I932" s="490"/>
    </row>
    <row r="933" spans="1:9" ht="12.75" customHeight="1">
      <c r="A933" s="174"/>
      <c r="B933" s="174"/>
      <c r="C933" s="174"/>
      <c r="D933" s="2"/>
      <c r="E933" s="3"/>
      <c r="F933" s="988"/>
      <c r="G933" s="988"/>
      <c r="I933" s="490"/>
    </row>
    <row r="934" spans="1:9" ht="12.75" customHeight="1">
      <c r="A934" s="997"/>
      <c r="B934" s="485" t="s">
        <v>2721</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2721</v>
      </c>
      <c r="C944" s="174"/>
      <c r="D944" s="1298" t="s">
        <v>1885</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2722</v>
      </c>
      <c r="C952" s="174"/>
      <c r="D952" s="1273" t="s">
        <v>2136</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2722</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2722</v>
      </c>
      <c r="C964" s="174"/>
      <c r="D964" s="1274" t="s">
        <v>1884</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2722</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2722</v>
      </c>
      <c r="C973" s="354"/>
      <c r="D973" s="1263" t="s">
        <v>2070</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2721</v>
      </c>
      <c r="C994" s="354"/>
      <c r="D994" s="1297" t="s">
        <v>1914</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1915</v>
      </c>
      <c r="F996" s="1038"/>
      <c r="G996"/>
      <c r="I996" s="490"/>
    </row>
    <row r="997" spans="1:9" ht="12.75" customHeight="1">
      <c r="A997" s="354"/>
      <c r="B997" s="354"/>
      <c r="C997" s="354"/>
      <c r="D997" s="1268" t="s">
        <v>1913</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2722</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2722</v>
      </c>
      <c r="C1007" s="174"/>
      <c r="D1007" s="1263" t="s">
        <v>2228</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2721</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2722</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2721</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2722</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2722</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2722</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2722</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2722</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2721</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307</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2246</v>
      </c>
      <c r="E1045" s="1288"/>
      <c r="F1045" s="1288"/>
      <c r="G1045" s="98"/>
      <c r="I1045" s="490"/>
    </row>
    <row r="1046" spans="1:9" ht="12.75" customHeight="1">
      <c r="A1046" s="175"/>
      <c r="B1046" s="485" t="s">
        <v>2722</v>
      </c>
      <c r="C1046" s="354"/>
      <c r="D1046" s="1288" t="s">
        <v>984</v>
      </c>
      <c r="E1046" s="1288"/>
      <c r="F1046" s="1288"/>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2721</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2722</v>
      </c>
      <c r="C1062" s="402"/>
      <c r="D1062" s="402" t="s">
        <v>1811</v>
      </c>
      <c r="I1062" s="490"/>
    </row>
    <row r="1063" spans="1:9">
      <c r="A1063" s="402"/>
      <c r="B1063" s="402"/>
      <c r="C1063" s="402"/>
      <c r="I1063" s="490"/>
    </row>
    <row r="1064" spans="1:9">
      <c r="A1064" s="402"/>
      <c r="B1064" s="485" t="s">
        <v>2722</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2721</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2722</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2722</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2722</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2722</v>
      </c>
      <c r="C1094" s="402"/>
      <c r="D1094" s="1277" t="s">
        <v>2279</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2722</v>
      </c>
      <c r="C1101" s="402"/>
      <c r="D1101" s="1293" t="s">
        <v>1928</v>
      </c>
      <c r="E1101" s="1293"/>
      <c r="F1101" s="1293"/>
      <c r="I1101" s="490"/>
    </row>
    <row r="1102" spans="1:9">
      <c r="A1102" s="402"/>
      <c r="B1102" s="402"/>
      <c r="C1102" s="402"/>
      <c r="D1102" s="1293"/>
      <c r="E1102" s="1293"/>
      <c r="F1102" s="1293"/>
      <c r="I1102" s="490"/>
    </row>
    <row r="1103" spans="1:9">
      <c r="A1103" s="402"/>
      <c r="B1103" s="402"/>
      <c r="C1103" s="402"/>
      <c r="D1103" s="1294" t="s">
        <v>2142</v>
      </c>
      <c r="E1103" s="1263"/>
      <c r="F1103" s="1263"/>
      <c r="I1103" s="490"/>
    </row>
    <row r="1104" spans="1:9">
      <c r="A1104" s="402"/>
      <c r="B1104" s="402"/>
      <c r="C1104" s="402"/>
      <c r="D1104" s="527"/>
      <c r="I1104" s="490"/>
    </row>
    <row r="1105" spans="1:9">
      <c r="A1105" s="402"/>
      <c r="B1105" s="485" t="s">
        <v>2722</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2721</v>
      </c>
      <c r="C1108" s="402"/>
      <c r="D1108" s="1291" t="s">
        <v>1886</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2722</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2722</v>
      </c>
      <c r="C1119" s="402"/>
      <c r="D1119" s="1268" t="s">
        <v>1887</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2722</v>
      </c>
      <c r="C1123" s="402"/>
      <c r="D1123" s="1263" t="s">
        <v>1888</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opLeftCell="A683" zoomScale="120" zoomScaleNormal="120" workbookViewId="0">
      <selection activeCell="Z628" sqref="Z628:AB6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2488</v>
      </c>
      <c r="BE1" s="3"/>
      <c r="BF1" s="3"/>
    </row>
    <row r="2" spans="1:58" ht="12.95" customHeight="1">
      <c r="BD2" s="3" t="s">
        <v>2489</v>
      </c>
      <c r="BE2" s="3" t="s">
        <v>2490</v>
      </c>
      <c r="BF2" s="3" t="s">
        <v>2491</v>
      </c>
    </row>
    <row r="3" spans="1:58" ht="12.95" customHeight="1">
      <c r="BD3" s="3" t="s">
        <v>2586</v>
      </c>
      <c r="BE3" t="str">
        <f>AC220</f>
        <v>Bay Area ((Alameda, Contra Costa, Marin, San Francisco, San Mateo, Santa Clara, and Santa Cruz Counties)</v>
      </c>
    </row>
    <row r="4" spans="1:58" ht="12.95" customHeight="1">
      <c r="BD4" s="3" t="s">
        <v>2498</v>
      </c>
      <c r="BE4" s="1246"/>
    </row>
    <row r="5" spans="1:58" ht="12.95" customHeight="1">
      <c r="BD5" s="3" t="s">
        <v>2499</v>
      </c>
      <c r="BE5">
        <f>SUMIF($AC$718:$AC$752,"&lt;=20%",$G$718:G$752)</f>
        <v>0</v>
      </c>
      <c r="BF5" s="3" t="s">
        <v>2504</v>
      </c>
    </row>
    <row r="6" spans="1:58" ht="12.95" customHeight="1">
      <c r="BD6" s="3" t="s">
        <v>2500</v>
      </c>
      <c r="BE6" s="1249">
        <f>SUMIF($AC$718:$AC$752,"&lt;=25%",$G$718:G$752)-SUM($BE$5:BE5)</f>
        <v>0</v>
      </c>
    </row>
    <row r="7" spans="1:58" ht="12.95" customHeight="1">
      <c r="BD7" s="1247" t="s">
        <v>2492</v>
      </c>
      <c r="BE7" s="1249">
        <f>SUMIF($AC$718:$AC$752,"&lt;=30%",$G$718:G$752)-SUM($BE$5:BE6)</f>
        <v>8</v>
      </c>
    </row>
    <row r="8" spans="1:58" ht="26.25" customHeight="1">
      <c r="A8" s="1429" t="s">
        <v>100</v>
      </c>
      <c r="B8" s="1429"/>
      <c r="C8" s="1429"/>
      <c r="D8" s="1429"/>
      <c r="E8" s="1429"/>
      <c r="F8" s="1429"/>
      <c r="G8" s="1429"/>
      <c r="H8" s="1429"/>
      <c r="I8" s="1429"/>
      <c r="J8" s="1429"/>
      <c r="K8" s="1429"/>
      <c r="L8" s="1429"/>
      <c r="M8" s="1429"/>
      <c r="N8" s="1429"/>
      <c r="O8" s="1429"/>
      <c r="P8" s="1429"/>
      <c r="Q8" s="1429"/>
      <c r="R8" s="1429"/>
      <c r="S8" s="1429"/>
      <c r="T8" s="1429"/>
      <c r="U8" s="1429"/>
      <c r="V8" s="1429"/>
      <c r="W8" s="1429"/>
      <c r="X8" s="1429"/>
      <c r="Y8" s="1429"/>
      <c r="Z8" s="1429"/>
      <c r="AA8" s="1429"/>
      <c r="AB8" s="1429"/>
      <c r="AC8" s="1429"/>
      <c r="AD8" s="1429"/>
      <c r="AE8" s="1429"/>
      <c r="AF8" s="1429"/>
      <c r="AG8" s="1429"/>
      <c r="AH8" s="1429"/>
      <c r="AI8" s="1429"/>
      <c r="AJ8" s="1429"/>
      <c r="AK8" s="1429"/>
      <c r="AL8" s="1429"/>
      <c r="AM8" s="1429"/>
      <c r="AN8" s="1429"/>
      <c r="AO8" s="1429"/>
      <c r="AP8" s="1429"/>
      <c r="AQ8" s="1429"/>
      <c r="AR8" s="1429"/>
      <c r="AS8" s="1429"/>
      <c r="AT8" s="1429"/>
      <c r="AU8" s="898"/>
      <c r="AV8" s="898"/>
      <c r="AW8" s="898"/>
      <c r="AX8" s="898"/>
      <c r="AY8" s="898"/>
      <c r="BD8" s="3" t="s">
        <v>2501</v>
      </c>
      <c r="BE8" s="1249">
        <f>SUMIF($AC$718:$AC$752,"&lt;=35%",$G$718:G$752)-SUM($BE$5:BE7)</f>
        <v>0</v>
      </c>
    </row>
    <row r="9" spans="1:58" ht="12.95" customHeight="1">
      <c r="A9" s="1391" t="s">
        <v>2075</v>
      </c>
      <c r="B9" s="1391"/>
      <c r="C9" s="1391"/>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
      <c r="AV9" s="13"/>
      <c r="AW9" s="13"/>
      <c r="AX9" s="13"/>
      <c r="AY9" s="13"/>
      <c r="BD9" s="1248" t="s">
        <v>2493</v>
      </c>
      <c r="BE9" s="1249">
        <f>SUMIF($AC$718:$AC$752,"&lt;=40%",$G$718:G$752)-SUM($BE$5:BE8)</f>
        <v>0</v>
      </c>
    </row>
    <row r="10" spans="1:58" ht="12.95" customHeight="1">
      <c r="A10" s="1391" t="s">
        <v>2450</v>
      </c>
      <c r="B10" s="1391"/>
      <c r="C10" s="139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
      <c r="AV10" s="13"/>
      <c r="AW10" s="13"/>
      <c r="AX10" s="13"/>
      <c r="AY10" s="13"/>
      <c r="BD10" s="3" t="s">
        <v>2502</v>
      </c>
      <c r="BE10" s="1249">
        <f>SUMIF($AC$718:$AC$752,"&lt;=45%",$G$718:G$752)-SUM($BE$5:BE9)</f>
        <v>0</v>
      </c>
    </row>
    <row r="11" spans="1:58" ht="12.95" customHeight="1">
      <c r="A11" s="1391" t="s">
        <v>2596</v>
      </c>
      <c r="B11" s="1391"/>
      <c r="C11" s="1391"/>
      <c r="D11" s="1391"/>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
      <c r="AV11" s="13"/>
      <c r="AW11" s="13"/>
      <c r="AX11" s="13"/>
      <c r="AY11" s="13"/>
      <c r="BD11" s="1247" t="s">
        <v>2494</v>
      </c>
      <c r="BE11" s="1249">
        <f>SUMIF($AC$718:$AC$752,"&lt;=50%",$G$718:G$752)-SUM($BE$5:BE10)</f>
        <v>9</v>
      </c>
    </row>
    <row r="12" spans="1:58" ht="12.95" customHeight="1">
      <c r="A12" s="1430" t="s">
        <v>2602</v>
      </c>
      <c r="B12" s="1430"/>
      <c r="C12" s="1430"/>
      <c r="D12" s="1430"/>
      <c r="E12" s="1430"/>
      <c r="F12" s="1430"/>
      <c r="G12" s="1430"/>
      <c r="H12" s="1430"/>
      <c r="I12" s="1430"/>
      <c r="J12" s="1430"/>
      <c r="K12" s="1430"/>
      <c r="L12" s="1430"/>
      <c r="M12" s="1430"/>
      <c r="N12" s="1430"/>
      <c r="O12" s="1430"/>
      <c r="P12" s="1430"/>
      <c r="Q12" s="1430"/>
      <c r="R12" s="1430"/>
      <c r="S12" s="1430"/>
      <c r="T12" s="1430"/>
      <c r="U12" s="1430"/>
      <c r="V12" s="1430"/>
      <c r="W12" s="1430"/>
      <c r="X12" s="1430"/>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6"/>
      <c r="AV12" s="6"/>
      <c r="AW12" s="6"/>
      <c r="AX12" s="6"/>
      <c r="AY12" s="6"/>
      <c r="BD12" s="3" t="s">
        <v>2503</v>
      </c>
      <c r="BE12" s="1249">
        <f>SUMIF($AC$718:$AC$752,"&lt;=55%",$G$718:G$752)-SUM($BE$5:BE11)</f>
        <v>0</v>
      </c>
    </row>
    <row r="13" spans="1:58" ht="12.95" customHeight="1">
      <c r="A13" s="1261" t="s">
        <v>2076</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2495</v>
      </c>
      <c r="BE13" s="1249">
        <f>SUMIF($AC$718:$AC$752,"&lt;=60%",$G$718:G$752)-SUM($BE$5:BE12)</f>
        <v>54</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2496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2497</v>
      </c>
      <c r="BE15" s="1249">
        <f>SUMIF($AC$718:$AC$752,"&lt;=80%",$G$718:G$752)-SUM($BE$5:BE14)</f>
        <v>0</v>
      </c>
    </row>
    <row r="16" spans="1:58" ht="12.95" customHeight="1">
      <c r="A16" s="57" t="s">
        <v>2077</v>
      </c>
      <c r="C16" s="4"/>
      <c r="D16" s="4"/>
      <c r="E16" s="4"/>
      <c r="F16" s="4"/>
      <c r="G16" s="4"/>
      <c r="H16" s="1438" t="s">
        <v>2700</v>
      </c>
      <c r="I16" s="1439"/>
      <c r="J16" s="1439"/>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39"/>
      <c r="AG16" s="1439"/>
      <c r="AH16" s="1439"/>
      <c r="AI16" s="1439"/>
      <c r="AJ16" s="1439"/>
      <c r="BD16" s="1248" t="s">
        <v>656</v>
      </c>
      <c r="BE16" s="1249" t="str">
        <f>Application!H18</f>
        <v>Owls Landing Apartments</v>
      </c>
    </row>
    <row r="17" spans="1:58" ht="12.95" customHeight="1">
      <c r="BD17" s="1247" t="s">
        <v>2510</v>
      </c>
      <c r="BE17" s="1249">
        <f>Application!AA934</f>
        <v>0</v>
      </c>
    </row>
    <row r="18" spans="1:58" ht="12.95" customHeight="1">
      <c r="A18" s="57" t="s">
        <v>101</v>
      </c>
      <c r="C18" s="4"/>
      <c r="D18" s="4"/>
      <c r="E18" s="4"/>
      <c r="F18" s="4"/>
      <c r="G18" s="4"/>
      <c r="H18" s="1435" t="s">
        <v>2605</v>
      </c>
      <c r="I18" s="1436"/>
      <c r="J18" s="1436"/>
      <c r="K18" s="1436"/>
      <c r="L18" s="1436"/>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BD18" s="1248" t="s">
        <v>2511</v>
      </c>
      <c r="BE18" s="1249">
        <f>'CalHFA Addendum'!N11</f>
        <v>0</v>
      </c>
    </row>
    <row r="19" spans="1:58" ht="12.95" customHeight="1">
      <c r="BD19" s="1247" t="s">
        <v>2512</v>
      </c>
      <c r="BE19" s="1249">
        <f>Application!M26</f>
        <v>1291158</v>
      </c>
    </row>
    <row r="20" spans="1:58" ht="12.95" customHeight="1">
      <c r="A20" s="1431" t="s">
        <v>873</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c r="AM20" s="1431"/>
      <c r="AN20" s="1431"/>
      <c r="AO20" s="1431"/>
      <c r="AP20" s="1431"/>
      <c r="AQ20" s="1431"/>
      <c r="AR20" s="1431"/>
      <c r="AS20" s="1431"/>
      <c r="AT20" s="1431"/>
      <c r="AU20" s="900"/>
      <c r="AV20" s="900"/>
      <c r="AW20" s="900"/>
      <c r="AX20" s="900"/>
      <c r="AY20" s="900"/>
      <c r="BD20" s="1248" t="s">
        <v>2513</v>
      </c>
      <c r="BE20" s="1249">
        <f>Application!M27</f>
        <v>0</v>
      </c>
    </row>
    <row r="21" spans="1:58" ht="12.95" customHeight="1">
      <c r="A21" s="1440" t="s">
        <v>1008</v>
      </c>
      <c r="B21" s="1440"/>
      <c r="C21" s="1440"/>
      <c r="D21" s="1440"/>
      <c r="E21" s="1440"/>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c r="AL21" s="1440"/>
      <c r="AM21" s="901"/>
      <c r="AN21" s="901"/>
      <c r="AO21" s="901"/>
      <c r="AP21" s="901"/>
      <c r="AQ21" s="901"/>
      <c r="AR21" s="901"/>
      <c r="AS21" s="901"/>
      <c r="AT21" s="901"/>
      <c r="AU21" s="901"/>
      <c r="AV21" s="901"/>
      <c r="AW21" s="901"/>
      <c r="AX21" s="901"/>
      <c r="AY21" s="901"/>
      <c r="BD21" s="1247" t="s">
        <v>2514</v>
      </c>
      <c r="BE21" s="1249">
        <f>Application!AM554</f>
        <v>9812428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35104456</v>
      </c>
      <c r="BF22" s="3" t="s">
        <v>2587</v>
      </c>
    </row>
    <row r="23" spans="1:58" ht="12.95" customHeight="1">
      <c r="A23" s="1293" t="s">
        <v>2145</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2515</v>
      </c>
      <c r="BE23" s="1249">
        <f>'Sources and Uses Budget'!B4</f>
        <v>500000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2516</v>
      </c>
      <c r="BE24" s="1249">
        <f>Application!AG450</f>
        <v>82753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2517</v>
      </c>
      <c r="BE25" s="1249" t="str">
        <f>Application!D208</f>
        <v>40%/60%</v>
      </c>
    </row>
    <row r="26" spans="1:58" ht="12.95" customHeight="1">
      <c r="A26" s="4"/>
      <c r="C26" s="4"/>
      <c r="D26" s="4"/>
      <c r="E26" s="4"/>
      <c r="F26" s="4"/>
      <c r="G26" s="4"/>
      <c r="H26" s="4"/>
      <c r="I26" s="4"/>
      <c r="J26" s="4"/>
      <c r="K26" s="4"/>
      <c r="L26" s="4"/>
      <c r="M26" s="1437">
        <f>'Basis &amp; Credits'!AB56</f>
        <v>1291158</v>
      </c>
      <c r="N26" s="1437"/>
      <c r="O26" s="1437"/>
      <c r="P26" s="1437"/>
      <c r="Q26" s="1437"/>
      <c r="R26" s="4" t="s">
        <v>759</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72">
        <f>'Basis &amp; Credits'!AB78</f>
        <v>0</v>
      </c>
      <c r="N27" s="1372"/>
      <c r="O27" s="1372"/>
      <c r="P27" s="1372"/>
      <c r="Q27" s="1372"/>
      <c r="R27" s="3" t="s">
        <v>1266</v>
      </c>
      <c r="S27" s="4"/>
      <c r="T27" s="4"/>
      <c r="U27" s="4"/>
      <c r="V27" s="4"/>
      <c r="W27" s="4"/>
      <c r="X27" s="4"/>
      <c r="Y27" s="4"/>
      <c r="Z27" s="4"/>
      <c r="AF27" s="4"/>
      <c r="AG27" s="4"/>
      <c r="AH27" s="4"/>
      <c r="AI27" s="4"/>
      <c r="AJ27" s="4"/>
      <c r="AK27" s="4"/>
      <c r="BD27" s="1247" t="s">
        <v>2097</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2518</v>
      </c>
      <c r="BE28" s="1249" t="b">
        <f>Application!M357="Yes"</f>
        <v>0</v>
      </c>
    </row>
    <row r="29" spans="1:58" ht="12.95" customHeight="1">
      <c r="A29" s="1432" t="s">
        <v>2146</v>
      </c>
      <c r="B29" s="1432"/>
      <c r="C29" s="1432"/>
      <c r="D29" s="1432"/>
      <c r="E29" s="1432"/>
      <c r="F29" s="1432"/>
      <c r="G29" s="1432"/>
      <c r="H29" s="1432"/>
      <c r="I29" s="1432"/>
      <c r="J29" s="1432"/>
      <c r="K29" s="1432"/>
      <c r="L29" s="1432"/>
      <c r="M29" s="1432"/>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c r="AL29" s="1432"/>
      <c r="AM29" s="1432"/>
      <c r="AN29" s="1432"/>
      <c r="AO29" s="1432"/>
      <c r="AP29" s="1432"/>
      <c r="AQ29" s="1432"/>
      <c r="AR29" s="1432"/>
      <c r="AS29" s="1432"/>
      <c r="AT29" s="1432"/>
      <c r="BD29" s="1247" t="s">
        <v>2519</v>
      </c>
      <c r="BE29" s="1249" t="b">
        <f>Application!M358="Yes"</f>
        <v>1</v>
      </c>
    </row>
    <row r="30" spans="1:58" ht="12.95" customHeight="1">
      <c r="A30" s="1432"/>
      <c r="B30" s="1432"/>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c r="AM30" s="1432"/>
      <c r="AN30" s="1432"/>
      <c r="AO30" s="1432"/>
      <c r="AP30" s="1432"/>
      <c r="AQ30" s="1432"/>
      <c r="AR30" s="1432"/>
      <c r="AS30" s="1432"/>
      <c r="AT30" s="1432"/>
      <c r="AZ30" s="20"/>
      <c r="BD30" s="1248" t="s">
        <v>28</v>
      </c>
      <c r="BE30" s="1249" t="b">
        <f>Application!AJ355="Yes"</f>
        <v>0</v>
      </c>
    </row>
    <row r="31" spans="1:58" ht="12.95" customHeight="1">
      <c r="A31" s="1432"/>
      <c r="B31" s="1432"/>
      <c r="C31" s="1432"/>
      <c r="D31" s="1432"/>
      <c r="E31" s="1432"/>
      <c r="F31" s="1432"/>
      <c r="G31" s="1432"/>
      <c r="H31" s="1432"/>
      <c r="I31" s="1432"/>
      <c r="J31" s="1432"/>
      <c r="K31" s="1432"/>
      <c r="L31" s="1432"/>
      <c r="M31" s="1432"/>
      <c r="N31" s="1432"/>
      <c r="O31" s="1432"/>
      <c r="P31" s="1432"/>
      <c r="Q31" s="1432"/>
      <c r="R31" s="1432"/>
      <c r="S31" s="1432"/>
      <c r="T31" s="1432"/>
      <c r="U31" s="1432"/>
      <c r="V31" s="1432"/>
      <c r="W31" s="1432"/>
      <c r="X31" s="1432"/>
      <c r="Y31" s="1432"/>
      <c r="Z31" s="1432"/>
      <c r="AA31" s="1432"/>
      <c r="AB31" s="1432"/>
      <c r="AC31" s="1432"/>
      <c r="AD31" s="1432"/>
      <c r="AE31" s="1432"/>
      <c r="AF31" s="1432"/>
      <c r="AG31" s="1432"/>
      <c r="AH31" s="1432"/>
      <c r="AI31" s="1432"/>
      <c r="AJ31" s="1432"/>
      <c r="AK31" s="1432"/>
      <c r="AL31" s="1432"/>
      <c r="AM31" s="1432"/>
      <c r="AN31" s="1432"/>
      <c r="AO31" s="1432"/>
      <c r="AP31" s="1432"/>
      <c r="AQ31" s="1432"/>
      <c r="AR31" s="1432"/>
      <c r="AS31" s="1432"/>
      <c r="AT31" s="1432"/>
      <c r="AU31" s="20"/>
      <c r="AV31" s="20"/>
      <c r="AW31" s="20"/>
      <c r="AX31" s="20"/>
      <c r="AY31" s="20"/>
      <c r="AZ31" s="20"/>
      <c r="BD31" s="1247" t="s">
        <v>2520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2521</v>
      </c>
      <c r="BE32" s="1249">
        <f>IF(ISNUMBER(Application!W465),W465,0)</f>
        <v>0</v>
      </c>
    </row>
    <row r="33" spans="1:57" ht="12.95" customHeight="1">
      <c r="A33" s="519" t="s">
        <v>1277</v>
      </c>
      <c r="C33" s="519"/>
      <c r="D33" s="519"/>
      <c r="E33" s="519"/>
      <c r="F33" s="519"/>
      <c r="G33" s="519"/>
      <c r="H33" s="519"/>
      <c r="I33" s="519"/>
      <c r="J33" s="519"/>
      <c r="K33" s="519"/>
      <c r="L33" s="519"/>
      <c r="M33" s="519"/>
      <c r="N33" s="519"/>
      <c r="O33" s="1351" t="s">
        <v>669</v>
      </c>
      <c r="P33" s="1351"/>
      <c r="Q33" s="1433" t="s">
        <v>2147</v>
      </c>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20"/>
      <c r="AV33" s="20"/>
      <c r="AW33" s="20"/>
      <c r="AX33" s="20"/>
      <c r="AY33" s="20"/>
      <c r="BD33" s="1247" t="s">
        <v>2588</v>
      </c>
      <c r="BE33" s="1249" t="str">
        <f>Application!D220</f>
        <v>East Bay Region: Alameda and Contra Costa Counties</v>
      </c>
    </row>
    <row r="34" spans="1:57" ht="12.95" customHeight="1">
      <c r="A34" s="1432" t="s">
        <v>2148</v>
      </c>
      <c r="B34" s="1432"/>
      <c r="C34" s="1432"/>
      <c r="D34" s="1432"/>
      <c r="E34" s="1432"/>
      <c r="F34" s="1432"/>
      <c r="G34" s="1432"/>
      <c r="H34" s="1432"/>
      <c r="I34" s="1432"/>
      <c r="J34" s="1432"/>
      <c r="K34" s="1432"/>
      <c r="L34" s="1432"/>
      <c r="M34" s="1432"/>
      <c r="N34" s="1432"/>
      <c r="O34" s="1432"/>
      <c r="P34" s="1432"/>
      <c r="Q34" s="1432"/>
      <c r="R34" s="1432"/>
      <c r="S34" s="1432"/>
      <c r="T34" s="1432"/>
      <c r="U34" s="1432"/>
      <c r="V34" s="1432"/>
      <c r="W34" s="1432"/>
      <c r="X34" s="1432"/>
      <c r="Y34" s="1432"/>
      <c r="Z34" s="1432"/>
      <c r="AA34" s="1432"/>
      <c r="AB34" s="1432"/>
      <c r="AC34" s="1432"/>
      <c r="AD34" s="1432"/>
      <c r="AE34" s="1432"/>
      <c r="AF34" s="1432"/>
      <c r="AG34" s="1432"/>
      <c r="AH34" s="1432"/>
      <c r="AI34" s="1432"/>
      <c r="AJ34" s="1432"/>
      <c r="AK34" s="1432"/>
      <c r="AL34" s="1432"/>
      <c r="AM34" s="1432"/>
      <c r="AN34" s="1432"/>
      <c r="AO34" s="1432"/>
      <c r="AP34" s="1432"/>
      <c r="AQ34" s="1432"/>
      <c r="AR34" s="1432"/>
      <c r="AS34" s="1432"/>
      <c r="AT34" s="1432"/>
      <c r="AU34" s="20"/>
      <c r="AV34" s="20"/>
      <c r="AW34" s="20"/>
      <c r="AX34" s="20"/>
      <c r="AY34" s="20"/>
      <c r="AZ34" s="20"/>
      <c r="BD34" s="1248" t="s">
        <v>2522</v>
      </c>
      <c r="BE34" s="1249" t="str">
        <f>Application!I185</f>
        <v>842-898 Herman Avenue</v>
      </c>
    </row>
    <row r="35" spans="1:57" ht="12.95" customHeight="1">
      <c r="A35" s="1432"/>
      <c r="B35" s="1432"/>
      <c r="C35" s="1432"/>
      <c r="D35" s="1432"/>
      <c r="E35" s="1432"/>
      <c r="F35" s="1432"/>
      <c r="G35" s="1432"/>
      <c r="H35" s="1432"/>
      <c r="I35" s="1432"/>
      <c r="J35" s="1432"/>
      <c r="K35" s="1432"/>
      <c r="L35" s="1432"/>
      <c r="M35" s="1432"/>
      <c r="N35" s="1432"/>
      <c r="O35" s="1432"/>
      <c r="P35" s="1432"/>
      <c r="Q35" s="1432"/>
      <c r="R35" s="1432"/>
      <c r="S35" s="1432"/>
      <c r="T35" s="1432"/>
      <c r="U35" s="1432"/>
      <c r="V35" s="1432"/>
      <c r="W35" s="1432"/>
      <c r="X35" s="1432"/>
      <c r="Y35" s="1432"/>
      <c r="Z35" s="1432"/>
      <c r="AA35" s="1432"/>
      <c r="AB35" s="1432"/>
      <c r="AC35" s="1432"/>
      <c r="AD35" s="1432"/>
      <c r="AE35" s="1432"/>
      <c r="AF35" s="1432"/>
      <c r="AG35" s="1432"/>
      <c r="AH35" s="1432"/>
      <c r="AI35" s="1432"/>
      <c r="AJ35" s="1432"/>
      <c r="AK35" s="1432"/>
      <c r="AL35" s="1432"/>
      <c r="AM35" s="1432"/>
      <c r="AN35" s="1432"/>
      <c r="AO35" s="1432"/>
      <c r="AP35" s="1432"/>
      <c r="AQ35" s="1432"/>
      <c r="AR35" s="1432"/>
      <c r="AS35" s="1432"/>
      <c r="AT35" s="1432"/>
      <c r="AU35" s="20"/>
      <c r="AV35" s="20"/>
      <c r="AW35" s="20"/>
      <c r="AX35" s="20"/>
      <c r="AY35" s="20"/>
      <c r="AZ35" s="20"/>
      <c r="BD35" s="1247" t="s">
        <v>2523</v>
      </c>
      <c r="BE35" s="1249" t="str">
        <f>IF(Application!E187="","",Application!E187)</f>
        <v/>
      </c>
    </row>
    <row r="36" spans="1:57" ht="12.95" customHeight="1">
      <c r="A36" s="1432"/>
      <c r="B36" s="1432"/>
      <c r="C36" s="1432"/>
      <c r="D36" s="1432"/>
      <c r="E36" s="1432"/>
      <c r="F36" s="1432"/>
      <c r="G36" s="1432"/>
      <c r="H36" s="1432"/>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432"/>
      <c r="AE36" s="1432"/>
      <c r="AF36" s="1432"/>
      <c r="AG36" s="1432"/>
      <c r="AH36" s="1432"/>
      <c r="AI36" s="1432"/>
      <c r="AJ36" s="1432"/>
      <c r="AK36" s="1432"/>
      <c r="AL36" s="1432"/>
      <c r="AM36" s="1432"/>
      <c r="AN36" s="1432"/>
      <c r="AO36" s="1432"/>
      <c r="AP36" s="1432"/>
      <c r="AQ36" s="1432"/>
      <c r="AR36" s="1432"/>
      <c r="AS36" s="1432"/>
      <c r="AT36" s="1432"/>
      <c r="AU36" s="20"/>
      <c r="AV36" s="20"/>
      <c r="AW36" s="20"/>
      <c r="AX36" s="20"/>
      <c r="AY36" s="20"/>
      <c r="AZ36" s="20"/>
      <c r="BD36" s="1248" t="s">
        <v>2524</v>
      </c>
      <c r="BE36" s="1249" t="str">
        <f>Application!I189</f>
        <v>Livermore</v>
      </c>
    </row>
    <row r="37" spans="1:57" ht="12.95" customHeight="1">
      <c r="A37" s="1432"/>
      <c r="B37" s="1432"/>
      <c r="C37" s="1432"/>
      <c r="D37" s="1432"/>
      <c r="E37" s="1432"/>
      <c r="F37" s="1432"/>
      <c r="G37" s="1432"/>
      <c r="H37" s="1432"/>
      <c r="I37" s="1432"/>
      <c r="J37" s="1432"/>
      <c r="K37" s="1432"/>
      <c r="L37" s="1432"/>
      <c r="M37" s="1432"/>
      <c r="N37" s="1432"/>
      <c r="O37" s="1432"/>
      <c r="P37" s="1432"/>
      <c r="Q37" s="1432"/>
      <c r="R37" s="1432"/>
      <c r="S37" s="1432"/>
      <c r="T37" s="1432"/>
      <c r="U37" s="1432"/>
      <c r="V37" s="1432"/>
      <c r="W37" s="1432"/>
      <c r="X37" s="1432"/>
      <c r="Y37" s="1432"/>
      <c r="Z37" s="1432"/>
      <c r="AA37" s="1432"/>
      <c r="AB37" s="1432"/>
      <c r="AC37" s="1432"/>
      <c r="AD37" s="1432"/>
      <c r="AE37" s="1432"/>
      <c r="AF37" s="1432"/>
      <c r="AG37" s="1432"/>
      <c r="AH37" s="1432"/>
      <c r="AI37" s="1432"/>
      <c r="AJ37" s="1432"/>
      <c r="AK37" s="1432"/>
      <c r="AL37" s="1432"/>
      <c r="AM37" s="1432"/>
      <c r="AN37" s="1432"/>
      <c r="AO37" s="1432"/>
      <c r="AP37" s="1432"/>
      <c r="AQ37" s="1432"/>
      <c r="AR37" s="1432"/>
      <c r="AS37" s="1432"/>
      <c r="AT37" s="1432"/>
      <c r="AZ37" s="20"/>
      <c r="BD37" s="1247" t="s">
        <v>2525</v>
      </c>
      <c r="BE37" s="1249" t="str">
        <f>Application!T189</f>
        <v>Alameda</v>
      </c>
    </row>
    <row r="38" spans="1:57" ht="12.95" customHeight="1">
      <c r="A38" s="3"/>
      <c r="AZ38" s="20"/>
      <c r="BD38" s="1248" t="s">
        <v>2526</v>
      </c>
      <c r="BE38" s="1249">
        <f>Application!I190</f>
        <v>94550</v>
      </c>
    </row>
    <row r="39" spans="1:57" ht="12.95" customHeight="1">
      <c r="A39" s="1263" t="s">
        <v>2149</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2527</v>
      </c>
      <c r="BE39" s="1249">
        <f>Application!AG437</f>
        <v>72</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71</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2528</v>
      </c>
      <c r="BE42" s="1251">
        <f>Application!AC753</f>
        <v>0.55352112676056331</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2529</v>
      </c>
      <c r="BE43" s="1251">
        <f>Application!AH753</f>
        <v>0.48316484041779689</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2530</v>
      </c>
      <c r="BE44" s="1249">
        <f>Application!AC454</f>
        <v>487561.88888888888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2531</v>
      </c>
      <c r="BE45" s="1249">
        <f>Application!AE424</f>
        <v>5</v>
      </c>
    </row>
    <row r="46" spans="1:57" ht="12.95" customHeight="1">
      <c r="A46" s="1293" t="s">
        <v>2150</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2532</v>
      </c>
      <c r="BE46" s="1249"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2533</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2534</v>
      </c>
      <c r="BE48" s="1249" t="str">
        <f>Application!M243</f>
        <v>Owls Landing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2535</v>
      </c>
      <c r="BE49" s="1249" t="str">
        <f>Application!M246</f>
        <v>Andrea Osgood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2536</v>
      </c>
      <c r="BE50" s="1249" t="str">
        <f>Application!AA249</f>
        <v>Eden Housing, Inc.</v>
      </c>
    </row>
    <row r="51" spans="1:57" ht="12.95" customHeight="1">
      <c r="A51" s="1263" t="s">
        <v>2151</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2537</v>
      </c>
      <c r="BE51" s="1249">
        <f>Application!M251</f>
        <v>0</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2538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2539</v>
      </c>
      <c r="BE53" s="1249">
        <f>Application!AA257</f>
        <v>0</v>
      </c>
    </row>
    <row r="54" spans="1:57" ht="12.95" customHeight="1">
      <c r="A54" s="1263" t="s">
        <v>2152</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2540</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2541</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2542</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2543</v>
      </c>
      <c r="BE57" s="1249" t="str">
        <f>Application!H287</f>
        <v>Eden Housing, Inc.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2544</v>
      </c>
      <c r="BE58" s="1249" t="str">
        <f>Application!H288</f>
        <v>22645 Grand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2545</v>
      </c>
      <c r="BE59" s="1249" t="str">
        <f>Application!H289</f>
        <v>Hayward, CA, 94541</v>
      </c>
    </row>
    <row r="60" spans="1:57" ht="12.95" customHeight="1">
      <c r="A60" s="1263" t="s">
        <v>2153</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2546</v>
      </c>
      <c r="BE60" s="1249" t="str">
        <f>Application!H290</f>
        <v>Andrea Osgood</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2547</v>
      </c>
      <c r="BE61" s="1249" t="str">
        <f>Application!H293</f>
        <v>aosgood@edenhousing.org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2548</v>
      </c>
      <c r="BE62" s="1252">
        <f>'Basis &amp; Credits'!AB50</f>
        <v>0.85899332227349401</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2549</v>
      </c>
      <c r="BE64" s="1249" t="str">
        <f>Application!X180</f>
        <v>Yes</v>
      </c>
    </row>
    <row r="65" spans="1:57" ht="12.95" customHeight="1">
      <c r="A65" s="1434" t="s">
        <v>2155</v>
      </c>
      <c r="B65" s="1434"/>
      <c r="C65" s="1434"/>
      <c r="D65" s="1434"/>
      <c r="E65" s="1434"/>
      <c r="F65" s="1434"/>
      <c r="G65" s="1434"/>
      <c r="H65" s="1434"/>
      <c r="I65" s="1434"/>
      <c r="J65" s="1434"/>
      <c r="K65" s="1434"/>
      <c r="L65" s="1434"/>
      <c r="M65" s="1434"/>
      <c r="N65" s="1434"/>
      <c r="O65" s="1434"/>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21"/>
      <c r="AV65" s="21"/>
      <c r="AW65" s="21"/>
      <c r="AX65" s="21"/>
      <c r="AY65" s="21"/>
      <c r="AZ65" s="20"/>
      <c r="BD65" s="1247" t="s">
        <v>2585</v>
      </c>
      <c r="BE65" s="1249" t="str">
        <f>Z205</f>
        <v>(select)</v>
      </c>
    </row>
    <row r="66" spans="1:57" ht="12.95" customHeight="1">
      <c r="A66" s="1434"/>
      <c r="B66" s="1434"/>
      <c r="C66" s="1434"/>
      <c r="D66" s="1434"/>
      <c r="E66" s="1434"/>
      <c r="F66" s="1434"/>
      <c r="G66" s="1434"/>
      <c r="H66" s="1434"/>
      <c r="I66" s="1434"/>
      <c r="J66" s="1434"/>
      <c r="K66" s="1434"/>
      <c r="L66" s="1434"/>
      <c r="M66" s="1434"/>
      <c r="N66" s="1434"/>
      <c r="O66" s="1434"/>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21"/>
      <c r="AV66" s="21"/>
      <c r="AW66" s="21"/>
      <c r="AX66" s="21"/>
      <c r="AY66" s="21"/>
      <c r="AZ66" s="20"/>
      <c r="BD66" s="1248" t="s">
        <v>2550</v>
      </c>
      <c r="BE66" s="1249" t="b">
        <f>Application!Z205="State Farmworker Credit"</f>
        <v>0</v>
      </c>
    </row>
    <row r="67" spans="1:57" ht="12.95" customHeight="1">
      <c r="A67" s="1434"/>
      <c r="B67" s="1434"/>
      <c r="C67" s="1434"/>
      <c r="D67" s="1434"/>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c r="AE67" s="1434"/>
      <c r="AF67" s="1434"/>
      <c r="AG67" s="1434"/>
      <c r="AH67" s="1434"/>
      <c r="AI67" s="1434"/>
      <c r="AJ67" s="1434"/>
      <c r="AK67" s="1434"/>
      <c r="AL67" s="1434"/>
      <c r="AM67" s="1434"/>
      <c r="AN67" s="1434"/>
      <c r="AO67" s="1434"/>
      <c r="AP67" s="1434"/>
      <c r="AQ67" s="1434"/>
      <c r="AR67" s="1434"/>
      <c r="AS67" s="1434"/>
      <c r="AT67" s="1434"/>
      <c r="AZ67" s="20"/>
      <c r="BD67" s="1247" t="s">
        <v>2551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2552</v>
      </c>
      <c r="BE68" s="1249">
        <f>'Sources and Uses Budget'!D105</f>
        <v>0</v>
      </c>
    </row>
    <row r="69" spans="1:57" ht="12.95" customHeight="1">
      <c r="A69" s="1434" t="s">
        <v>2156</v>
      </c>
      <c r="B69" s="1434"/>
      <c r="C69" s="1434"/>
      <c r="D69" s="1434"/>
      <c r="E69" s="1434"/>
      <c r="F69" s="1434"/>
      <c r="G69" s="1434"/>
      <c r="H69" s="1434"/>
      <c r="I69" s="1434"/>
      <c r="J69" s="1434"/>
      <c r="K69" s="1434"/>
      <c r="L69" s="1434"/>
      <c r="M69" s="1434"/>
      <c r="N69" s="1434"/>
      <c r="O69" s="1434"/>
      <c r="P69" s="1434"/>
      <c r="Q69" s="1434"/>
      <c r="R69" s="1434"/>
      <c r="S69" s="1434"/>
      <c r="T69" s="1434"/>
      <c r="U69" s="1434"/>
      <c r="V69" s="1434"/>
      <c r="W69" s="1434"/>
      <c r="X69" s="1434"/>
      <c r="Y69" s="1434"/>
      <c r="Z69" s="1434"/>
      <c r="AA69" s="1434"/>
      <c r="AB69" s="1434"/>
      <c r="AC69" s="1434"/>
      <c r="AD69" s="1434"/>
      <c r="AE69" s="1434"/>
      <c r="AF69" s="1434"/>
      <c r="AG69" s="1434"/>
      <c r="AH69" s="1434"/>
      <c r="AI69" s="1434"/>
      <c r="AJ69" s="1434"/>
      <c r="AK69" s="1434"/>
      <c r="AL69" s="1434"/>
      <c r="AM69" s="1434"/>
      <c r="AN69" s="1434"/>
      <c r="AO69" s="1434"/>
      <c r="AP69" s="1434"/>
      <c r="AQ69" s="1434"/>
      <c r="AR69" s="1434"/>
      <c r="AS69" s="1434"/>
      <c r="AT69" s="1434"/>
      <c r="AZ69" s="20"/>
      <c r="BD69" s="1247" t="s">
        <v>2553</v>
      </c>
      <c r="BE69" s="1249" t="str">
        <f>Application!W700</f>
        <v>California Housing Financing Agency</v>
      </c>
    </row>
    <row r="70" spans="1:57" ht="12.95" customHeight="1">
      <c r="A70" s="1434"/>
      <c r="B70" s="1434"/>
      <c r="C70" s="1434"/>
      <c r="D70" s="1434"/>
      <c r="E70" s="1434"/>
      <c r="F70" s="1434"/>
      <c r="G70" s="1434"/>
      <c r="H70" s="1434"/>
      <c r="I70" s="1434"/>
      <c r="J70" s="1434"/>
      <c r="K70" s="1434"/>
      <c r="L70" s="1434"/>
      <c r="M70" s="1434"/>
      <c r="N70" s="1434"/>
      <c r="O70" s="1434"/>
      <c r="P70" s="1434"/>
      <c r="Q70" s="1434"/>
      <c r="R70" s="1434"/>
      <c r="S70" s="1434"/>
      <c r="T70" s="1434"/>
      <c r="U70" s="1434"/>
      <c r="V70" s="1434"/>
      <c r="W70" s="1434"/>
      <c r="X70" s="1434"/>
      <c r="Y70" s="1434"/>
      <c r="Z70" s="1434"/>
      <c r="AA70" s="1434"/>
      <c r="AB70" s="1434"/>
      <c r="AC70" s="1434"/>
      <c r="AD70" s="1434"/>
      <c r="AE70" s="1434"/>
      <c r="AF70" s="1434"/>
      <c r="AG70" s="1434"/>
      <c r="AH70" s="1434"/>
      <c r="AI70" s="1434"/>
      <c r="AJ70" s="1434"/>
      <c r="AK70" s="1434"/>
      <c r="AL70" s="1434"/>
      <c r="AM70" s="1434"/>
      <c r="AN70" s="1434"/>
      <c r="AO70" s="1434"/>
      <c r="AP70" s="1434"/>
      <c r="AQ70" s="1434"/>
      <c r="AR70" s="1434"/>
      <c r="AS70" s="1434"/>
      <c r="AT70" s="1434"/>
      <c r="AU70" s="20"/>
      <c r="AV70" s="20"/>
      <c r="AW70" s="20"/>
      <c r="AX70" s="20"/>
      <c r="AY70" s="20"/>
      <c r="AZ70" s="20"/>
      <c r="BD70" s="1248" t="s">
        <v>2554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2555</v>
      </c>
      <c r="BE71" s="1249">
        <f>'Points System'!AF804</f>
        <v>20</v>
      </c>
    </row>
    <row r="72" spans="1:57" ht="12.95" customHeight="1">
      <c r="A72" s="1432" t="s">
        <v>2157</v>
      </c>
      <c r="B72" s="1432"/>
      <c r="C72" s="1432"/>
      <c r="D72" s="1432"/>
      <c r="E72" s="1432"/>
      <c r="F72" s="1432"/>
      <c r="G72" s="1432"/>
      <c r="H72" s="1432"/>
      <c r="I72" s="1432"/>
      <c r="J72" s="1432"/>
      <c r="K72" s="1432"/>
      <c r="L72" s="1432"/>
      <c r="M72" s="1432"/>
      <c r="N72" s="1432"/>
      <c r="O72" s="1432"/>
      <c r="P72" s="1432"/>
      <c r="Q72" s="1432"/>
      <c r="R72" s="1432"/>
      <c r="S72" s="1432"/>
      <c r="T72" s="1432"/>
      <c r="U72" s="1432"/>
      <c r="V72" s="1432"/>
      <c r="W72" s="1432"/>
      <c r="X72" s="1432"/>
      <c r="Y72" s="1432"/>
      <c r="Z72" s="1432"/>
      <c r="AA72" s="1432"/>
      <c r="AB72" s="1432"/>
      <c r="AC72" s="1432"/>
      <c r="AD72" s="1432"/>
      <c r="AE72" s="1432"/>
      <c r="AF72" s="1432"/>
      <c r="AG72" s="1432"/>
      <c r="AH72" s="1432"/>
      <c r="AI72" s="1432"/>
      <c r="AJ72" s="1432"/>
      <c r="AK72" s="1432"/>
      <c r="AL72" s="1432"/>
      <c r="AM72" s="1432"/>
      <c r="AN72" s="1432"/>
      <c r="AO72" s="1432"/>
      <c r="AP72" s="1432"/>
      <c r="AQ72" s="1432"/>
      <c r="AR72" s="1432"/>
      <c r="AS72" s="1432"/>
      <c r="AT72" s="1432"/>
      <c r="AU72" s="20"/>
      <c r="AV72" s="20"/>
      <c r="AW72" s="20"/>
      <c r="AX72" s="20"/>
      <c r="AY72" s="20"/>
      <c r="AZ72" s="20"/>
      <c r="BD72" s="1248" t="s">
        <v>2556</v>
      </c>
      <c r="BE72" s="1249">
        <f>'Points System'!AF805</f>
        <v>0</v>
      </c>
    </row>
    <row r="73" spans="1:57" ht="12.95" customHeight="1">
      <c r="A73" s="1432"/>
      <c r="B73" s="1432"/>
      <c r="C73" s="1432"/>
      <c r="D73" s="1432"/>
      <c r="E73" s="1432"/>
      <c r="F73" s="1432"/>
      <c r="G73" s="1432"/>
      <c r="H73" s="1432"/>
      <c r="I73" s="1432"/>
      <c r="J73" s="1432"/>
      <c r="K73" s="1432"/>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2"/>
      <c r="AH73" s="1432"/>
      <c r="AI73" s="1432"/>
      <c r="AJ73" s="1432"/>
      <c r="AK73" s="1432"/>
      <c r="AL73" s="1432"/>
      <c r="AM73" s="1432"/>
      <c r="AN73" s="1432"/>
      <c r="AO73" s="1432"/>
      <c r="AP73" s="1432"/>
      <c r="AQ73" s="1432"/>
      <c r="AR73" s="1432"/>
      <c r="AS73" s="1432"/>
      <c r="AT73" s="1432"/>
      <c r="AU73" s="20"/>
      <c r="AV73" s="20"/>
      <c r="AW73" s="20"/>
      <c r="AX73" s="20"/>
      <c r="AY73" s="20"/>
      <c r="AZ73" s="20"/>
      <c r="BD73" s="1247" t="s">
        <v>2557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2558</v>
      </c>
      <c r="BE74" s="1249">
        <f>'Points System'!AF807</f>
        <v>10</v>
      </c>
    </row>
    <row r="75" spans="1:57" ht="12.95" customHeight="1">
      <c r="A75" s="1793" t="s">
        <v>2158</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247" t="s">
        <v>2559</v>
      </c>
      <c r="BE75" s="1249">
        <f>'Points System'!AF808</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248" t="s">
        <v>2560</v>
      </c>
      <c r="BE76" s="1249">
        <f>'Points System'!AF811</f>
        <v>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247" t="s">
        <v>2561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2562</v>
      </c>
      <c r="BE78" s="1249">
        <f>'Points System'!AF814</f>
        <v>10</v>
      </c>
    </row>
    <row r="79" spans="1:57" ht="12.95" customHeight="1">
      <c r="A79" s="1434" t="s">
        <v>2159</v>
      </c>
      <c r="B79" s="1434"/>
      <c r="C79" s="1434"/>
      <c r="D79" s="1434"/>
      <c r="E79" s="1434"/>
      <c r="F79" s="1434"/>
      <c r="G79" s="1434"/>
      <c r="H79" s="1434"/>
      <c r="I79" s="1434"/>
      <c r="J79" s="1434"/>
      <c r="K79" s="1434"/>
      <c r="L79" s="1434"/>
      <c r="M79" s="1434"/>
      <c r="N79" s="1434"/>
      <c r="O79" s="1434"/>
      <c r="P79" s="1434"/>
      <c r="Q79" s="1434"/>
      <c r="R79" s="1434"/>
      <c r="S79" s="1434"/>
      <c r="T79" s="1434"/>
      <c r="U79" s="1434"/>
      <c r="V79" s="1434"/>
      <c r="W79" s="1434"/>
      <c r="X79" s="1434"/>
      <c r="Y79" s="1434"/>
      <c r="Z79" s="1434"/>
      <c r="AA79" s="1434"/>
      <c r="AB79" s="1434"/>
      <c r="AC79" s="1434"/>
      <c r="AD79" s="1434"/>
      <c r="AE79" s="1434"/>
      <c r="AF79" s="1434"/>
      <c r="AG79" s="1434"/>
      <c r="AH79" s="1434"/>
      <c r="AI79" s="1434"/>
      <c r="AJ79" s="1434"/>
      <c r="AK79" s="1434"/>
      <c r="AL79" s="1434"/>
      <c r="AM79" s="1434"/>
      <c r="AN79" s="1434"/>
      <c r="AO79" s="1434"/>
      <c r="AP79" s="1434"/>
      <c r="AQ79" s="1434"/>
      <c r="AR79" s="1434"/>
      <c r="AS79" s="1434"/>
      <c r="AT79" s="1434"/>
      <c r="AU79" s="20"/>
      <c r="AV79" s="20"/>
      <c r="AW79" s="20"/>
      <c r="AX79" s="20"/>
      <c r="AY79" s="20"/>
      <c r="AZ79" s="20"/>
      <c r="BD79" s="1247" t="s">
        <v>2563</v>
      </c>
      <c r="BE79" s="1249">
        <f>'Points System'!AF815</f>
        <v>0</v>
      </c>
    </row>
    <row r="80" spans="1:57" ht="12.95" customHeight="1">
      <c r="A80" s="1434"/>
      <c r="B80" s="1434"/>
      <c r="C80" s="1434"/>
      <c r="D80" s="1434"/>
      <c r="E80" s="1434"/>
      <c r="F80" s="1434"/>
      <c r="G80" s="1434"/>
      <c r="H80" s="1434"/>
      <c r="I80" s="1434"/>
      <c r="J80" s="1434"/>
      <c r="K80" s="1434"/>
      <c r="L80" s="1434"/>
      <c r="M80" s="1434"/>
      <c r="N80" s="1434"/>
      <c r="O80" s="1434"/>
      <c r="P80" s="1434"/>
      <c r="Q80" s="1434"/>
      <c r="R80" s="1434"/>
      <c r="S80" s="1434"/>
      <c r="T80" s="1434"/>
      <c r="U80" s="1434"/>
      <c r="V80" s="1434"/>
      <c r="W80" s="1434"/>
      <c r="X80" s="1434"/>
      <c r="Y80" s="1434"/>
      <c r="Z80" s="1434"/>
      <c r="AA80" s="1434"/>
      <c r="AB80" s="1434"/>
      <c r="AC80" s="1434"/>
      <c r="AD80" s="1434"/>
      <c r="AE80" s="1434"/>
      <c r="AF80" s="1434"/>
      <c r="AG80" s="1434"/>
      <c r="AH80" s="1434"/>
      <c r="AI80" s="1434"/>
      <c r="AJ80" s="1434"/>
      <c r="AK80" s="1434"/>
      <c r="AL80" s="1434"/>
      <c r="AM80" s="1434"/>
      <c r="AN80" s="1434"/>
      <c r="AO80" s="1434"/>
      <c r="AP80" s="1434"/>
      <c r="AQ80" s="1434"/>
      <c r="AR80" s="1434"/>
      <c r="AS80" s="1434"/>
      <c r="AT80" s="1434"/>
      <c r="AU80" s="20"/>
      <c r="AV80" s="20"/>
      <c r="AW80" s="20"/>
      <c r="AX80" s="20"/>
      <c r="AY80" s="20"/>
      <c r="AZ80" s="20"/>
      <c r="BD80" s="1248" t="s">
        <v>2564</v>
      </c>
      <c r="BE80" s="1249">
        <f>'Points System'!AF817</f>
        <v>10</v>
      </c>
    </row>
    <row r="81" spans="1:57" ht="12.95" customHeight="1">
      <c r="A81" s="1434"/>
      <c r="B81" s="1434"/>
      <c r="C81" s="1434"/>
      <c r="D81" s="1434"/>
      <c r="E81" s="1434"/>
      <c r="F81" s="1434"/>
      <c r="G81" s="1434"/>
      <c r="H81" s="1434"/>
      <c r="I81" s="1434"/>
      <c r="J81" s="1434"/>
      <c r="K81" s="1434"/>
      <c r="L81" s="1434"/>
      <c r="M81" s="1434"/>
      <c r="N81" s="1434"/>
      <c r="O81" s="1434"/>
      <c r="P81" s="1434"/>
      <c r="Q81" s="1434"/>
      <c r="R81" s="1434"/>
      <c r="S81" s="1434"/>
      <c r="T81" s="1434"/>
      <c r="U81" s="1434"/>
      <c r="V81" s="1434"/>
      <c r="W81" s="1434"/>
      <c r="X81" s="1434"/>
      <c r="Y81" s="1434"/>
      <c r="Z81" s="1434"/>
      <c r="AA81" s="1434"/>
      <c r="AB81" s="1434"/>
      <c r="AC81" s="1434"/>
      <c r="AD81" s="1434"/>
      <c r="AE81" s="1434"/>
      <c r="AF81" s="1434"/>
      <c r="AG81" s="1434"/>
      <c r="AH81" s="1434"/>
      <c r="AI81" s="1434"/>
      <c r="AJ81" s="1434"/>
      <c r="AK81" s="1434"/>
      <c r="AL81" s="1434"/>
      <c r="AM81" s="1434"/>
      <c r="AN81" s="1434"/>
      <c r="AO81" s="1434"/>
      <c r="AP81" s="1434"/>
      <c r="AQ81" s="1434"/>
      <c r="AR81" s="1434"/>
      <c r="AS81" s="1434"/>
      <c r="AT81" s="1434"/>
      <c r="AU81" s="20"/>
      <c r="AV81" s="20"/>
      <c r="AW81" s="20"/>
      <c r="AX81" s="20"/>
      <c r="AY81" s="20"/>
      <c r="AZ81" s="20"/>
      <c r="BD81" s="1247" t="s">
        <v>2565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2566</v>
      </c>
      <c r="BE82" s="1249">
        <f>'Points System'!AF819</f>
        <v>10</v>
      </c>
    </row>
    <row r="83" spans="1:57" ht="12.95" customHeight="1">
      <c r="A83" s="1263" t="s">
        <v>2160</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2567</v>
      </c>
      <c r="BE83" s="1253">
        <f>'Tie Breaker'!H5</f>
        <v>2.4152451951539788</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2568</v>
      </c>
      <c r="BE84" s="1249" t="str">
        <f>Application!O153</f>
        <v>City of Livermore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2569</v>
      </c>
      <c r="BE85" s="1249" t="str">
        <f>Application!O154</f>
        <v>Marianna A. Burch</v>
      </c>
    </row>
    <row r="86" spans="1:57" ht="12.95" customHeight="1">
      <c r="A86" s="1263" t="s">
        <v>2161</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2570</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2571</v>
      </c>
      <c r="BE87" s="1249" t="str">
        <f>Application!O156</f>
        <v>1052 S. Livermore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2572</v>
      </c>
      <c r="BE88" s="1249" t="str">
        <f>Application!O157</f>
        <v>Livermore, CA</v>
      </c>
    </row>
    <row r="89" spans="1:57" ht="12.95" customHeight="1">
      <c r="A89" s="1792" t="s">
        <v>2162</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247" t="s">
        <v>2573</v>
      </c>
      <c r="BE89" s="1249">
        <f>Application!O158</f>
        <v>94550</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248" t="s">
        <v>2574</v>
      </c>
      <c r="BE90" s="1249" t="str">
        <f>Application!H16</f>
        <v>Owls Landing,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2575</v>
      </c>
      <c r="BE91" s="1249" t="str">
        <f>Application!M233</f>
        <v>22645 Grand Street</v>
      </c>
    </row>
    <row r="92" spans="1:57" ht="12.95" customHeight="1">
      <c r="A92" s="1793" t="s">
        <v>2163</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248" t="s">
        <v>2576</v>
      </c>
      <c r="BE92" s="1249" t="str">
        <f>Application!M234</f>
        <v>Hayward</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247" t="s">
        <v>2577</v>
      </c>
      <c r="BE93" s="1249" t="str">
        <f>Application!W234</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248" t="s">
        <v>2578</v>
      </c>
      <c r="BE94" s="1249">
        <f>Application!AC234</f>
        <v>94541</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247" t="s">
        <v>2579</v>
      </c>
      <c r="BE95" s="1249" t="str">
        <f>Application!M235</f>
        <v>Andrea Osgood</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248" t="s">
        <v>2580</v>
      </c>
      <c r="BE96" s="1249" t="str">
        <f>Application!M237</f>
        <v>aosgood@edenhousing.org</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247" t="s">
        <v>2581</v>
      </c>
      <c r="BE97" s="1249" t="str">
        <f>Application!M248</f>
        <v>aosgood@edenhousing.org</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248" t="s">
        <v>2582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2583</v>
      </c>
      <c r="BE99" s="1249">
        <f>Application!M264</f>
        <v>0</v>
      </c>
    </row>
    <row r="100" spans="1:57" ht="12.95" customHeight="1">
      <c r="A100" s="1794" t="s">
        <v>2164</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248" t="s">
        <v>2584</v>
      </c>
      <c r="BE100" s="1249" t="str">
        <f>Application!L279</f>
        <v>aosgood@edenhousing.org</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2589</v>
      </c>
      <c r="BE101">
        <f>'Sources and Uses Budget'!C105</f>
        <v>35104456</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2590</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4" t="s">
        <v>2165</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c r="H113" s="1795"/>
      <c r="I113" s="3" t="s">
        <v>182</v>
      </c>
      <c r="L113" s="1795"/>
      <c r="M113" s="1795"/>
      <c r="N113" s="1795"/>
      <c r="O113" s="1795"/>
      <c r="P113" s="1801" t="s">
        <v>2238</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6"/>
      <c r="D115" s="1806"/>
      <c r="E115" s="1806"/>
      <c r="F115" s="1806"/>
      <c r="G115" s="1806"/>
      <c r="H115" s="1806"/>
      <c r="I115" s="1806"/>
      <c r="J115" s="1806"/>
      <c r="K115" s="180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1" t="s">
        <v>469</v>
      </c>
      <c r="CV122" s="1672"/>
      <c r="CW122" s="14"/>
      <c r="CX122" s="14" t="s">
        <v>634</v>
      </c>
      <c r="CY122" s="14"/>
      <c r="CZ122" s="14"/>
      <c r="DA122" s="14"/>
      <c r="DB122" s="14"/>
      <c r="DC122" s="14"/>
      <c r="DD122" s="14"/>
      <c r="DE122" s="14"/>
      <c r="DF122" s="14"/>
      <c r="DG122" s="1668" t="str">
        <f>T189</f>
        <v>Alameda</v>
      </c>
      <c r="DH122" s="1669"/>
      <c r="DI122" s="1669"/>
      <c r="DJ122" s="1669"/>
      <c r="DK122" s="1669"/>
      <c r="DL122" s="1669"/>
      <c r="DM122" s="1670"/>
    </row>
    <row r="123" spans="1:117"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2457</v>
      </c>
    </row>
    <row r="152" spans="1:108" ht="12.95" customHeight="1">
      <c r="BM152">
        <v>4</v>
      </c>
      <c r="BN152" s="3" t="s">
        <v>2456</v>
      </c>
    </row>
    <row r="153" spans="1:108" ht="12.95" customHeight="1">
      <c r="D153" t="s">
        <v>645</v>
      </c>
      <c r="O153" s="1435" t="s">
        <v>2689</v>
      </c>
      <c r="P153" s="1436"/>
      <c r="Q153" s="1436"/>
      <c r="R153" s="1436"/>
      <c r="S153" s="1436"/>
      <c r="T153" s="1436"/>
      <c r="U153" s="1436"/>
      <c r="V153" s="1436"/>
      <c r="W153" s="1436"/>
      <c r="X153" s="1436"/>
      <c r="Y153" s="1436"/>
      <c r="Z153" s="1436"/>
      <c r="AA153" s="1436"/>
      <c r="AB153" s="1436"/>
      <c r="AC153" s="1436"/>
      <c r="AD153" s="1436"/>
      <c r="AE153" s="1436"/>
      <c r="AF153" s="1436"/>
      <c r="AG153" s="1436"/>
      <c r="AH153" s="1436"/>
      <c r="BM153">
        <v>5</v>
      </c>
      <c r="BN153" s="3" t="s">
        <v>2458</v>
      </c>
      <c r="CR153" s="31" t="s">
        <v>2591</v>
      </c>
      <c r="CS153" s="32"/>
      <c r="CT153" s="32"/>
      <c r="CU153" s="32"/>
      <c r="CV153" s="32"/>
      <c r="CW153" s="32"/>
      <c r="CX153" s="14"/>
      <c r="CY153" s="31" t="s">
        <v>2592</v>
      </c>
      <c r="CZ153" s="14"/>
      <c r="DA153" s="14"/>
      <c r="DB153" s="14"/>
      <c r="DC153" s="14"/>
      <c r="DD153" s="14"/>
    </row>
    <row r="154" spans="1:108" ht="12.95" customHeight="1">
      <c r="D154" s="303" t="s">
        <v>440</v>
      </c>
      <c r="O154" s="1560" t="s">
        <v>2687</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2459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5" t="s">
        <v>2685</v>
      </c>
      <c r="P155" s="1816"/>
      <c r="Q155" s="1816"/>
      <c r="R155" s="1816"/>
      <c r="S155" s="1816"/>
      <c r="T155" s="1816"/>
      <c r="U155" s="1816"/>
      <c r="V155" s="1816"/>
      <c r="W155" s="1816"/>
      <c r="X155" s="1816"/>
      <c r="Y155" s="1816"/>
      <c r="Z155" s="1816"/>
      <c r="AA155" s="1816"/>
      <c r="AB155" s="1816"/>
      <c r="AC155" s="1816"/>
      <c r="AD155" s="1816"/>
      <c r="AE155" s="1816"/>
      <c r="AF155" s="1816"/>
      <c r="AG155" s="1816"/>
      <c r="AH155" s="1816"/>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5" t="s">
        <v>2692</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307</v>
      </c>
      <c r="CB156" s="195" t="s">
        <v>2601</v>
      </c>
      <c r="CC156" s="196"/>
      <c r="CD156" s="196"/>
      <c r="CE156" s="196"/>
      <c r="CF156" s="196"/>
      <c r="CG156" s="196"/>
      <c r="CH156" s="196"/>
      <c r="CI156" s="3"/>
      <c r="CJ156" s="195" t="s">
        <v>2599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35" t="s">
        <v>2691</v>
      </c>
      <c r="P157" s="1436"/>
      <c r="Q157" s="1436"/>
      <c r="R157" s="1436"/>
      <c r="S157" s="1436"/>
      <c r="T157" s="1436"/>
      <c r="U157" s="1436"/>
      <c r="V157" s="1436"/>
      <c r="W157" s="1436"/>
      <c r="X157" s="143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8">
        <v>94550</v>
      </c>
      <c r="P158" s="1798"/>
      <c r="Q158" s="1798"/>
      <c r="R158" s="179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42" t="s">
        <v>2686</v>
      </c>
      <c r="P159" s="1786"/>
      <c r="Q159" s="1786"/>
      <c r="R159" s="1786"/>
      <c r="S159" s="1786"/>
      <c r="T159" s="1786"/>
      <c r="V159" s="97" t="s">
        <v>271</v>
      </c>
      <c r="W159" s="1799"/>
      <c r="X159" s="179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42" t="s">
        <v>2688</v>
      </c>
      <c r="P160" s="1786"/>
      <c r="Q160" s="1786"/>
      <c r="R160" s="1786"/>
      <c r="S160" s="1786"/>
      <c r="T160" s="178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4" t="s">
        <v>2690</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7" t="s">
        <v>2215</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41" t="s">
        <v>539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1441"/>
      <c r="AN169" s="1441"/>
      <c r="AO169" s="1441"/>
      <c r="AP169" s="1441"/>
      <c r="AQ169" s="1441"/>
      <c r="AR169" s="1441"/>
      <c r="AS169" s="1441"/>
      <c r="AT169" s="144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1441"/>
      <c r="AN170" s="1441"/>
      <c r="AO170" s="1441"/>
      <c r="AP170" s="1441"/>
      <c r="AQ170" s="1441"/>
      <c r="AR170" s="1441"/>
      <c r="AS170" s="1441"/>
      <c r="AT170" s="144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14" t="s">
        <v>371</v>
      </c>
      <c r="K173" s="1814"/>
      <c r="L173" s="1814"/>
      <c r="M173" s="1814"/>
      <c r="N173" s="1814"/>
      <c r="O173" s="1814"/>
      <c r="P173" s="1814"/>
      <c r="Q173" s="1814"/>
      <c r="R173" s="1814"/>
      <c r="S173" s="181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90" t="s">
        <v>2100</v>
      </c>
      <c r="K174" s="1390"/>
      <c r="L174" s="1390"/>
      <c r="M174" s="1390"/>
      <c r="N174" s="1390"/>
      <c r="O174" s="1390"/>
      <c r="P174" s="1390"/>
      <c r="Q174" s="1390"/>
      <c r="R174" s="1390"/>
      <c r="S174" s="1390"/>
      <c r="T174" s="1390"/>
      <c r="U174" s="1390"/>
      <c r="V174" s="1390"/>
      <c r="W174" s="1390"/>
      <c r="X174" s="1390"/>
      <c r="Y174" s="1390"/>
      <c r="Z174" s="1390"/>
      <c r="AA174" s="1390"/>
      <c r="AB174" s="1390"/>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51" t="s">
        <v>545</v>
      </c>
      <c r="V175" s="1351"/>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2078</v>
      </c>
      <c r="T176" s="27" t="s">
        <v>305</v>
      </c>
      <c r="U176" s="1809">
        <v>24</v>
      </c>
      <c r="V176" s="1445"/>
      <c r="W176" s="1" t="s">
        <v>306</v>
      </c>
      <c r="X176" s="1789">
        <v>766</v>
      </c>
      <c r="Y176" s="1790"/>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51" t="s">
        <v>669</v>
      </c>
      <c r="S177" s="1351"/>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2078</v>
      </c>
      <c r="AE178" s="27" t="s">
        <v>305</v>
      </c>
      <c r="AF178" s="1788"/>
      <c r="AG178" s="1788"/>
      <c r="AH178" s="1" t="s">
        <v>306</v>
      </c>
      <c r="AI178" s="1812"/>
      <c r="AJ178" s="1812"/>
      <c r="AK178" s="1812"/>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2079</v>
      </c>
      <c r="X180" s="1351" t="s">
        <v>545</v>
      </c>
      <c r="Y180" s="1351"/>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77" t="str">
        <f>H18</f>
        <v>Owls Landing Apartments</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560" t="s">
        <v>2606</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11"/>
      <c r="F187" s="1811"/>
      <c r="G187" s="1811"/>
      <c r="H187" s="1811"/>
      <c r="I187" s="1811"/>
      <c r="J187" s="1811"/>
      <c r="K187" s="1811"/>
      <c r="L187" s="1811"/>
      <c r="M187" s="1811"/>
      <c r="N187" s="1811"/>
      <c r="O187" s="1811"/>
      <c r="P187" s="1811"/>
      <c r="Q187" s="1811"/>
      <c r="R187" s="1811"/>
      <c r="S187" s="1811"/>
      <c r="T187" s="1811"/>
      <c r="U187" s="1811"/>
      <c r="V187" s="1811"/>
      <c r="W187" s="1811"/>
      <c r="X187" s="1811"/>
      <c r="Y187" s="1811"/>
      <c r="Z187" s="1811"/>
      <c r="AA187" s="1811"/>
      <c r="AB187" s="1811"/>
      <c r="AC187" s="1811"/>
      <c r="AD187" s="1811"/>
      <c r="AE187" s="181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35" t="s">
        <v>2607</v>
      </c>
      <c r="J189" s="1390"/>
      <c r="K189" s="1390"/>
      <c r="L189" s="1390"/>
      <c r="M189" s="1390"/>
      <c r="N189" s="1390"/>
      <c r="O189" s="1390"/>
      <c r="P189" s="1390"/>
      <c r="Q189" t="s">
        <v>582</v>
      </c>
      <c r="T189" s="1390" t="s">
        <v>476</v>
      </c>
      <c r="U189" s="1390"/>
      <c r="V189" s="1390"/>
      <c r="W189" s="1390"/>
      <c r="X189" s="1390"/>
      <c r="Y189" s="1390"/>
      <c r="Z189" s="1390"/>
      <c r="AA189" s="1390"/>
      <c r="AB189" s="1390"/>
      <c r="AC189" s="1390"/>
      <c r="AD189" s="1390"/>
      <c r="AE189" s="1390"/>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67">
        <v>94550</v>
      </c>
      <c r="J190" s="1367"/>
      <c r="K190" s="1367"/>
      <c r="L190" s="1367"/>
      <c r="M190" s="1367"/>
      <c r="N190" s="1367"/>
      <c r="O190" t="s">
        <v>585</v>
      </c>
      <c r="T190" s="1796">
        <v>4511.04</v>
      </c>
      <c r="U190" s="1796"/>
      <c r="V190" s="1796"/>
      <c r="W190" s="1796"/>
      <c r="X190" s="1796"/>
      <c r="Y190" s="1796"/>
      <c r="Z190" s="1796"/>
      <c r="AA190" s="1796"/>
      <c r="AB190" s="1796"/>
      <c r="AC190" s="1796"/>
      <c r="AD190" s="1796"/>
      <c r="AE190" s="1796"/>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10" t="s">
        <v>2608</v>
      </c>
      <c r="O191" s="1811"/>
      <c r="P191" s="1811"/>
      <c r="Q191" s="1811"/>
      <c r="R191" s="1811"/>
      <c r="S191" s="1811"/>
      <c r="T191" s="1811"/>
      <c r="U191" s="1811"/>
      <c r="V191" s="1811"/>
      <c r="W191" s="1811"/>
      <c r="X191" s="1811"/>
      <c r="Y191" s="1811"/>
      <c r="Z191" s="1811"/>
      <c r="AA191" s="1811"/>
      <c r="AB191" s="1811"/>
      <c r="AC191" s="1811"/>
      <c r="AD191" s="1811"/>
      <c r="AE191" s="1811"/>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800" t="s">
        <v>1936</v>
      </c>
      <c r="U193" s="1800"/>
      <c r="V193" s="1800"/>
      <c r="W193" s="1800"/>
      <c r="X193" s="1800"/>
      <c r="Y193" s="1800"/>
      <c r="Z193" s="1800"/>
      <c r="AA193" s="1800"/>
      <c r="AB193" s="1800"/>
      <c r="AC193" s="1800"/>
      <c r="AD193" s="1800"/>
      <c r="AE193" s="1800"/>
      <c r="AF193" s="1800"/>
      <c r="AG193" s="1800"/>
      <c r="AH193" s="1800"/>
      <c r="AI193" s="1800"/>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51" t="s">
        <v>669</v>
      </c>
      <c r="AI194" s="1351"/>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51" t="s">
        <v>669</v>
      </c>
      <c r="U195" s="1351"/>
      <c r="W195" t="s">
        <v>684</v>
      </c>
      <c r="AH195" s="1351">
        <v>14</v>
      </c>
      <c r="AI195" s="1351"/>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1" t="s">
        <v>669</v>
      </c>
      <c r="U196" s="1421"/>
      <c r="W196" t="s">
        <v>685</v>
      </c>
      <c r="AH196" s="1351">
        <v>16</v>
      </c>
      <c r="AI196" s="1351"/>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1" t="s">
        <v>669</v>
      </c>
      <c r="U197" s="1421"/>
      <c r="W197" t="s">
        <v>686</v>
      </c>
      <c r="AH197" s="1351">
        <v>5</v>
      </c>
      <c r="AI197" s="1351"/>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21"/>
      <c r="U198" s="1421"/>
      <c r="V198"/>
      <c r="X198" s="1432" t="s">
        <v>2505</v>
      </c>
      <c r="Y198" s="1432"/>
      <c r="Z198" s="1432"/>
      <c r="AA198" s="1432"/>
      <c r="AB198" s="1432"/>
      <c r="AC198" s="1432"/>
      <c r="AD198" s="1432"/>
      <c r="AE198" s="1432"/>
      <c r="AF198" s="1432"/>
      <c r="AG198" s="1432"/>
      <c r="AH198" s="1432"/>
      <c r="AI198" s="1432"/>
      <c r="AJ198" s="1432"/>
      <c r="AK198" s="1432"/>
      <c r="AL198" s="1432"/>
      <c r="AM198" s="1432"/>
      <c r="AN198" s="1432"/>
      <c r="AO198" s="1432"/>
      <c r="AP198" s="1432"/>
      <c r="AQ198" s="1432"/>
      <c r="AR198" s="1432"/>
      <c r="AS198" s="1432"/>
      <c r="AT198" s="143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2508</v>
      </c>
      <c r="E199"/>
      <c r="F199"/>
      <c r="G199"/>
      <c r="H199"/>
      <c r="I199"/>
      <c r="J199"/>
      <c r="K199"/>
      <c r="L199"/>
      <c r="M199"/>
      <c r="N199"/>
      <c r="O199"/>
      <c r="P199"/>
      <c r="Q199"/>
      <c r="R199"/>
      <c r="S199"/>
      <c r="T199" s="1351" t="s">
        <v>669</v>
      </c>
      <c r="U199" s="1351"/>
      <c r="V199"/>
      <c r="W199"/>
      <c r="X199" s="1432"/>
      <c r="Y199" s="1432"/>
      <c r="Z199" s="1432"/>
      <c r="AA199" s="1432"/>
      <c r="AB199" s="1432"/>
      <c r="AC199" s="1432"/>
      <c r="AD199" s="1432"/>
      <c r="AE199" s="1432"/>
      <c r="AF199" s="1432"/>
      <c r="AG199" s="1432"/>
      <c r="AH199" s="1432"/>
      <c r="AI199" s="1432"/>
      <c r="AJ199" s="1432"/>
      <c r="AK199" s="1432"/>
      <c r="AL199" s="1432"/>
      <c r="AM199" s="1432"/>
      <c r="AN199" s="1432"/>
      <c r="AO199" s="1432"/>
      <c r="AP199" s="1432"/>
      <c r="AQ199" s="1432"/>
      <c r="AR199" s="1432"/>
      <c r="AS199" s="1432"/>
      <c r="AT199" s="143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2506</v>
      </c>
      <c r="T200" s="1351" t="s">
        <v>669</v>
      </c>
      <c r="U200" s="1351"/>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2507</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77" t="s">
        <v>385</v>
      </c>
      <c r="E204" s="1377"/>
      <c r="F204" s="1377"/>
      <c r="G204" s="1377"/>
      <c r="H204" s="1377"/>
      <c r="I204" s="1377"/>
      <c r="J204" s="1377"/>
      <c r="K204" s="1377"/>
      <c r="L204" s="1377"/>
      <c r="M204" s="1377"/>
      <c r="P204" s="1808">
        <f>M26</f>
        <v>1291158</v>
      </c>
      <c r="Q204" s="1787"/>
      <c r="R204" s="1787"/>
      <c r="S204" s="1787"/>
      <c r="T204" s="1787"/>
      <c r="U204" s="1787"/>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9" t="s">
        <v>1246</v>
      </c>
      <c r="E205" s="1377"/>
      <c r="F205" s="1377"/>
      <c r="G205" s="1377"/>
      <c r="H205" s="1377"/>
      <c r="I205" s="1377"/>
      <c r="J205" s="1377"/>
      <c r="K205" s="1377"/>
      <c r="L205" s="1377"/>
      <c r="M205" s="1377"/>
      <c r="P205" s="1787">
        <f>M27</f>
        <v>0</v>
      </c>
      <c r="Q205" s="1787"/>
      <c r="R205" s="1787"/>
      <c r="S205" s="1787"/>
      <c r="T205" s="1787"/>
      <c r="U205" s="1787"/>
      <c r="V205" s="28"/>
      <c r="W205" s="3" t="s">
        <v>1719</v>
      </c>
      <c r="Z205" s="1817" t="s">
        <v>1183</v>
      </c>
      <c r="AA205" s="1817"/>
      <c r="AB205" s="1817"/>
      <c r="AC205" s="1817"/>
      <c r="AD205" s="1817"/>
      <c r="AE205" s="1817"/>
      <c r="AF205" s="1817"/>
      <c r="AG205" s="1817"/>
      <c r="AH205" s="1817"/>
      <c r="AI205" s="1817"/>
      <c r="AJ205" s="1817"/>
      <c r="AK205" s="1817"/>
      <c r="AL205" s="1817"/>
      <c r="AM205" s="1817"/>
      <c r="AN205" s="1817"/>
      <c r="AP205" s="1354"/>
      <c r="AQ205" s="135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36" t="s">
        <v>2609</v>
      </c>
      <c r="E208" s="1436"/>
      <c r="F208" s="1436"/>
      <c r="G208" s="1436"/>
      <c r="H208" s="1436"/>
      <c r="I208" s="1436"/>
      <c r="J208" s="1436"/>
      <c r="K208" s="1436"/>
      <c r="L208" s="1436"/>
      <c r="M208" s="1436"/>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36" t="s">
        <v>1040</v>
      </c>
      <c r="E211" s="1436"/>
      <c r="F211" s="1436"/>
      <c r="G211" s="1436"/>
      <c r="H211" s="1436"/>
      <c r="I211" s="1436"/>
      <c r="J211" s="1436"/>
      <c r="K211" s="1436"/>
      <c r="L211" s="1436"/>
      <c r="M211" s="143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51"/>
      <c r="R212" s="1351"/>
      <c r="T212" s="1802">
        <f>IFERROR(Q212/AG440,0)</f>
        <v>0</v>
      </c>
      <c r="U212" s="1803"/>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2465</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5" t="s">
        <v>591</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04"/>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2232</v>
      </c>
      <c r="D218" s="28"/>
      <c r="AC218" s="2" t="s">
        <v>2454</v>
      </c>
      <c r="BC218" t="s">
        <v>529</v>
      </c>
    </row>
    <row r="219" spans="1:108" ht="12.95" customHeight="1">
      <c r="A219" s="2"/>
      <c r="C219" s="2"/>
      <c r="D219" s="3" t="s">
        <v>2455</v>
      </c>
      <c r="AZ219" s="3"/>
      <c r="BA219" s="3"/>
      <c r="BC219" t="s">
        <v>377</v>
      </c>
    </row>
    <row r="220" spans="1:108" ht="12.95" customHeight="1">
      <c r="A220" s="2"/>
      <c r="C220" s="2"/>
      <c r="D220" s="1436" t="s">
        <v>1062</v>
      </c>
      <c r="E220" s="1436"/>
      <c r="F220" s="1436"/>
      <c r="G220" s="1436"/>
      <c r="H220" s="1436"/>
      <c r="I220" s="1436"/>
      <c r="J220" s="1436"/>
      <c r="K220" s="1436"/>
      <c r="L220" s="1436"/>
      <c r="M220" s="1436"/>
      <c r="N220" s="1436"/>
      <c r="O220" s="1436"/>
      <c r="P220" s="1436"/>
      <c r="Q220" s="1436"/>
      <c r="R220" s="1436"/>
      <c r="S220" s="1436"/>
      <c r="T220" s="1436"/>
      <c r="U220" s="1436"/>
      <c r="V220" s="1436"/>
      <c r="W220" s="1436"/>
      <c r="X220" s="1436"/>
      <c r="Y220" s="1436"/>
      <c r="Z220" s="1436"/>
      <c r="AC220" s="1818" t="s">
        <v>2457</v>
      </c>
      <c r="AD220" s="1818"/>
      <c r="AE220" s="1818"/>
      <c r="AF220" s="1818"/>
      <c r="AG220" s="1818"/>
      <c r="AH220" s="1818"/>
      <c r="AI220" s="1818"/>
      <c r="AJ220" s="1818"/>
      <c r="AK220" s="1818"/>
      <c r="AL220" s="1818"/>
      <c r="AM220" s="1818"/>
      <c r="AN220" s="1818"/>
      <c r="AO220" s="1818"/>
      <c r="AP220" s="1818"/>
      <c r="AQ220" s="1818"/>
      <c r="BA220" s="3"/>
      <c r="BC220" t="s">
        <v>300</v>
      </c>
    </row>
    <row r="221" spans="1:108" ht="12.95" customHeight="1">
      <c r="A221" s="2"/>
      <c r="B221" s="14"/>
      <c r="C221" s="2"/>
      <c r="BA221" s="3"/>
    </row>
    <row r="222" spans="1:108" ht="12.95" customHeight="1">
      <c r="A222" s="1441" t="s">
        <v>540</v>
      </c>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1441"/>
      <c r="AN222" s="1441"/>
      <c r="AO222" s="1441"/>
      <c r="AP222" s="1441"/>
      <c r="AQ222" s="1441"/>
      <c r="AR222" s="1441"/>
      <c r="AS222" s="1441"/>
      <c r="AT222" s="1441"/>
      <c r="AU222" s="95"/>
      <c r="AV222" s="95"/>
      <c r="AW222" s="95"/>
      <c r="AX222" s="95"/>
      <c r="AY222" s="95"/>
      <c r="AZ222" s="3"/>
      <c r="BA222" s="3"/>
      <c r="BP222" s="34"/>
    </row>
    <row r="223" spans="1:108" ht="12.95" customHeight="1">
      <c r="A223" s="1441"/>
      <c r="B223" s="1441"/>
      <c r="C223" s="1441"/>
      <c r="D223" s="1441"/>
      <c r="E223" s="1441"/>
      <c r="F223" s="1441"/>
      <c r="G223" s="1441"/>
      <c r="H223" s="1441"/>
      <c r="I223" s="1441"/>
      <c r="J223" s="1441"/>
      <c r="K223" s="1441"/>
      <c r="L223" s="1441"/>
      <c r="M223" s="1441"/>
      <c r="N223" s="1441"/>
      <c r="O223" s="1441"/>
      <c r="P223" s="1441"/>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1"/>
      <c r="AQ223" s="1441"/>
      <c r="AR223" s="1441"/>
      <c r="AS223" s="1441"/>
      <c r="AT223" s="1441"/>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1" t="s">
        <v>591</v>
      </c>
      <c r="AJ226" s="1351"/>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1" t="s">
        <v>545</v>
      </c>
      <c r="AJ227" s="1351"/>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1" t="s">
        <v>591</v>
      </c>
      <c r="AJ228" s="1351"/>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1" t="s">
        <v>591</v>
      </c>
      <c r="AJ229" s="1351"/>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7" t="str">
        <f>H16</f>
        <v>Owls Landing, L.P.</v>
      </c>
      <c r="N232" s="1797"/>
      <c r="O232" s="1797"/>
      <c r="P232" s="1797"/>
      <c r="Q232" s="1797"/>
      <c r="R232" s="1797"/>
      <c r="S232" s="1797"/>
      <c r="T232" s="1797"/>
      <c r="U232" s="1797"/>
      <c r="V232" s="1797"/>
      <c r="W232" s="1797"/>
      <c r="X232" s="1797"/>
      <c r="Y232" s="1797"/>
      <c r="Z232" s="1797"/>
      <c r="AA232" s="1797"/>
      <c r="AB232" s="1797"/>
      <c r="AC232" s="1797"/>
      <c r="AD232" s="1797"/>
      <c r="AE232" s="1797"/>
      <c r="AF232" s="1797"/>
      <c r="AG232" s="1797"/>
      <c r="AH232" s="1797"/>
      <c r="AI232" s="1797"/>
      <c r="AJ232" s="1797"/>
      <c r="AK232" s="1797"/>
      <c r="AZ232" s="4"/>
      <c r="BA232" s="3"/>
      <c r="BB232" s="205" t="s">
        <v>538</v>
      </c>
      <c r="BG232" s="241">
        <f>IF(AND(AND($M$249="nonprofit",$M$257="nonprofit",$M$265="for profit")),2,0)</f>
        <v>0</v>
      </c>
    </row>
    <row r="233" spans="1:59" ht="12.95" customHeight="1">
      <c r="D233" s="4" t="s">
        <v>85</v>
      </c>
      <c r="E233" s="4"/>
      <c r="F233" s="4"/>
      <c r="G233" s="4"/>
      <c r="H233" s="4"/>
      <c r="I233" s="4"/>
      <c r="J233" s="4"/>
      <c r="K233" s="4"/>
      <c r="M233" s="1435" t="s">
        <v>2610</v>
      </c>
      <c r="N233" s="1436"/>
      <c r="O233" s="1436"/>
      <c r="P233" s="1436"/>
      <c r="Q233" s="1436"/>
      <c r="R233" s="1436"/>
      <c r="S233" s="1436"/>
      <c r="T233" s="1436"/>
      <c r="U233" s="1436"/>
      <c r="V233" s="1436"/>
      <c r="W233" s="1436"/>
      <c r="X233" s="1436"/>
      <c r="Y233" s="1436"/>
      <c r="Z233" s="1436"/>
      <c r="AA233" s="1436"/>
      <c r="AB233" s="1436"/>
      <c r="AC233" s="1436"/>
      <c r="AD233" s="1436"/>
      <c r="AE233" s="1436"/>
      <c r="BB233" s="205" t="s">
        <v>538</v>
      </c>
      <c r="BG233" s="241">
        <f>IF(AND(AND($M$249="nonprofit",$M$257="for profit",$M$265="nonprofit")),2,0)</f>
        <v>0</v>
      </c>
    </row>
    <row r="234" spans="1:59" ht="12.95" customHeight="1">
      <c r="D234" s="4" t="s">
        <v>580</v>
      </c>
      <c r="E234" s="4"/>
      <c r="M234" s="1435" t="s">
        <v>2611</v>
      </c>
      <c r="N234" s="1436"/>
      <c r="O234" s="1436"/>
      <c r="P234" s="1436"/>
      <c r="Q234" s="1436"/>
      <c r="R234" s="1436"/>
      <c r="S234" s="1436"/>
      <c r="T234" s="1436"/>
      <c r="V234" s="33" t="s">
        <v>86</v>
      </c>
      <c r="W234" s="1560" t="s">
        <v>2612</v>
      </c>
      <c r="X234" s="1457"/>
      <c r="Y234" s="4" t="s">
        <v>583</v>
      </c>
      <c r="AC234" s="1436">
        <v>94541</v>
      </c>
      <c r="AD234" s="1436"/>
      <c r="AE234" s="1436"/>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35" t="s">
        <v>2613</v>
      </c>
      <c r="N235" s="1436"/>
      <c r="O235" s="1436"/>
      <c r="P235" s="1436"/>
      <c r="Q235" s="1436"/>
      <c r="R235" s="1436"/>
      <c r="S235" s="1436"/>
      <c r="T235" s="1436"/>
      <c r="U235" s="1436"/>
      <c r="V235" s="1436"/>
      <c r="W235" s="1436"/>
      <c r="X235" s="1436"/>
      <c r="Y235" s="1436"/>
      <c r="Z235" s="1436"/>
      <c r="AA235" s="1436"/>
      <c r="AB235" s="1436"/>
      <c r="AC235" s="1436"/>
      <c r="AD235" s="1436"/>
      <c r="AE235" s="1436"/>
      <c r="AI235" s="4"/>
      <c r="AJ235" s="4"/>
      <c r="AK235" s="4"/>
      <c r="AL235" s="4"/>
      <c r="AM235" s="4"/>
      <c r="AN235" s="4"/>
      <c r="AO235" s="4"/>
      <c r="AP235" s="4"/>
      <c r="AQ235" s="4"/>
      <c r="AR235" s="4"/>
      <c r="AS235" s="4"/>
      <c r="AT235" s="4"/>
      <c r="BB235" s="205"/>
      <c r="BG235" s="204"/>
    </row>
    <row r="236" spans="1:59" ht="12.95" customHeight="1">
      <c r="D236" s="4" t="s">
        <v>88</v>
      </c>
      <c r="E236" s="4"/>
      <c r="F236" s="4"/>
      <c r="M236" s="1682" t="s">
        <v>2614</v>
      </c>
      <c r="N236" s="1365"/>
      <c r="O236" s="1365"/>
      <c r="P236" s="1365"/>
      <c r="Q236" s="1365"/>
      <c r="R236" s="1365"/>
      <c r="S236" s="4" t="s">
        <v>206</v>
      </c>
      <c r="T236" s="4"/>
      <c r="U236" s="1457"/>
      <c r="V236" s="1457"/>
      <c r="W236" s="1457"/>
      <c r="X236" s="4" t="s">
        <v>89</v>
      </c>
      <c r="Z236" s="1365"/>
      <c r="AA236" s="1365"/>
      <c r="AB236" s="1365"/>
      <c r="AC236" s="1365"/>
      <c r="AD236" s="1365"/>
      <c r="AE236" s="1365"/>
      <c r="AU236" s="4"/>
      <c r="AV236" s="4"/>
      <c r="AW236" s="4"/>
      <c r="AX236" s="4"/>
      <c r="AY236" s="4"/>
      <c r="AZ236" s="4"/>
      <c r="BB236" s="204" t="s">
        <v>537</v>
      </c>
      <c r="BG236" s="241">
        <f>IF(AND(AND($M$249="nonprofit",$M$257="nonprofit",$M$265="(select one)")),1,0)</f>
        <v>0</v>
      </c>
    </row>
    <row r="237" spans="1:59" ht="12.95" customHeight="1">
      <c r="D237" s="4" t="s">
        <v>90</v>
      </c>
      <c r="E237" s="4"/>
      <c r="F237" s="4"/>
      <c r="M237" s="1784" t="s">
        <v>2615</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67" t="s">
        <v>377</v>
      </c>
      <c r="N238" s="1367"/>
      <c r="O238" s="1367"/>
      <c r="P238" s="1367"/>
      <c r="Q238" s="1367"/>
      <c r="R238" s="1367"/>
      <c r="S238" s="1367"/>
      <c r="T238" s="1367"/>
      <c r="U238" s="204" t="s">
        <v>906</v>
      </c>
      <c r="V238" s="204"/>
      <c r="W238" s="204"/>
      <c r="X238" s="204"/>
      <c r="Y238" s="204"/>
      <c r="Z238" s="204"/>
      <c r="AA238" s="1791" t="s">
        <v>2604</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90"/>
      <c r="N239" s="1390"/>
      <c r="O239" s="1390"/>
      <c r="P239" s="1390"/>
      <c r="Q239" s="1390"/>
      <c r="R239" s="1390"/>
      <c r="S239" s="1390"/>
      <c r="T239" s="1390"/>
      <c r="U239" s="1390"/>
      <c r="V239" s="1390"/>
      <c r="W239" s="1390"/>
      <c r="X239" s="1390"/>
      <c r="Y239" s="1390"/>
      <c r="Z239" s="1390"/>
      <c r="AA239" s="1390"/>
      <c r="AB239" s="1390"/>
      <c r="AC239" s="1390"/>
      <c r="AD239" s="1390"/>
      <c r="AE239" s="139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38" t="s">
        <v>2616</v>
      </c>
      <c r="N243" s="1439"/>
      <c r="O243" s="1439"/>
      <c r="P243" s="1439"/>
      <c r="Q243" s="1439"/>
      <c r="R243" s="1439"/>
      <c r="S243" s="1439"/>
      <c r="T243" s="1439"/>
      <c r="U243" s="1439"/>
      <c r="V243" s="1439"/>
      <c r="W243" s="1439"/>
      <c r="X243" s="1439"/>
      <c r="Y243" s="1439"/>
      <c r="Z243" s="1439"/>
      <c r="AA243" s="1439"/>
      <c r="AB243" s="1439"/>
      <c r="AC243" s="1439"/>
      <c r="AD243" s="1439"/>
      <c r="AE243" s="1439"/>
      <c r="AF243" s="1439" t="s">
        <v>2617</v>
      </c>
      <c r="AG243" s="1439"/>
      <c r="AH243" s="1439"/>
      <c r="AI243" s="1439"/>
      <c r="AJ243" s="1439"/>
      <c r="AK243" s="1439"/>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35" t="s">
        <v>2610</v>
      </c>
      <c r="N244" s="1436"/>
      <c r="O244" s="1436"/>
      <c r="P244" s="1436"/>
      <c r="Q244" s="1436"/>
      <c r="R244" s="1436"/>
      <c r="S244" s="1436"/>
      <c r="T244" s="1436"/>
      <c r="U244" s="1436"/>
      <c r="V244" s="1436"/>
      <c r="W244" s="1436"/>
      <c r="X244" s="1436"/>
      <c r="Y244" s="1436"/>
      <c r="Z244" s="1436"/>
      <c r="AA244" s="1436"/>
      <c r="AB244" s="1436"/>
      <c r="AC244" s="1436"/>
      <c r="AD244" s="1436"/>
      <c r="AE244" s="1436"/>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35" t="s">
        <v>2611</v>
      </c>
      <c r="N245" s="1436"/>
      <c r="O245" s="1436"/>
      <c r="P245" s="1436"/>
      <c r="Q245" s="1436"/>
      <c r="R245" s="1436"/>
      <c r="S245" s="1436"/>
      <c r="T245" s="1436"/>
      <c r="V245" s="33" t="s">
        <v>86</v>
      </c>
      <c r="W245" s="1560" t="s">
        <v>2612</v>
      </c>
      <c r="X245" s="1457"/>
      <c r="Y245" s="4" t="s">
        <v>583</v>
      </c>
      <c r="AC245" s="1436">
        <v>94541</v>
      </c>
      <c r="AD245" s="1436"/>
      <c r="AE245" s="1436"/>
      <c r="AF245" s="3" t="s">
        <v>1179</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35" t="s">
        <v>2613</v>
      </c>
      <c r="N246" s="1436"/>
      <c r="O246" s="1436"/>
      <c r="P246" s="1436"/>
      <c r="Q246" s="1436"/>
      <c r="R246" s="1436"/>
      <c r="S246" s="1436"/>
      <c r="T246" s="1436"/>
      <c r="U246" s="1436"/>
      <c r="V246" s="1436"/>
      <c r="W246" s="1436"/>
      <c r="X246" s="1436"/>
      <c r="Y246" s="1436"/>
      <c r="Z246" s="1436"/>
      <c r="AA246" s="1436"/>
      <c r="AB246" s="1436"/>
      <c r="AC246" s="1436"/>
      <c r="AD246" s="1436"/>
      <c r="AE246" s="1436"/>
      <c r="AH246" s="1782">
        <v>0.01</v>
      </c>
      <c r="AI246" s="1782"/>
      <c r="AJ246" s="1782"/>
      <c r="AK246" s="1782"/>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682" t="s">
        <v>2614</v>
      </c>
      <c r="N247" s="1365"/>
      <c r="O247" s="1365"/>
      <c r="P247" s="1365"/>
      <c r="Q247" s="1365"/>
      <c r="R247" s="1365"/>
      <c r="S247" s="4" t="s">
        <v>206</v>
      </c>
      <c r="T247" s="4"/>
      <c r="U247" s="1457"/>
      <c r="V247" s="1457"/>
      <c r="W247" s="1457"/>
      <c r="X247" s="4" t="s">
        <v>89</v>
      </c>
      <c r="Z247" s="1365"/>
      <c r="AA247" s="1365"/>
      <c r="AB247" s="1365"/>
      <c r="AC247" s="1365"/>
      <c r="AD247" s="1365"/>
      <c r="AE247" s="1365"/>
      <c r="AU247" s="4"/>
      <c r="AV247" s="4"/>
      <c r="AW247" s="4"/>
      <c r="AX247" s="4"/>
      <c r="AY247" s="4"/>
      <c r="BG247">
        <v>0</v>
      </c>
      <c r="BH247" s="3" t="str">
        <f>""</f>
        <v/>
      </c>
      <c r="BN247" s="34"/>
    </row>
    <row r="248" spans="1:67" ht="12.95" customHeight="1">
      <c r="A248" s="19"/>
      <c r="B248" s="4"/>
      <c r="C248" s="4"/>
      <c r="D248" s="4" t="s">
        <v>90</v>
      </c>
      <c r="E248" s="4"/>
      <c r="F248" s="4"/>
      <c r="M248" s="1784" t="s">
        <v>2615</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67" t="s">
        <v>534</v>
      </c>
      <c r="N249" s="1367"/>
      <c r="O249" s="1367"/>
      <c r="P249" s="1367"/>
      <c r="Q249" s="1367"/>
      <c r="R249" s="1367"/>
      <c r="S249" s="1367"/>
      <c r="T249" s="1367"/>
      <c r="U249" s="204" t="s">
        <v>906</v>
      </c>
      <c r="V249" s="204"/>
      <c r="W249" s="204"/>
      <c r="X249" s="204"/>
      <c r="Y249" s="204"/>
      <c r="Z249" s="204"/>
      <c r="AA249" s="1791" t="s">
        <v>2604</v>
      </c>
      <c r="AB249" s="1780"/>
      <c r="AC249" s="1780"/>
      <c r="AD249" s="1780"/>
      <c r="AE249" s="1780"/>
      <c r="AF249" s="1780"/>
      <c r="AG249" s="1780"/>
      <c r="AH249" s="1780"/>
      <c r="AI249" s="1780"/>
      <c r="AJ249" s="1780"/>
      <c r="AK249" s="178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39"/>
      <c r="N251" s="1439"/>
      <c r="O251" s="1439"/>
      <c r="P251" s="1439"/>
      <c r="Q251" s="1439"/>
      <c r="R251" s="1439"/>
      <c r="S251" s="1439"/>
      <c r="T251" s="1439"/>
      <c r="U251" s="1439"/>
      <c r="V251" s="1439"/>
      <c r="W251" s="1439"/>
      <c r="X251" s="1439"/>
      <c r="Y251" s="1439"/>
      <c r="Z251" s="1439"/>
      <c r="AA251" s="1439"/>
      <c r="AB251" s="1439"/>
      <c r="AC251" s="1439"/>
      <c r="AD251" s="1439"/>
      <c r="AE251" s="1439"/>
      <c r="AF251" s="1439" t="s">
        <v>307</v>
      </c>
      <c r="AG251" s="1439"/>
      <c r="AH251" s="1439"/>
      <c r="AI251" s="1439"/>
      <c r="AJ251" s="1439"/>
      <c r="AK251" s="1439"/>
      <c r="AU251" s="4"/>
      <c r="AV251" s="4"/>
      <c r="AW251" s="4"/>
      <c r="AX251" s="4"/>
      <c r="AY251" s="4"/>
      <c r="BN251" s="34"/>
    </row>
    <row r="252" spans="1:67" ht="12.95" customHeight="1">
      <c r="A252" s="19"/>
      <c r="B252" s="4"/>
      <c r="C252" s="4"/>
      <c r="D252" s="4" t="s">
        <v>85</v>
      </c>
      <c r="E252" s="4"/>
      <c r="F252" s="4"/>
      <c r="G252" s="4"/>
      <c r="H252" s="4"/>
      <c r="I252" s="4"/>
      <c r="J252" s="4"/>
      <c r="K252" s="4"/>
      <c r="L252" s="4"/>
      <c r="M252" s="1436"/>
      <c r="N252" s="1436"/>
      <c r="O252" s="1436"/>
      <c r="P252" s="1436"/>
      <c r="Q252" s="1436"/>
      <c r="R252" s="1436"/>
      <c r="S252" s="1436"/>
      <c r="T252" s="1436"/>
      <c r="U252" s="1436"/>
      <c r="V252" s="1436"/>
      <c r="W252" s="1436"/>
      <c r="X252" s="1436"/>
      <c r="Y252" s="1436"/>
      <c r="Z252" s="1436"/>
      <c r="AA252" s="1436"/>
      <c r="AB252" s="1436"/>
      <c r="AC252" s="1436"/>
      <c r="AD252" s="1436"/>
      <c r="AE252" s="1436"/>
      <c r="AF252" s="3" t="s">
        <v>1178</v>
      </c>
      <c r="AL252" s="4"/>
      <c r="AM252" s="4"/>
      <c r="AN252" s="4"/>
      <c r="AO252" s="4"/>
      <c r="AP252" s="4"/>
      <c r="AQ252" s="4"/>
      <c r="AR252" s="4"/>
      <c r="AS252" s="4"/>
      <c r="AT252" s="4"/>
      <c r="BN252" s="34"/>
    </row>
    <row r="253" spans="1:67" ht="12.95" customHeight="1">
      <c r="A253" s="19"/>
      <c r="B253" s="4"/>
      <c r="C253" s="4"/>
      <c r="D253" s="4" t="s">
        <v>580</v>
      </c>
      <c r="E253" s="4"/>
      <c r="M253" s="1436"/>
      <c r="N253" s="1436"/>
      <c r="O253" s="1436"/>
      <c r="P253" s="1436"/>
      <c r="Q253" s="1436"/>
      <c r="R253" s="1436"/>
      <c r="S253" s="1436"/>
      <c r="T253" s="1436"/>
      <c r="V253" s="33" t="s">
        <v>86</v>
      </c>
      <c r="W253" s="1457"/>
      <c r="X253" s="1457"/>
      <c r="Y253" s="4" t="s">
        <v>583</v>
      </c>
      <c r="AC253" s="1436"/>
      <c r="AD253" s="1436"/>
      <c r="AE253" s="1436"/>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36"/>
      <c r="N254" s="1436"/>
      <c r="O254" s="1436"/>
      <c r="P254" s="1436"/>
      <c r="Q254" s="1436"/>
      <c r="R254" s="1436"/>
      <c r="S254" s="1436"/>
      <c r="T254" s="1436"/>
      <c r="U254" s="1436"/>
      <c r="V254" s="1436"/>
      <c r="W254" s="1436"/>
      <c r="X254" s="1436"/>
      <c r="Y254" s="1436"/>
      <c r="Z254" s="1436"/>
      <c r="AA254" s="1436"/>
      <c r="AB254" s="1436"/>
      <c r="AC254" s="1436"/>
      <c r="AD254" s="1436"/>
      <c r="AE254" s="1436"/>
      <c r="AH254" s="1782"/>
      <c r="AI254" s="1782"/>
      <c r="AJ254" s="1782"/>
      <c r="AK254" s="1782"/>
      <c r="AL254" s="4"/>
      <c r="AM254" s="4"/>
      <c r="AN254" s="4"/>
      <c r="AO254" s="4"/>
      <c r="AP254" s="4"/>
      <c r="AQ254" s="4"/>
      <c r="AR254" s="4"/>
      <c r="AS254" s="4"/>
      <c r="AT254" s="4"/>
    </row>
    <row r="255" spans="1:67" ht="12.95" customHeight="1">
      <c r="A255" s="19"/>
      <c r="B255" s="4"/>
      <c r="C255" s="4"/>
      <c r="D255" s="4" t="s">
        <v>88</v>
      </c>
      <c r="E255" s="4"/>
      <c r="F255" s="4"/>
      <c r="M255" s="1365"/>
      <c r="N255" s="1365"/>
      <c r="O255" s="1365"/>
      <c r="P255" s="1365"/>
      <c r="Q255" s="1365"/>
      <c r="R255" s="1365"/>
      <c r="S255" s="4" t="s">
        <v>206</v>
      </c>
      <c r="T255" s="4"/>
      <c r="U255" s="1457"/>
      <c r="V255" s="1457"/>
      <c r="W255" s="1457"/>
      <c r="X255" s="4" t="s">
        <v>89</v>
      </c>
      <c r="Z255" s="1365"/>
      <c r="AA255" s="1365"/>
      <c r="AB255" s="1365"/>
      <c r="AC255" s="1365"/>
      <c r="AD255" s="1365"/>
      <c r="AE255" s="1365"/>
      <c r="AU255" s="4"/>
      <c r="AV255" s="4"/>
      <c r="AW255" s="4"/>
      <c r="AX255" s="4"/>
      <c r="AY255" s="4"/>
      <c r="BN255" s="34"/>
    </row>
    <row r="256" spans="1:67" ht="12.95"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67" t="s">
        <v>307</v>
      </c>
      <c r="N257" s="1367"/>
      <c r="O257" s="1367"/>
      <c r="P257" s="1367"/>
      <c r="Q257" s="1367"/>
      <c r="R257" s="1367"/>
      <c r="S257" s="1367"/>
      <c r="T257" s="1367"/>
      <c r="U257" s="204" t="s">
        <v>906</v>
      </c>
      <c r="V257" s="204"/>
      <c r="W257" s="204"/>
      <c r="X257" s="204"/>
      <c r="Y257" s="204"/>
      <c r="Z257" s="204"/>
      <c r="AA257" s="1780"/>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39"/>
      <c r="N259" s="1439"/>
      <c r="O259" s="1439"/>
      <c r="P259" s="1439"/>
      <c r="Q259" s="1439"/>
      <c r="R259" s="1439"/>
      <c r="S259" s="1439"/>
      <c r="T259" s="1439"/>
      <c r="U259" s="1439"/>
      <c r="V259" s="1439"/>
      <c r="W259" s="1439"/>
      <c r="X259" s="1439"/>
      <c r="Y259" s="1439"/>
      <c r="Z259" s="1439"/>
      <c r="AA259" s="1439"/>
      <c r="AB259" s="1439"/>
      <c r="AC259" s="1439"/>
      <c r="AD259" s="1439"/>
      <c r="AE259" s="1439"/>
      <c r="AF259" s="1439" t="s">
        <v>307</v>
      </c>
      <c r="AG259" s="1439"/>
      <c r="AH259" s="1439"/>
      <c r="AI259" s="1439"/>
      <c r="AJ259" s="1439"/>
      <c r="AK259" s="143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36"/>
      <c r="N260" s="1436"/>
      <c r="O260" s="1436"/>
      <c r="P260" s="1436"/>
      <c r="Q260" s="1436"/>
      <c r="R260" s="1436"/>
      <c r="S260" s="1436"/>
      <c r="T260" s="1436"/>
      <c r="U260" s="1436"/>
      <c r="V260" s="1436"/>
      <c r="W260" s="1436"/>
      <c r="X260" s="1436"/>
      <c r="Y260" s="1436"/>
      <c r="Z260" s="1436"/>
      <c r="AA260" s="1436"/>
      <c r="AB260" s="1436"/>
      <c r="AC260" s="1436"/>
      <c r="AD260" s="1436"/>
      <c r="AE260" s="1436"/>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36"/>
      <c r="N261" s="1436"/>
      <c r="O261" s="1436"/>
      <c r="P261" s="1436"/>
      <c r="Q261" s="1436"/>
      <c r="R261" s="1436"/>
      <c r="S261" s="1436"/>
      <c r="T261" s="1436"/>
      <c r="V261" s="33" t="s">
        <v>86</v>
      </c>
      <c r="W261" s="1457"/>
      <c r="X261" s="1457"/>
      <c r="Y261" s="4" t="s">
        <v>583</v>
      </c>
      <c r="AC261" s="1436"/>
      <c r="AD261" s="1436"/>
      <c r="AE261" s="1436"/>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36"/>
      <c r="N262" s="1436"/>
      <c r="O262" s="1436"/>
      <c r="P262" s="1436"/>
      <c r="Q262" s="1436"/>
      <c r="R262" s="1436"/>
      <c r="S262" s="1436"/>
      <c r="T262" s="1436"/>
      <c r="U262" s="1436"/>
      <c r="V262" s="1436"/>
      <c r="W262" s="1436"/>
      <c r="X262" s="1436"/>
      <c r="Y262" s="1436"/>
      <c r="Z262" s="1436"/>
      <c r="AA262" s="1436"/>
      <c r="AB262" s="1436"/>
      <c r="AC262" s="1436"/>
      <c r="AD262" s="1436"/>
      <c r="AE262" s="1436"/>
      <c r="AH262" s="1782"/>
      <c r="AI262" s="1782"/>
      <c r="AJ262" s="1782"/>
      <c r="AK262" s="178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65"/>
      <c r="N263" s="1365"/>
      <c r="O263" s="1365"/>
      <c r="P263" s="1365"/>
      <c r="Q263" s="1365"/>
      <c r="R263" s="1365"/>
      <c r="S263" s="4" t="s">
        <v>206</v>
      </c>
      <c r="T263" s="4"/>
      <c r="U263" s="1457"/>
      <c r="V263" s="1457"/>
      <c r="W263" s="1457"/>
      <c r="X263" s="4" t="s">
        <v>89</v>
      </c>
      <c r="Z263" s="1365"/>
      <c r="AA263" s="1365"/>
      <c r="AB263" s="1365"/>
      <c r="AC263" s="1365"/>
      <c r="AD263" s="1365"/>
      <c r="AE263" s="136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785"/>
      <c r="AB264" s="1785"/>
      <c r="AC264" s="1785"/>
      <c r="AD264" s="1785"/>
      <c r="AE264" s="178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67" t="s">
        <v>307</v>
      </c>
      <c r="N265" s="1367"/>
      <c r="O265" s="1367"/>
      <c r="P265" s="1367"/>
      <c r="Q265" s="1367"/>
      <c r="R265" s="1367"/>
      <c r="S265" s="1367"/>
      <c r="T265" s="1367"/>
      <c r="U265" s="204" t="s">
        <v>906</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3" t="str">
        <f>IFERROR(BO245,"")</f>
        <v>Nonprofit</v>
      </c>
      <c r="U267" s="1783"/>
      <c r="V267" s="1783"/>
      <c r="W267" s="1783"/>
      <c r="X267" s="1783"/>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36" t="s">
        <v>280</v>
      </c>
      <c r="E270" s="1436"/>
      <c r="F270" s="1436"/>
      <c r="G270" s="1436"/>
      <c r="H270" s="1436"/>
      <c r="J270" t="s">
        <v>279</v>
      </c>
      <c r="X270" s="1706"/>
      <c r="Y270" s="1706"/>
      <c r="Z270" s="1706"/>
      <c r="AA270" s="1706"/>
      <c r="AB270" s="1706"/>
      <c r="AC270" s="17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38" t="s">
        <v>2604</v>
      </c>
      <c r="M274" s="1439"/>
      <c r="N274" s="1439"/>
      <c r="O274" s="1439"/>
      <c r="P274" s="1439"/>
      <c r="Q274" s="1439"/>
      <c r="R274" s="1439"/>
      <c r="S274" s="1439"/>
      <c r="T274" s="1439"/>
      <c r="U274" s="1439"/>
      <c r="V274" s="1439"/>
      <c r="W274" s="1439"/>
      <c r="X274" s="1439"/>
      <c r="Y274" s="1439"/>
      <c r="Z274" s="1439"/>
      <c r="AA274" s="1439"/>
      <c r="AB274" s="1439"/>
      <c r="AC274" s="1439"/>
      <c r="AD274" s="1439"/>
      <c r="AE274" s="1439"/>
      <c r="AF274" s="1439"/>
      <c r="AG274" s="1439"/>
      <c r="AH274" s="1439"/>
      <c r="AI274" s="1439"/>
      <c r="AJ274" s="143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35" t="s">
        <v>2610</v>
      </c>
      <c r="M275" s="1436"/>
      <c r="N275" s="1436"/>
      <c r="O275" s="1436"/>
      <c r="P275" s="1436"/>
      <c r="Q275" s="1436"/>
      <c r="R275" s="1436"/>
      <c r="S275" s="1436"/>
      <c r="T275" s="1436"/>
      <c r="U275" s="1436"/>
      <c r="V275" s="1436"/>
      <c r="W275" s="1436"/>
      <c r="X275" s="1436"/>
      <c r="Y275" s="1436"/>
      <c r="Z275" s="1436"/>
      <c r="AA275" s="1436"/>
      <c r="AB275" s="1436"/>
      <c r="AC275" s="1436"/>
      <c r="AD275" s="1436"/>
      <c r="AK275" s="3"/>
      <c r="AL275" s="3"/>
      <c r="AM275" s="3"/>
      <c r="AN275" s="3"/>
      <c r="AO275" s="3"/>
      <c r="AP275" s="3"/>
      <c r="AQ275" s="3"/>
      <c r="AR275" s="3"/>
      <c r="AS275" s="3"/>
      <c r="AT275" s="3"/>
      <c r="AU275" s="3"/>
      <c r="AV275" s="3"/>
      <c r="AW275" s="3"/>
      <c r="AX275" s="3"/>
      <c r="AY275" s="3"/>
    </row>
    <row r="276" spans="1:51" ht="12.95" customHeight="1">
      <c r="D276" s="4" t="s">
        <v>580</v>
      </c>
      <c r="E276" s="4"/>
      <c r="L276" s="1435" t="s">
        <v>2611</v>
      </c>
      <c r="M276" s="1436"/>
      <c r="N276" s="1436"/>
      <c r="O276" s="1436"/>
      <c r="P276" s="1436"/>
      <c r="Q276" s="1436"/>
      <c r="R276" s="1436"/>
      <c r="S276" s="1436"/>
      <c r="U276" s="33" t="s">
        <v>86</v>
      </c>
      <c r="V276" s="1560" t="s">
        <v>2612</v>
      </c>
      <c r="W276" s="1457"/>
      <c r="X276" s="4" t="s">
        <v>583</v>
      </c>
      <c r="AB276" s="1436">
        <v>94541</v>
      </c>
      <c r="AC276" s="1436"/>
      <c r="AD276" s="143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35" t="s">
        <v>2613</v>
      </c>
      <c r="M277" s="1436"/>
      <c r="N277" s="1436"/>
      <c r="O277" s="1436"/>
      <c r="P277" s="1436"/>
      <c r="Q277" s="1436"/>
      <c r="R277" s="1436"/>
      <c r="S277" s="1436"/>
      <c r="T277" s="1436"/>
      <c r="U277" s="1436"/>
      <c r="V277" s="1436"/>
      <c r="W277" s="1436"/>
      <c r="X277" s="1436"/>
      <c r="Y277" s="1436"/>
      <c r="Z277" s="1436"/>
      <c r="AA277" s="1436"/>
      <c r="AB277" s="1436"/>
      <c r="AC277" s="1436"/>
      <c r="AD277" s="1436"/>
      <c r="AI277" s="4"/>
      <c r="AJ277" s="4"/>
      <c r="AK277" s="3"/>
      <c r="AL277" s="3"/>
      <c r="AM277" s="3"/>
      <c r="AN277" s="3"/>
      <c r="AO277" s="3"/>
      <c r="AP277" s="3"/>
      <c r="AQ277" s="3"/>
      <c r="AR277" s="3"/>
      <c r="AS277" s="3"/>
      <c r="AT277" s="3"/>
    </row>
    <row r="278" spans="1:51" ht="12.95" customHeight="1">
      <c r="D278" s="4" t="s">
        <v>88</v>
      </c>
      <c r="E278" s="4"/>
      <c r="F278" s="4"/>
      <c r="L278" s="1682" t="s">
        <v>2614</v>
      </c>
      <c r="M278" s="1365"/>
      <c r="N278" s="1365"/>
      <c r="O278" s="1365"/>
      <c r="P278" s="1365"/>
      <c r="Q278" s="1365"/>
      <c r="R278" s="4" t="s">
        <v>206</v>
      </c>
      <c r="S278" s="4"/>
      <c r="T278" s="1457"/>
      <c r="U278" s="1457"/>
      <c r="V278" s="1457"/>
      <c r="W278" s="4" t="s">
        <v>89</v>
      </c>
      <c r="Y278" s="1365"/>
      <c r="Z278" s="1365"/>
      <c r="AA278" s="1365"/>
      <c r="AB278" s="1365"/>
      <c r="AC278" s="1365"/>
      <c r="AD278" s="1365"/>
    </row>
    <row r="279" spans="1:51" ht="12.95" customHeight="1">
      <c r="D279" s="4" t="s">
        <v>90</v>
      </c>
      <c r="E279" s="4"/>
      <c r="F279" s="4"/>
      <c r="L279" s="1784" t="s">
        <v>2615</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623</v>
      </c>
      <c r="E280" s="3"/>
      <c r="F280" s="3"/>
      <c r="G280" s="3"/>
      <c r="H280" s="3"/>
      <c r="I280" s="3"/>
      <c r="L280" s="1560" t="s">
        <v>2618</v>
      </c>
      <c r="M280" s="1560"/>
      <c r="N280" s="1560"/>
      <c r="O280" s="1560"/>
      <c r="P280" s="1560"/>
      <c r="Q280" s="1560"/>
      <c r="R280" s="1560"/>
      <c r="S280" s="1560"/>
      <c r="T280" s="1560"/>
      <c r="U280" s="1560"/>
      <c r="V280" s="1560"/>
      <c r="W280" s="1560"/>
      <c r="X280" s="1560"/>
      <c r="Y280" s="1560"/>
      <c r="Z280" s="1560"/>
      <c r="AA280" s="1560"/>
      <c r="AB280" s="1560"/>
      <c r="AC280" s="1560"/>
      <c r="AD280" s="1560"/>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41" t="s">
        <v>541</v>
      </c>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1441"/>
      <c r="AN282" s="1441"/>
      <c r="AO282" s="1441"/>
      <c r="AP282" s="1441"/>
      <c r="AQ282" s="1441"/>
      <c r="AR282" s="1441"/>
      <c r="AS282" s="1441"/>
      <c r="AT282" s="1441"/>
      <c r="AU282" s="95"/>
      <c r="AV282" s="95"/>
      <c r="AW282" s="95"/>
      <c r="AX282" s="95"/>
      <c r="AY282" s="95"/>
    </row>
    <row r="283" spans="1:51" ht="12.95" customHeight="1">
      <c r="A283" s="1441"/>
      <c r="B283" s="1441"/>
      <c r="C283" s="1441"/>
      <c r="D283" s="1441"/>
      <c r="E283" s="1441"/>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1"/>
      <c r="AB283" s="1441"/>
      <c r="AC283" s="1441"/>
      <c r="AD283" s="1441"/>
      <c r="AE283" s="1441"/>
      <c r="AF283" s="1441"/>
      <c r="AG283" s="1441"/>
      <c r="AH283" s="1441"/>
      <c r="AI283" s="1441"/>
      <c r="AJ283" s="1441"/>
      <c r="AK283" s="1441"/>
      <c r="AL283" s="1441"/>
      <c r="AM283" s="1441"/>
      <c r="AN283" s="1441"/>
      <c r="AO283" s="1441"/>
      <c r="AP283" s="1441"/>
      <c r="AQ283" s="1441"/>
      <c r="AR283" s="1441"/>
      <c r="AS283" s="1441"/>
      <c r="AT283" s="144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35" t="s">
        <v>2604</v>
      </c>
      <c r="I287" s="1390"/>
      <c r="J287" s="1390"/>
      <c r="K287" s="1390"/>
      <c r="L287" s="1390"/>
      <c r="M287" s="1390"/>
      <c r="N287" s="1390"/>
      <c r="O287" s="1390"/>
      <c r="P287" s="1390"/>
      <c r="Q287" s="1390"/>
      <c r="R287" s="1390"/>
      <c r="T287" s="3" t="s">
        <v>567</v>
      </c>
      <c r="V287" s="3"/>
      <c r="W287" s="3"/>
      <c r="X287" s="3"/>
      <c r="Y287" s="3"/>
      <c r="AA287" s="1435" t="s">
        <v>2651</v>
      </c>
      <c r="AB287" s="1390"/>
      <c r="AC287" s="1390"/>
      <c r="AD287" s="1390"/>
      <c r="AE287" s="1390"/>
      <c r="AF287" s="1390"/>
      <c r="AG287" s="1390"/>
      <c r="AH287" s="1390"/>
      <c r="AI287" s="1390"/>
      <c r="AJ287" s="1390"/>
      <c r="AK287" s="1390"/>
    </row>
    <row r="288" spans="1:51" ht="12.95" customHeight="1">
      <c r="B288" s="3" t="s">
        <v>471</v>
      </c>
      <c r="C288" s="3"/>
      <c r="D288" s="3"/>
      <c r="E288" s="3"/>
      <c r="F288" s="3"/>
      <c r="H288" s="1560" t="s">
        <v>2610</v>
      </c>
      <c r="I288" s="1367"/>
      <c r="J288" s="1367"/>
      <c r="K288" s="1367"/>
      <c r="L288" s="1367"/>
      <c r="M288" s="1367"/>
      <c r="N288" s="1367"/>
      <c r="O288" s="1367"/>
      <c r="P288" s="1367"/>
      <c r="Q288" s="1367"/>
      <c r="R288" s="1367"/>
      <c r="T288" s="3" t="s">
        <v>471</v>
      </c>
      <c r="V288" s="3"/>
      <c r="W288" s="3"/>
      <c r="X288" s="3"/>
      <c r="Y288" s="3"/>
      <c r="AA288" s="1560" t="s">
        <v>2652</v>
      </c>
      <c r="AB288" s="1367"/>
      <c r="AC288" s="1367"/>
      <c r="AD288" s="1367"/>
      <c r="AE288" s="1367"/>
      <c r="AF288" s="1367"/>
      <c r="AG288" s="1367"/>
      <c r="AH288" s="1367"/>
      <c r="AI288" s="1367"/>
      <c r="AJ288" s="1367"/>
      <c r="AK288" s="1367"/>
    </row>
    <row r="289" spans="2:37" ht="12.95" customHeight="1">
      <c r="B289" s="3" t="s">
        <v>472</v>
      </c>
      <c r="C289" s="3"/>
      <c r="D289" s="3"/>
      <c r="E289" s="3"/>
      <c r="F289" s="3"/>
      <c r="H289" s="1560" t="s">
        <v>2619</v>
      </c>
      <c r="I289" s="1367"/>
      <c r="J289" s="1367"/>
      <c r="K289" s="1367"/>
      <c r="L289" s="1367"/>
      <c r="M289" s="1367"/>
      <c r="N289" s="1367"/>
      <c r="O289" s="1367"/>
      <c r="P289" s="1367"/>
      <c r="Q289" s="1367"/>
      <c r="R289" s="1367"/>
      <c r="T289" s="3" t="s">
        <v>75</v>
      </c>
      <c r="V289" s="3"/>
      <c r="W289" s="3"/>
      <c r="X289" s="3"/>
      <c r="Y289" s="3"/>
      <c r="AA289" s="1560" t="s">
        <v>2653</v>
      </c>
      <c r="AB289" s="1367"/>
      <c r="AC289" s="1367"/>
      <c r="AD289" s="1367"/>
      <c r="AE289" s="1367"/>
      <c r="AF289" s="1367"/>
      <c r="AG289" s="1367"/>
      <c r="AH289" s="1367"/>
      <c r="AI289" s="1367"/>
      <c r="AJ289" s="1367"/>
      <c r="AK289" s="1367"/>
    </row>
    <row r="290" spans="2:37" ht="12.95" customHeight="1">
      <c r="B290" s="3" t="s">
        <v>87</v>
      </c>
      <c r="C290" s="3"/>
      <c r="D290" s="3"/>
      <c r="E290" s="3"/>
      <c r="F290" s="3"/>
      <c r="H290" s="1560" t="s">
        <v>2613</v>
      </c>
      <c r="I290" s="1367"/>
      <c r="J290" s="1367"/>
      <c r="K290" s="1367"/>
      <c r="L290" s="1367"/>
      <c r="M290" s="1367"/>
      <c r="N290" s="1367"/>
      <c r="O290" s="1367"/>
      <c r="P290" s="1367"/>
      <c r="Q290" s="1367"/>
      <c r="R290" s="1367"/>
      <c r="T290" s="3" t="s">
        <v>87</v>
      </c>
      <c r="V290" s="3"/>
      <c r="W290" s="3"/>
      <c r="X290" s="3"/>
      <c r="Y290" s="3"/>
      <c r="AA290" s="1560" t="s">
        <v>2654</v>
      </c>
      <c r="AB290" s="1367"/>
      <c r="AC290" s="1367"/>
      <c r="AD290" s="1367"/>
      <c r="AE290" s="1367"/>
      <c r="AF290" s="1367"/>
      <c r="AG290" s="1367"/>
      <c r="AH290" s="1367"/>
      <c r="AI290" s="1367"/>
      <c r="AJ290" s="1367"/>
      <c r="AK290" s="1367"/>
    </row>
    <row r="291" spans="2:37" ht="12.95" customHeight="1">
      <c r="B291" s="3" t="s">
        <v>88</v>
      </c>
      <c r="C291" s="3"/>
      <c r="D291" s="3"/>
      <c r="E291" s="3"/>
      <c r="F291" s="3"/>
      <c r="G291" s="3"/>
      <c r="H291" s="1442" t="s">
        <v>2614</v>
      </c>
      <c r="I291" s="1443"/>
      <c r="J291" s="1443"/>
      <c r="K291" s="1443"/>
      <c r="L291" s="1443"/>
      <c r="M291" s="1443"/>
      <c r="N291" s="4" t="s">
        <v>206</v>
      </c>
      <c r="O291" s="4"/>
      <c r="P291" s="1436"/>
      <c r="Q291" s="1436"/>
      <c r="R291" s="1436"/>
      <c r="S291" s="3"/>
      <c r="T291" s="3" t="s">
        <v>88</v>
      </c>
      <c r="V291" s="3"/>
      <c r="W291" s="3"/>
      <c r="X291" s="3"/>
      <c r="Y291" s="3"/>
      <c r="AA291" s="1442" t="s">
        <v>2655</v>
      </c>
      <c r="AB291" s="1443"/>
      <c r="AC291" s="1443"/>
      <c r="AD291" s="1443"/>
      <c r="AE291" s="1443"/>
      <c r="AF291" s="1443"/>
      <c r="AG291" s="4" t="s">
        <v>206</v>
      </c>
      <c r="AH291" s="4"/>
      <c r="AI291" s="1436"/>
      <c r="AJ291" s="1436"/>
      <c r="AK291" s="1436"/>
    </row>
    <row r="292" spans="2:37" ht="12.95" customHeight="1">
      <c r="B292" s="3" t="s">
        <v>89</v>
      </c>
      <c r="C292" s="3"/>
      <c r="D292" s="3"/>
      <c r="E292" s="3"/>
      <c r="F292" s="3"/>
      <c r="G292" s="3"/>
      <c r="H292" s="1365"/>
      <c r="I292" s="1365"/>
      <c r="J292" s="1365"/>
      <c r="K292" s="1365"/>
      <c r="L292" s="1365"/>
      <c r="M292" s="1365"/>
      <c r="N292" s="4"/>
      <c r="O292" s="4"/>
      <c r="P292" s="35"/>
      <c r="Q292" s="35"/>
      <c r="R292" s="35"/>
      <c r="S292" s="3"/>
      <c r="T292" s="3" t="s">
        <v>89</v>
      </c>
      <c r="V292" s="3"/>
      <c r="W292" s="3"/>
      <c r="X292" s="3"/>
      <c r="Y292" s="3"/>
      <c r="AA292" s="1365"/>
      <c r="AB292" s="1365"/>
      <c r="AC292" s="1365"/>
      <c r="AD292" s="1365"/>
      <c r="AE292" s="1365"/>
      <c r="AF292" s="1365"/>
      <c r="AG292" s="4"/>
      <c r="AH292" s="4"/>
      <c r="AI292" s="35"/>
      <c r="AJ292" s="35"/>
      <c r="AK292" s="35"/>
    </row>
    <row r="293" spans="2:37" ht="12.95" customHeight="1">
      <c r="B293" s="3" t="s">
        <v>76</v>
      </c>
      <c r="C293" s="3"/>
      <c r="D293" s="3"/>
      <c r="E293" s="3"/>
      <c r="F293" s="3"/>
      <c r="G293" s="3"/>
      <c r="H293" s="1560" t="s">
        <v>2615</v>
      </c>
      <c r="I293" s="1367"/>
      <c r="J293" s="1367"/>
      <c r="K293" s="1367"/>
      <c r="L293" s="1367"/>
      <c r="M293" s="1367"/>
      <c r="N293" s="1390"/>
      <c r="O293" s="1390"/>
      <c r="P293" s="1390"/>
      <c r="Q293" s="1390"/>
      <c r="R293" s="1390"/>
      <c r="S293" s="3"/>
      <c r="T293" s="3" t="s">
        <v>76</v>
      </c>
      <c r="V293" s="3"/>
      <c r="W293" s="3"/>
      <c r="X293" s="3"/>
      <c r="Y293" s="3"/>
      <c r="AA293" s="1560" t="s">
        <v>2656</v>
      </c>
      <c r="AB293" s="1367"/>
      <c r="AC293" s="1367"/>
      <c r="AD293" s="1367"/>
      <c r="AE293" s="1367"/>
      <c r="AF293" s="1367"/>
      <c r="AG293" s="1390"/>
      <c r="AH293" s="1390"/>
      <c r="AI293" s="1390"/>
      <c r="AJ293" s="1390"/>
      <c r="AK293" s="139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35" t="s">
        <v>2620</v>
      </c>
      <c r="I295" s="1390"/>
      <c r="J295" s="1390"/>
      <c r="K295" s="1390"/>
      <c r="L295" s="1390"/>
      <c r="M295" s="1390"/>
      <c r="N295" s="1390"/>
      <c r="O295" s="1390"/>
      <c r="P295" s="1390"/>
      <c r="Q295" s="1390"/>
      <c r="R295" s="1390"/>
      <c r="T295" s="3" t="s">
        <v>364</v>
      </c>
      <c r="V295" s="3"/>
      <c r="W295" s="3"/>
      <c r="X295" s="3"/>
      <c r="Y295" s="3"/>
      <c r="AA295" s="1435" t="s">
        <v>2657</v>
      </c>
      <c r="AB295" s="1390"/>
      <c r="AC295" s="1390"/>
      <c r="AD295" s="1390"/>
      <c r="AE295" s="1390"/>
      <c r="AF295" s="1390"/>
      <c r="AG295" s="1390"/>
      <c r="AH295" s="1390"/>
      <c r="AI295" s="1390"/>
      <c r="AJ295" s="1390"/>
      <c r="AK295" s="1390"/>
    </row>
    <row r="296" spans="2:37" ht="12.95" customHeight="1">
      <c r="B296" s="3" t="s">
        <v>471</v>
      </c>
      <c r="C296" s="3"/>
      <c r="D296" s="3"/>
      <c r="E296" s="3"/>
      <c r="F296" s="3"/>
      <c r="H296" s="1560" t="s">
        <v>2621</v>
      </c>
      <c r="I296" s="1367"/>
      <c r="J296" s="1367"/>
      <c r="K296" s="1367"/>
      <c r="L296" s="1367"/>
      <c r="M296" s="1367"/>
      <c r="N296" s="1367"/>
      <c r="O296" s="1367"/>
      <c r="P296" s="1367"/>
      <c r="Q296" s="1367"/>
      <c r="R296" s="1367"/>
      <c r="T296" s="3" t="s">
        <v>471</v>
      </c>
      <c r="V296" s="3"/>
      <c r="W296" s="3"/>
      <c r="X296" s="3"/>
      <c r="Y296" s="3"/>
      <c r="AA296" s="1367"/>
      <c r="AB296" s="1367"/>
      <c r="AC296" s="1367"/>
      <c r="AD296" s="1367"/>
      <c r="AE296" s="1367"/>
      <c r="AF296" s="1367"/>
      <c r="AG296" s="1367"/>
      <c r="AH296" s="1367"/>
      <c r="AI296" s="1367"/>
      <c r="AJ296" s="1367"/>
      <c r="AK296" s="1367"/>
    </row>
    <row r="297" spans="2:37" ht="12.95" customHeight="1">
      <c r="B297" s="3" t="s">
        <v>472</v>
      </c>
      <c r="C297" s="3"/>
      <c r="D297" s="3"/>
      <c r="E297" s="3"/>
      <c r="F297" s="3"/>
      <c r="H297" s="1560" t="s">
        <v>2622</v>
      </c>
      <c r="I297" s="1367"/>
      <c r="J297" s="1367"/>
      <c r="K297" s="1367"/>
      <c r="L297" s="1367"/>
      <c r="M297" s="1367"/>
      <c r="N297" s="1367"/>
      <c r="O297" s="1367"/>
      <c r="P297" s="1367"/>
      <c r="Q297" s="1367"/>
      <c r="R297" s="1367"/>
      <c r="T297" s="3" t="s">
        <v>75</v>
      </c>
      <c r="V297" s="3"/>
      <c r="W297" s="3"/>
      <c r="X297" s="3"/>
      <c r="Y297" s="3"/>
      <c r="AA297" s="1367"/>
      <c r="AB297" s="1367"/>
      <c r="AC297" s="1367"/>
      <c r="AD297" s="1367"/>
      <c r="AE297" s="1367"/>
      <c r="AF297" s="1367"/>
      <c r="AG297" s="1367"/>
      <c r="AH297" s="1367"/>
      <c r="AI297" s="1367"/>
      <c r="AJ297" s="1367"/>
      <c r="AK297" s="1367"/>
    </row>
    <row r="298" spans="2:37" ht="12.95" customHeight="1">
      <c r="B298" s="3" t="s">
        <v>87</v>
      </c>
      <c r="C298" s="3"/>
      <c r="D298" s="3"/>
      <c r="E298" s="3"/>
      <c r="F298" s="3"/>
      <c r="H298" s="1560" t="s">
        <v>2623</v>
      </c>
      <c r="I298" s="1367"/>
      <c r="J298" s="1367"/>
      <c r="K298" s="1367"/>
      <c r="L298" s="1367"/>
      <c r="M298" s="1367"/>
      <c r="N298" s="1367"/>
      <c r="O298" s="1367"/>
      <c r="P298" s="1367"/>
      <c r="Q298" s="1367"/>
      <c r="R298" s="1367"/>
      <c r="T298" s="3" t="s">
        <v>87</v>
      </c>
      <c r="V298" s="3"/>
      <c r="W298" s="3"/>
      <c r="X298" s="3"/>
      <c r="Y298" s="3"/>
      <c r="AA298" s="1367"/>
      <c r="AB298" s="1367"/>
      <c r="AC298" s="1367"/>
      <c r="AD298" s="1367"/>
      <c r="AE298" s="1367"/>
      <c r="AF298" s="1367"/>
      <c r="AG298" s="1367"/>
      <c r="AH298" s="1367"/>
      <c r="AI298" s="1367"/>
      <c r="AJ298" s="1367"/>
      <c r="AK298" s="1367"/>
    </row>
    <row r="299" spans="2:37" ht="12.95" customHeight="1">
      <c r="B299" s="3" t="s">
        <v>88</v>
      </c>
      <c r="C299" s="3"/>
      <c r="D299" s="3"/>
      <c r="E299" s="3"/>
      <c r="F299" s="3"/>
      <c r="G299" s="3"/>
      <c r="H299" s="1442" t="s">
        <v>2624</v>
      </c>
      <c r="I299" s="1443"/>
      <c r="J299" s="1443"/>
      <c r="K299" s="1443"/>
      <c r="L299" s="1443"/>
      <c r="M299" s="1443"/>
      <c r="N299" s="4" t="s">
        <v>206</v>
      </c>
      <c r="O299" s="4"/>
      <c r="P299" s="1436">
        <v>6</v>
      </c>
      <c r="Q299" s="1436"/>
      <c r="R299" s="1436"/>
      <c r="S299" s="3"/>
      <c r="T299" s="3" t="s">
        <v>88</v>
      </c>
      <c r="V299" s="3"/>
      <c r="W299" s="3"/>
      <c r="X299" s="3"/>
      <c r="Y299" s="3"/>
      <c r="AA299" s="1443"/>
      <c r="AB299" s="1443"/>
      <c r="AC299" s="1443"/>
      <c r="AD299" s="1443"/>
      <c r="AE299" s="1443"/>
      <c r="AF299" s="1443"/>
      <c r="AG299" s="4" t="s">
        <v>206</v>
      </c>
      <c r="AH299" s="4"/>
      <c r="AI299" s="1436"/>
      <c r="AJ299" s="1436"/>
      <c r="AK299" s="1436"/>
    </row>
    <row r="300" spans="2:37" ht="12.95" customHeight="1">
      <c r="B300" s="3" t="s">
        <v>89</v>
      </c>
      <c r="C300" s="3"/>
      <c r="D300" s="3"/>
      <c r="E300" s="3"/>
      <c r="F300" s="3"/>
      <c r="G300" s="3"/>
      <c r="H300" s="1365"/>
      <c r="I300" s="1365"/>
      <c r="J300" s="1365"/>
      <c r="K300" s="1365"/>
      <c r="L300" s="1365"/>
      <c r="M300" s="1365"/>
      <c r="N300" s="4"/>
      <c r="O300" s="4"/>
      <c r="P300" s="35"/>
      <c r="Q300" s="35"/>
      <c r="R300" s="35"/>
      <c r="S300" s="3"/>
      <c r="T300" s="3" t="s">
        <v>89</v>
      </c>
      <c r="V300" s="3"/>
      <c r="W300" s="3"/>
      <c r="X300" s="3"/>
      <c r="Y300" s="3"/>
      <c r="AA300" s="1365"/>
      <c r="AB300" s="1365"/>
      <c r="AC300" s="1365"/>
      <c r="AD300" s="1365"/>
      <c r="AE300" s="1365"/>
      <c r="AF300" s="1365"/>
      <c r="AG300" s="4"/>
      <c r="AH300" s="4"/>
      <c r="AI300" s="35"/>
      <c r="AJ300" s="35"/>
      <c r="AK300" s="35"/>
    </row>
    <row r="301" spans="2:37" ht="12.95" customHeight="1">
      <c r="B301" s="3" t="s">
        <v>76</v>
      </c>
      <c r="C301" s="3"/>
      <c r="D301" s="3"/>
      <c r="E301" s="3"/>
      <c r="F301" s="3"/>
      <c r="G301" s="3"/>
      <c r="H301" s="1560" t="s">
        <v>2625</v>
      </c>
      <c r="I301" s="1367"/>
      <c r="J301" s="1367"/>
      <c r="K301" s="1367"/>
      <c r="L301" s="1367"/>
      <c r="M301" s="1367"/>
      <c r="N301" s="1390"/>
      <c r="O301" s="1390"/>
      <c r="P301" s="1390"/>
      <c r="Q301" s="1390"/>
      <c r="R301" s="1390"/>
      <c r="S301" s="3"/>
      <c r="T301" s="3" t="s">
        <v>76</v>
      </c>
      <c r="V301" s="3"/>
      <c r="W301" s="3"/>
      <c r="X301" s="3"/>
      <c r="Y301" s="3"/>
      <c r="AA301" s="1367"/>
      <c r="AB301" s="1367"/>
      <c r="AC301" s="1367"/>
      <c r="AD301" s="1367"/>
      <c r="AE301" s="1367"/>
      <c r="AF301" s="1367"/>
      <c r="AG301" s="1390"/>
      <c r="AH301" s="1390"/>
      <c r="AI301" s="1390"/>
      <c r="AJ301" s="1390"/>
      <c r="AK301" s="1390"/>
    </row>
    <row r="302" spans="2:37" ht="12.95" customHeight="1"/>
    <row r="303" spans="2:37" ht="12.95" customHeight="1">
      <c r="B303" s="3" t="s">
        <v>77</v>
      </c>
      <c r="C303" s="3"/>
      <c r="D303" s="3"/>
      <c r="E303" s="3"/>
      <c r="F303" s="3"/>
      <c r="H303" s="1435" t="s">
        <v>2620</v>
      </c>
      <c r="I303" s="1390"/>
      <c r="J303" s="1390"/>
      <c r="K303" s="1390"/>
      <c r="L303" s="1390"/>
      <c r="M303" s="1390"/>
      <c r="N303" s="1390"/>
      <c r="O303" s="1390"/>
      <c r="P303" s="1390"/>
      <c r="Q303" s="1390"/>
      <c r="R303" s="1390"/>
      <c r="T303" s="4" t="s">
        <v>878</v>
      </c>
      <c r="V303" s="3"/>
      <c r="W303" s="3"/>
      <c r="X303" s="3"/>
      <c r="Y303" s="3"/>
      <c r="AA303" s="1435" t="s">
        <v>2751</v>
      </c>
      <c r="AB303" s="1390"/>
      <c r="AC303" s="1390"/>
      <c r="AD303" s="1390"/>
      <c r="AE303" s="1390"/>
      <c r="AF303" s="1390"/>
      <c r="AG303" s="1390"/>
      <c r="AH303" s="1390"/>
      <c r="AI303" s="1390"/>
      <c r="AJ303" s="1390"/>
      <c r="AK303" s="1390"/>
    </row>
    <row r="304" spans="2:37" ht="12.95" customHeight="1">
      <c r="B304" s="3" t="s">
        <v>471</v>
      </c>
      <c r="C304" s="3"/>
      <c r="D304" s="3"/>
      <c r="E304" s="3"/>
      <c r="F304" s="3"/>
      <c r="H304" s="1560" t="s">
        <v>2621</v>
      </c>
      <c r="I304" s="1367"/>
      <c r="J304" s="1367"/>
      <c r="K304" s="1367"/>
      <c r="L304" s="1367"/>
      <c r="M304" s="1367"/>
      <c r="N304" s="1367"/>
      <c r="O304" s="1367"/>
      <c r="P304" s="1367"/>
      <c r="Q304" s="1367"/>
      <c r="R304" s="1367"/>
      <c r="T304" s="3" t="s">
        <v>471</v>
      </c>
      <c r="V304" s="3"/>
      <c r="W304" s="3"/>
      <c r="X304" s="3"/>
      <c r="Y304" s="3"/>
      <c r="AA304" s="1367" t="s">
        <v>2752</v>
      </c>
      <c r="AB304" s="1367"/>
      <c r="AC304" s="1367"/>
      <c r="AD304" s="1367"/>
      <c r="AE304" s="1367"/>
      <c r="AF304" s="1367"/>
      <c r="AG304" s="1367"/>
      <c r="AH304" s="1367"/>
      <c r="AI304" s="1367"/>
      <c r="AJ304" s="1367"/>
      <c r="AK304" s="1367"/>
    </row>
    <row r="305" spans="2:37" ht="12.95" customHeight="1">
      <c r="B305" s="3" t="s">
        <v>472</v>
      </c>
      <c r="C305" s="3"/>
      <c r="D305" s="3"/>
      <c r="E305" s="3"/>
      <c r="F305" s="3"/>
      <c r="H305" s="1560" t="s">
        <v>2622</v>
      </c>
      <c r="I305" s="1367"/>
      <c r="J305" s="1367"/>
      <c r="K305" s="1367"/>
      <c r="L305" s="1367"/>
      <c r="M305" s="1367"/>
      <c r="N305" s="1367"/>
      <c r="O305" s="1367"/>
      <c r="P305" s="1367"/>
      <c r="Q305" s="1367"/>
      <c r="R305" s="1367"/>
      <c r="T305" s="3" t="s">
        <v>75</v>
      </c>
      <c r="V305" s="3"/>
      <c r="W305" s="3"/>
      <c r="X305" s="3"/>
      <c r="Y305" s="3"/>
      <c r="AA305" s="1367" t="s">
        <v>2753</v>
      </c>
      <c r="AB305" s="1367"/>
      <c r="AC305" s="1367"/>
      <c r="AD305" s="1367"/>
      <c r="AE305" s="1367"/>
      <c r="AF305" s="1367"/>
      <c r="AG305" s="1367"/>
      <c r="AH305" s="1367"/>
      <c r="AI305" s="1367"/>
      <c r="AJ305" s="1367"/>
      <c r="AK305" s="1367"/>
    </row>
    <row r="306" spans="2:37" ht="12.95" customHeight="1">
      <c r="B306" s="3" t="s">
        <v>87</v>
      </c>
      <c r="C306" s="3"/>
      <c r="D306" s="3"/>
      <c r="E306" s="3"/>
      <c r="F306" s="3"/>
      <c r="H306" s="1560" t="s">
        <v>2623</v>
      </c>
      <c r="I306" s="1367"/>
      <c r="J306" s="1367"/>
      <c r="K306" s="1367"/>
      <c r="L306" s="1367"/>
      <c r="M306" s="1367"/>
      <c r="N306" s="1367"/>
      <c r="O306" s="1367"/>
      <c r="P306" s="1367"/>
      <c r="Q306" s="1367"/>
      <c r="R306" s="1367"/>
      <c r="T306" s="3" t="s">
        <v>87</v>
      </c>
      <c r="V306" s="3"/>
      <c r="W306" s="3"/>
      <c r="X306" s="3"/>
      <c r="Y306" s="3"/>
      <c r="AA306" s="1367" t="s">
        <v>2754</v>
      </c>
      <c r="AB306" s="1367"/>
      <c r="AC306" s="1367"/>
      <c r="AD306" s="1367"/>
      <c r="AE306" s="1367"/>
      <c r="AF306" s="1367"/>
      <c r="AG306" s="1367"/>
      <c r="AH306" s="1367"/>
      <c r="AI306" s="1367"/>
      <c r="AJ306" s="1367"/>
      <c r="AK306" s="1367"/>
    </row>
    <row r="307" spans="2:37" ht="12.95" customHeight="1">
      <c r="B307" s="3" t="s">
        <v>88</v>
      </c>
      <c r="C307" s="3"/>
      <c r="D307" s="3"/>
      <c r="E307" s="3"/>
      <c r="F307" s="3"/>
      <c r="G307" s="3"/>
      <c r="H307" s="1442" t="s">
        <v>2624</v>
      </c>
      <c r="I307" s="1443"/>
      <c r="J307" s="1443"/>
      <c r="K307" s="1443"/>
      <c r="L307" s="1443"/>
      <c r="M307" s="1443"/>
      <c r="N307" s="4" t="s">
        <v>206</v>
      </c>
      <c r="O307" s="4"/>
      <c r="P307" s="1436"/>
      <c r="Q307" s="1436"/>
      <c r="R307" s="1436"/>
      <c r="S307" s="3"/>
      <c r="T307" s="3" t="s">
        <v>88</v>
      </c>
      <c r="V307" s="3"/>
      <c r="W307" s="3"/>
      <c r="X307" s="3"/>
      <c r="Y307" s="3"/>
      <c r="AA307" s="1442" t="s">
        <v>2755</v>
      </c>
      <c r="AB307" s="1443"/>
      <c r="AC307" s="1443"/>
      <c r="AD307" s="1443"/>
      <c r="AE307" s="1443"/>
      <c r="AF307" s="1443"/>
      <c r="AG307" s="4" t="s">
        <v>206</v>
      </c>
      <c r="AH307" s="4"/>
      <c r="AI307" s="1436"/>
      <c r="AJ307" s="1436"/>
      <c r="AK307" s="1436"/>
    </row>
    <row r="308" spans="2:37" ht="12.95" customHeight="1">
      <c r="B308" s="3" t="s">
        <v>89</v>
      </c>
      <c r="C308" s="3"/>
      <c r="D308" s="3"/>
      <c r="E308" s="3"/>
      <c r="F308" s="3"/>
      <c r="G308" s="3"/>
      <c r="H308" s="1365"/>
      <c r="I308" s="1365"/>
      <c r="J308" s="1365"/>
      <c r="K308" s="1365"/>
      <c r="L308" s="1365"/>
      <c r="M308" s="1365"/>
      <c r="N308" s="4"/>
      <c r="O308" s="4"/>
      <c r="P308" s="35"/>
      <c r="Q308" s="35"/>
      <c r="R308" s="35"/>
      <c r="S308" s="3"/>
      <c r="T308" s="3" t="s">
        <v>89</v>
      </c>
      <c r="V308" s="3"/>
      <c r="W308" s="3"/>
      <c r="X308" s="3"/>
      <c r="Y308" s="3"/>
      <c r="AA308" s="1365"/>
      <c r="AB308" s="1365"/>
      <c r="AC308" s="1365"/>
      <c r="AD308" s="1365"/>
      <c r="AE308" s="1365"/>
      <c r="AF308" s="1365"/>
      <c r="AG308" s="4"/>
      <c r="AH308" s="4"/>
      <c r="AI308" s="35"/>
      <c r="AJ308" s="35"/>
      <c r="AK308" s="35"/>
    </row>
    <row r="309" spans="2:37" ht="12.95" customHeight="1">
      <c r="B309" s="3" t="s">
        <v>76</v>
      </c>
      <c r="C309" s="3"/>
      <c r="D309" s="3"/>
      <c r="E309" s="3"/>
      <c r="F309" s="3"/>
      <c r="G309" s="3"/>
      <c r="H309" s="1560" t="s">
        <v>2625</v>
      </c>
      <c r="I309" s="1367"/>
      <c r="J309" s="1367"/>
      <c r="K309" s="1367"/>
      <c r="L309" s="1367"/>
      <c r="M309" s="1367"/>
      <c r="N309" s="1390"/>
      <c r="O309" s="1390"/>
      <c r="P309" s="1390"/>
      <c r="Q309" s="1390"/>
      <c r="R309" s="1390"/>
      <c r="S309" s="3"/>
      <c r="T309" s="3" t="s">
        <v>76</v>
      </c>
      <c r="V309" s="3"/>
      <c r="W309" s="3"/>
      <c r="X309" s="3"/>
      <c r="Y309" s="3"/>
      <c r="AA309" s="1367" t="s">
        <v>2756</v>
      </c>
      <c r="AB309" s="1367"/>
      <c r="AC309" s="1367"/>
      <c r="AD309" s="1367"/>
      <c r="AE309" s="1367"/>
      <c r="AF309" s="1367"/>
      <c r="AG309" s="1390"/>
      <c r="AH309" s="1390"/>
      <c r="AI309" s="1390"/>
      <c r="AJ309" s="1390"/>
      <c r="AK309" s="139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35" t="s">
        <v>2631</v>
      </c>
      <c r="I311" s="1390"/>
      <c r="J311" s="1390"/>
      <c r="K311" s="1390"/>
      <c r="L311" s="1390"/>
      <c r="M311" s="1390"/>
      <c r="N311" s="1390"/>
      <c r="O311" s="1390"/>
      <c r="P311" s="1390"/>
      <c r="Q311" s="1390"/>
      <c r="R311" s="1390"/>
      <c r="S311" s="3"/>
      <c r="T311" s="3" t="s">
        <v>365</v>
      </c>
      <c r="V311" s="3"/>
      <c r="W311" s="3"/>
      <c r="X311" s="3"/>
      <c r="Y311" s="3"/>
      <c r="AA311" s="1435" t="s">
        <v>2657</v>
      </c>
      <c r="AB311" s="1390"/>
      <c r="AC311" s="1390"/>
      <c r="AD311" s="1390"/>
      <c r="AE311" s="1390"/>
      <c r="AF311" s="1390"/>
      <c r="AG311" s="1390"/>
      <c r="AH311" s="1390"/>
      <c r="AI311" s="1390"/>
      <c r="AJ311" s="1390"/>
      <c r="AK311" s="1390"/>
    </row>
    <row r="312" spans="2:37" ht="12.95" customHeight="1">
      <c r="B312" s="3" t="s">
        <v>471</v>
      </c>
      <c r="C312" s="3"/>
      <c r="D312" s="3"/>
      <c r="E312" s="3"/>
      <c r="F312" s="3"/>
      <c r="H312" s="1560" t="s">
        <v>2626</v>
      </c>
      <c r="I312" s="1367"/>
      <c r="J312" s="1367"/>
      <c r="K312" s="1367"/>
      <c r="L312" s="1367"/>
      <c r="M312" s="1367"/>
      <c r="N312" s="1367"/>
      <c r="O312" s="1367"/>
      <c r="P312" s="1367"/>
      <c r="Q312" s="1367"/>
      <c r="R312" s="1367"/>
      <c r="S312" s="3"/>
      <c r="T312" s="3" t="s">
        <v>471</v>
      </c>
      <c r="V312" s="3"/>
      <c r="W312" s="3"/>
      <c r="X312" s="3"/>
      <c r="Y312" s="3"/>
      <c r="AA312" s="1367"/>
      <c r="AB312" s="1367"/>
      <c r="AC312" s="1367"/>
      <c r="AD312" s="1367"/>
      <c r="AE312" s="1367"/>
      <c r="AF312" s="1367"/>
      <c r="AG312" s="1367"/>
      <c r="AH312" s="1367"/>
      <c r="AI312" s="1367"/>
      <c r="AJ312" s="1367"/>
      <c r="AK312" s="1367"/>
    </row>
    <row r="313" spans="2:37" ht="12.95" customHeight="1">
      <c r="B313" s="3" t="s">
        <v>472</v>
      </c>
      <c r="C313" s="3"/>
      <c r="D313" s="3"/>
      <c r="E313" s="3"/>
      <c r="F313" s="3"/>
      <c r="H313" s="1560" t="s">
        <v>2635</v>
      </c>
      <c r="I313" s="1367"/>
      <c r="J313" s="1367"/>
      <c r="K313" s="1367"/>
      <c r="L313" s="1367"/>
      <c r="M313" s="1367"/>
      <c r="N313" s="1367"/>
      <c r="O313" s="1367"/>
      <c r="P313" s="1367"/>
      <c r="Q313" s="1367"/>
      <c r="R313" s="1367"/>
      <c r="S313" s="3"/>
      <c r="T313" s="3" t="s">
        <v>75</v>
      </c>
      <c r="V313" s="3"/>
      <c r="W313" s="3"/>
      <c r="X313" s="3"/>
      <c r="Y313" s="3"/>
      <c r="AA313" s="1367"/>
      <c r="AB313" s="1367"/>
      <c r="AC313" s="1367"/>
      <c r="AD313" s="1367"/>
      <c r="AE313" s="1367"/>
      <c r="AF313" s="1367"/>
      <c r="AG313" s="1367"/>
      <c r="AH313" s="1367"/>
      <c r="AI313" s="1367"/>
      <c r="AJ313" s="1367"/>
      <c r="AK313" s="1367"/>
    </row>
    <row r="314" spans="2:37" ht="12.95" customHeight="1">
      <c r="B314" s="3" t="s">
        <v>87</v>
      </c>
      <c r="C314" s="3"/>
      <c r="D314" s="3"/>
      <c r="E314" s="3"/>
      <c r="F314" s="3"/>
      <c r="H314" s="1560" t="s">
        <v>2627</v>
      </c>
      <c r="I314" s="1367"/>
      <c r="J314" s="1367"/>
      <c r="K314" s="1367"/>
      <c r="L314" s="1367"/>
      <c r="M314" s="1367"/>
      <c r="N314" s="1367"/>
      <c r="O314" s="1367"/>
      <c r="P314" s="1367"/>
      <c r="Q314" s="1367"/>
      <c r="R314" s="1367"/>
      <c r="S314" s="3"/>
      <c r="T314" s="3" t="s">
        <v>87</v>
      </c>
      <c r="V314" s="3"/>
      <c r="W314" s="3"/>
      <c r="X314" s="3"/>
      <c r="Y314" s="3"/>
      <c r="AA314" s="1367"/>
      <c r="AB314" s="1367"/>
      <c r="AC314" s="1367"/>
      <c r="AD314" s="1367"/>
      <c r="AE314" s="1367"/>
      <c r="AF314" s="1367"/>
      <c r="AG314" s="1367"/>
      <c r="AH314" s="1367"/>
      <c r="AI314" s="1367"/>
      <c r="AJ314" s="1367"/>
      <c r="AK314" s="1367"/>
    </row>
    <row r="315" spans="2:37" ht="12.95" customHeight="1">
      <c r="B315" s="3" t="s">
        <v>88</v>
      </c>
      <c r="C315" s="3"/>
      <c r="D315" s="3"/>
      <c r="E315" s="3"/>
      <c r="F315" s="3"/>
      <c r="G315" s="3"/>
      <c r="H315" s="1442" t="s">
        <v>2628</v>
      </c>
      <c r="I315" s="1443"/>
      <c r="J315" s="1443"/>
      <c r="K315" s="1443"/>
      <c r="L315" s="1443"/>
      <c r="M315" s="1443"/>
      <c r="N315" s="4" t="s">
        <v>206</v>
      </c>
      <c r="O315" s="4"/>
      <c r="P315" s="1436">
        <v>6</v>
      </c>
      <c r="Q315" s="1436"/>
      <c r="R315" s="1436"/>
      <c r="S315" s="3"/>
      <c r="T315" s="3" t="s">
        <v>88</v>
      </c>
      <c r="V315" s="3"/>
      <c r="W315" s="3"/>
      <c r="X315" s="3"/>
      <c r="Y315" s="3"/>
      <c r="AA315" s="1443"/>
      <c r="AB315" s="1443"/>
      <c r="AC315" s="1443"/>
      <c r="AD315" s="1443"/>
      <c r="AE315" s="1443"/>
      <c r="AF315" s="1443"/>
      <c r="AG315" s="4" t="s">
        <v>206</v>
      </c>
      <c r="AH315" s="4"/>
      <c r="AI315" s="1436"/>
      <c r="AJ315" s="1436"/>
      <c r="AK315" s="1436"/>
    </row>
    <row r="316" spans="2:37" ht="12.95" customHeight="1">
      <c r="B316" s="3" t="s">
        <v>89</v>
      </c>
      <c r="C316" s="3"/>
      <c r="D316" s="3"/>
      <c r="E316" s="3"/>
      <c r="F316" s="3"/>
      <c r="G316" s="3"/>
      <c r="H316" s="1682" t="s">
        <v>2629</v>
      </c>
      <c r="I316" s="1365"/>
      <c r="J316" s="1365"/>
      <c r="K316" s="1365"/>
      <c r="L316" s="1365"/>
      <c r="M316" s="1365"/>
      <c r="N316" s="4"/>
      <c r="O316" s="4"/>
      <c r="P316" s="35"/>
      <c r="Q316" s="35"/>
      <c r="R316" s="35"/>
      <c r="S316" s="3"/>
      <c r="T316" s="3" t="s">
        <v>89</v>
      </c>
      <c r="V316" s="3"/>
      <c r="W316" s="3"/>
      <c r="X316" s="3"/>
      <c r="Y316" s="3"/>
      <c r="AA316" s="1365"/>
      <c r="AB316" s="1365"/>
      <c r="AC316" s="1365"/>
      <c r="AD316" s="1365"/>
      <c r="AE316" s="1365"/>
      <c r="AF316" s="1365"/>
      <c r="AG316" s="4"/>
      <c r="AH316" s="4"/>
      <c r="AI316" s="35"/>
      <c r="AJ316" s="35"/>
      <c r="AK316" s="35"/>
    </row>
    <row r="317" spans="2:37" ht="12.95" customHeight="1">
      <c r="B317" s="3" t="s">
        <v>76</v>
      </c>
      <c r="C317" s="3"/>
      <c r="D317" s="3"/>
      <c r="E317" s="3"/>
      <c r="F317" s="3"/>
      <c r="G317" s="3"/>
      <c r="H317" s="1560" t="s">
        <v>2630</v>
      </c>
      <c r="I317" s="1367"/>
      <c r="J317" s="1367"/>
      <c r="K317" s="1367"/>
      <c r="L317" s="1367"/>
      <c r="M317" s="1367"/>
      <c r="N317" s="1390"/>
      <c r="O317" s="1390"/>
      <c r="P317" s="1390"/>
      <c r="Q317" s="1390"/>
      <c r="R317" s="1390"/>
      <c r="S317" s="3"/>
      <c r="T317" s="3" t="s">
        <v>76</v>
      </c>
      <c r="V317" s="3"/>
      <c r="W317" s="3"/>
      <c r="X317" s="3"/>
      <c r="Y317" s="3"/>
      <c r="AA317" s="1367"/>
      <c r="AB317" s="1367"/>
      <c r="AC317" s="1367"/>
      <c r="AD317" s="1367"/>
      <c r="AE317" s="1367"/>
      <c r="AF317" s="1367"/>
      <c r="AG317" s="1390"/>
      <c r="AH317" s="1390"/>
      <c r="AI317" s="1390"/>
      <c r="AJ317" s="1390"/>
      <c r="AK317" s="1390"/>
    </row>
    <row r="318" spans="2:37" ht="12.95" customHeight="1"/>
    <row r="319" spans="2:37" ht="12.95" customHeight="1">
      <c r="B319" s="4" t="s">
        <v>908</v>
      </c>
      <c r="C319" s="3"/>
      <c r="D319" s="3"/>
      <c r="E319" s="3"/>
      <c r="F319" s="3"/>
      <c r="H319" s="1435" t="s">
        <v>2632</v>
      </c>
      <c r="I319" s="1390"/>
      <c r="J319" s="1390"/>
      <c r="K319" s="1390"/>
      <c r="L319" s="1390"/>
      <c r="M319" s="1390"/>
      <c r="N319" s="1390"/>
      <c r="O319" s="1390"/>
      <c r="P319" s="1390"/>
      <c r="Q319" s="1390"/>
      <c r="R319" s="1390"/>
      <c r="T319" s="3" t="s">
        <v>366</v>
      </c>
      <c r="V319" s="3"/>
      <c r="W319" s="3"/>
      <c r="X319" s="3"/>
      <c r="Y319" s="3"/>
      <c r="AA319" s="1435" t="s">
        <v>2658</v>
      </c>
      <c r="AB319" s="1390"/>
      <c r="AC319" s="1390"/>
      <c r="AD319" s="1390"/>
      <c r="AE319" s="1390"/>
      <c r="AF319" s="1390"/>
      <c r="AG319" s="1390"/>
      <c r="AH319" s="1390"/>
      <c r="AI319" s="1390"/>
      <c r="AJ319" s="1390"/>
      <c r="AK319" s="1390"/>
    </row>
    <row r="320" spans="2:37" ht="12.95" customHeight="1">
      <c r="B320" s="3" t="s">
        <v>471</v>
      </c>
      <c r="C320" s="3"/>
      <c r="D320" s="3"/>
      <c r="E320" s="3"/>
      <c r="F320" s="3"/>
      <c r="H320" s="1560" t="s">
        <v>2633</v>
      </c>
      <c r="I320" s="1367"/>
      <c r="J320" s="1367"/>
      <c r="K320" s="1367"/>
      <c r="L320" s="1367"/>
      <c r="M320" s="1367"/>
      <c r="N320" s="1367"/>
      <c r="O320" s="1367"/>
      <c r="P320" s="1367"/>
      <c r="Q320" s="1367"/>
      <c r="R320" s="1367"/>
      <c r="T320" s="3" t="s">
        <v>471</v>
      </c>
      <c r="V320" s="3"/>
      <c r="W320" s="3"/>
      <c r="X320" s="3"/>
      <c r="Y320" s="3"/>
      <c r="AA320" s="1560" t="s">
        <v>2659</v>
      </c>
      <c r="AB320" s="1367"/>
      <c r="AC320" s="1367"/>
      <c r="AD320" s="1367"/>
      <c r="AE320" s="1367"/>
      <c r="AF320" s="1367"/>
      <c r="AG320" s="1367"/>
      <c r="AH320" s="1367"/>
      <c r="AI320" s="1367"/>
      <c r="AJ320" s="1367"/>
      <c r="AK320" s="1367"/>
    </row>
    <row r="321" spans="2:37" ht="12.95" customHeight="1">
      <c r="B321" s="3" t="s">
        <v>472</v>
      </c>
      <c r="C321" s="3"/>
      <c r="D321" s="3"/>
      <c r="E321" s="3"/>
      <c r="F321" s="3"/>
      <c r="H321" s="1560" t="s">
        <v>2634</v>
      </c>
      <c r="I321" s="1367"/>
      <c r="J321" s="1367"/>
      <c r="K321" s="1367"/>
      <c r="L321" s="1367"/>
      <c r="M321" s="1367"/>
      <c r="N321" s="1367"/>
      <c r="O321" s="1367"/>
      <c r="P321" s="1367"/>
      <c r="Q321" s="1367"/>
      <c r="R321" s="1367"/>
      <c r="T321" s="3" t="s">
        <v>75</v>
      </c>
      <c r="V321" s="3"/>
      <c r="W321" s="3"/>
      <c r="X321" s="3"/>
      <c r="Y321" s="3"/>
      <c r="AA321" s="1560" t="s">
        <v>2660</v>
      </c>
      <c r="AB321" s="1367"/>
      <c r="AC321" s="1367"/>
      <c r="AD321" s="1367"/>
      <c r="AE321" s="1367"/>
      <c r="AF321" s="1367"/>
      <c r="AG321" s="1367"/>
      <c r="AH321" s="1367"/>
      <c r="AI321" s="1367"/>
      <c r="AJ321" s="1367"/>
      <c r="AK321" s="1367"/>
    </row>
    <row r="322" spans="2:37" ht="12.95" customHeight="1">
      <c r="B322" s="3" t="s">
        <v>87</v>
      </c>
      <c r="C322" s="3"/>
      <c r="D322" s="3"/>
      <c r="E322" s="3"/>
      <c r="F322" s="3"/>
      <c r="H322" s="1560" t="s">
        <v>2636</v>
      </c>
      <c r="I322" s="1367"/>
      <c r="J322" s="1367"/>
      <c r="K322" s="1367"/>
      <c r="L322" s="1367"/>
      <c r="M322" s="1367"/>
      <c r="N322" s="1367"/>
      <c r="O322" s="1367"/>
      <c r="P322" s="1367"/>
      <c r="Q322" s="1367"/>
      <c r="R322" s="1367"/>
      <c r="T322" s="3" t="s">
        <v>87</v>
      </c>
      <c r="V322" s="3"/>
      <c r="W322" s="3"/>
      <c r="X322" s="3"/>
      <c r="Y322" s="3"/>
      <c r="AA322" s="1560" t="s">
        <v>2661</v>
      </c>
      <c r="AB322" s="1367"/>
      <c r="AC322" s="1367"/>
      <c r="AD322" s="1367"/>
      <c r="AE322" s="1367"/>
      <c r="AF322" s="1367"/>
      <c r="AG322" s="1367"/>
      <c r="AH322" s="1367"/>
      <c r="AI322" s="1367"/>
      <c r="AJ322" s="1367"/>
      <c r="AK322" s="1367"/>
    </row>
    <row r="323" spans="2:37" ht="12.95" customHeight="1">
      <c r="B323" s="3" t="s">
        <v>88</v>
      </c>
      <c r="C323" s="3"/>
      <c r="D323" s="3"/>
      <c r="E323" s="3"/>
      <c r="F323" s="3"/>
      <c r="G323" s="3"/>
      <c r="H323" s="1442" t="s">
        <v>2637</v>
      </c>
      <c r="I323" s="1443"/>
      <c r="J323" s="1443"/>
      <c r="K323" s="1443"/>
      <c r="L323" s="1443"/>
      <c r="M323" s="1443"/>
      <c r="N323" s="4" t="s">
        <v>206</v>
      </c>
      <c r="O323" s="4"/>
      <c r="P323" s="1436"/>
      <c r="Q323" s="1436"/>
      <c r="R323" s="1436"/>
      <c r="S323" s="3"/>
      <c r="T323" s="3" t="s">
        <v>88</v>
      </c>
      <c r="V323" s="3"/>
      <c r="W323" s="3"/>
      <c r="X323" s="3"/>
      <c r="Y323" s="3"/>
      <c r="AA323" s="1442" t="s">
        <v>2662</v>
      </c>
      <c r="AB323" s="1443"/>
      <c r="AC323" s="1443"/>
      <c r="AD323" s="1443"/>
      <c r="AE323" s="1443"/>
      <c r="AF323" s="1443"/>
      <c r="AG323" s="4" t="s">
        <v>206</v>
      </c>
      <c r="AH323" s="4"/>
      <c r="AI323" s="1436"/>
      <c r="AJ323" s="1436"/>
      <c r="AK323" s="1436"/>
    </row>
    <row r="324" spans="2:37" ht="12.95" customHeight="1">
      <c r="B324" s="3" t="s">
        <v>89</v>
      </c>
      <c r="C324" s="3"/>
      <c r="D324" s="3"/>
      <c r="E324" s="3"/>
      <c r="F324" s="3"/>
      <c r="G324" s="3"/>
      <c r="H324" s="1365"/>
      <c r="I324" s="1365"/>
      <c r="J324" s="1365"/>
      <c r="K324" s="1365"/>
      <c r="L324" s="1365"/>
      <c r="M324" s="1365"/>
      <c r="N324" s="4"/>
      <c r="O324" s="4"/>
      <c r="P324" s="35"/>
      <c r="Q324" s="35"/>
      <c r="R324" s="35"/>
      <c r="S324" s="3"/>
      <c r="T324" s="3" t="s">
        <v>89</v>
      </c>
      <c r="V324" s="3"/>
      <c r="W324" s="3"/>
      <c r="X324" s="3"/>
      <c r="Y324" s="3"/>
      <c r="AA324" s="1365"/>
      <c r="AB324" s="1365"/>
      <c r="AC324" s="1365"/>
      <c r="AD324" s="1365"/>
      <c r="AE324" s="1365"/>
      <c r="AF324" s="1365"/>
      <c r="AG324" s="4"/>
      <c r="AH324" s="4"/>
      <c r="AI324" s="35"/>
      <c r="AJ324" s="35"/>
      <c r="AK324" s="35"/>
    </row>
    <row r="325" spans="2:37" ht="12.95" customHeight="1">
      <c r="B325" s="3" t="s">
        <v>76</v>
      </c>
      <c r="C325" s="3"/>
      <c r="D325" s="3"/>
      <c r="E325" s="3"/>
      <c r="F325" s="3"/>
      <c r="G325" s="3"/>
      <c r="H325" s="1560" t="s">
        <v>2638</v>
      </c>
      <c r="I325" s="1367"/>
      <c r="J325" s="1367"/>
      <c r="K325" s="1367"/>
      <c r="L325" s="1367"/>
      <c r="M325" s="1367"/>
      <c r="N325" s="1390"/>
      <c r="O325" s="1390"/>
      <c r="P325" s="1390"/>
      <c r="Q325" s="1390"/>
      <c r="R325" s="1390"/>
      <c r="S325" s="3"/>
      <c r="T325" s="3" t="s">
        <v>76</v>
      </c>
      <c r="V325" s="3"/>
      <c r="W325" s="3"/>
      <c r="X325" s="3"/>
      <c r="Y325" s="3"/>
      <c r="AA325" s="1560" t="s">
        <v>2663</v>
      </c>
      <c r="AB325" s="1367"/>
      <c r="AC325" s="1367"/>
      <c r="AD325" s="1367"/>
      <c r="AE325" s="1367"/>
      <c r="AF325" s="1367"/>
      <c r="AG325" s="1390"/>
      <c r="AH325" s="1390"/>
      <c r="AI325" s="1390"/>
      <c r="AJ325" s="1390"/>
      <c r="AK325" s="139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35" t="s">
        <v>2639</v>
      </c>
      <c r="I327" s="1390"/>
      <c r="J327" s="1390"/>
      <c r="K327" s="1390"/>
      <c r="L327" s="1390"/>
      <c r="M327" s="1390"/>
      <c r="N327" s="1390"/>
      <c r="O327" s="1390"/>
      <c r="P327" s="1390"/>
      <c r="Q327" s="1390"/>
      <c r="R327" s="1390"/>
      <c r="T327" s="3" t="s">
        <v>368</v>
      </c>
      <c r="V327" s="3"/>
      <c r="W327" s="3"/>
      <c r="X327" s="3"/>
      <c r="Y327" s="3"/>
      <c r="AA327" s="1435" t="s">
        <v>2664</v>
      </c>
      <c r="AB327" s="1390"/>
      <c r="AC327" s="1390"/>
      <c r="AD327" s="1390"/>
      <c r="AE327" s="1390"/>
      <c r="AF327" s="1390"/>
      <c r="AG327" s="1390"/>
      <c r="AH327" s="1390"/>
      <c r="AI327" s="1390"/>
      <c r="AJ327" s="1390"/>
      <c r="AK327" s="1390"/>
    </row>
    <row r="328" spans="2:37" ht="12.95" customHeight="1">
      <c r="B328" s="3" t="s">
        <v>471</v>
      </c>
      <c r="C328" s="3"/>
      <c r="D328" s="3"/>
      <c r="E328" s="3"/>
      <c r="F328" s="3"/>
      <c r="H328" s="1560" t="s">
        <v>2640</v>
      </c>
      <c r="I328" s="1367"/>
      <c r="J328" s="1367"/>
      <c r="K328" s="1367"/>
      <c r="L328" s="1367"/>
      <c r="M328" s="1367"/>
      <c r="N328" s="1367"/>
      <c r="O328" s="1367"/>
      <c r="P328" s="1367"/>
      <c r="Q328" s="1367"/>
      <c r="R328" s="1367"/>
      <c r="T328" s="3" t="s">
        <v>471</v>
      </c>
      <c r="V328" s="3"/>
      <c r="W328" s="3"/>
      <c r="X328" s="3"/>
      <c r="Y328" s="3"/>
      <c r="AA328" s="1560" t="s">
        <v>2665</v>
      </c>
      <c r="AB328" s="1367"/>
      <c r="AC328" s="1367"/>
      <c r="AD328" s="1367"/>
      <c r="AE328" s="1367"/>
      <c r="AF328" s="1367"/>
      <c r="AG328" s="1367"/>
      <c r="AH328" s="1367"/>
      <c r="AI328" s="1367"/>
      <c r="AJ328" s="1367"/>
      <c r="AK328" s="1367"/>
    </row>
    <row r="329" spans="2:37" ht="12.95" customHeight="1">
      <c r="B329" s="3" t="s">
        <v>472</v>
      </c>
      <c r="C329" s="3"/>
      <c r="D329" s="3"/>
      <c r="E329" s="3"/>
      <c r="F329" s="3"/>
      <c r="H329" s="1560" t="s">
        <v>2641</v>
      </c>
      <c r="I329" s="1367"/>
      <c r="J329" s="1367"/>
      <c r="K329" s="1367"/>
      <c r="L329" s="1367"/>
      <c r="M329" s="1367"/>
      <c r="N329" s="1367"/>
      <c r="O329" s="1367"/>
      <c r="P329" s="1367"/>
      <c r="Q329" s="1367"/>
      <c r="R329" s="1367"/>
      <c r="T329" s="3" t="s">
        <v>75</v>
      </c>
      <c r="V329" s="3"/>
      <c r="W329" s="3"/>
      <c r="X329" s="3"/>
      <c r="Y329" s="3"/>
      <c r="AA329" s="1560" t="s">
        <v>2666</v>
      </c>
      <c r="AB329" s="1367"/>
      <c r="AC329" s="1367"/>
      <c r="AD329" s="1367"/>
      <c r="AE329" s="1367"/>
      <c r="AF329" s="1367"/>
      <c r="AG329" s="1367"/>
      <c r="AH329" s="1367"/>
      <c r="AI329" s="1367"/>
      <c r="AJ329" s="1367"/>
      <c r="AK329" s="1367"/>
    </row>
    <row r="330" spans="2:37" ht="12.95" customHeight="1">
      <c r="B330" s="3" t="s">
        <v>87</v>
      </c>
      <c r="C330" s="3"/>
      <c r="D330" s="3"/>
      <c r="E330" s="3"/>
      <c r="F330" s="3"/>
      <c r="H330" s="1560" t="s">
        <v>2642</v>
      </c>
      <c r="I330" s="1367"/>
      <c r="J330" s="1367"/>
      <c r="K330" s="1367"/>
      <c r="L330" s="1367"/>
      <c r="M330" s="1367"/>
      <c r="N330" s="1367"/>
      <c r="O330" s="1367"/>
      <c r="P330" s="1367"/>
      <c r="Q330" s="1367"/>
      <c r="R330" s="1367"/>
      <c r="T330" s="3" t="s">
        <v>87</v>
      </c>
      <c r="V330" s="3"/>
      <c r="W330" s="3"/>
      <c r="X330" s="3"/>
      <c r="Y330" s="3"/>
      <c r="AA330" s="1560" t="s">
        <v>2667</v>
      </c>
      <c r="AB330" s="1367"/>
      <c r="AC330" s="1367"/>
      <c r="AD330" s="1367"/>
      <c r="AE330" s="1367"/>
      <c r="AF330" s="1367"/>
      <c r="AG330" s="1367"/>
      <c r="AH330" s="1367"/>
      <c r="AI330" s="1367"/>
      <c r="AJ330" s="1367"/>
      <c r="AK330" s="1367"/>
    </row>
    <row r="331" spans="2:37" ht="12.95" customHeight="1">
      <c r="B331" s="3" t="s">
        <v>88</v>
      </c>
      <c r="C331" s="3"/>
      <c r="D331" s="3"/>
      <c r="E331" s="3"/>
      <c r="F331" s="3"/>
      <c r="G331" s="3"/>
      <c r="H331" s="1442" t="s">
        <v>2643</v>
      </c>
      <c r="I331" s="1443"/>
      <c r="J331" s="1443"/>
      <c r="K331" s="1443"/>
      <c r="L331" s="1443"/>
      <c r="M331" s="1443"/>
      <c r="N331" s="4" t="s">
        <v>206</v>
      </c>
      <c r="O331" s="4"/>
      <c r="P331" s="1436">
        <v>7207</v>
      </c>
      <c r="Q331" s="1436"/>
      <c r="R331" s="1436"/>
      <c r="S331" s="3"/>
      <c r="T331" s="3" t="s">
        <v>88</v>
      </c>
      <c r="V331" s="3"/>
      <c r="W331" s="3"/>
      <c r="X331" s="3"/>
      <c r="Y331" s="3"/>
      <c r="AA331" s="1442" t="s">
        <v>2668</v>
      </c>
      <c r="AB331" s="1443"/>
      <c r="AC331" s="1443"/>
      <c r="AD331" s="1443"/>
      <c r="AE331" s="1443"/>
      <c r="AF331" s="1443"/>
      <c r="AG331" s="4" t="s">
        <v>206</v>
      </c>
      <c r="AH331" s="4"/>
      <c r="AI331" s="1436"/>
      <c r="AJ331" s="1436"/>
      <c r="AK331" s="1436"/>
    </row>
    <row r="332" spans="2:37" ht="12.95" customHeight="1">
      <c r="B332" s="3" t="s">
        <v>89</v>
      </c>
      <c r="C332" s="3"/>
      <c r="D332" s="3"/>
      <c r="E332" s="3"/>
      <c r="F332" s="3"/>
      <c r="G332" s="3"/>
      <c r="H332" s="1682" t="s">
        <v>2644</v>
      </c>
      <c r="I332" s="1365"/>
      <c r="J332" s="1365"/>
      <c r="K332" s="1365"/>
      <c r="L332" s="1365"/>
      <c r="M332" s="1365"/>
      <c r="N332" s="4"/>
      <c r="O332" s="4"/>
      <c r="P332" s="35"/>
      <c r="Q332" s="35"/>
      <c r="R332" s="35"/>
      <c r="S332" s="3"/>
      <c r="T332" s="3" t="s">
        <v>89</v>
      </c>
      <c r="V332" s="3"/>
      <c r="W332" s="3"/>
      <c r="X332" s="3"/>
      <c r="Y332" s="3"/>
      <c r="AA332" s="1365"/>
      <c r="AB332" s="1365"/>
      <c r="AC332" s="1365"/>
      <c r="AD332" s="1365"/>
      <c r="AE332" s="1365"/>
      <c r="AF332" s="1365"/>
      <c r="AG332" s="4"/>
      <c r="AH332" s="4"/>
      <c r="AI332" s="35"/>
      <c r="AJ332" s="35"/>
      <c r="AK332" s="35"/>
    </row>
    <row r="333" spans="2:37" ht="12.95" customHeight="1">
      <c r="B333" s="3" t="s">
        <v>76</v>
      </c>
      <c r="C333" s="3"/>
      <c r="D333" s="3"/>
      <c r="E333" s="3"/>
      <c r="F333" s="3"/>
      <c r="G333" s="3"/>
      <c r="H333" s="1560" t="s">
        <v>2645</v>
      </c>
      <c r="I333" s="1367"/>
      <c r="J333" s="1367"/>
      <c r="K333" s="1367"/>
      <c r="L333" s="1367"/>
      <c r="M333" s="1367"/>
      <c r="N333" s="1390"/>
      <c r="O333" s="1390"/>
      <c r="P333" s="1390"/>
      <c r="Q333" s="1390"/>
      <c r="R333" s="1390"/>
      <c r="S333" s="3"/>
      <c r="T333" s="3" t="s">
        <v>76</v>
      </c>
      <c r="V333" s="3"/>
      <c r="W333" s="3"/>
      <c r="X333" s="3"/>
      <c r="Y333" s="3"/>
      <c r="AA333" s="1560" t="s">
        <v>2669</v>
      </c>
      <c r="AB333" s="1367"/>
      <c r="AC333" s="1367"/>
      <c r="AD333" s="1367"/>
      <c r="AE333" s="1367"/>
      <c r="AF333" s="1367"/>
      <c r="AG333" s="1390"/>
      <c r="AH333" s="1390"/>
      <c r="AI333" s="1390"/>
      <c r="AJ333" s="1390"/>
      <c r="AK333" s="139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35" t="s">
        <v>2646</v>
      </c>
      <c r="I335" s="1390"/>
      <c r="J335" s="1390"/>
      <c r="K335" s="1390"/>
      <c r="L335" s="1390"/>
      <c r="M335" s="1390"/>
      <c r="N335" s="1390"/>
      <c r="O335" s="1390"/>
      <c r="P335" s="1390"/>
      <c r="Q335" s="1390"/>
      <c r="R335" s="1390"/>
      <c r="T335" s="204" t="s">
        <v>886</v>
      </c>
      <c r="V335" s="3"/>
      <c r="W335" s="3"/>
      <c r="X335" s="3"/>
      <c r="Y335" s="3"/>
      <c r="AA335" s="1435" t="s">
        <v>2670</v>
      </c>
      <c r="AB335" s="1390"/>
      <c r="AC335" s="1390"/>
      <c r="AD335" s="1390"/>
      <c r="AE335" s="1390"/>
      <c r="AF335" s="1390"/>
      <c r="AG335" s="1390"/>
      <c r="AH335" s="1390"/>
      <c r="AI335" s="1390"/>
      <c r="AJ335" s="1390"/>
      <c r="AK335" s="1390"/>
    </row>
    <row r="336" spans="2:37" ht="12.95" customHeight="1">
      <c r="B336" s="3" t="s">
        <v>471</v>
      </c>
      <c r="C336" s="3"/>
      <c r="D336" s="3"/>
      <c r="E336" s="3"/>
      <c r="F336" s="3"/>
      <c r="H336" s="1560" t="s">
        <v>2647</v>
      </c>
      <c r="I336" s="1367"/>
      <c r="J336" s="1367"/>
      <c r="K336" s="1367"/>
      <c r="L336" s="1367"/>
      <c r="M336" s="1367"/>
      <c r="N336" s="1367"/>
      <c r="O336" s="1367"/>
      <c r="P336" s="1367"/>
      <c r="Q336" s="1367"/>
      <c r="R336" s="1367"/>
      <c r="T336" s="3" t="s">
        <v>471</v>
      </c>
      <c r="V336" s="3"/>
      <c r="W336" s="3"/>
      <c r="X336" s="3"/>
      <c r="Y336" s="3"/>
      <c r="AA336" s="1560" t="s">
        <v>2610</v>
      </c>
      <c r="AB336" s="1367"/>
      <c r="AC336" s="1367"/>
      <c r="AD336" s="1367"/>
      <c r="AE336" s="1367"/>
      <c r="AF336" s="1367"/>
      <c r="AG336" s="1367"/>
      <c r="AH336" s="1367"/>
      <c r="AI336" s="1367"/>
      <c r="AJ336" s="1367"/>
      <c r="AK336" s="1367"/>
    </row>
    <row r="337" spans="1:66" ht="12.95" customHeight="1">
      <c r="B337" s="3" t="s">
        <v>75</v>
      </c>
      <c r="C337" s="3"/>
      <c r="D337" s="3"/>
      <c r="E337" s="3"/>
      <c r="F337" s="3"/>
      <c r="H337" s="1560" t="s">
        <v>2635</v>
      </c>
      <c r="I337" s="1367"/>
      <c r="J337" s="1367"/>
      <c r="K337" s="1367"/>
      <c r="L337" s="1367"/>
      <c r="M337" s="1367"/>
      <c r="N337" s="1367"/>
      <c r="O337" s="1367"/>
      <c r="P337" s="1367"/>
      <c r="Q337" s="1367"/>
      <c r="R337" s="1367"/>
      <c r="T337" s="3" t="s">
        <v>75</v>
      </c>
      <c r="V337" s="3"/>
      <c r="W337" s="3"/>
      <c r="X337" s="3"/>
      <c r="Y337" s="3"/>
      <c r="AA337" s="1560" t="s">
        <v>2619</v>
      </c>
      <c r="AB337" s="1367"/>
      <c r="AC337" s="1367"/>
      <c r="AD337" s="1367"/>
      <c r="AE337" s="1367"/>
      <c r="AF337" s="1367"/>
      <c r="AG337" s="1367"/>
      <c r="AH337" s="1367"/>
      <c r="AI337" s="1367"/>
      <c r="AJ337" s="1367"/>
      <c r="AK337" s="1367"/>
    </row>
    <row r="338" spans="1:66" ht="12.95" customHeight="1">
      <c r="B338" s="3" t="s">
        <v>87</v>
      </c>
      <c r="C338" s="3"/>
      <c r="D338" s="3"/>
      <c r="E338" s="3"/>
      <c r="F338" s="3"/>
      <c r="G338" s="3"/>
      <c r="H338" s="1560" t="s">
        <v>2648</v>
      </c>
      <c r="I338" s="1367"/>
      <c r="J338" s="1367"/>
      <c r="K338" s="1367"/>
      <c r="L338" s="1367"/>
      <c r="M338" s="1367"/>
      <c r="N338" s="1367"/>
      <c r="O338" s="1367"/>
      <c r="P338" s="1367"/>
      <c r="Q338" s="1367"/>
      <c r="R338" s="1367"/>
      <c r="T338" s="3" t="s">
        <v>87</v>
      </c>
      <c r="V338" s="3"/>
      <c r="W338" s="3"/>
      <c r="X338" s="3"/>
      <c r="Y338" s="3"/>
      <c r="AA338" s="1560" t="s">
        <v>2671</v>
      </c>
      <c r="AB338" s="1367"/>
      <c r="AC338" s="1367"/>
      <c r="AD338" s="1367"/>
      <c r="AE338" s="1367"/>
      <c r="AF338" s="1367"/>
      <c r="AG338" s="1367"/>
      <c r="AH338" s="1367"/>
      <c r="AI338" s="1367"/>
      <c r="AJ338" s="1367"/>
      <c r="AK338" s="1367"/>
    </row>
    <row r="339" spans="1:66" ht="12.95" customHeight="1">
      <c r="B339" s="3" t="s">
        <v>88</v>
      </c>
      <c r="C339" s="3"/>
      <c r="D339" s="3"/>
      <c r="E339" s="3"/>
      <c r="F339" s="3"/>
      <c r="G339" s="3"/>
      <c r="H339" s="1442" t="s">
        <v>2649</v>
      </c>
      <c r="I339" s="1443"/>
      <c r="J339" s="1443"/>
      <c r="K339" s="1443"/>
      <c r="L339" s="1443"/>
      <c r="M339" s="1443"/>
      <c r="N339" s="4" t="s">
        <v>206</v>
      </c>
      <c r="O339" s="4"/>
      <c r="P339" s="1436"/>
      <c r="Q339" s="1436"/>
      <c r="R339" s="1436"/>
      <c r="S339" s="3"/>
      <c r="T339" s="3" t="s">
        <v>88</v>
      </c>
      <c r="V339" s="3"/>
      <c r="W339" s="3"/>
      <c r="X339" s="3"/>
      <c r="Y339" s="3"/>
      <c r="AA339" s="1442" t="s">
        <v>2672</v>
      </c>
      <c r="AB339" s="1443"/>
      <c r="AC339" s="1443"/>
      <c r="AD339" s="1443"/>
      <c r="AE339" s="1443"/>
      <c r="AF339" s="1443"/>
      <c r="AG339" s="4" t="s">
        <v>206</v>
      </c>
      <c r="AH339" s="4"/>
      <c r="AI339" s="1436"/>
      <c r="AJ339" s="1436"/>
      <c r="AK339" s="1436"/>
    </row>
    <row r="340" spans="1:66" ht="12.95" customHeight="1">
      <c r="B340" s="3" t="s">
        <v>89</v>
      </c>
      <c r="C340" s="3"/>
      <c r="D340" s="3"/>
      <c r="E340" s="3"/>
      <c r="F340" s="3"/>
      <c r="G340" s="3"/>
      <c r="H340" s="1365"/>
      <c r="I340" s="1365"/>
      <c r="J340" s="1365"/>
      <c r="K340" s="1365"/>
      <c r="L340" s="1365"/>
      <c r="M340" s="1365"/>
      <c r="N340" s="4"/>
      <c r="O340" s="4"/>
      <c r="P340" s="35"/>
      <c r="Q340" s="35"/>
      <c r="R340" s="35"/>
      <c r="S340" s="3"/>
      <c r="T340" s="3" t="s">
        <v>89</v>
      </c>
      <c r="V340" s="3"/>
      <c r="W340" s="3"/>
      <c r="X340" s="3"/>
      <c r="Y340" s="3"/>
      <c r="AA340" s="1365"/>
      <c r="AB340" s="1365"/>
      <c r="AC340" s="1365"/>
      <c r="AD340" s="1365"/>
      <c r="AE340" s="1365"/>
      <c r="AF340" s="1365"/>
      <c r="AG340" s="4"/>
      <c r="AH340" s="4"/>
      <c r="AI340" s="35"/>
      <c r="AJ340" s="35"/>
      <c r="AK340" s="35"/>
    </row>
    <row r="341" spans="1:66" ht="12.95" customHeight="1">
      <c r="B341" s="3" t="s">
        <v>76</v>
      </c>
      <c r="C341" s="3"/>
      <c r="D341" s="3"/>
      <c r="E341" s="3"/>
      <c r="F341" s="3"/>
      <c r="G341" s="3"/>
      <c r="H341" s="1560" t="s">
        <v>2650</v>
      </c>
      <c r="I341" s="1367"/>
      <c r="J341" s="1367"/>
      <c r="K341" s="1367"/>
      <c r="L341" s="1367"/>
      <c r="M341" s="1367"/>
      <c r="N341" s="1390"/>
      <c r="O341" s="1390"/>
      <c r="P341" s="1390"/>
      <c r="Q341" s="1390"/>
      <c r="R341" s="1390"/>
      <c r="S341" s="3"/>
      <c r="T341" s="3" t="s">
        <v>76</v>
      </c>
      <c r="V341" s="3"/>
      <c r="W341" s="3"/>
      <c r="X341" s="3"/>
      <c r="Y341" s="3"/>
      <c r="AA341" s="1560" t="s">
        <v>2673</v>
      </c>
      <c r="AB341" s="1367"/>
      <c r="AC341" s="1367"/>
      <c r="AD341" s="1367"/>
      <c r="AE341" s="1367"/>
      <c r="AF341" s="1367"/>
      <c r="AG341" s="1390"/>
      <c r="AH341" s="1390"/>
      <c r="AI341" s="1390"/>
      <c r="AJ341" s="1390"/>
      <c r="AK341" s="139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35" t="s">
        <v>591</v>
      </c>
      <c r="Q343" s="1390"/>
      <c r="R343" s="1390"/>
      <c r="S343" s="1390"/>
      <c r="T343" s="1390"/>
      <c r="U343" s="1390"/>
      <c r="V343" s="1390"/>
      <c r="W343" s="1390"/>
      <c r="X343" s="1390"/>
      <c r="Y343" s="1390"/>
      <c r="Z343" s="1390"/>
      <c r="AA343" s="1390"/>
      <c r="AB343" s="1390"/>
      <c r="AC343" s="1390"/>
      <c r="AD343" s="1390"/>
      <c r="AE343" s="1390"/>
      <c r="BN343" t="s">
        <v>669</v>
      </c>
    </row>
    <row r="344" spans="1:66" ht="12.95" customHeight="1">
      <c r="B344" s="4"/>
      <c r="C344" s="4"/>
      <c r="D344" s="4"/>
      <c r="E344" s="4"/>
      <c r="F344" s="4"/>
      <c r="I344" s="4" t="s">
        <v>471</v>
      </c>
      <c r="P344" s="1560" t="s">
        <v>591</v>
      </c>
      <c r="Q344" s="1367"/>
      <c r="R344" s="1367"/>
      <c r="S344" s="1367"/>
      <c r="T344" s="1367"/>
      <c r="U344" s="1367"/>
      <c r="V344" s="1367"/>
      <c r="W344" s="1367"/>
      <c r="X344" s="1367"/>
      <c r="Y344" s="1367"/>
      <c r="Z344" s="1367"/>
      <c r="AA344" s="1367"/>
      <c r="AB344" s="1367"/>
      <c r="AC344" s="1367"/>
      <c r="AD344" s="1367"/>
      <c r="AE344" s="1367"/>
      <c r="BN344" t="s">
        <v>545</v>
      </c>
    </row>
    <row r="345" spans="1:66" ht="12.95" customHeight="1">
      <c r="B345" s="4"/>
      <c r="C345" s="4"/>
      <c r="D345" s="4"/>
      <c r="E345" s="4"/>
      <c r="F345" s="4"/>
      <c r="I345" s="4" t="s">
        <v>75</v>
      </c>
      <c r="P345" s="1560" t="s">
        <v>591</v>
      </c>
      <c r="Q345" s="1367"/>
      <c r="R345" s="1367"/>
      <c r="S345" s="1367"/>
      <c r="T345" s="1367"/>
      <c r="U345" s="1367"/>
      <c r="V345" s="1367"/>
      <c r="W345" s="1367"/>
      <c r="X345" s="1367"/>
      <c r="Y345" s="1367"/>
      <c r="Z345" s="1367"/>
      <c r="AA345" s="1367"/>
      <c r="AB345" s="1367"/>
      <c r="AC345" s="1367"/>
      <c r="AD345" s="1367"/>
      <c r="AE345" s="1367"/>
    </row>
    <row r="346" spans="1:66" ht="12.95" customHeight="1">
      <c r="B346" s="4"/>
      <c r="C346" s="4"/>
      <c r="D346" s="4"/>
      <c r="E346" s="4"/>
      <c r="F346" s="4"/>
      <c r="G346" s="4"/>
      <c r="I346" s="4" t="s">
        <v>87</v>
      </c>
      <c r="P346" s="1560" t="s">
        <v>591</v>
      </c>
      <c r="Q346" s="1367"/>
      <c r="R346" s="1367"/>
      <c r="S346" s="1367"/>
      <c r="T346" s="1367"/>
      <c r="U346" s="1367"/>
      <c r="V346" s="1367"/>
      <c r="W346" s="1367"/>
      <c r="X346" s="1367"/>
      <c r="Y346" s="1367"/>
      <c r="Z346" s="1367"/>
      <c r="AA346" s="1367"/>
      <c r="AB346" s="1367"/>
      <c r="AC346" s="1367"/>
      <c r="AD346" s="1367"/>
      <c r="AE346" s="1367"/>
    </row>
    <row r="347" spans="1:66" ht="12.95" customHeight="1">
      <c r="B347" s="4"/>
      <c r="C347" s="4"/>
      <c r="D347" s="4"/>
      <c r="E347" s="4"/>
      <c r="F347" s="4"/>
      <c r="G347" s="4"/>
      <c r="H347" s="302"/>
      <c r="I347" s="4" t="s">
        <v>88</v>
      </c>
      <c r="P347" s="1682" t="s">
        <v>591</v>
      </c>
      <c r="Q347" s="1365"/>
      <c r="R347" s="1365"/>
      <c r="S347" s="1365"/>
      <c r="T347" s="1365"/>
      <c r="U347" s="1365"/>
      <c r="V347" s="1365"/>
      <c r="W347" s="1365"/>
      <c r="X347" s="1365"/>
      <c r="Y347" s="1365"/>
      <c r="Z347" s="1365"/>
      <c r="AA347" s="4" t="s">
        <v>206</v>
      </c>
      <c r="AB347" s="4"/>
      <c r="AC347" s="1560" t="s">
        <v>591</v>
      </c>
      <c r="AD347" s="1457"/>
      <c r="AE347" s="1457"/>
      <c r="AF347" s="302"/>
      <c r="AG347" s="4"/>
      <c r="AH347" s="4"/>
      <c r="AI347" s="4"/>
      <c r="AJ347" s="4"/>
      <c r="AK347" s="4"/>
    </row>
    <row r="348" spans="1:66" ht="12.95" customHeight="1">
      <c r="B348" s="4"/>
      <c r="C348" s="4"/>
      <c r="D348" s="4"/>
      <c r="E348" s="4"/>
      <c r="F348" s="4"/>
      <c r="G348" s="4"/>
      <c r="H348" s="302"/>
      <c r="I348" s="4" t="s">
        <v>89</v>
      </c>
      <c r="P348" s="1682" t="s">
        <v>591</v>
      </c>
      <c r="Q348" s="1365"/>
      <c r="R348" s="1365"/>
      <c r="S348" s="1365"/>
      <c r="T348" s="1365"/>
      <c r="U348" s="1365"/>
      <c r="V348" s="1365"/>
      <c r="W348" s="1365"/>
      <c r="X348" s="1365"/>
      <c r="Y348" s="1365"/>
      <c r="Z348" s="1365"/>
      <c r="AF348" s="302"/>
      <c r="AG348" s="4"/>
      <c r="AH348" s="4"/>
      <c r="AI348" s="35"/>
      <c r="AJ348" s="35"/>
      <c r="AK348" s="35"/>
    </row>
    <row r="349" spans="1:66" ht="12.95" customHeight="1">
      <c r="B349" s="4"/>
      <c r="C349" s="4"/>
      <c r="D349" s="4"/>
      <c r="E349" s="4"/>
      <c r="F349" s="4"/>
      <c r="G349" s="4"/>
      <c r="I349" s="4" t="s">
        <v>76</v>
      </c>
      <c r="P349" s="1435" t="s">
        <v>591</v>
      </c>
      <c r="Q349" s="1390"/>
      <c r="R349" s="1390"/>
      <c r="S349" s="1390"/>
      <c r="T349" s="1390"/>
      <c r="U349" s="1390"/>
      <c r="V349" s="1390"/>
      <c r="W349" s="1390"/>
      <c r="X349" s="1390"/>
      <c r="Y349" s="1390"/>
      <c r="Z349" s="1390"/>
      <c r="AA349" s="1390"/>
      <c r="AB349" s="1390"/>
      <c r="AC349" s="1390"/>
      <c r="AD349" s="1390"/>
      <c r="AE349" s="1390"/>
    </row>
    <row r="350" spans="1:66" ht="12.95" customHeight="1">
      <c r="T350" s="8"/>
      <c r="U350" s="8"/>
      <c r="V350" s="8"/>
      <c r="W350" s="8"/>
      <c r="X350" s="8"/>
      <c r="Y350" s="8"/>
      <c r="Z350" s="8"/>
      <c r="AU350" s="95"/>
      <c r="AV350" s="95"/>
      <c r="AW350" s="95"/>
      <c r="AX350" s="95"/>
      <c r="AY350" s="95"/>
    </row>
    <row r="351" spans="1:66" ht="12.95" customHeight="1">
      <c r="A351" s="1441" t="s">
        <v>542</v>
      </c>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1441"/>
      <c r="AN351" s="1441"/>
      <c r="AO351" s="1441"/>
      <c r="AP351" s="1441"/>
      <c r="AQ351" s="1441"/>
      <c r="AR351" s="1441"/>
      <c r="AS351" s="1441"/>
      <c r="AT351" s="1441"/>
      <c r="AU351" s="95"/>
      <c r="AV351" s="95"/>
      <c r="AW351" s="95"/>
      <c r="AX351" s="95"/>
      <c r="AY351" s="95"/>
    </row>
    <row r="352" spans="1:66" ht="12.95" customHeight="1">
      <c r="A352" s="1441"/>
      <c r="B352" s="1441"/>
      <c r="C352" s="1441"/>
      <c r="D352" s="1441"/>
      <c r="E352" s="1441"/>
      <c r="F352" s="1441"/>
      <c r="G352" s="1441"/>
      <c r="H352" s="1441"/>
      <c r="I352" s="1441"/>
      <c r="J352" s="1441"/>
      <c r="K352" s="1441"/>
      <c r="L352" s="1441"/>
      <c r="M352" s="1441"/>
      <c r="N352" s="1441"/>
      <c r="O352" s="1441"/>
      <c r="P352" s="1441"/>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c r="AL352" s="1441"/>
      <c r="AM352" s="1441"/>
      <c r="AN352" s="1441"/>
      <c r="AO352" s="1441"/>
      <c r="AP352" s="1441"/>
      <c r="AQ352" s="1441"/>
      <c r="AR352" s="1441"/>
      <c r="AS352" s="1441"/>
      <c r="AT352" s="14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2097</v>
      </c>
      <c r="M355" s="1351" t="s">
        <v>591</v>
      </c>
      <c r="N355" s="1351"/>
      <c r="P355" t="s">
        <v>1649</v>
      </c>
      <c r="AJ355" s="1351" t="s">
        <v>669</v>
      </c>
      <c r="AK355" s="1351"/>
    </row>
    <row r="356" spans="1:46" ht="12.95" customHeight="1">
      <c r="D356" s="3" t="s">
        <v>1638</v>
      </c>
      <c r="M356" s="1351" t="s">
        <v>591</v>
      </c>
      <c r="N356" s="1351"/>
      <c r="P356" s="3" t="s">
        <v>1718</v>
      </c>
      <c r="AJ356" s="1467"/>
      <c r="AK356" s="1467"/>
    </row>
    <row r="357" spans="1:46" ht="12.95" customHeight="1">
      <c r="D357" s="3" t="s">
        <v>704</v>
      </c>
      <c r="M357" s="1351" t="s">
        <v>591</v>
      </c>
      <c r="N357" s="1351"/>
      <c r="P357" t="s">
        <v>1648</v>
      </c>
      <c r="AJ357" s="1351" t="s">
        <v>545</v>
      </c>
      <c r="AK357" s="1351"/>
    </row>
    <row r="358" spans="1:46" ht="12.95" customHeight="1">
      <c r="D358" s="3" t="s">
        <v>705</v>
      </c>
      <c r="M358" s="1351" t="s">
        <v>545</v>
      </c>
      <c r="N358" s="135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51" t="s">
        <v>545</v>
      </c>
      <c r="O363" s="1351"/>
      <c r="P363" s="40"/>
      <c r="Q363" s="40"/>
      <c r="R363" s="40"/>
      <c r="S363" s="40"/>
      <c r="T363" s="40"/>
      <c r="U363" s="40"/>
      <c r="V363" s="40"/>
      <c r="W363" s="40"/>
      <c r="X363" s="40"/>
      <c r="Y363" s="40"/>
      <c r="Z363" s="40"/>
      <c r="AC363" s="40"/>
      <c r="AD363" s="40"/>
      <c r="AE363" s="40"/>
    </row>
    <row r="364" spans="1:46" ht="12.95" customHeight="1">
      <c r="E364" t="s">
        <v>370</v>
      </c>
      <c r="Y364" s="1351" t="s">
        <v>591</v>
      </c>
      <c r="Z364" s="1351"/>
    </row>
    <row r="365" spans="1:46" ht="12.95" customHeight="1">
      <c r="D365" s="4" t="s">
        <v>977</v>
      </c>
      <c r="Q365" s="1390" t="s">
        <v>2674</v>
      </c>
      <c r="R365" s="1390"/>
      <c r="S365" s="1390"/>
      <c r="T365" s="1390"/>
      <c r="U365" s="1390"/>
      <c r="V365" s="1390"/>
      <c r="W365" s="1390"/>
      <c r="X365" s="1390"/>
      <c r="Y365" s="1390"/>
      <c r="Z365" s="1390"/>
      <c r="AA365" s="1390"/>
      <c r="AB365" s="1390"/>
      <c r="AC365" s="1390"/>
      <c r="AD365" s="1390"/>
      <c r="AE365" s="1390"/>
      <c r="AF365" s="1390"/>
      <c r="AG365" s="139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51" t="s">
        <v>545</v>
      </c>
      <c r="K367" s="1351"/>
      <c r="L367" s="40"/>
      <c r="M367" s="40"/>
      <c r="N367" s="40"/>
      <c r="O367" s="40"/>
      <c r="P367" s="40"/>
      <c r="Q367" s="40"/>
      <c r="R367" s="40"/>
      <c r="S367" s="40"/>
      <c r="T367" s="40"/>
      <c r="U367" s="40"/>
      <c r="V367" s="40"/>
      <c r="W367" s="40"/>
      <c r="X367" s="40"/>
      <c r="Y367" s="40"/>
      <c r="Z367" s="40"/>
      <c r="AC367" s="40"/>
      <c r="AD367" s="40"/>
      <c r="AE367" s="40"/>
    </row>
    <row r="368" spans="1:46" ht="12.95" customHeight="1">
      <c r="E368" s="1434" t="s">
        <v>706</v>
      </c>
      <c r="F368" s="1434"/>
      <c r="G368" s="1434"/>
      <c r="H368" s="1434"/>
      <c r="I368" s="1434"/>
      <c r="J368" s="1434"/>
      <c r="K368" s="1434"/>
      <c r="L368" s="1434"/>
      <c r="M368" s="1434"/>
      <c r="N368" s="1434"/>
      <c r="O368" s="1434"/>
      <c r="P368" s="1434"/>
      <c r="Q368" s="1434"/>
      <c r="R368" s="1434"/>
      <c r="S368" s="1434"/>
      <c r="T368" s="1434"/>
      <c r="U368" s="1434"/>
      <c r="V368" s="1434"/>
      <c r="W368" s="1434"/>
      <c r="X368" s="1434"/>
      <c r="Y368" s="1434"/>
      <c r="Z368" s="1434"/>
      <c r="AA368" s="1434"/>
      <c r="AB368" s="1434"/>
      <c r="AC368" s="1434"/>
      <c r="AD368" s="1434"/>
      <c r="AE368" s="1434"/>
      <c r="AF368" s="1434"/>
      <c r="AG368" s="1434"/>
      <c r="AH368" s="1434"/>
    </row>
    <row r="369" spans="1:34" ht="12.95" customHeight="1">
      <c r="E369" s="1434"/>
      <c r="F369" s="1434"/>
      <c r="G369" s="1434"/>
      <c r="H369" s="1434"/>
      <c r="I369" s="1434"/>
      <c r="J369" s="1434"/>
      <c r="K369" s="1434"/>
      <c r="L369" s="1434"/>
      <c r="M369" s="1434"/>
      <c r="N369" s="1434"/>
      <c r="O369" s="1434"/>
      <c r="P369" s="1434"/>
      <c r="Q369" s="1434"/>
      <c r="R369" s="1434"/>
      <c r="S369" s="1434"/>
      <c r="T369" s="1434"/>
      <c r="U369" s="1434"/>
      <c r="V369" s="1434"/>
      <c r="W369" s="1434"/>
      <c r="X369" s="1434"/>
      <c r="Y369" s="1434"/>
      <c r="Z369" s="1434"/>
      <c r="AA369" s="1434"/>
      <c r="AB369" s="1434"/>
      <c r="AC369" s="1434"/>
      <c r="AD369" s="1434"/>
      <c r="AE369" s="1434"/>
      <c r="AF369" s="1434"/>
      <c r="AG369" s="1434"/>
      <c r="AH369" s="1434"/>
    </row>
    <row r="370" spans="1:34" ht="12.95" customHeight="1">
      <c r="E370" s="4" t="s">
        <v>448</v>
      </c>
      <c r="F370" s="4"/>
      <c r="G370" s="4"/>
      <c r="H370" s="4"/>
      <c r="I370" s="4"/>
      <c r="J370" s="4"/>
      <c r="K370" s="4"/>
      <c r="L370" s="4"/>
      <c r="N370" s="1773" t="s">
        <v>2675</v>
      </c>
      <c r="O370" s="1677"/>
      <c r="P370" s="1677"/>
      <c r="Q370" s="1677"/>
      <c r="R370" s="4"/>
      <c r="U370" s="4" t="s">
        <v>449</v>
      </c>
      <c r="V370" s="4"/>
      <c r="W370" s="4"/>
      <c r="X370" s="4"/>
      <c r="Y370" s="4"/>
      <c r="Z370" s="4"/>
      <c r="AA370" s="4"/>
      <c r="AB370" s="4"/>
      <c r="AC370" s="1677">
        <v>5</v>
      </c>
      <c r="AD370" s="1677"/>
      <c r="AE370" s="1677"/>
      <c r="AF370" s="1677"/>
    </row>
    <row r="371" spans="1:34" ht="12.95" customHeight="1">
      <c r="E371" s="4" t="s">
        <v>450</v>
      </c>
      <c r="F371" s="4"/>
      <c r="G371" s="4"/>
      <c r="H371" s="4"/>
      <c r="I371" s="4"/>
      <c r="J371" s="4"/>
      <c r="K371" s="4"/>
      <c r="L371" s="4"/>
      <c r="N371" s="1677">
        <v>5</v>
      </c>
      <c r="O371" s="1677"/>
      <c r="P371" s="1677"/>
      <c r="Q371" s="1677"/>
      <c r="R371" s="4"/>
      <c r="U371" s="4" t="s">
        <v>0</v>
      </c>
      <c r="V371" s="4"/>
      <c r="W371" s="4"/>
      <c r="X371" s="4"/>
      <c r="Y371" s="4"/>
      <c r="Z371" s="4"/>
      <c r="AA371" s="4"/>
      <c r="AB371" s="4"/>
      <c r="AC371" s="1677">
        <v>72</v>
      </c>
      <c r="AD371" s="1677"/>
      <c r="AE371" s="1677"/>
      <c r="AF371" s="1677"/>
    </row>
    <row r="372" spans="1:34" ht="12.95" customHeight="1">
      <c r="E372" s="4" t="s">
        <v>1</v>
      </c>
      <c r="F372" s="4"/>
      <c r="G372" s="4"/>
      <c r="H372" s="4"/>
      <c r="I372" s="4"/>
      <c r="J372" s="4"/>
      <c r="K372" s="4"/>
      <c r="L372" s="4"/>
      <c r="N372" s="1773" t="s">
        <v>2676</v>
      </c>
      <c r="O372" s="1677"/>
      <c r="P372" s="1677"/>
      <c r="Q372" s="1677"/>
      <c r="R372" s="4"/>
      <c r="V372" s="4"/>
      <c r="W372" s="4"/>
      <c r="X372" s="4"/>
      <c r="Y372" s="4"/>
      <c r="Z372" s="4"/>
      <c r="AA372" s="4"/>
      <c r="AB372" s="4"/>
    </row>
    <row r="373" spans="1:34" ht="12.95" customHeight="1">
      <c r="E373" s="4" t="s">
        <v>2</v>
      </c>
      <c r="F373" s="4"/>
      <c r="G373" s="4"/>
      <c r="H373" s="4"/>
      <c r="I373" s="4"/>
      <c r="J373" s="4"/>
      <c r="K373" s="4"/>
      <c r="L373" s="4"/>
      <c r="N373" s="1810" t="s">
        <v>2677</v>
      </c>
      <c r="O373" s="1821"/>
      <c r="P373" s="1821"/>
      <c r="Q373" s="1821"/>
      <c r="R373" s="1821"/>
      <c r="S373" s="1821"/>
      <c r="T373" s="1821"/>
      <c r="U373" s="1821"/>
      <c r="V373" s="1821"/>
      <c r="W373" s="1821"/>
      <c r="X373" s="1821"/>
      <c r="Y373" s="1821"/>
      <c r="Z373" s="1821"/>
      <c r="AA373" s="1821"/>
      <c r="AB373" s="1821"/>
      <c r="AC373" s="1821"/>
      <c r="AD373" s="1821"/>
      <c r="AE373" s="1821"/>
      <c r="AF373" s="1821"/>
    </row>
    <row r="374" spans="1:34" ht="12.95" customHeight="1">
      <c r="E374" s="4"/>
      <c r="F374" s="4"/>
      <c r="G374" s="4"/>
      <c r="H374" s="4"/>
      <c r="I374" s="4"/>
      <c r="J374" s="4"/>
      <c r="K374" s="4"/>
      <c r="L374" s="4"/>
      <c r="N374" s="1822"/>
      <c r="O374" s="1822"/>
      <c r="P374" s="1822"/>
      <c r="Q374" s="1822"/>
      <c r="R374" s="1822"/>
      <c r="S374" s="1822"/>
      <c r="T374" s="1822"/>
      <c r="U374" s="1822"/>
      <c r="V374" s="1822"/>
      <c r="W374" s="1822"/>
      <c r="X374" s="1822"/>
      <c r="Y374" s="1822"/>
      <c r="Z374" s="1822"/>
      <c r="AA374" s="1822"/>
      <c r="AB374" s="1822"/>
      <c r="AC374" s="1822"/>
      <c r="AD374" s="1822"/>
      <c r="AE374" s="1822"/>
      <c r="AF374" s="1822"/>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823">
        <v>98</v>
      </c>
      <c r="T377" s="1823"/>
      <c r="U377" s="1" t="s">
        <v>306</v>
      </c>
      <c r="V377" s="1823">
        <v>958</v>
      </c>
      <c r="W377" s="1823"/>
      <c r="Y377" t="s">
        <v>2078</v>
      </c>
      <c r="AC377" s="27" t="s">
        <v>305</v>
      </c>
      <c r="AD377" s="1823"/>
      <c r="AE377" s="1823"/>
      <c r="AF377" s="1" t="s">
        <v>306</v>
      </c>
      <c r="AG377" s="1823"/>
      <c r="AH377" s="1823"/>
    </row>
    <row r="378" spans="1:34" ht="12.95" customHeight="1">
      <c r="E378" s="4" t="s">
        <v>986</v>
      </c>
      <c r="F378" s="4"/>
      <c r="G378" s="4"/>
      <c r="H378" s="4"/>
      <c r="I378" s="4"/>
      <c r="J378" s="4"/>
      <c r="K378" s="4"/>
      <c r="L378" s="4"/>
      <c r="N378" s="1823">
        <v>2000</v>
      </c>
      <c r="O378" s="1823"/>
      <c r="P378" s="1823"/>
    </row>
    <row r="379" spans="1:34" ht="12.95" customHeight="1">
      <c r="E379" s="204" t="s">
        <v>2084</v>
      </c>
      <c r="F379" s="4"/>
      <c r="G379" s="4"/>
      <c r="H379" s="4"/>
      <c r="I379" s="4"/>
      <c r="J379" s="4"/>
      <c r="K379" s="4"/>
      <c r="L379" s="4"/>
      <c r="AG379" s="1812" t="s">
        <v>591</v>
      </c>
      <c r="AH379" s="1812"/>
    </row>
    <row r="380" spans="1:34" ht="12.95" customHeight="1">
      <c r="E380" s="4"/>
      <c r="F380" s="4"/>
      <c r="G380" s="4" t="s">
        <v>2085</v>
      </c>
      <c r="H380" s="4"/>
      <c r="I380" s="4"/>
      <c r="J380" s="4"/>
      <c r="K380" s="4"/>
      <c r="L380" s="4"/>
      <c r="AG380" s="1812" t="s">
        <v>545</v>
      </c>
      <c r="AH380" s="1812"/>
    </row>
    <row r="381" spans="1:34" ht="12.95" customHeight="1">
      <c r="E381" s="4"/>
      <c r="F381" s="4"/>
      <c r="G381" s="320" t="s">
        <v>987</v>
      </c>
      <c r="H381" s="4"/>
      <c r="I381" s="4"/>
      <c r="J381" s="4"/>
      <c r="K381" s="4"/>
      <c r="L381" s="4"/>
      <c r="V381" s="1351" t="s">
        <v>545</v>
      </c>
      <c r="W381" s="1351"/>
      <c r="Y381" s="22" t="s">
        <v>979</v>
      </c>
    </row>
    <row r="382" spans="1:34" ht="12.95" customHeight="1">
      <c r="E382" s="4" t="s">
        <v>980</v>
      </c>
      <c r="F382" s="4"/>
      <c r="G382" s="4"/>
      <c r="H382" s="4"/>
      <c r="I382" s="4"/>
      <c r="J382" s="4"/>
      <c r="K382" s="4"/>
      <c r="L382" s="4"/>
      <c r="V382" s="1351" t="s">
        <v>669</v>
      </c>
      <c r="W382" s="1351"/>
      <c r="Y382" s="4" t="s">
        <v>981</v>
      </c>
    </row>
    <row r="383" spans="1:34" ht="12.95" customHeight="1"/>
    <row r="384" spans="1:34" ht="12.95" customHeight="1">
      <c r="A384" s="2" t="s">
        <v>78</v>
      </c>
      <c r="B384" s="2"/>
    </row>
    <row r="385" spans="4:36" ht="12.95" customHeight="1">
      <c r="D385" t="s">
        <v>428</v>
      </c>
      <c r="J385" s="1435" t="s">
        <v>2678</v>
      </c>
      <c r="K385" s="1390"/>
      <c r="L385" s="1390"/>
      <c r="M385" s="1390"/>
      <c r="N385" s="1390"/>
      <c r="O385" s="1390"/>
      <c r="P385" s="1390"/>
      <c r="Q385" s="1390"/>
      <c r="R385" s="1390"/>
      <c r="S385" s="1390"/>
      <c r="T385" s="1390"/>
      <c r="U385" s="1390"/>
      <c r="V385" s="8" t="s">
        <v>83</v>
      </c>
      <c r="W385" s="8"/>
      <c r="X385" s="8"/>
      <c r="Y385" s="8"/>
      <c r="Z385" s="8"/>
      <c r="AA385" s="8"/>
      <c r="AB385" s="8"/>
      <c r="AC385" s="1435" t="s">
        <v>2613</v>
      </c>
      <c r="AD385" s="1390"/>
      <c r="AE385" s="1390"/>
      <c r="AF385" s="1390"/>
      <c r="AG385" s="1390"/>
      <c r="AH385" s="1390"/>
      <c r="AI385" s="1390"/>
      <c r="AJ385" s="1390"/>
    </row>
    <row r="386" spans="4:36" ht="12.95" customHeight="1">
      <c r="D386" s="3" t="s">
        <v>1181</v>
      </c>
      <c r="J386" s="1560" t="s">
        <v>2613</v>
      </c>
      <c r="K386" s="1367"/>
      <c r="L386" s="1367"/>
      <c r="M386" s="1367"/>
      <c r="N386" s="1367"/>
      <c r="O386" s="1367"/>
      <c r="P386" s="1367"/>
      <c r="Q386" s="1367"/>
      <c r="R386" s="1367"/>
      <c r="S386" s="1367"/>
      <c r="T386" s="1367"/>
      <c r="U386" s="1367"/>
      <c r="V386" s="3" t="s">
        <v>1181</v>
      </c>
      <c r="W386" s="8"/>
      <c r="X386" s="8"/>
      <c r="Y386" s="8"/>
      <c r="Z386" s="8"/>
      <c r="AA386" s="8"/>
      <c r="AB386" s="8"/>
      <c r="AC386" s="1390"/>
      <c r="AD386" s="1390"/>
      <c r="AE386" s="1390"/>
      <c r="AF386" s="1390"/>
      <c r="AG386" s="1390"/>
      <c r="AH386" s="1390"/>
      <c r="AI386" s="1390"/>
      <c r="AJ386" s="1390"/>
    </row>
    <row r="387" spans="4:36" ht="12.95" customHeight="1">
      <c r="D387" s="3" t="s">
        <v>441</v>
      </c>
      <c r="J387" s="1560" t="s">
        <v>2618</v>
      </c>
      <c r="K387" s="1367"/>
      <c r="L387" s="1367"/>
      <c r="M387" s="1367"/>
      <c r="N387" s="1367"/>
      <c r="O387" s="1367"/>
      <c r="P387" s="1367"/>
      <c r="Q387" s="1367"/>
      <c r="R387" s="1367"/>
      <c r="S387" s="1367"/>
      <c r="T387" s="1367"/>
      <c r="U387" s="1367"/>
      <c r="V387" s="3" t="s">
        <v>441</v>
      </c>
      <c r="W387" s="8"/>
      <c r="X387" s="8"/>
      <c r="Y387" s="8"/>
      <c r="Z387" s="8"/>
      <c r="AA387" s="8"/>
      <c r="AB387" s="8"/>
      <c r="AC387" s="1390"/>
      <c r="AD387" s="1390"/>
      <c r="AE387" s="1390"/>
      <c r="AF387" s="1390"/>
      <c r="AG387" s="1390"/>
      <c r="AH387" s="1390"/>
      <c r="AI387" s="1390"/>
      <c r="AJ387" s="1390"/>
    </row>
    <row r="388" spans="4:36" ht="12.95" customHeight="1">
      <c r="D388" t="s">
        <v>1177</v>
      </c>
      <c r="J388" s="1834" t="s">
        <v>2679</v>
      </c>
      <c r="K388" s="1421"/>
      <c r="L388" s="1421"/>
      <c r="M388" s="1421"/>
      <c r="N388" s="1421"/>
      <c r="O388" s="1421"/>
      <c r="P388" s="1421"/>
      <c r="Q388" s="1421"/>
      <c r="R388" s="1421"/>
      <c r="S388" s="1421"/>
      <c r="T388" s="1421"/>
      <c r="U388" s="1421"/>
      <c r="V388" s="1390"/>
      <c r="W388" s="1390"/>
      <c r="X388" s="1390"/>
      <c r="Y388" s="1390"/>
      <c r="Z388" s="1390"/>
      <c r="AA388" s="1390"/>
      <c r="AB388" s="1390"/>
      <c r="AC388" s="1390"/>
      <c r="AD388" s="1390"/>
      <c r="AE388" s="1390"/>
      <c r="AF388" s="1390"/>
      <c r="AG388" s="1390"/>
      <c r="AH388" s="1390"/>
      <c r="AI388" s="1390"/>
      <c r="AJ388" s="1390"/>
    </row>
    <row r="389" spans="4:36" ht="12.95" customHeight="1">
      <c r="D389" t="s">
        <v>4</v>
      </c>
      <c r="Q389" s="1754">
        <v>45901</v>
      </c>
      <c r="R389" s="1755"/>
      <c r="S389" s="1755"/>
      <c r="T389" s="1755"/>
      <c r="U389" s="1755"/>
      <c r="V389" t="s">
        <v>309</v>
      </c>
      <c r="AI389" s="1351" t="s">
        <v>545</v>
      </c>
      <c r="AJ389" s="1351"/>
    </row>
    <row r="390" spans="4:36" ht="12.95" customHeight="1">
      <c r="D390" t="s">
        <v>5</v>
      </c>
      <c r="Q390" s="1754">
        <v>46752</v>
      </c>
      <c r="R390" s="1828"/>
      <c r="S390" s="1828"/>
      <c r="T390" s="1828"/>
      <c r="U390" s="1828"/>
      <c r="W390" s="21" t="s">
        <v>74</v>
      </c>
      <c r="AG390" s="1826">
        <v>0</v>
      </c>
      <c r="AH390" s="1826"/>
      <c r="AI390" s="1826"/>
      <c r="AJ390" s="1826"/>
    </row>
    <row r="391" spans="4:36" ht="12.95" customHeight="1">
      <c r="D391" t="s">
        <v>427</v>
      </c>
      <c r="Q391" s="1545">
        <v>21000000</v>
      </c>
      <c r="R391" s="1837"/>
      <c r="S391" s="1837"/>
      <c r="T391" s="1837"/>
      <c r="U391" s="1837"/>
      <c r="V391" s="3" t="s">
        <v>1180</v>
      </c>
      <c r="AG391" s="1827">
        <v>46143</v>
      </c>
      <c r="AH391" s="1827"/>
      <c r="AI391" s="1827"/>
      <c r="AJ391" s="1827"/>
    </row>
    <row r="392" spans="4:36" ht="12.95" customHeight="1">
      <c r="D392" t="s">
        <v>88</v>
      </c>
      <c r="I392" s="1442" t="s">
        <v>2614</v>
      </c>
      <c r="J392" s="1443"/>
      <c r="K392" s="1443"/>
      <c r="L392" s="1443"/>
      <c r="M392" s="1443"/>
      <c r="N392" s="1443"/>
      <c r="Q392" s="4" t="s">
        <v>206</v>
      </c>
      <c r="S392" s="1836"/>
      <c r="T392" s="1836"/>
      <c r="U392" s="1836"/>
      <c r="V392" t="s">
        <v>73</v>
      </c>
      <c r="AI392" s="1351" t="s">
        <v>669</v>
      </c>
      <c r="AJ392" s="1351"/>
    </row>
    <row r="393" spans="4:36" ht="12.95" customHeight="1">
      <c r="D393" t="s">
        <v>310</v>
      </c>
      <c r="Q393" s="1427">
        <v>107797</v>
      </c>
      <c r="R393" s="1427"/>
      <c r="S393" s="1427"/>
      <c r="T393" s="1427"/>
      <c r="U393" s="1427"/>
      <c r="V393" t="s">
        <v>311</v>
      </c>
      <c r="AG393" s="1826">
        <v>107797</v>
      </c>
      <c r="AH393" s="1826"/>
      <c r="AI393" s="1826"/>
      <c r="AJ393" s="1826"/>
    </row>
    <row r="394" spans="4:36" ht="12.95" customHeight="1">
      <c r="D394" t="s">
        <v>312</v>
      </c>
      <c r="Q394" s="1759"/>
      <c r="R394" s="1759"/>
      <c r="S394" s="1759"/>
      <c r="T394" s="1759"/>
      <c r="U394" s="1759"/>
      <c r="V394" t="s">
        <v>1162</v>
      </c>
      <c r="AG394" s="1826">
        <v>0</v>
      </c>
      <c r="AH394" s="1826"/>
      <c r="AI394" s="1826"/>
      <c r="AJ394" s="1826"/>
    </row>
    <row r="395" spans="4:36" ht="12.95" customHeight="1">
      <c r="D395" t="s">
        <v>1161</v>
      </c>
      <c r="AG395" s="1826">
        <v>0</v>
      </c>
      <c r="AH395" s="1826"/>
      <c r="AI395" s="1826"/>
      <c r="AJ395" s="1826"/>
    </row>
    <row r="396" spans="4:36" ht="12.95" customHeight="1">
      <c r="AG396" s="456"/>
      <c r="AH396" s="456"/>
      <c r="AI396" s="456"/>
      <c r="AJ396" s="456"/>
    </row>
    <row r="397" spans="4:36" ht="12.95" customHeight="1">
      <c r="D397" s="3" t="s">
        <v>2141</v>
      </c>
      <c r="AG397" s="456"/>
      <c r="AH397" s="456"/>
      <c r="AI397" s="1351" t="s">
        <v>669</v>
      </c>
      <c r="AJ397" s="1351"/>
    </row>
    <row r="398" spans="4:36" ht="12.95" customHeight="1">
      <c r="D398" s="3" t="s">
        <v>1666</v>
      </c>
      <c r="T398" s="1752" t="s">
        <v>591</v>
      </c>
      <c r="U398" s="1753"/>
      <c r="V398" s="1753"/>
      <c r="W398" s="1753"/>
      <c r="X398" s="1753"/>
      <c r="Y398" s="1753"/>
      <c r="Z398" s="1753"/>
      <c r="AA398" s="1753"/>
      <c r="AB398" s="1753"/>
      <c r="AC398" s="1753"/>
      <c r="AD398" s="1753"/>
      <c r="AE398" s="1753"/>
      <c r="AF398" s="1753"/>
      <c r="AG398" s="1753"/>
      <c r="AH398" s="1753"/>
      <c r="AI398" s="1753"/>
      <c r="AJ398" s="1753"/>
    </row>
    <row r="399" spans="4:36" ht="12.95" customHeight="1">
      <c r="D399" s="3" t="s">
        <v>1665</v>
      </c>
      <c r="T399" s="1753"/>
      <c r="U399" s="1753"/>
      <c r="V399" s="1753"/>
      <c r="W399" s="1753"/>
      <c r="X399" s="1753"/>
      <c r="Y399" s="1753"/>
      <c r="Z399" s="1753"/>
      <c r="AA399" s="1753"/>
      <c r="AB399" s="1753"/>
      <c r="AC399" s="1753"/>
      <c r="AD399" s="1753"/>
      <c r="AE399" s="1753"/>
      <c r="AF399" s="1753"/>
      <c r="AG399" s="1753"/>
      <c r="AH399" s="1753"/>
      <c r="AI399" s="1753"/>
      <c r="AJ399" s="1753"/>
    </row>
    <row r="400" spans="4:36" ht="12.95" customHeight="1">
      <c r="AG400" s="456"/>
      <c r="AH400" s="456"/>
      <c r="AI400" s="456"/>
      <c r="AJ400" s="456"/>
    </row>
    <row r="401" spans="1:36" ht="12.95" customHeight="1">
      <c r="D401" s="3" t="s">
        <v>1659</v>
      </c>
      <c r="S401" s="1753" t="s">
        <v>669</v>
      </c>
      <c r="T401" s="1753"/>
      <c r="U401" s="1753"/>
      <c r="V401" t="s">
        <v>1660</v>
      </c>
      <c r="AG401" s="1829"/>
      <c r="AH401" s="1829"/>
      <c r="AI401" s="1829"/>
      <c r="AJ401" s="1829"/>
    </row>
    <row r="402" spans="1:36" ht="12.95" customHeight="1">
      <c r="D402" s="3" t="s">
        <v>1657</v>
      </c>
      <c r="S402" s="1753" t="s">
        <v>591</v>
      </c>
      <c r="T402" s="1753"/>
      <c r="U402" s="1753"/>
      <c r="V402" t="s">
        <v>1662</v>
      </c>
      <c r="AE402" s="1825"/>
      <c r="AF402" s="1825"/>
      <c r="AG402" s="1825"/>
      <c r="AH402" s="1825"/>
      <c r="AI402" s="1825"/>
      <c r="AJ402" s="1825"/>
    </row>
    <row r="403" spans="1:36" ht="12.95" customHeight="1">
      <c r="D403" s="3" t="s">
        <v>1658</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5" customHeight="1">
      <c r="D404" s="3" t="s">
        <v>1661</v>
      </c>
      <c r="K404" s="1804"/>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5" customHeight="1">
      <c r="D405" s="3" t="s">
        <v>1664</v>
      </c>
      <c r="E405" s="477"/>
      <c r="F405" s="477"/>
      <c r="G405" s="477"/>
      <c r="H405" s="477"/>
      <c r="I405" s="477"/>
      <c r="J405" s="477"/>
      <c r="K405" s="477"/>
      <c r="L405" s="477"/>
      <c r="M405" s="477"/>
      <c r="N405" s="477"/>
      <c r="O405" s="477"/>
      <c r="P405" s="477"/>
      <c r="Q405" s="477"/>
      <c r="R405" s="477"/>
      <c r="S405" s="1835" t="s">
        <v>2680</v>
      </c>
      <c r="T405" s="1835"/>
      <c r="U405" s="1835"/>
      <c r="V405" s="1835"/>
      <c r="W405" s="1835"/>
      <c r="X405" s="1835"/>
      <c r="Y405" s="1835"/>
      <c r="Z405" s="1835"/>
      <c r="AA405" s="1835"/>
      <c r="AB405" s="1835"/>
      <c r="AC405" s="1835"/>
      <c r="AD405" s="1835"/>
      <c r="AE405" s="1835"/>
      <c r="AF405" s="1835"/>
      <c r="AG405" s="1835"/>
      <c r="AH405" s="1835"/>
      <c r="AI405" s="1835"/>
      <c r="AJ405" s="1835"/>
    </row>
    <row r="406" spans="1:36" ht="12.95"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35" t="s">
        <v>2681</v>
      </c>
      <c r="J410" s="1435"/>
      <c r="K410" s="1435"/>
      <c r="L410" s="1435"/>
      <c r="M410" s="1435"/>
      <c r="N410" s="1435"/>
      <c r="O410" s="1435"/>
      <c r="P410" s="1435"/>
      <c r="Q410" s="1435"/>
      <c r="R410" s="1435"/>
      <c r="S410" s="1435"/>
      <c r="T410" s="1435"/>
      <c r="U410" s="1435"/>
      <c r="V410" s="1435"/>
      <c r="W410" s="1435"/>
      <c r="X410" s="1435"/>
      <c r="Y410" s="1435"/>
      <c r="Z410" s="1435"/>
      <c r="AA410" s="1435"/>
      <c r="AB410" s="1435"/>
      <c r="AC410" s="1435"/>
      <c r="AD410" s="1435"/>
      <c r="AE410" s="1435"/>
    </row>
    <row r="411" spans="1:36" ht="12.95" customHeight="1">
      <c r="E411" t="s">
        <v>106</v>
      </c>
      <c r="R411" s="1351" t="s">
        <v>591</v>
      </c>
      <c r="S411" s="1351"/>
      <c r="AC411" s="27" t="s">
        <v>570</v>
      </c>
      <c r="AD411" s="1677"/>
      <c r="AE411" s="1677"/>
    </row>
    <row r="412" spans="1:36" ht="12.95" customHeight="1">
      <c r="E412" t="s">
        <v>107</v>
      </c>
      <c r="R412" s="1351" t="s">
        <v>545</v>
      </c>
      <c r="S412" s="1351"/>
      <c r="AC412" s="27" t="s">
        <v>570</v>
      </c>
      <c r="AD412" s="1677">
        <v>3</v>
      </c>
      <c r="AE412" s="1677"/>
    </row>
    <row r="413" spans="1:36" ht="12.95" customHeight="1">
      <c r="E413" t="s">
        <v>108</v>
      </c>
      <c r="S413" s="1351" t="s">
        <v>591</v>
      </c>
      <c r="T413" s="1351"/>
    </row>
    <row r="414" spans="1:36" ht="12.95" customHeight="1">
      <c r="E414" t="s">
        <v>170</v>
      </c>
      <c r="H414" s="1760" t="s">
        <v>2682</v>
      </c>
      <c r="I414" s="1760"/>
      <c r="J414" s="1760"/>
      <c r="K414" s="1760"/>
      <c r="L414" s="1760"/>
      <c r="M414" s="1760"/>
      <c r="N414" s="1760"/>
      <c r="O414" s="1760"/>
      <c r="P414" s="1760"/>
      <c r="Q414" s="1760"/>
      <c r="R414" s="1760"/>
      <c r="S414" s="1760"/>
      <c r="T414" s="1760"/>
      <c r="U414" s="1760"/>
      <c r="V414" s="1760"/>
      <c r="W414" s="1760"/>
      <c r="X414" s="1760"/>
      <c r="Y414" s="1760"/>
      <c r="Z414" s="1760"/>
      <c r="AA414" s="1760"/>
      <c r="AB414" s="1760"/>
      <c r="AC414" s="1760"/>
      <c r="AD414" s="1760"/>
      <c r="AE414" s="1760"/>
    </row>
    <row r="415" spans="1:36" ht="12.95" customHeight="1">
      <c r="H415" s="1761"/>
      <c r="I415" s="1761"/>
      <c r="J415" s="1761"/>
      <c r="K415" s="1761"/>
      <c r="L415" s="1761"/>
      <c r="M415" s="1761"/>
      <c r="N415" s="1761"/>
      <c r="O415" s="1761"/>
      <c r="P415" s="1761"/>
      <c r="Q415" s="1761"/>
      <c r="R415" s="1761"/>
      <c r="S415" s="1761"/>
      <c r="T415" s="1761"/>
      <c r="U415" s="1761"/>
      <c r="V415" s="1761"/>
      <c r="W415" s="1761"/>
      <c r="X415" s="1761"/>
      <c r="Y415" s="1761"/>
      <c r="Z415" s="1761"/>
      <c r="AA415" s="1761"/>
      <c r="AB415" s="1761"/>
      <c r="AC415" s="1761"/>
      <c r="AD415" s="1761"/>
      <c r="AE415" s="1761"/>
    </row>
    <row r="416" spans="1:36" ht="12.95" customHeight="1"/>
    <row r="417" spans="1:39" ht="12.95" customHeight="1">
      <c r="A417" s="2" t="s">
        <v>590</v>
      </c>
      <c r="B417" s="2"/>
      <c r="C417" s="2"/>
      <c r="D417" s="2" t="s">
        <v>114</v>
      </c>
      <c r="AF417" s="2" t="s">
        <v>956</v>
      </c>
    </row>
    <row r="418" spans="1:39" ht="12.95" customHeight="1">
      <c r="E418" s="1823"/>
      <c r="F418" s="1823"/>
      <c r="G418" s="1823"/>
      <c r="H418" s="13" t="s">
        <v>115</v>
      </c>
      <c r="I418" s="1823"/>
      <c r="J418" s="1823"/>
      <c r="K418" s="1823"/>
      <c r="L418" t="s">
        <v>116</v>
      </c>
      <c r="N418" s="27" t="s">
        <v>575</v>
      </c>
      <c r="P418" s="1830">
        <v>3.66</v>
      </c>
      <c r="Q418" s="1830"/>
      <c r="R418" s="1830"/>
      <c r="S418" t="s">
        <v>117</v>
      </c>
      <c r="W418" s="1764">
        <f>IF(E418&gt;0,(E418*I418),(P418*43560))</f>
        <v>159429.6</v>
      </c>
      <c r="X418" s="1764"/>
      <c r="Y418" s="1764"/>
      <c r="Z418" t="s">
        <v>118</v>
      </c>
      <c r="AF418" s="1831">
        <f>IFERROR(IF(P418&gt;0,(AG437/P418),(AG437/(W418/43560))),0)</f>
        <v>19.672131147540984</v>
      </c>
      <c r="AG418" s="1831"/>
      <c r="AH418" s="1831"/>
      <c r="AM418" s="3"/>
    </row>
    <row r="419" spans="1:39" ht="12.95" customHeight="1">
      <c r="E419" t="s">
        <v>51</v>
      </c>
    </row>
    <row r="420" spans="1:39" ht="12.95" customHeight="1">
      <c r="E420" s="1832"/>
      <c r="F420" s="1832"/>
      <c r="G420" s="1832"/>
      <c r="H420" s="1832"/>
      <c r="I420" s="1832"/>
      <c r="J420" s="1832"/>
      <c r="K420" s="1832"/>
      <c r="L420" s="1832"/>
      <c r="M420" s="1832"/>
      <c r="N420" s="1832"/>
      <c r="O420" s="1832"/>
      <c r="P420" s="1832"/>
      <c r="Q420" s="1832"/>
      <c r="R420" s="1832"/>
      <c r="S420" s="1832"/>
      <c r="T420" s="1832"/>
      <c r="U420" s="1832"/>
      <c r="V420" s="1832"/>
      <c r="W420" s="1832"/>
      <c r="X420" s="1832"/>
      <c r="Y420" s="1832"/>
      <c r="Z420" s="1832"/>
      <c r="AA420" s="1832"/>
      <c r="AB420" s="1832"/>
      <c r="AC420" s="1832"/>
      <c r="AD420" s="1832"/>
      <c r="AE420" s="1832"/>
      <c r="AF420" s="1832"/>
      <c r="AG420" s="1832"/>
      <c r="AH420" s="1832"/>
      <c r="AI420" s="1832"/>
      <c r="AJ420" s="1832"/>
    </row>
    <row r="421" spans="1:39" ht="12.95" customHeight="1">
      <c r="E421" s="118" t="s">
        <v>1735</v>
      </c>
      <c r="F421" s="1013"/>
      <c r="G421" s="1013"/>
      <c r="H421" s="1013"/>
      <c r="I421" s="1762">
        <v>3.66</v>
      </c>
      <c r="J421" s="1762"/>
      <c r="K421" s="1762"/>
      <c r="L421" s="1013"/>
      <c r="M421" s="118"/>
      <c r="N421" s="1013"/>
      <c r="O421" s="1013"/>
      <c r="P421" s="1461">
        <f>(DU755+DU778+DU800)/I421</f>
        <v>48.087431693989068</v>
      </c>
      <c r="Q421" s="1461"/>
      <c r="R421" s="1461"/>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51">
        <v>6</v>
      </c>
      <c r="Q424" s="1351"/>
      <c r="S424" t="s">
        <v>189</v>
      </c>
      <c r="AE424" s="1351">
        <v>5</v>
      </c>
      <c r="AF424" s="1351"/>
    </row>
    <row r="425" spans="1:39" ht="12.95" customHeight="1">
      <c r="E425" t="s">
        <v>190</v>
      </c>
      <c r="P425" s="1351">
        <v>1</v>
      </c>
      <c r="Q425" s="1351"/>
      <c r="S425" t="s">
        <v>131</v>
      </c>
      <c r="AE425" s="1351" t="s">
        <v>591</v>
      </c>
      <c r="AF425" s="1351"/>
    </row>
    <row r="426" spans="1:39" ht="12.95" customHeight="1">
      <c r="F426" s="28" t="s">
        <v>132</v>
      </c>
    </row>
    <row r="427" spans="1:39" ht="12.95" customHeight="1">
      <c r="F427" s="1811"/>
      <c r="G427" s="1811"/>
      <c r="H427" s="1811"/>
      <c r="I427" s="1811"/>
      <c r="J427" s="1811"/>
      <c r="K427" s="1811"/>
      <c r="L427" s="1811"/>
      <c r="M427" s="1811"/>
      <c r="N427" s="1811"/>
      <c r="O427" s="1811"/>
      <c r="P427" s="1811"/>
      <c r="Q427" s="1811"/>
      <c r="R427" s="1811"/>
      <c r="S427" s="1811"/>
      <c r="T427" s="1811"/>
      <c r="U427" s="1811"/>
      <c r="V427" s="1811"/>
      <c r="W427" s="1811"/>
      <c r="X427" s="1811"/>
      <c r="Y427" s="1811"/>
      <c r="Z427" s="1811"/>
      <c r="AA427" s="1811"/>
      <c r="AB427" s="1811"/>
      <c r="AC427" s="1811"/>
      <c r="AD427" s="1811"/>
      <c r="AE427" s="1811"/>
      <c r="AF427" s="1811"/>
      <c r="AG427" s="1811"/>
      <c r="AH427" s="1811"/>
    </row>
    <row r="428" spans="1:39" ht="12.9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2.95" customHeight="1">
      <c r="E429" t="s">
        <v>608</v>
      </c>
      <c r="P429" s="1"/>
      <c r="Q429" s="1351" t="s">
        <v>545</v>
      </c>
      <c r="R429" s="1351"/>
    </row>
    <row r="430" spans="1:39" ht="12.95" customHeight="1">
      <c r="F430" t="s">
        <v>609</v>
      </c>
      <c r="P430" s="1"/>
      <c r="Q430" s="1"/>
      <c r="AF430" s="1351" t="s">
        <v>591</v>
      </c>
      <c r="AG430" s="1833"/>
    </row>
    <row r="431" spans="1:39" ht="12.95" customHeight="1"/>
    <row r="432" spans="1:39" ht="12.95" customHeight="1">
      <c r="A432" s="2"/>
      <c r="B432" s="2"/>
      <c r="C432" s="2"/>
      <c r="E432" s="4" t="s">
        <v>308</v>
      </c>
      <c r="Z432" s="1351" t="s">
        <v>669</v>
      </c>
      <c r="AA432" s="135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51" t="s">
        <v>591</v>
      </c>
      <c r="AA434" s="1351"/>
    </row>
    <row r="435" spans="1:55" ht="12.95" customHeight="1"/>
    <row r="436" spans="1:55" ht="12.95" customHeight="1">
      <c r="A436" s="2" t="s">
        <v>467</v>
      </c>
      <c r="B436" s="2"/>
      <c r="C436" s="2"/>
      <c r="D436" s="2" t="s">
        <v>764</v>
      </c>
      <c r="AF436" s="48"/>
    </row>
    <row r="437" spans="1:55" ht="12.95" customHeight="1">
      <c r="D437" s="1639" t="s">
        <v>43</v>
      </c>
      <c r="E437" s="1640"/>
      <c r="F437" s="1640"/>
      <c r="G437" s="1640"/>
      <c r="H437" s="1640"/>
      <c r="I437" s="1640"/>
      <c r="J437" s="1640"/>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813"/>
      <c r="AG437" s="1765">
        <v>72</v>
      </c>
      <c r="AH437" s="1765"/>
      <c r="AI437" s="1765"/>
      <c r="AJ437" s="1765"/>
    </row>
    <row r="438" spans="1:55" ht="12.95" customHeight="1">
      <c r="D438" s="1745" t="s">
        <v>1221</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4">
        <v>0</v>
      </c>
      <c r="AH438" s="1627"/>
      <c r="AI438" s="1627"/>
      <c r="AJ438" s="1627"/>
    </row>
    <row r="439" spans="1:55" ht="12.95" customHeight="1">
      <c r="D439" s="1745" t="s">
        <v>1030</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765">
        <v>71</v>
      </c>
      <c r="AH439" s="1765"/>
      <c r="AI439" s="1765"/>
      <c r="AJ439" s="1765"/>
    </row>
    <row r="440" spans="1:55" ht="12.95" customHeight="1">
      <c r="D440" s="1745" t="s">
        <v>1031</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765">
        <v>71</v>
      </c>
      <c r="AH440" s="1765"/>
      <c r="AI440" s="1765"/>
      <c r="AJ440" s="1765"/>
    </row>
    <row r="441" spans="1:55" ht="12.95" customHeight="1">
      <c r="D441" s="1745" t="s">
        <v>1033</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766">
        <f>IF(ISERROR(AG440/AG439),0,AG440/AG439)</f>
        <v>1</v>
      </c>
      <c r="AH441" s="1766"/>
      <c r="AI441" s="1766"/>
      <c r="AJ441" s="1766"/>
    </row>
    <row r="442" spans="1:55" ht="12.95" customHeight="1">
      <c r="D442" s="1745" t="s">
        <v>1032</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707">
        <v>71972</v>
      </c>
      <c r="AH442" s="1707"/>
      <c r="AI442" s="1707"/>
      <c r="AJ442" s="1707"/>
    </row>
    <row r="443" spans="1:55" ht="12.95" customHeight="1">
      <c r="D443" s="1745" t="s">
        <v>1034</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707">
        <v>71972</v>
      </c>
      <c r="AH443" s="1707"/>
      <c r="AI443" s="1707"/>
      <c r="AJ443" s="1707"/>
    </row>
    <row r="444" spans="1:55" ht="12.95" customHeight="1">
      <c r="D444" s="1745" t="s">
        <v>1035</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766">
        <f>IF(ISERROR(AG443/AG442),0,AG443/AG442)</f>
        <v>1</v>
      </c>
      <c r="AH444" s="1766"/>
      <c r="AI444" s="1766"/>
      <c r="AJ444" s="1766"/>
    </row>
    <row r="445" spans="1:55" ht="12.95" customHeight="1">
      <c r="D445" s="1745" t="s">
        <v>1036</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766">
        <f>MIN(IF(AG441&gt;AG444,AG444,AG441),1)</f>
        <v>1</v>
      </c>
      <c r="AH445" s="1766"/>
      <c r="AI445" s="1766"/>
      <c r="AJ445" s="1766"/>
    </row>
    <row r="446" spans="1:55" ht="12.95" customHeight="1">
      <c r="D446" s="1745" t="s">
        <v>2086</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13"/>
      <c r="AG446" s="1707">
        <v>2484</v>
      </c>
      <c r="AH446" s="1707"/>
      <c r="AI446" s="1707"/>
      <c r="AJ446" s="1707"/>
      <c r="AZ446" s="34"/>
      <c r="BA446" s="34"/>
      <c r="BB446" s="34"/>
      <c r="BC446" s="34"/>
    </row>
    <row r="447" spans="1:55" ht="12.95" customHeight="1">
      <c r="D447" s="1639" t="s">
        <v>569</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13"/>
      <c r="AG447" s="1707">
        <v>0</v>
      </c>
      <c r="AH447" s="1707"/>
      <c r="AI447" s="1707"/>
      <c r="AJ447" s="1707"/>
      <c r="AZ447" s="3"/>
      <c r="BA447" s="3"/>
      <c r="BB447" s="3"/>
      <c r="BC447" s="3"/>
    </row>
    <row r="448" spans="1:55" ht="12.95" customHeight="1">
      <c r="D448" s="1745" t="s">
        <v>1204</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13"/>
      <c r="AG448" s="1707">
        <v>8297</v>
      </c>
      <c r="AH448" s="1707"/>
      <c r="AI448" s="1707"/>
      <c r="AJ448" s="1707"/>
      <c r="AZ448" s="3"/>
      <c r="BA448" s="3"/>
      <c r="BB448" s="3"/>
      <c r="BC448" s="3"/>
    </row>
    <row r="449" spans="1:55" ht="12.95" customHeight="1">
      <c r="D449" s="1745" t="s">
        <v>1037</v>
      </c>
      <c r="E449" s="1640"/>
      <c r="F449" s="1640"/>
      <c r="G449" s="1640"/>
      <c r="H449" s="1640"/>
      <c r="I449" s="1640"/>
      <c r="J449" s="1640"/>
      <c r="K449" s="1640"/>
      <c r="L449" s="1640"/>
      <c r="M449" s="1640"/>
      <c r="N449" s="1640"/>
      <c r="O449" s="1640"/>
      <c r="P449" s="1640"/>
      <c r="Q449" s="1640"/>
      <c r="R449" s="1640"/>
      <c r="S449" s="1640"/>
      <c r="T449" s="1640"/>
      <c r="U449" s="1640"/>
      <c r="V449" s="1640"/>
      <c r="W449" s="1640"/>
      <c r="X449" s="1640"/>
      <c r="Y449" s="1640"/>
      <c r="Z449" s="1640"/>
      <c r="AA449" s="1640"/>
      <c r="AB449" s="1640"/>
      <c r="AC449" s="1640"/>
      <c r="AD449" s="1640"/>
      <c r="AE449" s="1640"/>
      <c r="AF449" s="1813"/>
      <c r="AG449" s="1707">
        <v>0</v>
      </c>
      <c r="AH449" s="1707"/>
      <c r="AI449" s="1707"/>
      <c r="AJ449" s="1707"/>
      <c r="BB449" s="3"/>
      <c r="BC449" s="3"/>
    </row>
    <row r="450" spans="1:55" ht="12.95" customHeight="1">
      <c r="D450" s="1770" t="s">
        <v>1038</v>
      </c>
      <c r="E450" s="1771"/>
      <c r="F450" s="1771"/>
      <c r="G450" s="1771"/>
      <c r="H450" s="1771"/>
      <c r="I450" s="1771"/>
      <c r="J450" s="1771"/>
      <c r="K450" s="1771"/>
      <c r="L450" s="1771"/>
      <c r="M450" s="1771"/>
      <c r="N450" s="1771"/>
      <c r="O450" s="1771"/>
      <c r="P450" s="1771"/>
      <c r="Q450" s="1771"/>
      <c r="R450" s="1771"/>
      <c r="S450" s="1771"/>
      <c r="T450" s="1771"/>
      <c r="U450" s="1771"/>
      <c r="V450" s="1771"/>
      <c r="W450" s="1771"/>
      <c r="X450" s="1771"/>
      <c r="Y450" s="1771"/>
      <c r="Z450" s="1771"/>
      <c r="AA450" s="1771"/>
      <c r="AB450" s="1771"/>
      <c r="AC450" s="1771"/>
      <c r="AD450" s="1771"/>
      <c r="AE450" s="1771"/>
      <c r="AF450" s="1772"/>
      <c r="AG450" s="1853">
        <f>AG442+AG446+AG448+AG449</f>
        <v>82753</v>
      </c>
      <c r="AH450" s="1853"/>
      <c r="AI450" s="1853"/>
      <c r="AJ450" s="1853"/>
      <c r="AZ450" s="3"/>
      <c r="BA450" s="3"/>
      <c r="BB450" s="3"/>
      <c r="BC450" s="3"/>
    </row>
    <row r="451" spans="1:55" ht="12.95" customHeight="1">
      <c r="D451" s="1748" t="s">
        <v>1205</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2.95"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0">
        <f>IF(AG437=0,"",'Sources and Uses Budget'!B105/Application!AG437)</f>
        <v>487561.88888888888</v>
      </c>
      <c r="AD454" s="1820"/>
      <c r="AE454" s="1820"/>
      <c r="AF454" s="1820"/>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0">
        <f>IF(AG437=0,"",'Sources and Uses Budget'!C105/Application!AG437)</f>
        <v>487561.88888888888</v>
      </c>
      <c r="AD455" s="1820"/>
      <c r="AE455" s="1820"/>
      <c r="AF455" s="182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0">
        <f>IF(AG437=0,"",('Sources and Uses Budget'!$S$107+'Sources and Uses Budget'!$T$107)/Application!AG437)</f>
        <v>448318.94444444444</v>
      </c>
      <c r="AD456" s="1820"/>
      <c r="AE456" s="1820"/>
      <c r="AF456" s="1820"/>
      <c r="AG456" s="177"/>
      <c r="AH456" s="177"/>
      <c r="AI456" s="177"/>
      <c r="AJ456" s="183"/>
      <c r="AZ456" s="3"/>
      <c r="BA456" s="3"/>
      <c r="BB456" s="3"/>
      <c r="BC456" s="3"/>
    </row>
    <row r="457" spans="1:55" ht="12.95" customHeight="1">
      <c r="D457" s="177"/>
      <c r="E457" s="177"/>
      <c r="F457" s="1743" t="str">
        <f>IFERROR(IF(AC454&gt;650000,"Please provide a justification of cost per unit in Tab 12 for all projects with per unit costs of greater than $650,000.",""),"")</f>
        <v/>
      </c>
      <c r="G457" s="1743"/>
      <c r="H457" s="1743"/>
      <c r="I457" s="1743"/>
      <c r="J457" s="1743"/>
      <c r="K457" s="1743"/>
      <c r="L457" s="1743"/>
      <c r="M457" s="1743"/>
      <c r="N457" s="1743"/>
      <c r="O457" s="1743"/>
      <c r="P457" s="1743"/>
      <c r="Q457" s="1743"/>
      <c r="R457" s="1743"/>
      <c r="S457" s="1743"/>
      <c r="T457" s="1743"/>
      <c r="U457" s="1743"/>
      <c r="V457" s="1743"/>
      <c r="W457" s="1743"/>
      <c r="X457" s="1743"/>
      <c r="Y457" s="1743"/>
      <c r="Z457" s="1743"/>
      <c r="AA457" s="1743"/>
      <c r="AB457" s="1743"/>
      <c r="AC457" s="515"/>
      <c r="AD457" s="177"/>
      <c r="AE457" s="177"/>
      <c r="AF457" s="177"/>
      <c r="AG457" s="177"/>
      <c r="AH457" s="177"/>
      <c r="AI457" s="177"/>
      <c r="AJ457" s="183"/>
      <c r="AZ457" s="3"/>
      <c r="BA457" s="3"/>
      <c r="BB457" s="3"/>
      <c r="BC457" s="3"/>
    </row>
    <row r="458" spans="1:55" ht="12.95" customHeight="1">
      <c r="A458" s="2"/>
      <c r="D458" s="2"/>
      <c r="E458" s="177"/>
      <c r="F458" s="1743"/>
      <c r="G458" s="1743"/>
      <c r="H458" s="1743"/>
      <c r="I458" s="1743"/>
      <c r="J458" s="1743"/>
      <c r="K458" s="1743"/>
      <c r="L458" s="1743"/>
      <c r="M458" s="1743"/>
      <c r="N458" s="1743"/>
      <c r="O458" s="1743"/>
      <c r="P458" s="1743"/>
      <c r="Q458" s="1743"/>
      <c r="R458" s="1743"/>
      <c r="S458" s="1743"/>
      <c r="T458" s="1743"/>
      <c r="U458" s="1743"/>
      <c r="V458" s="1743"/>
      <c r="W458" s="1743"/>
      <c r="X458" s="1743"/>
      <c r="Y458" s="1743"/>
      <c r="Z458" s="1743"/>
      <c r="AA458" s="1743"/>
      <c r="AB458" s="174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2098</v>
      </c>
      <c r="E465" s="1757"/>
      <c r="F465" s="1757"/>
      <c r="G465" s="1757"/>
      <c r="H465" s="1757"/>
      <c r="I465" s="1757"/>
      <c r="J465" s="1757"/>
      <c r="K465" s="1757"/>
      <c r="L465" s="1757"/>
      <c r="M465" s="1757"/>
      <c r="N465" s="1757"/>
      <c r="O465" s="1757"/>
      <c r="P465" s="1757"/>
      <c r="Q465" s="1757"/>
      <c r="R465" s="1757"/>
      <c r="S465" s="1757"/>
      <c r="T465" s="1757"/>
      <c r="U465" s="1757"/>
      <c r="V465" s="1758"/>
      <c r="W465" s="1702">
        <v>0</v>
      </c>
      <c r="X465" s="1703"/>
      <c r="Y465" s="170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6" t="s">
        <v>693</v>
      </c>
      <c r="E466" s="1757"/>
      <c r="F466" s="1757"/>
      <c r="G466" s="1757"/>
      <c r="H466" s="1757"/>
      <c r="I466" s="1757"/>
      <c r="J466" s="1757"/>
      <c r="K466" s="1757"/>
      <c r="L466" s="1757"/>
      <c r="M466" s="1757"/>
      <c r="N466" s="1757"/>
      <c r="O466" s="1757"/>
      <c r="P466" s="1757"/>
      <c r="Q466" s="1757"/>
      <c r="R466" s="1757"/>
      <c r="S466" s="1757"/>
      <c r="T466" s="1757"/>
      <c r="U466" s="1757"/>
      <c r="V466" s="1758"/>
      <c r="W466" s="1702">
        <v>0</v>
      </c>
      <c r="X466" s="1703"/>
      <c r="Y466" s="170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6" t="s">
        <v>694</v>
      </c>
      <c r="E467" s="1757"/>
      <c r="F467" s="1757"/>
      <c r="G467" s="1757"/>
      <c r="H467" s="1757"/>
      <c r="I467" s="1757"/>
      <c r="J467" s="1757"/>
      <c r="K467" s="1757"/>
      <c r="L467" s="1757"/>
      <c r="M467" s="1757"/>
      <c r="N467" s="1757"/>
      <c r="O467" s="1757"/>
      <c r="P467" s="1757"/>
      <c r="Q467" s="1757"/>
      <c r="R467" s="1757"/>
      <c r="S467" s="1757"/>
      <c r="T467" s="1757"/>
      <c r="U467" s="1757"/>
      <c r="V467" s="1758"/>
      <c r="W467" s="1702">
        <v>0</v>
      </c>
      <c r="X467" s="1703"/>
      <c r="Y467" s="170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6" t="s">
        <v>695</v>
      </c>
      <c r="E468" s="1757"/>
      <c r="F468" s="1757"/>
      <c r="G468" s="1757"/>
      <c r="H468" s="1757"/>
      <c r="I468" s="1757"/>
      <c r="J468" s="1757"/>
      <c r="K468" s="1757"/>
      <c r="L468" s="1757"/>
      <c r="M468" s="1757"/>
      <c r="N468" s="1757"/>
      <c r="O468" s="1757"/>
      <c r="P468" s="1757"/>
      <c r="Q468" s="1757"/>
      <c r="R468" s="1757"/>
      <c r="S468" s="1757"/>
      <c r="T468" s="1757"/>
      <c r="U468" s="1757"/>
      <c r="V468" s="1758"/>
      <c r="W468" s="1702">
        <v>0</v>
      </c>
      <c r="X468" s="1703"/>
      <c r="Y468" s="170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6" t="s">
        <v>881</v>
      </c>
      <c r="E469" s="1757"/>
      <c r="F469" s="1757"/>
      <c r="G469" s="1757"/>
      <c r="H469" s="1757"/>
      <c r="I469" s="1757"/>
      <c r="J469" s="1757"/>
      <c r="K469" s="1757"/>
      <c r="L469" s="1757"/>
      <c r="M469" s="1757"/>
      <c r="N469" s="1757"/>
      <c r="O469" s="1757"/>
      <c r="P469" s="1757"/>
      <c r="Q469" s="1757"/>
      <c r="R469" s="1757"/>
      <c r="S469" s="1757"/>
      <c r="T469" s="1757"/>
      <c r="U469" s="1757"/>
      <c r="V469" s="1758"/>
      <c r="W469" s="1702">
        <v>0</v>
      </c>
      <c r="X469" s="1703"/>
      <c r="Y469" s="170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6" t="s">
        <v>696</v>
      </c>
      <c r="E470" s="1757"/>
      <c r="F470" s="1757"/>
      <c r="G470" s="1757"/>
      <c r="H470" s="1757"/>
      <c r="I470" s="1757"/>
      <c r="J470" s="1757"/>
      <c r="K470" s="1757"/>
      <c r="L470" s="1757"/>
      <c r="M470" s="1757"/>
      <c r="N470" s="1757"/>
      <c r="O470" s="1757"/>
      <c r="P470" s="1757"/>
      <c r="Q470" s="1757"/>
      <c r="R470" s="1757"/>
      <c r="S470" s="1757"/>
      <c r="T470" s="1757"/>
      <c r="U470" s="1757"/>
      <c r="V470" s="1758"/>
      <c r="W470" s="1702">
        <v>0</v>
      </c>
      <c r="X470" s="1703"/>
      <c r="Y470" s="170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6" t="s">
        <v>1011</v>
      </c>
      <c r="E471" s="1757"/>
      <c r="F471" s="1757"/>
      <c r="G471" s="1757"/>
      <c r="H471" s="1757"/>
      <c r="I471" s="1757"/>
      <c r="J471" s="1757"/>
      <c r="K471" s="1757"/>
      <c r="L471" s="1757"/>
      <c r="M471" s="1757"/>
      <c r="N471" s="1757"/>
      <c r="O471" s="1757"/>
      <c r="P471" s="1757"/>
      <c r="Q471" s="1757"/>
      <c r="R471" s="1757"/>
      <c r="S471" s="1757"/>
      <c r="T471" s="1757"/>
      <c r="U471" s="1757"/>
      <c r="V471" s="1758"/>
      <c r="W471" s="1702">
        <v>0</v>
      </c>
      <c r="X471" s="1703"/>
      <c r="Y471" s="170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2189</v>
      </c>
      <c r="E472" s="1858"/>
      <c r="F472" s="1858"/>
      <c r="G472" s="1858"/>
      <c r="H472" s="1858"/>
      <c r="I472" s="1858"/>
      <c r="J472" s="1858"/>
      <c r="K472" s="1858"/>
      <c r="L472" s="1858"/>
      <c r="M472" s="1858"/>
      <c r="N472" s="1858"/>
      <c r="O472" s="1858"/>
      <c r="P472" s="1858"/>
      <c r="Q472" s="1858"/>
      <c r="R472" s="1858"/>
      <c r="S472" s="1858"/>
      <c r="T472" s="1858"/>
      <c r="U472" s="1858"/>
      <c r="V472" s="1859"/>
      <c r="W472" s="1702">
        <v>0</v>
      </c>
      <c r="X472" s="1703"/>
      <c r="Y472" s="170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1653</v>
      </c>
      <c r="E473" s="1757"/>
      <c r="F473" s="1757"/>
      <c r="G473" s="1757"/>
      <c r="H473" s="1757"/>
      <c r="I473" s="1757"/>
      <c r="J473" s="1757"/>
      <c r="K473" s="1757"/>
      <c r="L473" s="1757"/>
      <c r="M473" s="1757"/>
      <c r="N473" s="1757"/>
      <c r="O473" s="1757"/>
      <c r="P473" s="1757"/>
      <c r="Q473" s="1757"/>
      <c r="R473" s="1757"/>
      <c r="S473" s="1757"/>
      <c r="T473" s="1757"/>
      <c r="U473" s="1757"/>
      <c r="V473" s="1758"/>
      <c r="W473" s="1702">
        <v>3</v>
      </c>
      <c r="X473" s="1703"/>
      <c r="Y473" s="170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9"/>
      <c r="H474" s="1710"/>
      <c r="I474" s="1710"/>
      <c r="J474" s="1710"/>
      <c r="K474" s="1710"/>
      <c r="L474" s="1710"/>
      <c r="M474" s="1710"/>
      <c r="N474" s="1710"/>
      <c r="O474" s="1710"/>
      <c r="P474" s="1710"/>
      <c r="Q474" s="1710"/>
      <c r="R474" s="1710"/>
      <c r="S474" s="1710"/>
      <c r="T474" s="1710"/>
      <c r="U474" s="1710"/>
      <c r="V474" s="1711"/>
      <c r="W474" s="1702">
        <v>0</v>
      </c>
      <c r="X474" s="1703"/>
      <c r="Y474" s="170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41" t="s">
        <v>810</v>
      </c>
      <c r="B480" s="1441"/>
      <c r="C480" s="1441"/>
      <c r="D480" s="1441"/>
      <c r="E480" s="1441"/>
      <c r="F480" s="1441"/>
      <c r="G480" s="1441"/>
      <c r="H480" s="1441"/>
      <c r="I480" s="1441"/>
      <c r="J480" s="1441"/>
      <c r="K480" s="1441"/>
      <c r="L480" s="1441"/>
      <c r="M480" s="1441"/>
      <c r="N480" s="1441"/>
      <c r="O480" s="1441"/>
      <c r="P480" s="1441"/>
      <c r="Q480" s="1441"/>
      <c r="R480" s="1441"/>
      <c r="S480" s="1441"/>
      <c r="T480" s="1441"/>
      <c r="U480" s="1441"/>
      <c r="V480" s="1441"/>
      <c r="W480" s="1441"/>
      <c r="X480" s="1441"/>
      <c r="Y480" s="1441"/>
      <c r="Z480" s="1441"/>
      <c r="AA480" s="1441"/>
      <c r="AB480" s="1441"/>
      <c r="AC480" s="1441"/>
      <c r="AD480" s="1441"/>
      <c r="AE480" s="1441"/>
      <c r="AF480" s="1441"/>
      <c r="AG480" s="1441"/>
      <c r="AH480" s="1441"/>
      <c r="AI480" s="1441"/>
      <c r="AJ480" s="1441"/>
      <c r="AK480" s="1441"/>
      <c r="AL480" s="1441"/>
      <c r="AM480" s="1441"/>
      <c r="AN480" s="1441"/>
      <c r="AO480" s="1441"/>
      <c r="AP480" s="1441"/>
      <c r="AQ480" s="1441"/>
      <c r="AR480" s="1441"/>
      <c r="AS480" s="1441"/>
      <c r="AT480" s="1441"/>
      <c r="AU480" s="95"/>
      <c r="AV480" s="95"/>
      <c r="AW480" s="95"/>
      <c r="AX480" s="95"/>
      <c r="AY480" s="95"/>
      <c r="AZ480" s="3"/>
      <c r="BB480" s="3"/>
      <c r="BC480" s="3"/>
    </row>
    <row r="481" spans="1:55" ht="12.95" customHeight="1">
      <c r="A481" s="1441"/>
      <c r="B481" s="1441"/>
      <c r="C481" s="1441"/>
      <c r="D481" s="1441"/>
      <c r="E481" s="1441"/>
      <c r="F481" s="1441"/>
      <c r="G481" s="1441"/>
      <c r="H481" s="1441"/>
      <c r="I481" s="1441"/>
      <c r="J481" s="1441"/>
      <c r="K481" s="1441"/>
      <c r="L481" s="1441"/>
      <c r="M481" s="1441"/>
      <c r="N481" s="1441"/>
      <c r="O481" s="1441"/>
      <c r="P481" s="1441"/>
      <c r="Q481" s="1441"/>
      <c r="R481" s="1441"/>
      <c r="S481" s="1441"/>
      <c r="T481" s="1441"/>
      <c r="U481" s="1441"/>
      <c r="V481" s="1441"/>
      <c r="W481" s="1441"/>
      <c r="X481" s="1441"/>
      <c r="Y481" s="1441"/>
      <c r="Z481" s="1441"/>
      <c r="AA481" s="1441"/>
      <c r="AB481" s="1441"/>
      <c r="AC481" s="1441"/>
      <c r="AD481" s="1441"/>
      <c r="AE481" s="1441"/>
      <c r="AF481" s="1441"/>
      <c r="AG481" s="1441"/>
      <c r="AH481" s="1441"/>
      <c r="AI481" s="1441"/>
      <c r="AJ481" s="1441"/>
      <c r="AK481" s="1441"/>
      <c r="AL481" s="1441"/>
      <c r="AM481" s="1441"/>
      <c r="AN481" s="1441"/>
      <c r="AO481" s="1441"/>
      <c r="AP481" s="1441"/>
      <c r="AQ481" s="1441"/>
      <c r="AR481" s="1441"/>
      <c r="AS481" s="1441"/>
      <c r="AT481" s="1441"/>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7" t="s">
        <v>393</v>
      </c>
      <c r="R485" s="1768"/>
      <c r="S485" s="1768"/>
      <c r="T485" s="1768"/>
      <c r="U485" s="1768"/>
      <c r="V485" s="1768"/>
      <c r="W485" s="1768"/>
      <c r="X485" s="1768"/>
      <c r="Y485" s="1768"/>
      <c r="Z485" s="1768"/>
      <c r="AA485" s="1768"/>
      <c r="AB485" s="1768"/>
      <c r="AC485" s="1768"/>
      <c r="AD485" s="1768"/>
      <c r="AE485" s="1768"/>
      <c r="AF485" s="1768"/>
      <c r="AG485" s="1768"/>
      <c r="AH485" s="1768"/>
      <c r="AI485" s="1768"/>
      <c r="AJ485" s="1768"/>
      <c r="AK485" s="1769"/>
      <c r="AZ485" s="3"/>
      <c r="BB485" s="3"/>
      <c r="BC485" s="3"/>
    </row>
    <row r="486" spans="1:55" ht="12.95" customHeight="1">
      <c r="B486" s="45" t="s">
        <v>394</v>
      </c>
      <c r="C486" s="5"/>
      <c r="D486" s="5"/>
      <c r="E486" s="5"/>
      <c r="F486" s="5"/>
      <c r="G486" s="5"/>
      <c r="H486" s="5"/>
      <c r="I486" s="5"/>
      <c r="J486" s="5"/>
      <c r="K486" s="5"/>
      <c r="L486" s="5"/>
      <c r="M486" s="5"/>
      <c r="N486" s="5"/>
      <c r="O486" s="5"/>
      <c r="P486" s="5"/>
      <c r="Q486" s="1559" t="s">
        <v>2683</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592"/>
      <c r="AZ486" s="3"/>
      <c r="BB486" s="3"/>
      <c r="BC486" s="3"/>
    </row>
    <row r="487" spans="1:55" ht="12.95" customHeight="1">
      <c r="B487" s="45" t="s">
        <v>395</v>
      </c>
      <c r="C487" s="5"/>
      <c r="D487" s="5"/>
      <c r="E487" s="5"/>
      <c r="F487" s="5"/>
      <c r="G487" s="5"/>
      <c r="H487" s="5"/>
      <c r="I487" s="5"/>
      <c r="J487" s="5"/>
      <c r="K487" s="5"/>
      <c r="L487" s="5"/>
      <c r="M487" s="5"/>
      <c r="N487" s="5"/>
      <c r="O487" s="5"/>
      <c r="P487" s="5"/>
      <c r="Q487" s="1559" t="s">
        <v>2684</v>
      </c>
      <c r="R487" s="1367"/>
      <c r="S487" s="1367"/>
      <c r="T487" s="1367"/>
      <c r="U487" s="1367"/>
      <c r="V487" s="1367"/>
      <c r="W487" s="1367"/>
      <c r="X487" s="1367"/>
      <c r="Y487" s="1367"/>
      <c r="Z487" s="1367"/>
      <c r="AA487" s="1367"/>
      <c r="AB487" s="1367"/>
      <c r="AC487" s="1367"/>
      <c r="AD487" s="1367"/>
      <c r="AE487" s="1367"/>
      <c r="AF487" s="1367"/>
      <c r="AG487" s="1367"/>
      <c r="AH487" s="1367"/>
      <c r="AI487" s="1367"/>
      <c r="AJ487" s="1367"/>
      <c r="AK487" s="1592"/>
      <c r="AZ487" s="3"/>
      <c r="BB487" s="3"/>
      <c r="BC487" s="3"/>
    </row>
    <row r="488" spans="1:55" ht="12.95" customHeight="1">
      <c r="B488" s="45" t="s">
        <v>396</v>
      </c>
      <c r="C488" s="5"/>
      <c r="D488" s="5"/>
      <c r="E488" s="5"/>
      <c r="F488" s="5"/>
      <c r="G488" s="5"/>
      <c r="H488" s="5"/>
      <c r="I488" s="5"/>
      <c r="J488" s="5"/>
      <c r="K488" s="5"/>
      <c r="L488" s="5"/>
      <c r="M488" s="5"/>
      <c r="N488" s="5"/>
      <c r="O488" s="5"/>
      <c r="P488" s="5"/>
      <c r="Q488" s="1559" t="s">
        <v>591</v>
      </c>
      <c r="R488" s="1367"/>
      <c r="S488" s="1367"/>
      <c r="T488" s="1367"/>
      <c r="U488" s="1367"/>
      <c r="V488" s="1367"/>
      <c r="W488" s="1367"/>
      <c r="X488" s="1367"/>
      <c r="Y488" s="1367"/>
      <c r="Z488" s="1367"/>
      <c r="AA488" s="1367"/>
      <c r="AB488" s="1367"/>
      <c r="AC488" s="1367"/>
      <c r="AD488" s="1367"/>
      <c r="AE488" s="1367"/>
      <c r="AF488" s="1367"/>
      <c r="AG488" s="1367"/>
      <c r="AH488" s="1367"/>
      <c r="AI488" s="1367"/>
      <c r="AJ488" s="1367"/>
      <c r="AK488" s="1592"/>
      <c r="AZ488" s="3"/>
      <c r="BA488" s="3"/>
      <c r="BB488" s="3"/>
      <c r="BC488" s="3"/>
    </row>
    <row r="489" spans="1:55" ht="12.95" customHeight="1">
      <c r="B489" s="1841" t="s">
        <v>397</v>
      </c>
      <c r="C489" s="1842"/>
      <c r="D489" s="1842"/>
      <c r="E489" s="1842"/>
      <c r="F489" s="1842"/>
      <c r="G489" s="1842"/>
      <c r="H489" s="1842"/>
      <c r="I489" s="1842"/>
      <c r="J489" s="1842"/>
      <c r="K489" s="1842"/>
      <c r="L489" s="1842"/>
      <c r="M489" s="1842"/>
      <c r="N489" s="1842"/>
      <c r="O489" s="1842"/>
      <c r="P489" s="1843"/>
      <c r="Q489" s="1847" t="s">
        <v>669</v>
      </c>
      <c r="R489" s="1848"/>
      <c r="S489" s="1774" t="s">
        <v>166</v>
      </c>
      <c r="T489" s="1775"/>
      <c r="U489" s="1775"/>
      <c r="V489" s="1775"/>
      <c r="W489" s="1775"/>
      <c r="X489" s="1775"/>
      <c r="Y489" s="1775"/>
      <c r="Z489" s="1775"/>
      <c r="AA489" s="1775"/>
      <c r="AB489" s="1775"/>
      <c r="AC489" s="1775"/>
      <c r="AD489" s="1775"/>
      <c r="AE489" s="1775"/>
      <c r="AF489" s="1775"/>
      <c r="AG489" s="1775"/>
      <c r="AH489" s="1775"/>
      <c r="AI489" s="1775"/>
      <c r="AJ489" s="1775"/>
      <c r="AK489" s="1776"/>
      <c r="AZ489" s="3"/>
      <c r="BA489" s="3"/>
      <c r="BB489" s="3"/>
      <c r="BC489" s="3"/>
    </row>
    <row r="490" spans="1:55" ht="12.95" customHeight="1">
      <c r="B490" s="1844"/>
      <c r="C490" s="1845"/>
      <c r="D490" s="1845"/>
      <c r="E490" s="1845"/>
      <c r="F490" s="1845"/>
      <c r="G490" s="1845"/>
      <c r="H490" s="1845"/>
      <c r="I490" s="1845"/>
      <c r="J490" s="1845"/>
      <c r="K490" s="1845"/>
      <c r="L490" s="1845"/>
      <c r="M490" s="1845"/>
      <c r="N490" s="1845"/>
      <c r="O490" s="1845"/>
      <c r="P490" s="1846"/>
      <c r="Q490" s="1849"/>
      <c r="R490" s="1850"/>
      <c r="S490" s="1777"/>
      <c r="T490" s="1778"/>
      <c r="U490" s="1778"/>
      <c r="V490" s="1778"/>
      <c r="W490" s="1778"/>
      <c r="X490" s="1778"/>
      <c r="Y490" s="1778"/>
      <c r="Z490" s="1778"/>
      <c r="AA490" s="1778"/>
      <c r="AB490" s="1778"/>
      <c r="AC490" s="1778"/>
      <c r="AD490" s="1778"/>
      <c r="AE490" s="1778"/>
      <c r="AF490" s="1778"/>
      <c r="AG490" s="1778"/>
      <c r="AH490" s="1778"/>
      <c r="AI490" s="1778"/>
      <c r="AJ490" s="1778"/>
      <c r="AK490" s="1779"/>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54" t="s">
        <v>669</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59" t="s">
        <v>591</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59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91">
        <v>0</v>
      </c>
      <c r="R493" s="1367"/>
      <c r="S493" s="1367"/>
      <c r="T493" s="1367"/>
      <c r="U493" s="1367"/>
      <c r="V493" s="1367"/>
      <c r="W493" s="1367"/>
      <c r="X493" s="1367"/>
      <c r="Y493" s="1367"/>
      <c r="Z493" s="1367"/>
      <c r="AA493" s="1367"/>
      <c r="AB493" s="1367"/>
      <c r="AC493" s="1367"/>
      <c r="AD493" s="1367"/>
      <c r="AE493" s="1367"/>
      <c r="AF493" s="1367"/>
      <c r="AG493" s="1367"/>
      <c r="AH493" s="1367"/>
      <c r="AI493" s="1367"/>
      <c r="AJ493" s="1367"/>
      <c r="AK493" s="1592"/>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91">
        <v>120</v>
      </c>
      <c r="R494" s="1367"/>
      <c r="S494" s="1367"/>
      <c r="T494" s="1367"/>
      <c r="U494" s="1367"/>
      <c r="V494" s="1367"/>
      <c r="W494" s="1367"/>
      <c r="X494" s="1367"/>
      <c r="Y494" s="1367"/>
      <c r="Z494" s="1367"/>
      <c r="AA494" s="1367"/>
      <c r="AB494" s="1367"/>
      <c r="AC494" s="1367"/>
      <c r="AD494" s="1367"/>
      <c r="AE494" s="1367"/>
      <c r="AF494" s="1367"/>
      <c r="AG494" s="1367"/>
      <c r="AH494" s="1367"/>
      <c r="AI494" s="1367"/>
      <c r="AJ494" s="1367"/>
      <c r="AK494" s="1592"/>
      <c r="AZ494" s="3"/>
      <c r="BA494" s="3"/>
      <c r="BB494" s="3"/>
      <c r="BC494" s="3"/>
    </row>
    <row r="495" spans="1:55" ht="12.95" customHeight="1">
      <c r="B495" s="121" t="s">
        <v>1668</v>
      </c>
      <c r="C495" s="5"/>
      <c r="D495" s="5"/>
      <c r="E495" s="5"/>
      <c r="F495" s="5"/>
      <c r="G495" s="5"/>
      <c r="H495" s="5"/>
      <c r="I495" s="5"/>
      <c r="J495" s="5"/>
      <c r="K495" s="5"/>
      <c r="L495" s="5"/>
      <c r="M495" s="1466">
        <v>72</v>
      </c>
      <c r="N495" s="1467"/>
      <c r="O495" s="1467"/>
      <c r="P495" s="1468"/>
      <c r="Q495" s="121" t="s">
        <v>1669</v>
      </c>
      <c r="R495" s="5"/>
      <c r="S495" s="5"/>
      <c r="T495" s="5"/>
      <c r="U495" s="5"/>
      <c r="V495" s="5"/>
      <c r="W495" s="5"/>
      <c r="X495" s="5"/>
      <c r="Y495" s="5"/>
      <c r="Z495" s="5"/>
      <c r="AA495" s="5"/>
      <c r="AB495" s="5"/>
      <c r="AC495" s="5"/>
      <c r="AD495" s="5"/>
      <c r="AE495" s="5"/>
      <c r="AF495" s="5"/>
      <c r="AG495" s="5"/>
      <c r="AH495" s="1466">
        <v>48</v>
      </c>
      <c r="AI495" s="1467"/>
      <c r="AJ495" s="1467"/>
      <c r="AK495" s="146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7" t="s">
        <v>401</v>
      </c>
      <c r="AD499" s="1768"/>
      <c r="AE499" s="1768"/>
      <c r="AF499" s="1768"/>
      <c r="AG499" s="1768"/>
      <c r="AH499" s="1768"/>
      <c r="AI499" s="1768"/>
      <c r="AJ499" s="1768"/>
      <c r="AK499" s="176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7" t="s">
        <v>402</v>
      </c>
      <c r="AD500" s="1768"/>
      <c r="AE500" s="1768"/>
      <c r="AF500" s="1768"/>
      <c r="AG500" s="50" t="s">
        <v>403</v>
      </c>
      <c r="AH500" s="1768" t="s">
        <v>404</v>
      </c>
      <c r="AI500" s="1768"/>
      <c r="AJ500" s="1768"/>
      <c r="AK500" s="1769"/>
      <c r="AZ500" s="3"/>
      <c r="BA500" s="3"/>
      <c r="BB500" s="3"/>
      <c r="BC500" s="3"/>
      <c r="BD500" s="3"/>
      <c r="BE500" s="3"/>
      <c r="BF500" s="3"/>
      <c r="BG500" s="3"/>
      <c r="BH500" s="3"/>
      <c r="BI500" s="3"/>
      <c r="BJ500" s="3"/>
      <c r="BK500" s="3"/>
      <c r="BL500" s="3"/>
      <c r="BM500" s="3"/>
      <c r="BN500" s="3"/>
    </row>
    <row r="501" spans="1:66" ht="12.95" customHeight="1">
      <c r="B501" s="1679" t="s">
        <v>405</v>
      </c>
      <c r="C501" s="1451"/>
      <c r="D501" s="1451"/>
      <c r="E501" s="1451"/>
      <c r="F501" s="1451"/>
      <c r="G501" s="1451"/>
      <c r="H501" s="1452"/>
      <c r="I501" s="42" t="s">
        <v>406</v>
      </c>
      <c r="J501" s="42"/>
      <c r="K501" s="42"/>
      <c r="L501" s="42"/>
      <c r="M501" s="42"/>
      <c r="N501" s="42"/>
      <c r="O501" s="42"/>
      <c r="P501" s="42"/>
      <c r="Q501" s="42"/>
      <c r="R501" s="42"/>
      <c r="S501" s="42"/>
      <c r="T501" s="42"/>
      <c r="U501" s="42"/>
      <c r="V501" s="42"/>
      <c r="W501" s="42"/>
      <c r="AC501" s="1676">
        <v>9</v>
      </c>
      <c r="AD501" s="1677"/>
      <c r="AE501" s="1677"/>
      <c r="AF501" s="1677"/>
      <c r="AG501" s="13" t="s">
        <v>403</v>
      </c>
      <c r="AH501" s="1421">
        <v>2023</v>
      </c>
      <c r="AI501" s="1421"/>
      <c r="AJ501" s="1421"/>
      <c r="AK501" s="1422"/>
      <c r="AZ501" s="3"/>
      <c r="BA501" s="3"/>
      <c r="BB501" s="3"/>
      <c r="BC501" s="3"/>
      <c r="BD501" s="3"/>
      <c r="BE501" s="3"/>
      <c r="BF501" s="3"/>
      <c r="BG501" s="3"/>
      <c r="BH501" s="3"/>
      <c r="BI501" s="3"/>
      <c r="BJ501" s="3"/>
      <c r="BK501" s="3"/>
      <c r="BL501" s="3"/>
      <c r="BM501" s="3"/>
      <c r="BN501" s="3"/>
    </row>
    <row r="502" spans="1:66" ht="12.95" customHeight="1">
      <c r="B502" s="1680"/>
      <c r="C502" s="1453"/>
      <c r="D502" s="1453"/>
      <c r="E502" s="1453"/>
      <c r="F502" s="1453"/>
      <c r="G502" s="1453"/>
      <c r="H502" s="1454"/>
      <c r="I502" s="48" t="s">
        <v>407</v>
      </c>
      <c r="J502" s="48"/>
      <c r="K502" s="48"/>
      <c r="L502" s="48"/>
      <c r="M502" s="48"/>
      <c r="N502" s="48"/>
      <c r="O502" s="48"/>
      <c r="P502" s="48"/>
      <c r="Q502" s="48"/>
      <c r="R502" s="48"/>
      <c r="S502" s="48"/>
      <c r="T502" s="48"/>
      <c r="U502" s="48"/>
      <c r="V502" s="48"/>
      <c r="W502" s="48"/>
      <c r="X502" s="48"/>
      <c r="Y502" s="48"/>
      <c r="Z502" s="48"/>
      <c r="AA502" s="48"/>
      <c r="AB502" s="48"/>
      <c r="AC502" s="1676">
        <v>9</v>
      </c>
      <c r="AD502" s="1677"/>
      <c r="AE502" s="1677"/>
      <c r="AF502" s="1677"/>
      <c r="AG502" s="38" t="s">
        <v>403</v>
      </c>
      <c r="AH502" s="1421">
        <v>2025</v>
      </c>
      <c r="AI502" s="1421"/>
      <c r="AJ502" s="1421"/>
      <c r="AK502" s="1422"/>
      <c r="AZ502" s="3"/>
      <c r="BA502" s="3"/>
      <c r="BB502" s="3"/>
      <c r="BC502" s="3"/>
      <c r="BD502" s="3"/>
      <c r="BE502" s="3"/>
      <c r="BF502" s="3"/>
      <c r="BG502" s="3"/>
      <c r="BH502" s="3"/>
      <c r="BI502" s="3"/>
      <c r="BJ502" s="3"/>
      <c r="BK502" s="3"/>
      <c r="BL502" s="3"/>
      <c r="BM502" s="3"/>
      <c r="BN502" s="3"/>
    </row>
    <row r="503" spans="1:66" ht="12.95" customHeight="1">
      <c r="B503" s="1679" t="s">
        <v>408</v>
      </c>
      <c r="C503" s="1451"/>
      <c r="D503" s="1451"/>
      <c r="E503" s="1451"/>
      <c r="F503" s="1451"/>
      <c r="G503" s="1451"/>
      <c r="H503" s="1452"/>
      <c r="I503" s="42" t="s">
        <v>409</v>
      </c>
      <c r="J503" s="42"/>
      <c r="K503" s="42"/>
      <c r="L503" s="42"/>
      <c r="M503" s="42"/>
      <c r="N503" s="42"/>
      <c r="O503" s="42"/>
      <c r="P503" s="42"/>
      <c r="Q503" s="42"/>
      <c r="R503" s="42"/>
      <c r="S503" s="42"/>
      <c r="T503" s="42"/>
      <c r="U503" s="42"/>
      <c r="V503" s="42"/>
      <c r="W503" s="42"/>
      <c r="AC503" s="1676" t="s">
        <v>591</v>
      </c>
      <c r="AD503" s="1677"/>
      <c r="AE503" s="1677"/>
      <c r="AF503" s="1677"/>
      <c r="AG503" s="13" t="s">
        <v>403</v>
      </c>
      <c r="AH503" s="1421"/>
      <c r="AI503" s="1421"/>
      <c r="AJ503" s="1421"/>
      <c r="AK503" s="1422"/>
      <c r="AZ503" s="3"/>
      <c r="BA503" s="3"/>
      <c r="BB503" s="3"/>
      <c r="BC503" s="3"/>
      <c r="BD503" s="3"/>
      <c r="BE503" s="3"/>
      <c r="BF503" s="3"/>
      <c r="BG503" s="3"/>
      <c r="BH503" s="3"/>
      <c r="BI503" s="3"/>
      <c r="BJ503" s="3"/>
      <c r="BK503" s="3"/>
      <c r="BL503" s="3"/>
      <c r="BM503" s="3"/>
      <c r="BN503" s="3"/>
    </row>
    <row r="504" spans="1:66" ht="12.95" customHeight="1">
      <c r="B504" s="1680"/>
      <c r="C504" s="1453"/>
      <c r="D504" s="1453"/>
      <c r="E504" s="1453"/>
      <c r="F504" s="1453"/>
      <c r="G504" s="1453"/>
      <c r="H504" s="1454"/>
      <c r="I504" t="s">
        <v>410</v>
      </c>
      <c r="AC504" s="1676" t="s">
        <v>591</v>
      </c>
      <c r="AD504" s="1677"/>
      <c r="AE504" s="1677"/>
      <c r="AF504" s="1677"/>
      <c r="AG504" s="13" t="s">
        <v>403</v>
      </c>
      <c r="AH504" s="1421"/>
      <c r="AI504" s="1421"/>
      <c r="AJ504" s="1421"/>
      <c r="AK504" s="1422"/>
      <c r="AZ504" s="3"/>
      <c r="BA504" s="3"/>
      <c r="BB504" s="3"/>
      <c r="BC504" s="3"/>
      <c r="BD504" s="3"/>
      <c r="BE504" s="3"/>
      <c r="BF504" s="3"/>
      <c r="BG504" s="3"/>
      <c r="BH504" s="3"/>
      <c r="BI504" s="3"/>
      <c r="BJ504" s="3"/>
      <c r="BK504" s="3"/>
      <c r="BL504" s="3"/>
      <c r="BM504" s="3"/>
      <c r="BN504" s="3"/>
    </row>
    <row r="505" spans="1:66" ht="12.95" customHeight="1">
      <c r="B505" s="1680"/>
      <c r="C505" s="1453"/>
      <c r="D505" s="1453"/>
      <c r="E505" s="1453"/>
      <c r="F505" s="1453"/>
      <c r="G505" s="1453"/>
      <c r="H505" s="1454"/>
      <c r="I505" t="s">
        <v>411</v>
      </c>
      <c r="AC505" s="1676" t="s">
        <v>591</v>
      </c>
      <c r="AD505" s="1677"/>
      <c r="AE505" s="1677"/>
      <c r="AF505" s="1677"/>
      <c r="AG505" s="13" t="s">
        <v>403</v>
      </c>
      <c r="AH505" s="1421"/>
      <c r="AI505" s="1421"/>
      <c r="AJ505" s="1421"/>
      <c r="AK505" s="1422"/>
      <c r="AZ505" s="3"/>
      <c r="BA505" s="3"/>
      <c r="BB505" s="3"/>
      <c r="BC505" s="3"/>
      <c r="BD505" s="3"/>
      <c r="BE505" s="3"/>
      <c r="BF505" s="3"/>
      <c r="BG505" s="3"/>
      <c r="BH505" s="3"/>
      <c r="BI505" s="3"/>
      <c r="BJ505" s="3"/>
      <c r="BK505" s="3"/>
      <c r="BL505" s="3"/>
      <c r="BM505" s="3"/>
      <c r="BN505" s="3"/>
    </row>
    <row r="506" spans="1:66" ht="12.95" customHeight="1">
      <c r="B506" s="1680"/>
      <c r="C506" s="1453"/>
      <c r="D506" s="1453"/>
      <c r="E506" s="1453"/>
      <c r="F506" s="1453"/>
      <c r="G506" s="1453"/>
      <c r="H506" s="1454"/>
      <c r="I506" t="s">
        <v>412</v>
      </c>
      <c r="AC506" s="1676">
        <v>5</v>
      </c>
      <c r="AD506" s="1677"/>
      <c r="AE506" s="1677"/>
      <c r="AF506" s="1677"/>
      <c r="AG506" s="13" t="s">
        <v>403</v>
      </c>
      <c r="AH506" s="1421">
        <v>2026</v>
      </c>
      <c r="AI506" s="1421"/>
      <c r="AJ506" s="1421"/>
      <c r="AK506" s="1422"/>
      <c r="AZ506" s="3"/>
      <c r="BA506" s="3"/>
      <c r="BB506" s="3"/>
      <c r="BC506" s="3"/>
      <c r="BD506" s="3"/>
      <c r="BE506" s="3"/>
      <c r="BF506" s="3"/>
      <c r="BG506" s="3"/>
      <c r="BH506" s="3"/>
      <c r="BI506" s="3"/>
      <c r="BJ506" s="3"/>
      <c r="BK506" s="3"/>
      <c r="BL506" s="3"/>
      <c r="BM506" s="3"/>
      <c r="BN506" s="3"/>
    </row>
    <row r="507" spans="1:66" ht="12.95" customHeight="1">
      <c r="B507" s="1680"/>
      <c r="C507" s="1453"/>
      <c r="D507" s="1453"/>
      <c r="E507" s="1453"/>
      <c r="F507" s="1453"/>
      <c r="G507" s="1453"/>
      <c r="H507" s="1454"/>
      <c r="I507" s="3" t="s">
        <v>413</v>
      </c>
      <c r="AC507" s="1356">
        <v>5</v>
      </c>
      <c r="AD507" s="1357"/>
      <c r="AE507" s="1357"/>
      <c r="AF507" s="1357"/>
      <c r="AG507" s="13" t="s">
        <v>403</v>
      </c>
      <c r="AH507" s="1421">
        <v>2026</v>
      </c>
      <c r="AI507" s="1421"/>
      <c r="AJ507" s="1421"/>
      <c r="AK507" s="1422"/>
      <c r="AZ507" s="3"/>
      <c r="BA507" s="3"/>
      <c r="BB507" s="3"/>
      <c r="BC507" s="3"/>
      <c r="BD507" s="3"/>
      <c r="BE507" s="3"/>
      <c r="BF507" s="3"/>
      <c r="BG507" s="3"/>
      <c r="BH507" s="3"/>
      <c r="BI507" s="3"/>
      <c r="BJ507" s="3"/>
      <c r="BK507" s="3"/>
      <c r="BL507" s="3"/>
      <c r="BM507" s="3"/>
      <c r="BN507" s="3"/>
    </row>
    <row r="508" spans="1:66" ht="12.95" customHeight="1">
      <c r="B508" s="1680"/>
      <c r="C508" s="1453"/>
      <c r="D508" s="1453"/>
      <c r="E508" s="1453"/>
      <c r="F508" s="1453"/>
      <c r="G508" s="1453"/>
      <c r="H508" s="1454"/>
      <c r="I508" s="896"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52"/>
      <c r="AC508" s="1676" t="s">
        <v>591</v>
      </c>
      <c r="AD508" s="1677"/>
      <c r="AE508" s="1677"/>
      <c r="AF508" s="1677"/>
      <c r="AG508" s="38" t="s">
        <v>403</v>
      </c>
      <c r="AH508" s="1421"/>
      <c r="AI508" s="1421"/>
      <c r="AJ508" s="1421"/>
      <c r="AK508" s="1422"/>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57" t="s">
        <v>669</v>
      </c>
      <c r="AD509" s="1765"/>
      <c r="AE509" s="1765"/>
      <c r="AF509" s="1765"/>
      <c r="AG509" s="13"/>
      <c r="AH509" s="1354"/>
      <c r="AI509" s="1354"/>
      <c r="AJ509" s="1354"/>
      <c r="AK509" s="1744"/>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56"/>
      <c r="AD510" s="1357"/>
      <c r="AE510" s="1357"/>
      <c r="AF510" s="1358"/>
      <c r="AG510" s="13"/>
      <c r="AH510" s="1354"/>
      <c r="AI510" s="1354"/>
      <c r="AJ510" s="1354"/>
      <c r="AK510" s="1744"/>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8" t="s">
        <v>2757</v>
      </c>
      <c r="AD512" s="1839"/>
      <c r="AE512" s="1839"/>
      <c r="AF512" s="1840"/>
      <c r="AG512" s="38"/>
      <c r="AH512" s="1750"/>
      <c r="AI512" s="1750"/>
      <c r="AJ512" s="1750"/>
      <c r="AK512" s="1751"/>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8" t="s">
        <v>402</v>
      </c>
      <c r="AD513" s="1651"/>
      <c r="AE513" s="1651"/>
      <c r="AF513" s="1651"/>
      <c r="AG513" s="38" t="s">
        <v>403</v>
      </c>
      <c r="AH513" s="1651" t="s">
        <v>404</v>
      </c>
      <c r="AI513" s="1651"/>
      <c r="AJ513" s="1651"/>
      <c r="AK513" s="1851"/>
      <c r="AZ513" s="3"/>
      <c r="BA513" s="3"/>
      <c r="BB513" s="3"/>
      <c r="BC513" s="3"/>
      <c r="BD513" s="3"/>
      <c r="BE513" s="3"/>
      <c r="BF513" s="3"/>
      <c r="BG513" s="3"/>
      <c r="BH513" s="3"/>
      <c r="BI513" s="3"/>
      <c r="BJ513" s="3"/>
      <c r="BK513" s="3"/>
      <c r="BL513" s="3"/>
      <c r="BM513" s="3"/>
      <c r="BN513" s="3" t="s">
        <v>2103</v>
      </c>
    </row>
    <row r="514" spans="2:66" ht="12.95" customHeight="1">
      <c r="B514" s="1679" t="s">
        <v>414</v>
      </c>
      <c r="C514" s="1451"/>
      <c r="D514" s="1451"/>
      <c r="E514" s="1451"/>
      <c r="F514" s="1451"/>
      <c r="G514" s="1451"/>
      <c r="H514" s="1452"/>
      <c r="I514" s="42" t="s">
        <v>415</v>
      </c>
      <c r="J514" s="42"/>
      <c r="K514" s="42"/>
      <c r="L514" s="42"/>
      <c r="M514" s="42"/>
      <c r="N514" s="42"/>
      <c r="O514" s="42"/>
      <c r="P514" s="42"/>
      <c r="Q514" s="42"/>
      <c r="R514" s="42"/>
      <c r="S514" s="42"/>
      <c r="T514" s="42"/>
      <c r="U514" s="42"/>
      <c r="V514" s="42"/>
      <c r="W514" s="42"/>
      <c r="AC514" s="1676">
        <v>8</v>
      </c>
      <c r="AD514" s="1677"/>
      <c r="AE514" s="1677"/>
      <c r="AF514" s="1677"/>
      <c r="AG514" s="13" t="s">
        <v>403</v>
      </c>
      <c r="AH514" s="1421">
        <v>2025</v>
      </c>
      <c r="AI514" s="1421"/>
      <c r="AJ514" s="1421"/>
      <c r="AK514" s="1422"/>
      <c r="AZ514" s="3"/>
      <c r="BA514" s="3"/>
      <c r="BB514" s="3"/>
      <c r="BC514" s="3"/>
      <c r="BD514" s="3"/>
      <c r="BE514" s="3"/>
      <c r="BF514" s="3"/>
      <c r="BG514" s="3"/>
      <c r="BH514" s="3"/>
      <c r="BI514" s="3"/>
      <c r="BJ514" s="3"/>
      <c r="BK514" s="3"/>
      <c r="BL514" s="3"/>
      <c r="BM514" s="3"/>
      <c r="BN514" s="3" t="s">
        <v>2104</v>
      </c>
    </row>
    <row r="515" spans="2:66" ht="12.95" customHeight="1">
      <c r="B515" s="1680"/>
      <c r="C515" s="1453"/>
      <c r="D515" s="1453"/>
      <c r="E515" s="1453"/>
      <c r="F515" s="1453"/>
      <c r="G515" s="1453"/>
      <c r="H515" s="1454"/>
      <c r="I515" t="s">
        <v>416</v>
      </c>
      <c r="AC515" s="1676">
        <v>9</v>
      </c>
      <c r="AD515" s="1677"/>
      <c r="AE515" s="1677"/>
      <c r="AF515" s="1677"/>
      <c r="AG515" s="13" t="s">
        <v>403</v>
      </c>
      <c r="AH515" s="1421">
        <v>2025</v>
      </c>
      <c r="AI515" s="1421"/>
      <c r="AJ515" s="1421"/>
      <c r="AK515" s="1422"/>
      <c r="AZ515" s="3"/>
      <c r="BA515" s="3"/>
      <c r="BB515" s="3"/>
      <c r="BC515" s="3"/>
      <c r="BD515" s="3"/>
      <c r="BE515" s="3"/>
      <c r="BF515" s="3"/>
      <c r="BG515" s="3"/>
      <c r="BH515" s="3"/>
      <c r="BI515" s="3"/>
      <c r="BJ515" s="3"/>
      <c r="BK515" s="3"/>
      <c r="BL515" s="3"/>
      <c r="BM515" s="3"/>
      <c r="BN515" s="3" t="s">
        <v>2105</v>
      </c>
    </row>
    <row r="516" spans="2:66" ht="12.95" customHeight="1">
      <c r="B516" s="1680"/>
      <c r="C516" s="1453"/>
      <c r="D516" s="1453"/>
      <c r="E516" s="1453"/>
      <c r="F516" s="1453"/>
      <c r="G516" s="1453"/>
      <c r="H516" s="1454"/>
      <c r="I516" s="48" t="s">
        <v>417</v>
      </c>
      <c r="J516" s="48"/>
      <c r="K516" s="48"/>
      <c r="L516" s="48"/>
      <c r="M516" s="48"/>
      <c r="N516" s="48"/>
      <c r="O516" s="48"/>
      <c r="P516" s="48"/>
      <c r="Q516" s="48"/>
      <c r="R516" s="48"/>
      <c r="S516" s="48"/>
      <c r="T516" s="48"/>
      <c r="U516" s="48"/>
      <c r="V516" s="48"/>
      <c r="W516" s="48"/>
      <c r="X516" s="48"/>
      <c r="Y516" s="48"/>
      <c r="Z516" s="48"/>
      <c r="AA516" s="48"/>
      <c r="AB516" s="48"/>
      <c r="AC516" s="1676">
        <v>5</v>
      </c>
      <c r="AD516" s="1677"/>
      <c r="AE516" s="1677"/>
      <c r="AF516" s="1677"/>
      <c r="AG516" s="38" t="s">
        <v>403</v>
      </c>
      <c r="AH516" s="1421">
        <v>2026</v>
      </c>
      <c r="AI516" s="1421"/>
      <c r="AJ516" s="1421"/>
      <c r="AK516" s="1422"/>
      <c r="AZ516" s="3"/>
      <c r="BA516" s="3"/>
      <c r="BB516" s="3"/>
      <c r="BC516" s="3"/>
      <c r="BD516" s="3"/>
      <c r="BE516" s="3"/>
      <c r="BF516" s="3"/>
      <c r="BG516" s="3"/>
      <c r="BH516" s="3"/>
      <c r="BI516" s="3"/>
      <c r="BJ516" s="3"/>
      <c r="BK516" s="3"/>
      <c r="BL516" s="3"/>
      <c r="BM516" s="3"/>
      <c r="BN516" s="3" t="s">
        <v>2106</v>
      </c>
    </row>
    <row r="517" spans="2:66" ht="12.95" customHeight="1">
      <c r="B517" s="1679" t="s">
        <v>418</v>
      </c>
      <c r="C517" s="1451"/>
      <c r="D517" s="1451"/>
      <c r="E517" s="1451"/>
      <c r="F517" s="1451"/>
      <c r="G517" s="1451"/>
      <c r="H517" s="1452"/>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21">
        <v>2025</v>
      </c>
      <c r="AI517" s="1421"/>
      <c r="AJ517" s="1421"/>
      <c r="AK517" s="1422"/>
      <c r="AZ517" s="3"/>
      <c r="BB517" s="3"/>
      <c r="BC517" s="3"/>
      <c r="BD517" s="3"/>
      <c r="BE517" s="3"/>
      <c r="BF517" s="3"/>
      <c r="BG517" s="3"/>
      <c r="BH517" s="3"/>
      <c r="BI517" s="3"/>
      <c r="BJ517" s="3"/>
      <c r="BK517" s="3"/>
      <c r="BL517" s="3"/>
      <c r="BM517" s="3"/>
      <c r="BN517" s="3" t="s">
        <v>2107</v>
      </c>
    </row>
    <row r="518" spans="2:66" ht="12.95" customHeight="1">
      <c r="B518" s="1680"/>
      <c r="C518" s="1453"/>
      <c r="D518" s="1453"/>
      <c r="E518" s="1453"/>
      <c r="F518" s="1453"/>
      <c r="G518" s="1453"/>
      <c r="H518" s="1454"/>
      <c r="I518" t="s">
        <v>416</v>
      </c>
      <c r="AC518" s="1676">
        <v>9</v>
      </c>
      <c r="AD518" s="1677"/>
      <c r="AE518" s="1677"/>
      <c r="AF518" s="1677"/>
      <c r="AG518" s="13" t="s">
        <v>403</v>
      </c>
      <c r="AH518" s="1421">
        <v>2025</v>
      </c>
      <c r="AI518" s="1421"/>
      <c r="AJ518" s="1421"/>
      <c r="AK518" s="1422"/>
      <c r="BB518" s="3"/>
      <c r="BC518" s="3"/>
      <c r="BD518" s="3"/>
      <c r="BE518" s="3"/>
      <c r="BF518" s="3"/>
      <c r="BG518" s="3"/>
      <c r="BH518" s="3"/>
      <c r="BI518" s="3"/>
      <c r="BJ518" s="3"/>
      <c r="BK518" s="3"/>
      <c r="BL518" s="3"/>
      <c r="BM518" s="3"/>
      <c r="BN518" s="3" t="s">
        <v>2108</v>
      </c>
    </row>
    <row r="519" spans="2:66" ht="12.95" customHeight="1">
      <c r="B519" s="1681"/>
      <c r="C519" s="1455"/>
      <c r="D519" s="1455"/>
      <c r="E519" s="1455"/>
      <c r="F519" s="1455"/>
      <c r="G519" s="1455"/>
      <c r="H519" s="1456"/>
      <c r="I519" s="48" t="s">
        <v>417</v>
      </c>
      <c r="J519" s="48"/>
      <c r="K519" s="48"/>
      <c r="L519" s="48"/>
      <c r="M519" s="48"/>
      <c r="N519" s="48"/>
      <c r="O519" s="48"/>
      <c r="P519" s="48"/>
      <c r="Q519" s="48"/>
      <c r="R519" s="48"/>
      <c r="S519" s="48"/>
      <c r="T519" s="48"/>
      <c r="U519" s="48"/>
      <c r="V519" s="48"/>
      <c r="W519" s="48"/>
      <c r="X519" s="48"/>
      <c r="Y519" s="48"/>
      <c r="Z519" s="48"/>
      <c r="AA519" s="48"/>
      <c r="AB519" s="48"/>
      <c r="AC519" s="1676">
        <v>5</v>
      </c>
      <c r="AD519" s="1677"/>
      <c r="AE519" s="1677"/>
      <c r="AF519" s="1677"/>
      <c r="AG519" s="38" t="s">
        <v>403</v>
      </c>
      <c r="AH519" s="1421">
        <v>2026</v>
      </c>
      <c r="AI519" s="1421"/>
      <c r="AJ519" s="1421"/>
      <c r="AK519" s="1422"/>
      <c r="BB519" s="3"/>
      <c r="BC519" s="3"/>
      <c r="BD519" s="3"/>
      <c r="BE519" s="3"/>
      <c r="BF519" s="3"/>
      <c r="BG519" s="3"/>
      <c r="BH519" s="3"/>
      <c r="BI519" s="3"/>
      <c r="BJ519" s="3"/>
      <c r="BK519" s="3"/>
      <c r="BL519" s="3"/>
      <c r="BM519" s="3"/>
      <c r="BN519" s="3" t="s">
        <v>2109</v>
      </c>
    </row>
    <row r="520" spans="2:66" ht="12.95" customHeight="1">
      <c r="B520" s="1679" t="s">
        <v>419</v>
      </c>
      <c r="C520" s="1451"/>
      <c r="D520" s="1451"/>
      <c r="E520" s="1451"/>
      <c r="F520" s="1451"/>
      <c r="G520" s="1451"/>
      <c r="H520" s="1452"/>
      <c r="I520" s="41" t="s">
        <v>420</v>
      </c>
      <c r="J520" s="42"/>
      <c r="K520" s="42"/>
      <c r="L520" s="42"/>
      <c r="M520" s="42"/>
      <c r="N520" s="42"/>
      <c r="O520" s="1752" t="s">
        <v>2689</v>
      </c>
      <c r="P520" s="1753"/>
      <c r="Q520" s="1753"/>
      <c r="R520" s="1753"/>
      <c r="S520" s="1753"/>
      <c r="T520" s="1753"/>
      <c r="U520" s="1753"/>
      <c r="V520" s="1753"/>
      <c r="W520" s="1753"/>
      <c r="X520" s="1753"/>
      <c r="Y520" s="1753"/>
      <c r="Z520" s="1753"/>
      <c r="AA520" s="1753"/>
      <c r="AB520" s="58"/>
      <c r="AC520" s="1356" t="s">
        <v>591</v>
      </c>
      <c r="AD520" s="1357"/>
      <c r="AE520" s="1357"/>
      <c r="AF520" s="1357"/>
      <c r="AG520" s="129" t="s">
        <v>403</v>
      </c>
      <c r="AH520" s="1421"/>
      <c r="AI520" s="1421"/>
      <c r="AJ520" s="1421"/>
      <c r="AK520" s="1422"/>
      <c r="AZ520" s="3"/>
      <c r="BB520" s="3"/>
      <c r="BC520" s="3"/>
      <c r="BD520" s="3"/>
      <c r="BE520" s="3"/>
      <c r="BF520" s="3"/>
      <c r="BG520" s="3"/>
      <c r="BH520" s="3"/>
      <c r="BI520" s="3"/>
      <c r="BJ520" s="3"/>
      <c r="BK520" s="3"/>
      <c r="BL520" s="3"/>
      <c r="BM520" s="3"/>
      <c r="BN520" s="3" t="s">
        <v>2110</v>
      </c>
    </row>
    <row r="521" spans="2:66" ht="12.95" customHeight="1">
      <c r="B521" s="1680"/>
      <c r="C521" s="1453"/>
      <c r="D521" s="1453"/>
      <c r="E521" s="1453"/>
      <c r="F521" s="1453"/>
      <c r="G521" s="1453"/>
      <c r="H521" s="1454"/>
      <c r="I521" s="114" t="s">
        <v>421</v>
      </c>
      <c r="AB521" s="65"/>
      <c r="AC521" s="1676" t="s">
        <v>591</v>
      </c>
      <c r="AD521" s="1677"/>
      <c r="AE521" s="1677"/>
      <c r="AF521" s="1677"/>
      <c r="AG521" s="13" t="s">
        <v>403</v>
      </c>
      <c r="AH521" s="1421"/>
      <c r="AI521" s="1421"/>
      <c r="AJ521" s="1421"/>
      <c r="AK521" s="1422"/>
      <c r="AZ521" s="3"/>
      <c r="BB521" s="3"/>
      <c r="BC521" s="3"/>
      <c r="BD521" s="3"/>
      <c r="BE521" s="3"/>
      <c r="BF521" s="3"/>
      <c r="BG521" s="3"/>
      <c r="BH521" s="3"/>
      <c r="BI521" s="3"/>
      <c r="BJ521" s="3"/>
      <c r="BK521" s="3"/>
      <c r="BL521" s="3"/>
      <c r="BM521" s="3"/>
      <c r="BN521" s="3" t="s">
        <v>2111</v>
      </c>
    </row>
    <row r="522" spans="2:66" ht="12.95" customHeight="1">
      <c r="B522" s="1680"/>
      <c r="C522" s="1453"/>
      <c r="D522" s="1453"/>
      <c r="E522" s="1453"/>
      <c r="F522" s="1453"/>
      <c r="G522" s="1453"/>
      <c r="H522" s="1454"/>
      <c r="I522" s="47" t="s">
        <v>422</v>
      </c>
      <c r="J522" s="48"/>
      <c r="K522" s="48"/>
      <c r="L522" s="48"/>
      <c r="M522" s="48"/>
      <c r="N522" s="48"/>
      <c r="O522" s="48"/>
      <c r="P522" s="48"/>
      <c r="Q522" s="48"/>
      <c r="R522" s="48"/>
      <c r="S522" s="48"/>
      <c r="T522" s="48"/>
      <c r="U522" s="48"/>
      <c r="V522" s="48"/>
      <c r="W522" s="48"/>
      <c r="X522" s="48"/>
      <c r="Y522" s="48"/>
      <c r="Z522" s="48"/>
      <c r="AA522" s="48"/>
      <c r="AB522" s="49"/>
      <c r="AC522" s="1676">
        <v>5</v>
      </c>
      <c r="AD522" s="1677"/>
      <c r="AE522" s="1677"/>
      <c r="AF522" s="1677"/>
      <c r="AG522" s="38" t="s">
        <v>403</v>
      </c>
      <c r="AH522" s="1421">
        <v>2026</v>
      </c>
      <c r="AI522" s="1421"/>
      <c r="AJ522" s="1421"/>
      <c r="AK522" s="1422"/>
      <c r="AZ522" s="3"/>
      <c r="BA522" s="3"/>
      <c r="BB522" s="3"/>
      <c r="BC522" s="3"/>
      <c r="BD522" s="3"/>
      <c r="BE522" s="3"/>
      <c r="BF522" s="3"/>
      <c r="BG522" s="3"/>
      <c r="BH522" s="3"/>
      <c r="BI522" s="3"/>
      <c r="BJ522" s="3"/>
      <c r="BK522" s="3"/>
      <c r="BL522" s="3"/>
      <c r="BM522" s="3"/>
      <c r="BN522" s="3" t="s">
        <v>2112</v>
      </c>
    </row>
    <row r="523" spans="2:66" ht="12.95" customHeight="1">
      <c r="B523" s="1680"/>
      <c r="C523" s="1453"/>
      <c r="D523" s="1453"/>
      <c r="E523" s="1453"/>
      <c r="F523" s="1453"/>
      <c r="G523" s="1453"/>
      <c r="H523" s="1454"/>
      <c r="I523" s="42" t="s">
        <v>423</v>
      </c>
      <c r="J523" s="42"/>
      <c r="K523" s="42"/>
      <c r="L523" s="42"/>
      <c r="M523" s="42"/>
      <c r="N523" s="42"/>
      <c r="O523" s="1752" t="s">
        <v>2693</v>
      </c>
      <c r="P523" s="1753"/>
      <c r="Q523" s="1753"/>
      <c r="R523" s="1753"/>
      <c r="S523" s="1753"/>
      <c r="T523" s="1753"/>
      <c r="U523" s="1753"/>
      <c r="V523" s="1753"/>
      <c r="W523" s="1753"/>
      <c r="X523" s="1753"/>
      <c r="Y523" s="1753"/>
      <c r="Z523" s="1753"/>
      <c r="AA523" s="1753"/>
      <c r="AC523" s="1676" t="s">
        <v>591</v>
      </c>
      <c r="AD523" s="1677"/>
      <c r="AE523" s="1677"/>
      <c r="AF523" s="1677"/>
      <c r="AG523" s="13" t="s">
        <v>403</v>
      </c>
      <c r="AH523" s="1421"/>
      <c r="AI523" s="1421"/>
      <c r="AJ523" s="1421"/>
      <c r="AK523" s="1422"/>
      <c r="AZ523" s="3"/>
      <c r="BA523" s="3"/>
      <c r="BB523" s="3"/>
      <c r="BC523" s="3"/>
      <c r="BD523" s="3"/>
      <c r="BE523" s="3"/>
      <c r="BF523" s="3"/>
      <c r="BG523" s="3"/>
      <c r="BH523" s="3"/>
      <c r="BI523" s="3"/>
      <c r="BJ523" s="3"/>
      <c r="BK523" s="3"/>
      <c r="BL523" s="3"/>
      <c r="BM523" s="3"/>
      <c r="BN523" s="3" t="s">
        <v>2113</v>
      </c>
    </row>
    <row r="524" spans="2:66" ht="12.95" customHeight="1">
      <c r="B524" s="1680"/>
      <c r="C524" s="1453"/>
      <c r="D524" s="1453"/>
      <c r="E524" s="1453"/>
      <c r="F524" s="1453"/>
      <c r="G524" s="1453"/>
      <c r="H524" s="1454"/>
      <c r="I524" t="s">
        <v>421</v>
      </c>
      <c r="AC524" s="1676" t="s">
        <v>591</v>
      </c>
      <c r="AD524" s="1677"/>
      <c r="AE524" s="1677"/>
      <c r="AF524" s="1677"/>
      <c r="AG524" s="13" t="s">
        <v>403</v>
      </c>
      <c r="AH524" s="1421"/>
      <c r="AI524" s="1421"/>
      <c r="AJ524" s="1421"/>
      <c r="AK524" s="1422"/>
      <c r="AZ524" s="3"/>
      <c r="BA524" s="3"/>
      <c r="BB524" s="3"/>
      <c r="BC524" s="3"/>
      <c r="BD524" s="3"/>
      <c r="BE524" s="3"/>
      <c r="BF524" s="3"/>
      <c r="BG524" s="3"/>
      <c r="BH524" s="3"/>
      <c r="BI524" s="3"/>
      <c r="BJ524" s="3"/>
      <c r="BK524" s="3"/>
      <c r="BL524" s="3"/>
      <c r="BM524" s="3"/>
      <c r="BN524" s="3" t="s">
        <v>2114</v>
      </c>
    </row>
    <row r="525" spans="2:66" ht="12.95" customHeight="1">
      <c r="B525" s="1680"/>
      <c r="C525" s="1453"/>
      <c r="D525" s="1453"/>
      <c r="E525" s="1453"/>
      <c r="F525" s="1453"/>
      <c r="G525" s="1453"/>
      <c r="H525" s="1454"/>
      <c r="I525" s="48" t="s">
        <v>422</v>
      </c>
      <c r="J525" s="48"/>
      <c r="K525" s="48"/>
      <c r="L525" s="48"/>
      <c r="M525" s="48"/>
      <c r="N525" s="48"/>
      <c r="O525" s="48"/>
      <c r="P525" s="48"/>
      <c r="Q525" s="48"/>
      <c r="R525" s="48"/>
      <c r="S525" s="48"/>
      <c r="T525" s="48"/>
      <c r="U525" s="48"/>
      <c r="V525" s="48"/>
      <c r="W525" s="48"/>
      <c r="X525" s="48"/>
      <c r="Y525" s="48"/>
      <c r="Z525" s="48"/>
      <c r="AA525" s="48"/>
      <c r="AB525" s="48"/>
      <c r="AC525" s="1676">
        <v>5</v>
      </c>
      <c r="AD525" s="1677"/>
      <c r="AE525" s="1677"/>
      <c r="AF525" s="1677"/>
      <c r="AG525" s="38" t="s">
        <v>403</v>
      </c>
      <c r="AH525" s="1421">
        <v>2026</v>
      </c>
      <c r="AI525" s="1421"/>
      <c r="AJ525" s="1421"/>
      <c r="AK525" s="1422"/>
      <c r="AZ525" s="3"/>
      <c r="BA525" s="3"/>
      <c r="BB525" s="3"/>
      <c r="BC525" s="3"/>
      <c r="BD525" s="3"/>
      <c r="BE525" s="3"/>
      <c r="BF525" s="3"/>
      <c r="BG525" s="3"/>
      <c r="BH525" s="3"/>
      <c r="BI525" s="3"/>
      <c r="BJ525" s="3"/>
      <c r="BK525" s="3"/>
      <c r="BL525" s="3"/>
      <c r="BM525" s="3"/>
      <c r="BN525" s="3" t="s">
        <v>2115</v>
      </c>
    </row>
    <row r="526" spans="2:66" ht="12.95" customHeight="1">
      <c r="B526" s="1680"/>
      <c r="C526" s="1453"/>
      <c r="D526" s="1453"/>
      <c r="E526" s="1453"/>
      <c r="F526" s="1453"/>
      <c r="G526" s="1453"/>
      <c r="H526" s="1454"/>
      <c r="I526" s="42" t="s">
        <v>423</v>
      </c>
      <c r="J526" s="42"/>
      <c r="K526" s="42"/>
      <c r="L526" s="42"/>
      <c r="M526" s="42"/>
      <c r="N526" s="42"/>
      <c r="O526" s="1752" t="s">
        <v>334</v>
      </c>
      <c r="P526" s="1753"/>
      <c r="Q526" s="1753"/>
      <c r="R526" s="1753"/>
      <c r="S526" s="1753"/>
      <c r="T526" s="1753"/>
      <c r="U526" s="1753"/>
      <c r="V526" s="1753"/>
      <c r="W526" s="1753"/>
      <c r="X526" s="1753"/>
      <c r="Y526" s="1753"/>
      <c r="Z526" s="1753"/>
      <c r="AA526" s="1753"/>
      <c r="AC526" s="1676" t="s">
        <v>591</v>
      </c>
      <c r="AD526" s="1677"/>
      <c r="AE526" s="1677"/>
      <c r="AF526" s="1677"/>
      <c r="AG526" s="13" t="s">
        <v>403</v>
      </c>
      <c r="AH526" s="1421"/>
      <c r="AI526" s="1421"/>
      <c r="AJ526" s="1421"/>
      <c r="AK526" s="1422"/>
      <c r="AZ526" s="3"/>
      <c r="BA526" s="3"/>
      <c r="BB526" s="3"/>
      <c r="BC526" s="3"/>
      <c r="BD526" s="3"/>
      <c r="BE526" s="3"/>
      <c r="BF526" s="3"/>
      <c r="BG526" s="3"/>
      <c r="BH526" s="3"/>
      <c r="BI526" s="3"/>
      <c r="BJ526" s="3"/>
      <c r="BK526" s="3"/>
      <c r="BL526" s="3"/>
      <c r="BM526" s="3"/>
      <c r="BN526" s="3" t="s">
        <v>2116</v>
      </c>
    </row>
    <row r="527" spans="2:66" ht="12.95" customHeight="1">
      <c r="B527" s="1680"/>
      <c r="C527" s="1453"/>
      <c r="D527" s="1453"/>
      <c r="E527" s="1453"/>
      <c r="F527" s="1453"/>
      <c r="G527" s="1453"/>
      <c r="H527" s="1454"/>
      <c r="I527" t="s">
        <v>421</v>
      </c>
      <c r="AC527" s="1676" t="s">
        <v>591</v>
      </c>
      <c r="AD527" s="1677"/>
      <c r="AE527" s="1677"/>
      <c r="AF527" s="1677"/>
      <c r="AG527" s="13" t="s">
        <v>403</v>
      </c>
      <c r="AH527" s="1421"/>
      <c r="AI527" s="1421"/>
      <c r="AJ527" s="1421"/>
      <c r="AK527" s="1422"/>
      <c r="AZ527" s="3"/>
      <c r="BA527" s="3"/>
      <c r="BB527" s="3"/>
      <c r="BC527" s="3"/>
      <c r="BD527" s="3"/>
      <c r="BE527" s="3"/>
      <c r="BF527" s="3"/>
      <c r="BG527" s="3"/>
      <c r="BH527" s="3"/>
      <c r="BI527" s="3"/>
      <c r="BJ527" s="3"/>
      <c r="BK527" s="3"/>
      <c r="BL527" s="3"/>
      <c r="BM527" s="3"/>
      <c r="BN527" s="3" t="s">
        <v>2117</v>
      </c>
    </row>
    <row r="528" spans="2:66" ht="12.95" customHeight="1">
      <c r="B528" s="1680"/>
      <c r="C528" s="1453"/>
      <c r="D528" s="1453"/>
      <c r="E528" s="1453"/>
      <c r="F528" s="1453"/>
      <c r="G528" s="1453"/>
      <c r="H528" s="1454"/>
      <c r="I528" s="48" t="s">
        <v>422</v>
      </c>
      <c r="J528" s="48"/>
      <c r="K528" s="48"/>
      <c r="L528" s="48"/>
      <c r="M528" s="48"/>
      <c r="N528" s="48"/>
      <c r="O528" s="48"/>
      <c r="P528" s="48"/>
      <c r="Q528" s="48"/>
      <c r="R528" s="48"/>
      <c r="S528" s="48"/>
      <c r="T528" s="48"/>
      <c r="U528" s="48"/>
      <c r="V528" s="48"/>
      <c r="W528" s="48"/>
      <c r="X528" s="48"/>
      <c r="Y528" s="48"/>
      <c r="Z528" s="48"/>
      <c r="AA528" s="48"/>
      <c r="AB528" s="48"/>
      <c r="AC528" s="1676" t="s">
        <v>591</v>
      </c>
      <c r="AD528" s="1677"/>
      <c r="AE528" s="1677"/>
      <c r="AF528" s="1677"/>
      <c r="AG528" s="38" t="s">
        <v>403</v>
      </c>
      <c r="AH528" s="1421"/>
      <c r="AI528" s="1421"/>
      <c r="AJ528" s="1421"/>
      <c r="AK528" s="1422"/>
      <c r="AZ528" s="3"/>
      <c r="BA528" s="3"/>
      <c r="BB528" s="3"/>
      <c r="BC528" s="3"/>
      <c r="BD528" s="3"/>
      <c r="BE528" s="3"/>
      <c r="BF528" s="3"/>
      <c r="BG528" s="3"/>
      <c r="BH528" s="3"/>
      <c r="BI528" s="3"/>
      <c r="BJ528" s="3"/>
      <c r="BK528" s="3"/>
      <c r="BL528" s="3"/>
      <c r="BM528" s="3"/>
      <c r="BN528" s="3" t="s">
        <v>2118</v>
      </c>
    </row>
    <row r="529" spans="1:66" ht="12.95" customHeight="1">
      <c r="B529" s="1680"/>
      <c r="C529" s="1453"/>
      <c r="D529" s="1453"/>
      <c r="E529" s="1453"/>
      <c r="F529" s="1453"/>
      <c r="G529" s="1453"/>
      <c r="H529" s="1454"/>
      <c r="I529" s="42" t="s">
        <v>423</v>
      </c>
      <c r="J529" s="42"/>
      <c r="K529" s="42"/>
      <c r="L529" s="42"/>
      <c r="M529" s="42"/>
      <c r="N529" s="42"/>
      <c r="O529" s="1752" t="s">
        <v>334</v>
      </c>
      <c r="P529" s="1753"/>
      <c r="Q529" s="1753"/>
      <c r="R529" s="1753"/>
      <c r="S529" s="1753"/>
      <c r="T529" s="1753"/>
      <c r="U529" s="1753"/>
      <c r="V529" s="1753"/>
      <c r="W529" s="1753"/>
      <c r="X529" s="1753"/>
      <c r="Y529" s="1753"/>
      <c r="Z529" s="1753"/>
      <c r="AA529" s="1753"/>
      <c r="AC529" s="1676" t="s">
        <v>591</v>
      </c>
      <c r="AD529" s="1677"/>
      <c r="AE529" s="1677"/>
      <c r="AF529" s="1677"/>
      <c r="AG529" s="13" t="s">
        <v>403</v>
      </c>
      <c r="AH529" s="1421"/>
      <c r="AI529" s="1421"/>
      <c r="AJ529" s="1421"/>
      <c r="AK529" s="1422"/>
      <c r="AZ529" s="3"/>
      <c r="BA529" s="3"/>
      <c r="BB529" s="3"/>
      <c r="BC529" s="3"/>
      <c r="BD529" s="3"/>
      <c r="BE529" s="3"/>
      <c r="BF529" s="3"/>
      <c r="BG529" s="3"/>
      <c r="BH529" s="3"/>
      <c r="BI529" s="3"/>
      <c r="BJ529" s="3"/>
      <c r="BK529" s="3"/>
      <c r="BL529" s="3"/>
      <c r="BM529" s="3"/>
      <c r="BN529" s="3" t="s">
        <v>2119</v>
      </c>
    </row>
    <row r="530" spans="1:66" ht="12.95" customHeight="1">
      <c r="B530" s="1680"/>
      <c r="C530" s="1453"/>
      <c r="D530" s="1453"/>
      <c r="E530" s="1453"/>
      <c r="F530" s="1453"/>
      <c r="G530" s="1453"/>
      <c r="H530" s="1454"/>
      <c r="I530" t="s">
        <v>421</v>
      </c>
      <c r="AC530" s="1676" t="s">
        <v>591</v>
      </c>
      <c r="AD530" s="1677"/>
      <c r="AE530" s="1677"/>
      <c r="AF530" s="1677"/>
      <c r="AG530" s="13" t="s">
        <v>403</v>
      </c>
      <c r="AH530" s="1421"/>
      <c r="AI530" s="1421"/>
      <c r="AJ530" s="1421"/>
      <c r="AK530" s="1422"/>
      <c r="AZ530" s="3"/>
      <c r="BA530" s="3"/>
      <c r="BB530" s="3"/>
      <c r="BC530" s="3"/>
      <c r="BD530" s="3"/>
      <c r="BE530" s="3"/>
      <c r="BF530" s="3"/>
      <c r="BG530" s="3"/>
      <c r="BH530" s="3"/>
      <c r="BI530" s="3"/>
      <c r="BJ530" s="3"/>
      <c r="BK530" s="3"/>
      <c r="BL530" s="3"/>
      <c r="BM530" s="3"/>
      <c r="BN530" s="3" t="s">
        <v>2120</v>
      </c>
    </row>
    <row r="531" spans="1:66" ht="12.95" customHeight="1">
      <c r="B531" s="1680"/>
      <c r="C531" s="1453"/>
      <c r="D531" s="1453"/>
      <c r="E531" s="1453"/>
      <c r="F531" s="1453"/>
      <c r="G531" s="1453"/>
      <c r="H531" s="1454"/>
      <c r="I531" s="48" t="s">
        <v>422</v>
      </c>
      <c r="J531" s="48"/>
      <c r="K531" s="48"/>
      <c r="L531" s="48"/>
      <c r="M531" s="48"/>
      <c r="N531" s="48"/>
      <c r="O531" s="48"/>
      <c r="P531" s="48"/>
      <c r="Q531" s="48"/>
      <c r="R531" s="48"/>
      <c r="S531" s="48"/>
      <c r="T531" s="48"/>
      <c r="U531" s="48"/>
      <c r="V531" s="48"/>
      <c r="W531" s="48"/>
      <c r="X531" s="48"/>
      <c r="Y531" s="48"/>
      <c r="Z531" s="48"/>
      <c r="AA531" s="48"/>
      <c r="AB531" s="48"/>
      <c r="AC531" s="1676" t="s">
        <v>591</v>
      </c>
      <c r="AD531" s="1677"/>
      <c r="AE531" s="1677"/>
      <c r="AF531" s="1677"/>
      <c r="AG531" s="38" t="s">
        <v>403</v>
      </c>
      <c r="AH531" s="1421"/>
      <c r="AI531" s="1421"/>
      <c r="AJ531" s="1421"/>
      <c r="AK531" s="1422"/>
      <c r="AZ531" s="3"/>
      <c r="BA531" s="3"/>
      <c r="BB531" s="3"/>
      <c r="BC531" s="3"/>
      <c r="BD531" s="3"/>
      <c r="BE531" s="3"/>
      <c r="BF531" s="3"/>
      <c r="BG531" s="3"/>
      <c r="BH531" s="3"/>
      <c r="BI531" s="3"/>
      <c r="BJ531" s="3"/>
      <c r="BK531" s="3"/>
      <c r="BL531" s="3"/>
      <c r="BM531" s="3"/>
      <c r="BN531" s="3" t="s">
        <v>2121</v>
      </c>
    </row>
    <row r="532" spans="1:66" ht="12.95" customHeight="1">
      <c r="B532" s="1680"/>
      <c r="C532" s="1453"/>
      <c r="D532" s="1453"/>
      <c r="E532" s="1453"/>
      <c r="F532" s="1453"/>
      <c r="G532" s="1453"/>
      <c r="H532" s="1454"/>
      <c r="I532" s="42" t="s">
        <v>423</v>
      </c>
      <c r="J532" s="42"/>
      <c r="K532" s="42"/>
      <c r="L532" s="42"/>
      <c r="M532" s="42"/>
      <c r="N532" s="42"/>
      <c r="O532" s="1752" t="s">
        <v>334</v>
      </c>
      <c r="P532" s="1753"/>
      <c r="Q532" s="1753"/>
      <c r="R532" s="1753"/>
      <c r="S532" s="1753"/>
      <c r="T532" s="1753"/>
      <c r="U532" s="1753"/>
      <c r="V532" s="1753"/>
      <c r="W532" s="1753"/>
      <c r="X532" s="1753"/>
      <c r="Y532" s="1753"/>
      <c r="Z532" s="1753"/>
      <c r="AA532" s="1753"/>
      <c r="AC532" s="1676" t="s">
        <v>591</v>
      </c>
      <c r="AD532" s="1677"/>
      <c r="AE532" s="1677"/>
      <c r="AF532" s="1677"/>
      <c r="AG532" s="13" t="s">
        <v>403</v>
      </c>
      <c r="AH532" s="1421"/>
      <c r="AI532" s="1421"/>
      <c r="AJ532" s="1421"/>
      <c r="AK532" s="1422"/>
      <c r="AZ532" s="3"/>
      <c r="BA532" s="3"/>
      <c r="BB532" s="3"/>
      <c r="BC532" s="3"/>
      <c r="BD532" s="3"/>
      <c r="BE532" s="3"/>
      <c r="BF532" s="3"/>
      <c r="BG532" s="3"/>
      <c r="BH532" s="3"/>
      <c r="BI532" s="3"/>
      <c r="BJ532" s="3"/>
      <c r="BK532" s="3"/>
      <c r="BL532" s="3"/>
      <c r="BM532" s="3"/>
      <c r="BN532" s="3" t="s">
        <v>2122</v>
      </c>
    </row>
    <row r="533" spans="1:66" ht="12.95" customHeight="1">
      <c r="B533" s="1680"/>
      <c r="C533" s="1453"/>
      <c r="D533" s="1453"/>
      <c r="E533" s="1453"/>
      <c r="F533" s="1453"/>
      <c r="G533" s="1453"/>
      <c r="H533" s="1454"/>
      <c r="I533" t="s">
        <v>421</v>
      </c>
      <c r="AC533" s="1676" t="s">
        <v>591</v>
      </c>
      <c r="AD533" s="1677"/>
      <c r="AE533" s="1677"/>
      <c r="AF533" s="1677"/>
      <c r="AG533" s="38" t="s">
        <v>403</v>
      </c>
      <c r="AH533" s="1421"/>
      <c r="AI533" s="1421"/>
      <c r="AJ533" s="1421"/>
      <c r="AK533" s="1422"/>
      <c r="AZ533" s="3"/>
      <c r="BA533" s="3"/>
      <c r="BB533" s="3"/>
      <c r="BC533" s="3"/>
      <c r="BD533" s="3"/>
      <c r="BE533" s="3"/>
      <c r="BF533" s="3"/>
      <c r="BG533" s="3"/>
      <c r="BH533" s="3"/>
      <c r="BI533" s="3"/>
      <c r="BJ533" s="3"/>
      <c r="BK533" s="3"/>
      <c r="BL533" s="3"/>
      <c r="BM533" s="3"/>
      <c r="BN533" s="3" t="s">
        <v>2123</v>
      </c>
    </row>
    <row r="534" spans="1:66" ht="12.95" customHeight="1">
      <c r="B534" s="1680"/>
      <c r="C534" s="1453"/>
      <c r="D534" s="1453"/>
      <c r="E534" s="1453"/>
      <c r="F534" s="1453"/>
      <c r="G534" s="1453"/>
      <c r="H534" s="1454"/>
      <c r="I534" s="48" t="s">
        <v>422</v>
      </c>
      <c r="J534" s="48"/>
      <c r="K534" s="48"/>
      <c r="L534" s="48"/>
      <c r="M534" s="48"/>
      <c r="N534" s="48"/>
      <c r="O534" s="48"/>
      <c r="P534" s="48"/>
      <c r="Q534" s="48"/>
      <c r="R534" s="48"/>
      <c r="S534" s="48"/>
      <c r="T534" s="48"/>
      <c r="U534" s="48"/>
      <c r="V534" s="48"/>
      <c r="W534" s="48"/>
      <c r="X534" s="48"/>
      <c r="Y534" s="48"/>
      <c r="Z534" s="48"/>
      <c r="AA534" s="48"/>
      <c r="AB534" s="48"/>
      <c r="AC534" s="1676" t="s">
        <v>591</v>
      </c>
      <c r="AD534" s="1677"/>
      <c r="AE534" s="1677"/>
      <c r="AF534" s="1677"/>
      <c r="AG534" s="13" t="s">
        <v>403</v>
      </c>
      <c r="AH534" s="1421"/>
      <c r="AI534" s="1421"/>
      <c r="AJ534" s="1421"/>
      <c r="AK534" s="1422"/>
      <c r="AZ534" s="3"/>
      <c r="BA534" s="3"/>
      <c r="BB534" s="3"/>
      <c r="BC534" s="3"/>
      <c r="BD534" s="3"/>
      <c r="BE534" s="3"/>
      <c r="BF534" s="3"/>
      <c r="BG534" s="3"/>
      <c r="BH534" s="3"/>
      <c r="BI534" s="3"/>
      <c r="BJ534" s="3"/>
      <c r="BK534" s="3"/>
      <c r="BL534" s="3"/>
      <c r="BM534" s="3"/>
      <c r="BN534" s="3" t="s">
        <v>2124</v>
      </c>
    </row>
    <row r="535" spans="1:66" ht="12.95" customHeight="1">
      <c r="B535" s="1680"/>
      <c r="C535" s="1453"/>
      <c r="D535" s="1453"/>
      <c r="E535" s="1453"/>
      <c r="F535" s="1453"/>
      <c r="G535" s="1453"/>
      <c r="H535" s="1454"/>
      <c r="I535" s="42" t="s">
        <v>423</v>
      </c>
      <c r="J535" s="42"/>
      <c r="K535" s="42"/>
      <c r="L535" s="42"/>
      <c r="M535" s="42"/>
      <c r="N535" s="42"/>
      <c r="O535" s="1752" t="s">
        <v>334</v>
      </c>
      <c r="P535" s="1753"/>
      <c r="Q535" s="1753"/>
      <c r="R535" s="1753"/>
      <c r="S535" s="1753"/>
      <c r="T535" s="1753"/>
      <c r="U535" s="1753"/>
      <c r="V535" s="1753"/>
      <c r="W535" s="1753"/>
      <c r="X535" s="1753"/>
      <c r="Y535" s="1753"/>
      <c r="Z535" s="1753"/>
      <c r="AA535" s="1753"/>
      <c r="AC535" s="1676" t="s">
        <v>591</v>
      </c>
      <c r="AD535" s="1677"/>
      <c r="AE535" s="1677"/>
      <c r="AF535" s="1677"/>
      <c r="AG535" s="38" t="s">
        <v>403</v>
      </c>
      <c r="AH535" s="1421"/>
      <c r="AI535" s="1421"/>
      <c r="AJ535" s="1421"/>
      <c r="AK535" s="1422"/>
      <c r="AZ535" s="3"/>
      <c r="BA535" s="3"/>
      <c r="BB535" s="3"/>
      <c r="BC535" s="3"/>
      <c r="BD535" s="3"/>
      <c r="BE535" s="3"/>
      <c r="BF535" s="3"/>
      <c r="BG535" s="3"/>
      <c r="BH535" s="3"/>
      <c r="BI535" s="3"/>
      <c r="BJ535" s="3"/>
      <c r="BK535" s="3"/>
      <c r="BL535" s="3"/>
      <c r="BM535" s="3"/>
      <c r="BN535" s="3" t="s">
        <v>2125</v>
      </c>
    </row>
    <row r="536" spans="1:66" ht="12.95" customHeight="1">
      <c r="B536" s="1680"/>
      <c r="C536" s="1453"/>
      <c r="D536" s="1453"/>
      <c r="E536" s="1453"/>
      <c r="F536" s="1453"/>
      <c r="G536" s="1453"/>
      <c r="H536" s="1454"/>
      <c r="I536" t="s">
        <v>421</v>
      </c>
      <c r="AC536" s="1676" t="s">
        <v>591</v>
      </c>
      <c r="AD536" s="1677"/>
      <c r="AE536" s="1677"/>
      <c r="AF536" s="1677"/>
      <c r="AG536" s="13" t="s">
        <v>403</v>
      </c>
      <c r="AH536" s="1421"/>
      <c r="AI536" s="1421"/>
      <c r="AJ536" s="1421"/>
      <c r="AK536" s="1422"/>
      <c r="AZ536" s="3"/>
      <c r="BA536" s="3"/>
      <c r="BB536" s="3"/>
      <c r="BC536" s="3"/>
      <c r="BD536" s="3"/>
      <c r="BE536" s="3"/>
      <c r="BF536" s="3"/>
      <c r="BG536" s="3"/>
      <c r="BH536" s="3"/>
      <c r="BI536" s="3"/>
      <c r="BJ536" s="3"/>
      <c r="BK536" s="3"/>
      <c r="BL536" s="3"/>
      <c r="BM536" s="3"/>
      <c r="BN536" s="3" t="s">
        <v>2126</v>
      </c>
    </row>
    <row r="537" spans="1:66" ht="12.95" customHeight="1">
      <c r="B537" s="1680"/>
      <c r="C537" s="1453"/>
      <c r="D537" s="1453"/>
      <c r="E537" s="1453"/>
      <c r="F537" s="1453"/>
      <c r="G537" s="1453"/>
      <c r="H537" s="1454"/>
      <c r="I537" s="48" t="s">
        <v>422</v>
      </c>
      <c r="J537" s="48"/>
      <c r="K537" s="48"/>
      <c r="L537" s="48"/>
      <c r="M537" s="48"/>
      <c r="N537" s="48"/>
      <c r="O537" s="48"/>
      <c r="P537" s="48"/>
      <c r="Q537" s="48"/>
      <c r="R537" s="48"/>
      <c r="S537" s="48"/>
      <c r="T537" s="48"/>
      <c r="U537" s="48"/>
      <c r="V537" s="48"/>
      <c r="W537" s="48"/>
      <c r="X537" s="48"/>
      <c r="Y537" s="48"/>
      <c r="Z537" s="48"/>
      <c r="AA537" s="48"/>
      <c r="AB537" s="48"/>
      <c r="AC537" s="1676" t="s">
        <v>591</v>
      </c>
      <c r="AD537" s="1677"/>
      <c r="AE537" s="1677"/>
      <c r="AF537" s="1677"/>
      <c r="AG537" s="38" t="s">
        <v>403</v>
      </c>
      <c r="AH537" s="1421"/>
      <c r="AI537" s="1421"/>
      <c r="AJ537" s="1421"/>
      <c r="AK537" s="1422"/>
      <c r="AZ537" s="3"/>
      <c r="BA537" s="3"/>
      <c r="BB537" s="3"/>
      <c r="BC537" s="3"/>
      <c r="BD537" s="3"/>
      <c r="BE537" s="3"/>
      <c r="BF537" s="3"/>
      <c r="BG537" s="3"/>
      <c r="BH537" s="3"/>
      <c r="BI537" s="3"/>
      <c r="BJ537" s="3"/>
      <c r="BK537" s="3"/>
      <c r="BL537" s="3"/>
      <c r="BM537" s="3"/>
      <c r="BN537" s="3" t="s">
        <v>2127</v>
      </c>
    </row>
    <row r="538" spans="1:66" ht="12.95" customHeight="1">
      <c r="B538" s="1680"/>
      <c r="C538" s="1453"/>
      <c r="D538" s="1453"/>
      <c r="E538" s="1453"/>
      <c r="F538" s="1453"/>
      <c r="G538" s="1453"/>
      <c r="H538" s="1454"/>
      <c r="I538" s="42" t="s">
        <v>562</v>
      </c>
      <c r="J538" s="42"/>
      <c r="K538" s="42"/>
      <c r="L538" s="42"/>
      <c r="M538" s="42"/>
      <c r="N538" s="42"/>
      <c r="O538" s="42"/>
      <c r="P538" s="42"/>
      <c r="Q538" s="42"/>
      <c r="R538" s="42"/>
      <c r="S538" s="42"/>
      <c r="T538" s="42"/>
      <c r="U538" s="42"/>
      <c r="V538" s="42"/>
      <c r="W538" s="42"/>
      <c r="AC538" s="1676">
        <v>7</v>
      </c>
      <c r="AD538" s="1677"/>
      <c r="AE538" s="1677"/>
      <c r="AF538" s="1677"/>
      <c r="AG538" s="38" t="s">
        <v>403</v>
      </c>
      <c r="AH538" s="1421">
        <v>2026</v>
      </c>
      <c r="AI538" s="1421"/>
      <c r="AJ538" s="1421"/>
      <c r="AK538" s="1422"/>
      <c r="AZ538" s="3"/>
      <c r="BA538" s="3"/>
      <c r="BB538" s="3"/>
      <c r="BC538" s="3"/>
      <c r="BD538" s="3"/>
      <c r="BE538" s="3"/>
      <c r="BF538" s="3"/>
      <c r="BG538" s="3"/>
      <c r="BH538" s="3"/>
      <c r="BI538" s="3"/>
      <c r="BJ538" s="3"/>
      <c r="BK538" s="3"/>
      <c r="BL538" s="3"/>
      <c r="BM538" s="3"/>
      <c r="BN538" s="3"/>
    </row>
    <row r="539" spans="1:66" ht="12.95" customHeight="1">
      <c r="B539" s="1680"/>
      <c r="C539" s="1453"/>
      <c r="D539" s="1453"/>
      <c r="E539" s="1453"/>
      <c r="F539" s="1453"/>
      <c r="G539" s="1453"/>
      <c r="H539" s="1454"/>
      <c r="I539" t="s">
        <v>563</v>
      </c>
      <c r="AC539" s="1676">
        <v>5</v>
      </c>
      <c r="AD539" s="1677"/>
      <c r="AE539" s="1677"/>
      <c r="AF539" s="1677"/>
      <c r="AG539" s="13" t="s">
        <v>403</v>
      </c>
      <c r="AH539" s="1421">
        <v>2026</v>
      </c>
      <c r="AI539" s="1421"/>
      <c r="AJ539" s="1421"/>
      <c r="AK539" s="1422"/>
      <c r="AZ539" s="3"/>
      <c r="BA539" s="3"/>
      <c r="BB539" s="3"/>
      <c r="BC539" s="3"/>
      <c r="BD539" s="3"/>
      <c r="BE539" s="3"/>
      <c r="BF539" s="3"/>
      <c r="BG539" s="3"/>
      <c r="BH539" s="3"/>
      <c r="BI539" s="3"/>
      <c r="BJ539" s="3"/>
      <c r="BK539" s="3"/>
      <c r="BL539" s="3"/>
      <c r="BM539" s="3"/>
      <c r="BN539" s="3"/>
    </row>
    <row r="540" spans="1:66" ht="12.95" customHeight="1">
      <c r="B540" s="1680"/>
      <c r="C540" s="1453"/>
      <c r="D540" s="1453"/>
      <c r="E540" s="1453"/>
      <c r="F540" s="1453"/>
      <c r="G540" s="1453"/>
      <c r="H540" s="1454"/>
      <c r="I540" t="s">
        <v>564</v>
      </c>
      <c r="AC540" s="1676">
        <v>5</v>
      </c>
      <c r="AD540" s="1677"/>
      <c r="AE540" s="1677"/>
      <c r="AF540" s="1677"/>
      <c r="AG540" s="38" t="s">
        <v>403</v>
      </c>
      <c r="AH540" s="1421">
        <v>2027</v>
      </c>
      <c r="AI540" s="1421"/>
      <c r="AJ540" s="1421"/>
      <c r="AK540" s="1422"/>
      <c r="AZ540" s="3"/>
      <c r="BA540" s="3"/>
      <c r="BB540" s="3"/>
      <c r="BC540" s="3"/>
      <c r="BD540" s="3"/>
      <c r="BE540" s="3"/>
      <c r="BF540" s="3"/>
      <c r="BG540" s="3"/>
      <c r="BH540" s="3"/>
      <c r="BI540" s="3"/>
      <c r="BJ540" s="3"/>
      <c r="BK540" s="3"/>
      <c r="BL540" s="3"/>
      <c r="BM540" s="3"/>
      <c r="BN540" s="3"/>
    </row>
    <row r="541" spans="1:66" ht="12.95" customHeight="1">
      <c r="B541" s="1680"/>
      <c r="C541" s="1453"/>
      <c r="D541" s="1453"/>
      <c r="E541" s="1453"/>
      <c r="F541" s="1453"/>
      <c r="G541" s="1453"/>
      <c r="H541" s="1454"/>
      <c r="I541" t="s">
        <v>565</v>
      </c>
      <c r="AC541" s="1676">
        <v>5</v>
      </c>
      <c r="AD541" s="1677"/>
      <c r="AE541" s="1677"/>
      <c r="AF541" s="1677"/>
      <c r="AG541" s="38" t="s">
        <v>403</v>
      </c>
      <c r="AH541" s="1421">
        <v>2027</v>
      </c>
      <c r="AI541" s="1421"/>
      <c r="AJ541" s="1421"/>
      <c r="AK541" s="1422"/>
      <c r="AZ541" s="3"/>
      <c r="BA541" s="3"/>
      <c r="BB541" s="3"/>
      <c r="BC541" s="3"/>
      <c r="BD541" s="3"/>
      <c r="BE541" s="3"/>
      <c r="BF541" s="3"/>
      <c r="BG541" s="3"/>
      <c r="BH541" s="3"/>
      <c r="BI541" s="3"/>
      <c r="BJ541" s="3"/>
      <c r="BK541" s="3"/>
      <c r="BL541" s="3"/>
      <c r="BM541" s="3"/>
      <c r="BN541" s="3"/>
    </row>
    <row r="542" spans="1:66" ht="12.95" customHeight="1">
      <c r="B542" s="1681"/>
      <c r="C542" s="1455"/>
      <c r="D542" s="1455"/>
      <c r="E542" s="1455"/>
      <c r="F542" s="1455"/>
      <c r="G542" s="1455"/>
      <c r="H542" s="1456"/>
      <c r="I542" s="48" t="s">
        <v>451</v>
      </c>
      <c r="J542" s="48"/>
      <c r="K542" s="48"/>
      <c r="L542" s="48"/>
      <c r="M542" s="48"/>
      <c r="N542" s="48"/>
      <c r="O542" s="48"/>
      <c r="P542" s="48"/>
      <c r="Q542" s="48"/>
      <c r="R542" s="48"/>
      <c r="S542" s="48"/>
      <c r="T542" s="48"/>
      <c r="U542" s="48"/>
      <c r="V542" s="48"/>
      <c r="W542" s="48"/>
      <c r="X542" s="48"/>
      <c r="Y542" s="48"/>
      <c r="Z542" s="48"/>
      <c r="AA542" s="48"/>
      <c r="AB542" s="48"/>
      <c r="AC542" s="1676">
        <v>7</v>
      </c>
      <c r="AD542" s="1677"/>
      <c r="AE542" s="1677"/>
      <c r="AF542" s="167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9" t="s">
        <v>2101</v>
      </c>
      <c r="C551" s="1451"/>
      <c r="D551" s="1451"/>
      <c r="E551" s="1451"/>
      <c r="F551" s="1451"/>
      <c r="G551" s="1451"/>
      <c r="H551" s="1451"/>
      <c r="I551" s="1451"/>
      <c r="J551" s="1451"/>
      <c r="K551" s="1451"/>
      <c r="L551" s="1452"/>
      <c r="M551" s="1679" t="s">
        <v>2102</v>
      </c>
      <c r="N551" s="1451"/>
      <c r="O551" s="1451"/>
      <c r="P551" s="1452"/>
      <c r="Q551" s="1679" t="s">
        <v>2128</v>
      </c>
      <c r="R551" s="1451"/>
      <c r="S551" s="1452"/>
      <c r="T551" s="1679" t="s">
        <v>2129</v>
      </c>
      <c r="U551" s="1451"/>
      <c r="V551" s="1452"/>
      <c r="W551" s="1679" t="s">
        <v>453</v>
      </c>
      <c r="X551" s="1451"/>
      <c r="Y551" s="1452"/>
      <c r="Z551" s="1679" t="s">
        <v>1850</v>
      </c>
      <c r="AA551" s="1451"/>
      <c r="AB551" s="1451"/>
      <c r="AC551" s="1451"/>
      <c r="AD551" s="1452"/>
      <c r="AE551" s="1679" t="s">
        <v>1675</v>
      </c>
      <c r="AF551" s="1451"/>
      <c r="AG551" s="1451"/>
      <c r="AH551" s="1452"/>
      <c r="AI551" s="1679" t="s">
        <v>1676</v>
      </c>
      <c r="AJ551" s="1451"/>
      <c r="AK551" s="1451"/>
      <c r="AL551" s="1452"/>
      <c r="AM551" s="1679" t="s">
        <v>454</v>
      </c>
      <c r="AN551" s="1451"/>
      <c r="AO551" s="1451"/>
      <c r="AP551" s="1451"/>
      <c r="AQ551" s="1451"/>
      <c r="AR551" s="1451"/>
      <c r="AS551" s="1452"/>
      <c r="BB551" s="3"/>
      <c r="BC551" s="3"/>
      <c r="BD551" s="3"/>
      <c r="BE551" s="3"/>
      <c r="BF551" s="3"/>
      <c r="BG551" s="3"/>
      <c r="BH551" s="3" t="s">
        <v>581</v>
      </c>
      <c r="BI551" s="3" t="str">
        <f>AG657</f>
        <v>Yes</v>
      </c>
    </row>
    <row r="552" spans="1:61" ht="12.95" customHeight="1">
      <c r="B552" s="1680"/>
      <c r="C552" s="1453"/>
      <c r="D552" s="1453"/>
      <c r="E552" s="1453"/>
      <c r="F552" s="1453"/>
      <c r="G552" s="1453"/>
      <c r="H552" s="1453"/>
      <c r="I552" s="1453"/>
      <c r="J552" s="1453"/>
      <c r="K552" s="1453"/>
      <c r="L552" s="1454"/>
      <c r="M552" s="1680"/>
      <c r="N552" s="1453"/>
      <c r="O552" s="1453"/>
      <c r="P552" s="1454"/>
      <c r="Q552" s="1680"/>
      <c r="R552" s="1453"/>
      <c r="S552" s="1454"/>
      <c r="T552" s="1680"/>
      <c r="U552" s="1453"/>
      <c r="V552" s="1454"/>
      <c r="W552" s="1680"/>
      <c r="X552" s="1453"/>
      <c r="Y552" s="1454"/>
      <c r="Z552" s="1680"/>
      <c r="AA552" s="1453"/>
      <c r="AB552" s="1453"/>
      <c r="AC552" s="1453"/>
      <c r="AD552" s="1454"/>
      <c r="AE552" s="1680"/>
      <c r="AF552" s="1453"/>
      <c r="AG552" s="1453"/>
      <c r="AH552" s="1454"/>
      <c r="AI552" s="1680"/>
      <c r="AJ552" s="1453"/>
      <c r="AK552" s="1453"/>
      <c r="AL552" s="1454"/>
      <c r="AM552" s="1680"/>
      <c r="AN552" s="1453"/>
      <c r="AO552" s="1453"/>
      <c r="AP552" s="1453"/>
      <c r="AQ552" s="1453"/>
      <c r="AR552" s="1453"/>
      <c r="AS552" s="1454"/>
      <c r="AU552" s="1147"/>
      <c r="BB552" s="3"/>
      <c r="BC552" s="3"/>
      <c r="BD552" s="3"/>
      <c r="BE552" s="3"/>
      <c r="BF552" s="3"/>
      <c r="BG552" s="3"/>
      <c r="BH552" s="3"/>
      <c r="BI552" s="3"/>
    </row>
    <row r="553" spans="1:61" ht="12.95" customHeight="1">
      <c r="B553" s="1681"/>
      <c r="C553" s="1455"/>
      <c r="D553" s="1455"/>
      <c r="E553" s="1455"/>
      <c r="F553" s="1455"/>
      <c r="G553" s="1455"/>
      <c r="H553" s="1455"/>
      <c r="I553" s="1455"/>
      <c r="J553" s="1455"/>
      <c r="K553" s="1455"/>
      <c r="L553" s="1456"/>
      <c r="M553" s="1681"/>
      <c r="N553" s="1455"/>
      <c r="O553" s="1455"/>
      <c r="P553" s="1456"/>
      <c r="Q553" s="1681"/>
      <c r="R553" s="1455"/>
      <c r="S553" s="1456"/>
      <c r="T553" s="1681"/>
      <c r="U553" s="1455"/>
      <c r="V553" s="1456"/>
      <c r="W553" s="1681"/>
      <c r="X553" s="1455"/>
      <c r="Y553" s="1456"/>
      <c r="Z553" s="1681"/>
      <c r="AA553" s="1455"/>
      <c r="AB553" s="1455"/>
      <c r="AC553" s="1455"/>
      <c r="AD553" s="1456"/>
      <c r="AE553" s="1681"/>
      <c r="AF553" s="1455"/>
      <c r="AG553" s="1455"/>
      <c r="AH553" s="1456"/>
      <c r="AI553" s="1681"/>
      <c r="AJ553" s="1455"/>
      <c r="AK553" s="1455"/>
      <c r="AL553" s="1456"/>
      <c r="AM553" s="1681"/>
      <c r="AN553" s="1455"/>
      <c r="AO553" s="1455"/>
      <c r="AP553" s="1455"/>
      <c r="AQ553" s="1455"/>
      <c r="AR553" s="1455"/>
      <c r="AS553" s="1456"/>
      <c r="AU553" s="1147"/>
      <c r="BB553" s="3"/>
      <c r="BC553" s="3"/>
      <c r="BD553" s="3"/>
      <c r="BE553" s="3"/>
      <c r="BF553" s="3"/>
      <c r="BG553" s="3"/>
      <c r="BH553" s="3"/>
      <c r="BI553" s="3"/>
    </row>
    <row r="554" spans="1:61" ht="12.95" customHeight="1">
      <c r="B554" s="51" t="s">
        <v>112</v>
      </c>
      <c r="C554" s="1350" t="s">
        <v>2763</v>
      </c>
      <c r="D554" s="1350"/>
      <c r="E554" s="1350"/>
      <c r="F554" s="1350"/>
      <c r="G554" s="1350"/>
      <c r="H554" s="1350"/>
      <c r="I554" s="1350"/>
      <c r="J554" s="1350"/>
      <c r="K554" s="1350"/>
      <c r="L554" s="1350"/>
      <c r="M554" s="1350" t="s">
        <v>2118</v>
      </c>
      <c r="N554" s="1350"/>
      <c r="O554" s="1350"/>
      <c r="P554" s="1350"/>
      <c r="Q554" s="1347">
        <v>18</v>
      </c>
      <c r="R554" s="1347"/>
      <c r="S554" s="1348"/>
      <c r="T554" s="1346">
        <v>18</v>
      </c>
      <c r="U554" s="1347"/>
      <c r="V554" s="1348"/>
      <c r="W554" s="1333">
        <v>6.2600000000000003E-2</v>
      </c>
      <c r="X554" s="1334"/>
      <c r="Y554" s="1335"/>
      <c r="Z554" s="1336" t="s">
        <v>2738</v>
      </c>
      <c r="AA554" s="1336"/>
      <c r="AB554" s="1336"/>
      <c r="AC554" s="1336"/>
      <c r="AD554" s="1336"/>
      <c r="AE554" s="1343">
        <v>1</v>
      </c>
      <c r="AF554" s="1344"/>
      <c r="AG554" s="1344"/>
      <c r="AH554" s="1345"/>
      <c r="AI554" s="1340"/>
      <c r="AJ554" s="1341"/>
      <c r="AK554" s="1341"/>
      <c r="AL554" s="1342"/>
      <c r="AM554" s="1337">
        <v>9812428</v>
      </c>
      <c r="AN554" s="1338"/>
      <c r="AO554" s="1338"/>
      <c r="AP554" s="1338"/>
      <c r="AQ554" s="1338"/>
      <c r="AR554" s="1338"/>
      <c r="AS554" s="1339"/>
      <c r="AT554" s="1148"/>
      <c r="AU554" s="1147"/>
      <c r="BB554" s="3"/>
      <c r="BC554" s="3"/>
      <c r="BD554" s="3"/>
      <c r="BE554" s="3"/>
      <c r="BF554" s="3"/>
      <c r="BG554" s="3"/>
      <c r="BH554" s="3"/>
      <c r="BI554" s="3"/>
    </row>
    <row r="555" spans="1:61" ht="12.95" customHeight="1">
      <c r="B555" s="52" t="s">
        <v>113</v>
      </c>
      <c r="C555" s="1349" t="s">
        <v>2764</v>
      </c>
      <c r="D555" s="1349"/>
      <c r="E555" s="1349"/>
      <c r="F555" s="1349"/>
      <c r="G555" s="1349"/>
      <c r="H555" s="1349"/>
      <c r="I555" s="1349"/>
      <c r="J555" s="1349"/>
      <c r="K555" s="1349"/>
      <c r="L555" s="1349"/>
      <c r="M555" s="1350" t="s">
        <v>2117</v>
      </c>
      <c r="N555" s="1350"/>
      <c r="O555" s="1350"/>
      <c r="P555" s="1350"/>
      <c r="Q555" s="1346">
        <v>18</v>
      </c>
      <c r="R555" s="1347"/>
      <c r="S555" s="1348"/>
      <c r="T555" s="1346">
        <v>18</v>
      </c>
      <c r="U555" s="1347"/>
      <c r="V555" s="1348"/>
      <c r="W555" s="1333">
        <v>6.8000000000000005E-2</v>
      </c>
      <c r="X555" s="1334"/>
      <c r="Y555" s="1335"/>
      <c r="Z555" s="1336" t="s">
        <v>2738</v>
      </c>
      <c r="AA555" s="1336"/>
      <c r="AB555" s="1336"/>
      <c r="AC555" s="1336"/>
      <c r="AD555" s="1336"/>
      <c r="AE555" s="1343">
        <v>1</v>
      </c>
      <c r="AF555" s="1344"/>
      <c r="AG555" s="1344"/>
      <c r="AH555" s="1345"/>
      <c r="AI555" s="1340"/>
      <c r="AJ555" s="1341"/>
      <c r="AK555" s="1341"/>
      <c r="AL555" s="1342"/>
      <c r="AM555" s="1337">
        <v>1162288</v>
      </c>
      <c r="AN555" s="1338"/>
      <c r="AO555" s="1338"/>
      <c r="AP555" s="1338"/>
      <c r="AQ555" s="1338"/>
      <c r="AR555" s="1338"/>
      <c r="AS555" s="1339"/>
      <c r="AT555" s="1148" t="str">
        <f>IF(AND(NOT(C554=""),C555="",NOT(C556="")),"!","")</f>
        <v/>
      </c>
      <c r="AU555" s="1147"/>
      <c r="BB555" s="3"/>
      <c r="BC555" s="3"/>
      <c r="BD555" s="3"/>
      <c r="BE555" s="3"/>
      <c r="BF555" s="3"/>
      <c r="BG555" s="3"/>
      <c r="BH555" s="3"/>
      <c r="BI555" s="3"/>
    </row>
    <row r="556" spans="1:61" ht="12.95" customHeight="1">
      <c r="B556" s="52" t="s">
        <v>119</v>
      </c>
      <c r="C556" s="1349" t="s">
        <v>2765</v>
      </c>
      <c r="D556" s="1349"/>
      <c r="E556" s="1349"/>
      <c r="F556" s="1349"/>
      <c r="G556" s="1349"/>
      <c r="H556" s="1349"/>
      <c r="I556" s="1349"/>
      <c r="J556" s="1349"/>
      <c r="K556" s="1349"/>
      <c r="L556" s="1349"/>
      <c r="M556" s="1350" t="s">
        <v>2119</v>
      </c>
      <c r="N556" s="1350"/>
      <c r="O556" s="1350"/>
      <c r="P556" s="1350"/>
      <c r="Q556" s="1346">
        <v>18</v>
      </c>
      <c r="R556" s="1347"/>
      <c r="S556" s="1348"/>
      <c r="T556" s="1346">
        <v>18</v>
      </c>
      <c r="U556" s="1347"/>
      <c r="V556" s="1348"/>
      <c r="W556" s="1333">
        <f>W554</f>
        <v>6.2600000000000003E-2</v>
      </c>
      <c r="X556" s="1334"/>
      <c r="Y556" s="1335"/>
      <c r="Z556" s="1336" t="s">
        <v>2738</v>
      </c>
      <c r="AA556" s="1336"/>
      <c r="AB556" s="1336"/>
      <c r="AC556" s="1336"/>
      <c r="AD556" s="1336"/>
      <c r="AE556" s="1343">
        <v>1</v>
      </c>
      <c r="AF556" s="1344"/>
      <c r="AG556" s="1344"/>
      <c r="AH556" s="1345"/>
      <c r="AI556" s="1340"/>
      <c r="AJ556" s="1341"/>
      <c r="AK556" s="1341"/>
      <c r="AL556" s="1342"/>
      <c r="AM556" s="1337">
        <v>2824516</v>
      </c>
      <c r="AN556" s="1338"/>
      <c r="AO556" s="1338"/>
      <c r="AP556" s="1338"/>
      <c r="AQ556" s="1338"/>
      <c r="AR556" s="1338"/>
      <c r="AS556" s="1339"/>
      <c r="AT556" s="1148" t="str">
        <f>IF(AND(NOT(C555=""),C556="",NOT(C557="")),"!","")</f>
        <v/>
      </c>
      <c r="AU556" s="1147"/>
      <c r="BB556" s="3"/>
      <c r="BC556" s="3"/>
      <c r="BD556" s="3"/>
      <c r="BE556" s="3"/>
      <c r="BF556" s="3"/>
      <c r="BG556" s="3"/>
      <c r="BH556" s="3"/>
      <c r="BI556" s="3"/>
    </row>
    <row r="557" spans="1:61" ht="12.95" customHeight="1">
      <c r="B557" s="52" t="s">
        <v>581</v>
      </c>
      <c r="C557" s="1349" t="s">
        <v>2724</v>
      </c>
      <c r="D557" s="1349"/>
      <c r="E557" s="1349"/>
      <c r="F557" s="1349"/>
      <c r="G557" s="1349"/>
      <c r="H557" s="1349"/>
      <c r="I557" s="1349"/>
      <c r="J557" s="1349"/>
      <c r="K557" s="1349"/>
      <c r="L557" s="1349"/>
      <c r="M557" s="1350" t="s">
        <v>2115</v>
      </c>
      <c r="N557" s="1350"/>
      <c r="O557" s="1350"/>
      <c r="P557" s="1350"/>
      <c r="Q557" s="1346">
        <v>18</v>
      </c>
      <c r="R557" s="1347"/>
      <c r="S557" s="1348"/>
      <c r="T557" s="1346">
        <v>18</v>
      </c>
      <c r="U557" s="1347"/>
      <c r="V557" s="1348"/>
      <c r="W557" s="1333">
        <v>5.0799999999999998E-2</v>
      </c>
      <c r="X557" s="1334"/>
      <c r="Y557" s="1335"/>
      <c r="Z557" s="1336" t="s">
        <v>2739</v>
      </c>
      <c r="AA557" s="1336"/>
      <c r="AB557" s="1336"/>
      <c r="AC557" s="1336"/>
      <c r="AD557" s="1336"/>
      <c r="AE557" s="1343">
        <v>4</v>
      </c>
      <c r="AF557" s="1344"/>
      <c r="AG557" s="1344"/>
      <c r="AH557" s="1345"/>
      <c r="AI557" s="1340"/>
      <c r="AJ557" s="1341"/>
      <c r="AK557" s="1341"/>
      <c r="AL557" s="1342"/>
      <c r="AM557" s="1337">
        <v>7943457</v>
      </c>
      <c r="AN557" s="1338"/>
      <c r="AO557" s="1338"/>
      <c r="AP557" s="1338"/>
      <c r="AQ557" s="1338"/>
      <c r="AR557" s="1338"/>
      <c r="AS557" s="1339"/>
      <c r="AT557" s="1148" t="str">
        <f>IF(AND(NOT(C556=""),C557="",NOT(C558="")),"!","")</f>
        <v/>
      </c>
      <c r="AU557" s="1147"/>
      <c r="BB557" s="3"/>
      <c r="BC557" s="3"/>
      <c r="BD557" s="3"/>
      <c r="BE557" s="3"/>
      <c r="BF557" s="3"/>
      <c r="BG557" s="3"/>
      <c r="BH557" s="3"/>
      <c r="BI557" s="3"/>
    </row>
    <row r="558" spans="1:61" ht="12.95" customHeight="1">
      <c r="B558" s="52" t="s">
        <v>763</v>
      </c>
      <c r="C558" s="1349" t="s">
        <v>2740</v>
      </c>
      <c r="D558" s="1349"/>
      <c r="E558" s="1349"/>
      <c r="F558" s="1349"/>
      <c r="G558" s="1349"/>
      <c r="H558" s="1349"/>
      <c r="I558" s="1349"/>
      <c r="J558" s="1349"/>
      <c r="K558" s="1349"/>
      <c r="L558" s="1349"/>
      <c r="M558" s="1350" t="s">
        <v>2114</v>
      </c>
      <c r="N558" s="1350"/>
      <c r="O558" s="1350"/>
      <c r="P558" s="1350"/>
      <c r="Q558" s="1346">
        <v>18</v>
      </c>
      <c r="R558" s="1347"/>
      <c r="S558" s="1348"/>
      <c r="T558" s="1346">
        <v>18</v>
      </c>
      <c r="U558" s="1347"/>
      <c r="V558" s="1348"/>
      <c r="W558" s="1333">
        <v>5.0799999999999998E-2</v>
      </c>
      <c r="X558" s="1334"/>
      <c r="Y558" s="1335"/>
      <c r="Z558" s="1336" t="s">
        <v>2739</v>
      </c>
      <c r="AA558" s="1336"/>
      <c r="AB558" s="1336"/>
      <c r="AC558" s="1336"/>
      <c r="AD558" s="1336"/>
      <c r="AE558" s="1343">
        <v>2</v>
      </c>
      <c r="AF558" s="1344"/>
      <c r="AG558" s="1344"/>
      <c r="AH558" s="1345"/>
      <c r="AI558" s="1340"/>
      <c r="AJ558" s="1341"/>
      <c r="AK558" s="1341"/>
      <c r="AL558" s="1342"/>
      <c r="AM558" s="1337">
        <v>7099708</v>
      </c>
      <c r="AN558" s="1338"/>
      <c r="AO558" s="1338"/>
      <c r="AP558" s="1338"/>
      <c r="AQ558" s="1338"/>
      <c r="AR558" s="1338"/>
      <c r="AS558" s="1339"/>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349" t="s">
        <v>2741</v>
      </c>
      <c r="D559" s="1349"/>
      <c r="E559" s="1349"/>
      <c r="F559" s="1349"/>
      <c r="G559" s="1349"/>
      <c r="H559" s="1349"/>
      <c r="I559" s="1349"/>
      <c r="J559" s="1349"/>
      <c r="K559" s="1349"/>
      <c r="L559" s="1349"/>
      <c r="M559" s="1350" t="s">
        <v>2114</v>
      </c>
      <c r="N559" s="1350"/>
      <c r="O559" s="1350"/>
      <c r="P559" s="1350"/>
      <c r="Q559" s="1346">
        <v>18</v>
      </c>
      <c r="R559" s="1347"/>
      <c r="S559" s="1348"/>
      <c r="T559" s="1346">
        <v>18</v>
      </c>
      <c r="U559" s="1347"/>
      <c r="V559" s="1348"/>
      <c r="W559" s="1333">
        <v>0</v>
      </c>
      <c r="X559" s="1334"/>
      <c r="Y559" s="1335"/>
      <c r="Z559" s="1336" t="s">
        <v>591</v>
      </c>
      <c r="AA559" s="1336"/>
      <c r="AB559" s="1336"/>
      <c r="AC559" s="1336"/>
      <c r="AD559" s="1336"/>
      <c r="AE559" s="1343">
        <v>3</v>
      </c>
      <c r="AF559" s="1344"/>
      <c r="AG559" s="1344"/>
      <c r="AH559" s="1345"/>
      <c r="AI559" s="1340"/>
      <c r="AJ559" s="1341"/>
      <c r="AK559" s="1341"/>
      <c r="AL559" s="1342"/>
      <c r="AM559" s="1337">
        <v>141214</v>
      </c>
      <c r="AN559" s="1338"/>
      <c r="AO559" s="1338"/>
      <c r="AP559" s="1338"/>
      <c r="AQ559" s="1338"/>
      <c r="AR559" s="1338"/>
      <c r="AS559" s="1339"/>
      <c r="AT559" s="1148" t="str">
        <f t="shared" si="0"/>
        <v/>
      </c>
      <c r="AU559" s="1147"/>
      <c r="BB559" s="3"/>
      <c r="BC559" s="3"/>
      <c r="BD559" s="3"/>
      <c r="BE559" s="3"/>
      <c r="BF559" s="3"/>
      <c r="BG559" s="3"/>
      <c r="BH559" s="3" t="s">
        <v>584</v>
      </c>
      <c r="BI559" s="3" t="str">
        <f>AG665</f>
        <v>Yes</v>
      </c>
    </row>
    <row r="560" spans="1:61" ht="12.95" customHeight="1">
      <c r="B560" s="52" t="s">
        <v>455</v>
      </c>
      <c r="C560" s="1349" t="s">
        <v>2702</v>
      </c>
      <c r="D560" s="1349"/>
      <c r="E560" s="1349"/>
      <c r="F560" s="1349"/>
      <c r="G560" s="1349"/>
      <c r="H560" s="1349"/>
      <c r="I560" s="1349"/>
      <c r="J560" s="1349"/>
      <c r="K560" s="1349"/>
      <c r="L560" s="1349"/>
      <c r="M560" s="1350" t="s">
        <v>2104</v>
      </c>
      <c r="N560" s="1350"/>
      <c r="O560" s="1350"/>
      <c r="P560" s="1350"/>
      <c r="Q560" s="1346"/>
      <c r="R560" s="1347"/>
      <c r="S560" s="1348"/>
      <c r="T560" s="1346"/>
      <c r="U560" s="1347"/>
      <c r="V560" s="1348"/>
      <c r="W560" s="1333"/>
      <c r="X560" s="1334"/>
      <c r="Y560" s="1335"/>
      <c r="Z560" s="1336" t="s">
        <v>1183</v>
      </c>
      <c r="AA560" s="1336"/>
      <c r="AB560" s="1336"/>
      <c r="AC560" s="1336"/>
      <c r="AD560" s="1336"/>
      <c r="AE560" s="1343"/>
      <c r="AF560" s="1344"/>
      <c r="AG560" s="1344"/>
      <c r="AH560" s="1345"/>
      <c r="AI560" s="1340"/>
      <c r="AJ560" s="1341"/>
      <c r="AK560" s="1341"/>
      <c r="AL560" s="1342"/>
      <c r="AM560" s="1337">
        <v>1868136</v>
      </c>
      <c r="AN560" s="1338"/>
      <c r="AO560" s="1338"/>
      <c r="AP560" s="1338"/>
      <c r="AQ560" s="1338"/>
      <c r="AR560" s="1338"/>
      <c r="AS560" s="1339"/>
      <c r="AT560" s="1148" t="str">
        <f t="shared" si="0"/>
        <v/>
      </c>
      <c r="AU560" s="1147"/>
      <c r="BB560" s="3"/>
      <c r="BC560" s="3"/>
      <c r="BD560" s="3"/>
      <c r="BE560" s="3"/>
      <c r="BF560" s="3"/>
      <c r="BG560" s="3"/>
      <c r="BH560" s="3"/>
      <c r="BI560" s="3"/>
    </row>
    <row r="561" spans="1:61" ht="12.95" customHeight="1">
      <c r="B561" s="52" t="s">
        <v>456</v>
      </c>
      <c r="C561" s="1349" t="s">
        <v>2717</v>
      </c>
      <c r="D561" s="1349"/>
      <c r="E561" s="1349"/>
      <c r="F561" s="1349"/>
      <c r="G561" s="1349"/>
      <c r="H561" s="1349"/>
      <c r="I561" s="1349"/>
      <c r="J561" s="1349"/>
      <c r="K561" s="1349"/>
      <c r="L561" s="1349"/>
      <c r="M561" s="1350" t="s">
        <v>2120</v>
      </c>
      <c r="N561" s="1350"/>
      <c r="O561" s="1350"/>
      <c r="P561" s="1350"/>
      <c r="Q561" s="1346"/>
      <c r="R561" s="1347"/>
      <c r="S561" s="1348"/>
      <c r="T561" s="1346"/>
      <c r="U561" s="1347"/>
      <c r="V561" s="1348"/>
      <c r="W561" s="1333"/>
      <c r="X561" s="1334"/>
      <c r="Y561" s="1335"/>
      <c r="Z561" s="1336" t="s">
        <v>1183</v>
      </c>
      <c r="AA561" s="1336"/>
      <c r="AB561" s="1336"/>
      <c r="AC561" s="1336"/>
      <c r="AD561" s="1336"/>
      <c r="AE561" s="1343"/>
      <c r="AF561" s="1344"/>
      <c r="AG561" s="1344"/>
      <c r="AH561" s="1345"/>
      <c r="AI561" s="1340"/>
      <c r="AJ561" s="1341"/>
      <c r="AK561" s="1341"/>
      <c r="AL561" s="1342"/>
      <c r="AM561" s="1337">
        <v>379475</v>
      </c>
      <c r="AN561" s="1338"/>
      <c r="AO561" s="1338"/>
      <c r="AP561" s="1338"/>
      <c r="AQ561" s="1338"/>
      <c r="AR561" s="1338"/>
      <c r="AS561" s="1339"/>
      <c r="AT561" s="1148" t="str">
        <f t="shared" si="0"/>
        <v/>
      </c>
      <c r="AU561" s="1147"/>
      <c r="BB561" s="3"/>
      <c r="BC561" s="3"/>
      <c r="BD561" s="3"/>
      <c r="BE561" s="3"/>
      <c r="BF561" s="3"/>
      <c r="BG561" s="3"/>
      <c r="BH561" s="3"/>
      <c r="BI561" s="3"/>
    </row>
    <row r="562" spans="1:61" ht="12.95" customHeight="1">
      <c r="B562" s="52" t="s">
        <v>461</v>
      </c>
      <c r="C562" s="1349" t="s">
        <v>2318</v>
      </c>
      <c r="D562" s="1349"/>
      <c r="E562" s="1349"/>
      <c r="F562" s="1349"/>
      <c r="G562" s="1349"/>
      <c r="H562" s="1349"/>
      <c r="I562" s="1349"/>
      <c r="J562" s="1349"/>
      <c r="K562" s="1349"/>
      <c r="L562" s="1349"/>
      <c r="M562" s="1350" t="s">
        <v>2105</v>
      </c>
      <c r="N562" s="1350"/>
      <c r="O562" s="1350"/>
      <c r="P562" s="1350"/>
      <c r="Q562" s="1346"/>
      <c r="R562" s="1347"/>
      <c r="S562" s="1348"/>
      <c r="T562" s="1346"/>
      <c r="U562" s="1347"/>
      <c r="V562" s="1348"/>
      <c r="W562" s="1333"/>
      <c r="X562" s="1334"/>
      <c r="Y562" s="1335"/>
      <c r="Z562" s="1336" t="s">
        <v>1183</v>
      </c>
      <c r="AA562" s="1336"/>
      <c r="AB562" s="1336"/>
      <c r="AC562" s="1336"/>
      <c r="AD562" s="1336"/>
      <c r="AE562" s="1343"/>
      <c r="AF562" s="1344"/>
      <c r="AG562" s="1344"/>
      <c r="AH562" s="1345"/>
      <c r="AI562" s="1340"/>
      <c r="AJ562" s="1341"/>
      <c r="AK562" s="1341"/>
      <c r="AL562" s="1342"/>
      <c r="AM562" s="1337">
        <v>428058</v>
      </c>
      <c r="AN562" s="1338"/>
      <c r="AO562" s="1338"/>
      <c r="AP562" s="1338"/>
      <c r="AQ562" s="1338"/>
      <c r="AR562" s="1338"/>
      <c r="AS562" s="1339"/>
      <c r="AT562" s="1148" t="str">
        <f t="shared" si="0"/>
        <v/>
      </c>
      <c r="AU562" s="1147"/>
      <c r="BB562" s="3"/>
      <c r="BC562" s="3"/>
      <c r="BD562" s="3"/>
      <c r="BE562" s="3"/>
      <c r="BF562" s="3"/>
      <c r="BG562" s="3"/>
      <c r="BH562" s="3"/>
      <c r="BI562" s="3"/>
    </row>
    <row r="563" spans="1:61" ht="12.95" customHeight="1">
      <c r="B563" s="52" t="s">
        <v>646</v>
      </c>
      <c r="C563" s="1349" t="s">
        <v>2703</v>
      </c>
      <c r="D563" s="1349"/>
      <c r="E563" s="1349"/>
      <c r="F563" s="1349"/>
      <c r="G563" s="1349"/>
      <c r="H563" s="1349"/>
      <c r="I563" s="1349"/>
      <c r="J563" s="1349"/>
      <c r="K563" s="1349"/>
      <c r="L563" s="1349"/>
      <c r="M563" s="1350" t="s">
        <v>2103</v>
      </c>
      <c r="N563" s="1350"/>
      <c r="O563" s="1350"/>
      <c r="P563" s="1350"/>
      <c r="Q563" s="1346"/>
      <c r="R563" s="1347"/>
      <c r="S563" s="1348"/>
      <c r="T563" s="1346"/>
      <c r="U563" s="1347"/>
      <c r="V563" s="1348"/>
      <c r="W563" s="1333"/>
      <c r="X563" s="1334"/>
      <c r="Y563" s="1335"/>
      <c r="Z563" s="1336" t="s">
        <v>1183</v>
      </c>
      <c r="AA563" s="1336"/>
      <c r="AB563" s="1336"/>
      <c r="AC563" s="1336"/>
      <c r="AD563" s="1336"/>
      <c r="AE563" s="1343"/>
      <c r="AF563" s="1344"/>
      <c r="AG563" s="1344"/>
      <c r="AH563" s="1345"/>
      <c r="AI563" s="1340"/>
      <c r="AJ563" s="1341"/>
      <c r="AK563" s="1341"/>
      <c r="AL563" s="1342"/>
      <c r="AM563" s="1337">
        <f>627572+560911+100</f>
        <v>1188583</v>
      </c>
      <c r="AN563" s="1338"/>
      <c r="AO563" s="1338"/>
      <c r="AP563" s="1338"/>
      <c r="AQ563" s="1338"/>
      <c r="AR563" s="1338"/>
      <c r="AS563" s="1339"/>
      <c r="AT563" s="1148" t="str">
        <f t="shared" si="0"/>
        <v/>
      </c>
      <c r="BB563" s="3"/>
      <c r="BC563" s="3"/>
      <c r="BD563" s="3"/>
      <c r="BE563" s="3"/>
      <c r="BF563" s="3"/>
      <c r="BG563" s="3"/>
      <c r="BH563" s="3"/>
      <c r="BI563" s="3"/>
    </row>
    <row r="564" spans="1:61" ht="12.95" customHeight="1">
      <c r="B564" s="52" t="s">
        <v>362</v>
      </c>
      <c r="C564" s="1349" t="s">
        <v>2737</v>
      </c>
      <c r="D564" s="1349"/>
      <c r="E564" s="1349"/>
      <c r="F564" s="1349"/>
      <c r="G564" s="1349"/>
      <c r="H564" s="1349"/>
      <c r="I564" s="1349"/>
      <c r="J564" s="1349"/>
      <c r="K564" s="1349"/>
      <c r="L564" s="1349"/>
      <c r="M564" s="1350" t="s">
        <v>2122</v>
      </c>
      <c r="N564" s="1350"/>
      <c r="O564" s="1350"/>
      <c r="P564" s="1350"/>
      <c r="Q564" s="1346"/>
      <c r="R564" s="1347"/>
      <c r="S564" s="1348"/>
      <c r="T564" s="1346"/>
      <c r="U564" s="1347"/>
      <c r="V564" s="1348"/>
      <c r="W564" s="1333"/>
      <c r="X564" s="1334"/>
      <c r="Y564" s="1335"/>
      <c r="Z564" s="1336" t="s">
        <v>1183</v>
      </c>
      <c r="AA564" s="1336"/>
      <c r="AB564" s="1336"/>
      <c r="AC564" s="1336"/>
      <c r="AD564" s="1336"/>
      <c r="AE564" s="1343"/>
      <c r="AF564" s="1344"/>
      <c r="AG564" s="1344"/>
      <c r="AH564" s="1345"/>
      <c r="AI564" s="1340"/>
      <c r="AJ564" s="1341"/>
      <c r="AK564" s="1341"/>
      <c r="AL564" s="1342"/>
      <c r="AM564" s="1337">
        <v>200000</v>
      </c>
      <c r="AN564" s="1338"/>
      <c r="AO564" s="1338"/>
      <c r="AP564" s="1338"/>
      <c r="AQ564" s="1338"/>
      <c r="AR564" s="1338"/>
      <c r="AS564" s="1339"/>
      <c r="AT564" s="1148" t="str">
        <f t="shared" si="0"/>
        <v/>
      </c>
      <c r="BB564" s="3"/>
      <c r="BC564" s="3"/>
      <c r="BD564" s="3"/>
      <c r="BE564" s="3"/>
      <c r="BF564" s="3"/>
      <c r="BG564" s="3"/>
      <c r="BH564" s="3"/>
      <c r="BI564" s="3"/>
    </row>
    <row r="565" spans="1:61" ht="12.95" customHeight="1">
      <c r="B565" s="52" t="s">
        <v>363</v>
      </c>
      <c r="C565" s="1349" t="s">
        <v>2704</v>
      </c>
      <c r="D565" s="1349"/>
      <c r="E565" s="1349"/>
      <c r="F565" s="1349"/>
      <c r="G565" s="1349"/>
      <c r="H565" s="1349"/>
      <c r="I565" s="1349"/>
      <c r="J565" s="1349"/>
      <c r="K565" s="1349"/>
      <c r="L565" s="1349"/>
      <c r="M565" s="1350" t="s">
        <v>2109</v>
      </c>
      <c r="N565" s="1350"/>
      <c r="O565" s="1350"/>
      <c r="P565" s="1350"/>
      <c r="Q565" s="1346"/>
      <c r="R565" s="1347"/>
      <c r="S565" s="1348"/>
      <c r="T565" s="1346"/>
      <c r="U565" s="1347"/>
      <c r="V565" s="1348"/>
      <c r="W565" s="1333"/>
      <c r="X565" s="1334"/>
      <c r="Y565" s="1335"/>
      <c r="Z565" s="1336" t="s">
        <v>1183</v>
      </c>
      <c r="AA565" s="1336"/>
      <c r="AB565" s="1336"/>
      <c r="AC565" s="1336"/>
      <c r="AD565" s="1336"/>
      <c r="AE565" s="1343"/>
      <c r="AF565" s="1344"/>
      <c r="AG565" s="1344"/>
      <c r="AH565" s="1345"/>
      <c r="AI565" s="1340"/>
      <c r="AJ565" s="1341"/>
      <c r="AK565" s="1341"/>
      <c r="AL565" s="1342"/>
      <c r="AM565" s="1337">
        <v>2056593</v>
      </c>
      <c r="AN565" s="1338"/>
      <c r="AO565" s="1338"/>
      <c r="AP565" s="1338"/>
      <c r="AQ565" s="1338"/>
      <c r="AR565" s="1338"/>
      <c r="AS565" s="1339"/>
      <c r="AT565" s="1148" t="str">
        <f t="shared" si="0"/>
        <v/>
      </c>
      <c r="BB565" s="3"/>
      <c r="BC565" s="3"/>
      <c r="BD565" s="3"/>
      <c r="BE565" s="3"/>
      <c r="BF565" s="3"/>
      <c r="BG565" s="3"/>
      <c r="BH565" s="3"/>
      <c r="BI565" s="3"/>
    </row>
    <row r="566" spans="1:61" ht="12.95" customHeight="1">
      <c r="B566" s="1469" t="s">
        <v>127</v>
      </c>
      <c r="C566" s="1470"/>
      <c r="D566" s="1470"/>
      <c r="E566" s="1470"/>
      <c r="F566" s="1470"/>
      <c r="G566" s="1470"/>
      <c r="H566" s="1470"/>
      <c r="I566" s="1470"/>
      <c r="J566" s="1470"/>
      <c r="K566" s="1470"/>
      <c r="L566" s="1470"/>
      <c r="M566" s="1470"/>
      <c r="N566" s="1470"/>
      <c r="O566" s="1470"/>
      <c r="P566" s="1470"/>
      <c r="Q566" s="1470"/>
      <c r="R566" s="1470"/>
      <c r="S566" s="1470"/>
      <c r="T566" s="1470"/>
      <c r="U566" s="1486"/>
      <c r="V566" s="1470"/>
      <c r="W566" s="1470"/>
      <c r="X566" s="1470"/>
      <c r="Y566" s="1470"/>
      <c r="Z566" s="1470"/>
      <c r="AA566" s="1470"/>
      <c r="AB566" s="1470"/>
      <c r="AC566" s="1470"/>
      <c r="AD566" s="1470"/>
      <c r="AE566" s="1470"/>
      <c r="AF566" s="1470"/>
      <c r="AG566" s="1470"/>
      <c r="AH566" s="1470"/>
      <c r="AI566" s="1470"/>
      <c r="AJ566" s="1470"/>
      <c r="AK566" s="1470"/>
      <c r="AL566" s="1471"/>
      <c r="AM566" s="1629">
        <f>SUM(AM554:AS565)</f>
        <v>35104456</v>
      </c>
      <c r="AN566" s="1630"/>
      <c r="AO566" s="1630"/>
      <c r="AP566" s="1630"/>
      <c r="AQ566" s="1630"/>
      <c r="AR566" s="1630"/>
      <c r="AS566" s="1631"/>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77" t="str">
        <f>C554</f>
        <v>Chase TE Construction Loan</v>
      </c>
      <c r="H568" s="1377"/>
      <c r="I568" s="1377"/>
      <c r="J568" s="1377"/>
      <c r="K568" s="1377"/>
      <c r="L568" s="1377"/>
      <c r="M568" s="1377"/>
      <c r="N568" s="1377"/>
      <c r="O568" s="1377"/>
      <c r="P568" s="1377"/>
      <c r="Q568" s="1377"/>
      <c r="R568" s="1377"/>
      <c r="S568" s="8"/>
      <c r="T568" s="55" t="s">
        <v>113</v>
      </c>
      <c r="U568" t="s">
        <v>463</v>
      </c>
      <c r="Z568" s="1377" t="str">
        <f>C555</f>
        <v>Chase Taxable Construction Loan</v>
      </c>
      <c r="AA568" s="1377"/>
      <c r="AB568" s="1377"/>
      <c r="AC568" s="1377"/>
      <c r="AD568" s="1377"/>
      <c r="AE568" s="1377"/>
      <c r="AF568" s="1377"/>
      <c r="AG568" s="1377"/>
      <c r="AH568" s="1377"/>
      <c r="AI568" s="1377"/>
      <c r="AJ568" s="1377"/>
      <c r="AK568" s="1377"/>
      <c r="BB568" s="3"/>
      <c r="BC568" s="3"/>
      <c r="BD568" s="3"/>
      <c r="BE568" s="3"/>
      <c r="BF568" s="3"/>
      <c r="BG568" s="3"/>
      <c r="BH568" s="3"/>
      <c r="BI568" s="3"/>
    </row>
    <row r="569" spans="1:61" ht="12.95" customHeight="1">
      <c r="A569" s="22"/>
      <c r="B569" t="s">
        <v>85</v>
      </c>
      <c r="G569" s="1390" t="s">
        <v>2758</v>
      </c>
      <c r="H569" s="1390"/>
      <c r="I569" s="1390"/>
      <c r="J569" s="1390"/>
      <c r="K569" s="1390"/>
      <c r="L569" s="1390"/>
      <c r="M569" s="1390"/>
      <c r="N569" s="1390"/>
      <c r="O569" s="1390"/>
      <c r="P569" s="1390"/>
      <c r="Q569" s="1390"/>
      <c r="R569" s="1390"/>
      <c r="S569" s="8"/>
      <c r="T569" s="22"/>
      <c r="U569" t="s">
        <v>85</v>
      </c>
      <c r="Z569" s="1390" t="s">
        <v>2758</v>
      </c>
      <c r="AA569" s="1390"/>
      <c r="AB569" s="1390"/>
      <c r="AC569" s="1390"/>
      <c r="AD569" s="1390"/>
      <c r="AE569" s="1390"/>
      <c r="AF569" s="1390"/>
      <c r="AG569" s="1390"/>
      <c r="AH569" s="1390"/>
      <c r="AI569" s="1390"/>
      <c r="AJ569" s="1390"/>
      <c r="AK569" s="1390"/>
      <c r="BB569" s="3"/>
      <c r="BC569" s="3"/>
      <c r="BD569" s="3"/>
      <c r="BE569" s="3"/>
      <c r="BF569" s="3"/>
      <c r="BG569" s="3"/>
      <c r="BH569" s="3"/>
      <c r="BI569" s="3"/>
    </row>
    <row r="570" spans="1:61" ht="12.95" customHeight="1">
      <c r="A570" s="22"/>
      <c r="B570" t="s">
        <v>580</v>
      </c>
      <c r="G570" s="1390" t="s">
        <v>730</v>
      </c>
      <c r="H570" s="1390"/>
      <c r="I570" s="1390"/>
      <c r="J570" s="1390"/>
      <c r="K570" s="1390"/>
      <c r="L570" s="1390"/>
      <c r="M570" s="1390"/>
      <c r="N570" s="1390"/>
      <c r="O570" s="1390"/>
      <c r="P570" s="1390"/>
      <c r="Q570" s="1390"/>
      <c r="R570" s="1390"/>
      <c r="T570" s="22"/>
      <c r="U570" t="s">
        <v>580</v>
      </c>
      <c r="Z570" s="1367" t="s">
        <v>730</v>
      </c>
      <c r="AA570" s="1367"/>
      <c r="AB570" s="1367"/>
      <c r="AC570" s="1367"/>
      <c r="AD570" s="1367"/>
      <c r="AE570" s="1367"/>
      <c r="AF570" s="1367"/>
      <c r="AG570" s="1367"/>
      <c r="AH570" s="1367"/>
      <c r="AI570" s="1367"/>
      <c r="AJ570" s="1367"/>
      <c r="AK570" s="1367"/>
      <c r="BB570" s="3"/>
      <c r="BC570" s="3"/>
      <c r="BD570" s="3"/>
      <c r="BE570" s="3"/>
      <c r="BF570" s="3"/>
      <c r="BG570" s="3"/>
      <c r="BH570" s="3"/>
      <c r="BI570" s="3"/>
    </row>
    <row r="571" spans="1:61" ht="12.95" customHeight="1">
      <c r="A571" s="22"/>
      <c r="B571" t="s">
        <v>17</v>
      </c>
      <c r="G571" s="1390" t="s">
        <v>2759</v>
      </c>
      <c r="H571" s="1390"/>
      <c r="I571" s="1390"/>
      <c r="J571" s="1390"/>
      <c r="K571" s="1390"/>
      <c r="L571" s="1390"/>
      <c r="M571" s="1390"/>
      <c r="N571" s="1390"/>
      <c r="O571" s="1390"/>
      <c r="P571" s="1390"/>
      <c r="Q571" s="1390"/>
      <c r="R571" s="1390"/>
      <c r="S571" s="8"/>
      <c r="T571" s="22"/>
      <c r="U571" t="s">
        <v>17</v>
      </c>
      <c r="Z571" s="1367" t="s">
        <v>2759</v>
      </c>
      <c r="AA571" s="1367"/>
      <c r="AB571" s="1367"/>
      <c r="AC571" s="1367"/>
      <c r="AD571" s="1367"/>
      <c r="AE571" s="1367"/>
      <c r="AF571" s="1367"/>
      <c r="AG571" s="1367"/>
      <c r="AH571" s="1367"/>
      <c r="AI571" s="1367"/>
      <c r="AJ571" s="1367"/>
      <c r="AK571" s="1367"/>
      <c r="BB571" s="3"/>
      <c r="BC571" s="3"/>
      <c r="BD571" s="3"/>
      <c r="BE571" s="3"/>
      <c r="BF571" s="3"/>
      <c r="BG571" s="3"/>
      <c r="BH571" s="3"/>
      <c r="BI571" s="3"/>
    </row>
    <row r="572" spans="1:61" ht="12.95" customHeight="1">
      <c r="A572" s="22"/>
      <c r="B572" t="s">
        <v>316</v>
      </c>
      <c r="G572" s="1682" t="s">
        <v>2760</v>
      </c>
      <c r="H572" s="1365"/>
      <c r="I572" s="1365"/>
      <c r="J572" s="1365"/>
      <c r="K572" s="1365"/>
      <c r="L572" s="1365"/>
      <c r="O572" s="33" t="s">
        <v>206</v>
      </c>
      <c r="P572" s="1457"/>
      <c r="Q572" s="1457"/>
      <c r="R572" s="1457"/>
      <c r="S572" s="10"/>
      <c r="T572" s="22"/>
      <c r="U572" t="s">
        <v>316</v>
      </c>
      <c r="Z572" s="1682" t="s">
        <v>2760</v>
      </c>
      <c r="AA572" s="1365"/>
      <c r="AB572" s="1365"/>
      <c r="AC572" s="1365"/>
      <c r="AD572" s="1365"/>
      <c r="AE572" s="1365"/>
      <c r="AH572" s="33" t="s">
        <v>206</v>
      </c>
      <c r="AI572" s="1457"/>
      <c r="AJ572" s="1457"/>
      <c r="AK572" s="1457"/>
      <c r="BB572" s="3"/>
      <c r="BC572" s="3"/>
      <c r="BD572" s="3"/>
      <c r="BE572" s="3"/>
      <c r="BF572" s="3"/>
      <c r="BG572" s="3"/>
      <c r="BH572" s="3"/>
      <c r="BI572" s="3"/>
    </row>
    <row r="573" spans="1:61" ht="12.95" customHeight="1">
      <c r="A573" s="22"/>
      <c r="B573" t="s">
        <v>18</v>
      </c>
      <c r="H573" s="1390" t="s">
        <v>2705</v>
      </c>
      <c r="I573" s="1390"/>
      <c r="J573" s="1390"/>
      <c r="K573" s="1390"/>
      <c r="L573" s="1390"/>
      <c r="M573" s="1390"/>
      <c r="N573" s="1390"/>
      <c r="O573" s="1390"/>
      <c r="P573" s="1390"/>
      <c r="Q573" s="1390"/>
      <c r="R573" s="1390"/>
      <c r="S573" s="8"/>
      <c r="T573" s="22"/>
      <c r="U573" t="s">
        <v>18</v>
      </c>
      <c r="AA573" s="1390" t="s">
        <v>2705</v>
      </c>
      <c r="AB573" s="1390"/>
      <c r="AC573" s="1390"/>
      <c r="AD573" s="1390"/>
      <c r="AE573" s="1390"/>
      <c r="AF573" s="1390"/>
      <c r="AG573" s="1390"/>
      <c r="AH573" s="1390"/>
      <c r="AI573" s="1390"/>
      <c r="AJ573" s="1390"/>
      <c r="AK573" s="1390"/>
      <c r="BB573" s="3"/>
      <c r="BC573" s="3"/>
      <c r="BD573" s="3"/>
      <c r="BE573" s="3"/>
      <c r="BF573" s="3"/>
      <c r="BG573" s="3"/>
      <c r="BH573" s="3"/>
      <c r="BI573" s="3"/>
    </row>
    <row r="574" spans="1:61" ht="12.95" customHeight="1">
      <c r="A574" s="22"/>
      <c r="B574" s="320" t="s">
        <v>1184</v>
      </c>
      <c r="H574" s="8"/>
      <c r="I574" s="8"/>
      <c r="J574" s="8"/>
      <c r="K574" s="8"/>
      <c r="L574" s="8"/>
      <c r="M574" s="1708"/>
      <c r="N574" s="1708"/>
      <c r="O574" s="1708"/>
      <c r="P574" s="1708"/>
      <c r="Q574" s="1708"/>
      <c r="R574" s="1708"/>
      <c r="S574" s="8"/>
      <c r="T574" s="22"/>
      <c r="U574" s="320" t="s">
        <v>1184</v>
      </c>
      <c r="AA574" s="8"/>
      <c r="AB574" s="8"/>
      <c r="AC574" s="8"/>
      <c r="AD574" s="8"/>
      <c r="AE574" s="8"/>
      <c r="AF574" s="1708"/>
      <c r="AG574" s="1708"/>
      <c r="AH574" s="1708"/>
      <c r="AI574" s="1708"/>
      <c r="AJ574" s="1708"/>
      <c r="AK574" s="1708"/>
      <c r="BB574" s="3"/>
      <c r="BC574" s="3"/>
      <c r="BD574" s="3"/>
      <c r="BE574" s="3"/>
      <c r="BF574" s="3"/>
      <c r="BG574" s="3"/>
      <c r="BH574" s="3"/>
      <c r="BI574" s="3"/>
    </row>
    <row r="575" spans="1:61" ht="12.95" customHeight="1">
      <c r="A575" s="22"/>
      <c r="B575" t="s">
        <v>20</v>
      </c>
      <c r="N575" s="1351" t="s">
        <v>545</v>
      </c>
      <c r="O575" s="1351"/>
      <c r="T575" s="22"/>
      <c r="U575" t="s">
        <v>20</v>
      </c>
      <c r="AG575" s="1351" t="s">
        <v>545</v>
      </c>
      <c r="AH575" s="135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77" t="str">
        <f>C556</f>
        <v>Chase Recycled Bond Loan</v>
      </c>
      <c r="H577" s="1377"/>
      <c r="I577" s="1377"/>
      <c r="J577" s="1377"/>
      <c r="K577" s="1377"/>
      <c r="L577" s="1377"/>
      <c r="M577" s="1377"/>
      <c r="N577" s="1377"/>
      <c r="O577" s="1377"/>
      <c r="P577" s="1377"/>
      <c r="Q577" s="1377"/>
      <c r="R577" s="1377"/>
      <c r="T577" s="55" t="s">
        <v>581</v>
      </c>
      <c r="U577" t="s">
        <v>463</v>
      </c>
      <c r="Z577" s="1377" t="str">
        <f>C557</f>
        <v>Seller Carryback Loan</v>
      </c>
      <c r="AA577" s="1377"/>
      <c r="AB577" s="1377"/>
      <c r="AC577" s="1377"/>
      <c r="AD577" s="1377"/>
      <c r="AE577" s="1377"/>
      <c r="AF577" s="1377"/>
      <c r="AG577" s="1377"/>
      <c r="AH577" s="1377"/>
      <c r="AI577" s="1377"/>
      <c r="AJ577" s="1377"/>
      <c r="AK577" s="1377"/>
      <c r="BB577" s="3"/>
      <c r="BC577" s="3"/>
    </row>
    <row r="578" spans="1:55" ht="12.95" customHeight="1">
      <c r="A578" s="22"/>
      <c r="B578" t="s">
        <v>85</v>
      </c>
      <c r="G578" s="1390" t="s">
        <v>2758</v>
      </c>
      <c r="H578" s="1390"/>
      <c r="I578" s="1390"/>
      <c r="J578" s="1390"/>
      <c r="K578" s="1390"/>
      <c r="L578" s="1390"/>
      <c r="M578" s="1390"/>
      <c r="N578" s="1390"/>
      <c r="O578" s="1390"/>
      <c r="P578" s="1390"/>
      <c r="Q578" s="1390"/>
      <c r="R578" s="1390"/>
      <c r="T578" s="22"/>
      <c r="U578" t="s">
        <v>85</v>
      </c>
      <c r="Z578" s="1390" t="s">
        <v>2710</v>
      </c>
      <c r="AA578" s="1390"/>
      <c r="AB578" s="1390"/>
      <c r="AC578" s="1390"/>
      <c r="AD578" s="1390"/>
      <c r="AE578" s="1390"/>
      <c r="AF578" s="1390"/>
      <c r="AG578" s="1390"/>
      <c r="AH578" s="1390"/>
      <c r="AI578" s="1390"/>
      <c r="AJ578" s="1390"/>
      <c r="AK578" s="1390"/>
      <c r="BB578" s="3"/>
      <c r="BC578" s="3"/>
    </row>
    <row r="579" spans="1:55" ht="12.95" customHeight="1">
      <c r="A579" s="22"/>
      <c r="B579" t="s">
        <v>580</v>
      </c>
      <c r="G579" s="1367" t="s">
        <v>730</v>
      </c>
      <c r="H579" s="1367"/>
      <c r="I579" s="1367"/>
      <c r="J579" s="1367"/>
      <c r="K579" s="1367"/>
      <c r="L579" s="1367"/>
      <c r="M579" s="1367"/>
      <c r="N579" s="1367"/>
      <c r="O579" s="1367"/>
      <c r="P579" s="1367"/>
      <c r="Q579" s="1367"/>
      <c r="R579" s="1367"/>
      <c r="T579" s="22"/>
      <c r="U579" t="s">
        <v>580</v>
      </c>
      <c r="Z579" s="1367" t="s">
        <v>2607</v>
      </c>
      <c r="AA579" s="1367"/>
      <c r="AB579" s="1367"/>
      <c r="AC579" s="1367"/>
      <c r="AD579" s="1367"/>
      <c r="AE579" s="1367"/>
      <c r="AF579" s="1367"/>
      <c r="AG579" s="1367"/>
      <c r="AH579" s="1367"/>
      <c r="AI579" s="1367"/>
      <c r="AJ579" s="1367"/>
      <c r="AK579" s="1367"/>
      <c r="BB579" s="3"/>
      <c r="BC579" s="3"/>
    </row>
    <row r="580" spans="1:55" ht="12.95" customHeight="1">
      <c r="A580" s="22"/>
      <c r="B580" t="s">
        <v>17</v>
      </c>
      <c r="G580" s="1367" t="s">
        <v>2759</v>
      </c>
      <c r="H580" s="1367"/>
      <c r="I580" s="1367"/>
      <c r="J580" s="1367"/>
      <c r="K580" s="1367"/>
      <c r="L580" s="1367"/>
      <c r="M580" s="1367"/>
      <c r="N580" s="1367"/>
      <c r="O580" s="1367"/>
      <c r="P580" s="1367"/>
      <c r="Q580" s="1367"/>
      <c r="R580" s="1367"/>
      <c r="T580" s="22"/>
      <c r="U580" t="s">
        <v>17</v>
      </c>
      <c r="Z580" s="1367" t="s">
        <v>2711</v>
      </c>
      <c r="AA580" s="1367"/>
      <c r="AB580" s="1367"/>
      <c r="AC580" s="1367"/>
      <c r="AD580" s="1367"/>
      <c r="AE580" s="1367"/>
      <c r="AF580" s="1367"/>
      <c r="AG580" s="1367"/>
      <c r="AH580" s="1367"/>
      <c r="AI580" s="1367"/>
      <c r="AJ580" s="1367"/>
      <c r="AK580" s="1367"/>
      <c r="BB580" s="3"/>
      <c r="BC580" s="3"/>
    </row>
    <row r="581" spans="1:55" ht="12.95" customHeight="1">
      <c r="A581" s="22"/>
      <c r="B581" t="s">
        <v>316</v>
      </c>
      <c r="G581" s="1682" t="s">
        <v>2760</v>
      </c>
      <c r="H581" s="1365"/>
      <c r="I581" s="1365"/>
      <c r="J581" s="1365"/>
      <c r="K581" s="1365"/>
      <c r="L581" s="1365"/>
      <c r="O581" s="33" t="s">
        <v>206</v>
      </c>
      <c r="P581" s="1457"/>
      <c r="Q581" s="1457"/>
      <c r="R581" s="1457"/>
      <c r="T581" s="22"/>
      <c r="U581" t="s">
        <v>316</v>
      </c>
      <c r="Z581" s="1682" t="s">
        <v>2712</v>
      </c>
      <c r="AA581" s="1365"/>
      <c r="AB581" s="1365"/>
      <c r="AC581" s="1365"/>
      <c r="AD581" s="1365"/>
      <c r="AE581" s="1365"/>
      <c r="AH581" s="33" t="s">
        <v>206</v>
      </c>
      <c r="AI581" s="1457"/>
      <c r="AJ581" s="1457"/>
      <c r="AK581" s="1457"/>
      <c r="BB581" s="3"/>
      <c r="BC581" s="3"/>
    </row>
    <row r="582" spans="1:55" ht="12.95" customHeight="1">
      <c r="A582" s="22"/>
      <c r="B582" t="s">
        <v>18</v>
      </c>
      <c r="H582" s="1390" t="s">
        <v>2705</v>
      </c>
      <c r="I582" s="1390"/>
      <c r="J582" s="1390"/>
      <c r="K582" s="1390"/>
      <c r="L582" s="1390"/>
      <c r="M582" s="1390"/>
      <c r="N582" s="1390"/>
      <c r="O582" s="1390"/>
      <c r="P582" s="1390"/>
      <c r="Q582" s="1390"/>
      <c r="R582" s="1390"/>
      <c r="T582" s="22"/>
      <c r="U582" t="s">
        <v>18</v>
      </c>
      <c r="AA582" s="1390" t="s">
        <v>2713</v>
      </c>
      <c r="AB582" s="1390"/>
      <c r="AC582" s="1390"/>
      <c r="AD582" s="1390"/>
      <c r="AE582" s="1390"/>
      <c r="AF582" s="1390"/>
      <c r="AG582" s="1390"/>
      <c r="AH582" s="1390"/>
      <c r="AI582" s="1390"/>
      <c r="AJ582" s="1390"/>
      <c r="AK582" s="1390"/>
      <c r="BB582" s="3"/>
      <c r="BC582" s="3"/>
    </row>
    <row r="583" spans="1:55" ht="12.95" customHeight="1">
      <c r="A583" s="22"/>
      <c r="B583" t="s">
        <v>20</v>
      </c>
      <c r="N583" s="1351" t="s">
        <v>545</v>
      </c>
      <c r="O583" s="1351"/>
      <c r="T583" s="22"/>
      <c r="U583" t="s">
        <v>20</v>
      </c>
      <c r="AG583" s="1351" t="s">
        <v>545</v>
      </c>
      <c r="AH583" s="1351"/>
      <c r="BB583" s="3"/>
      <c r="BC583" s="3"/>
    </row>
    <row r="584" spans="1:55" ht="12.95" customHeight="1">
      <c r="A584" s="22"/>
      <c r="T584" s="22"/>
      <c r="BB584" s="3"/>
      <c r="BC584" s="3"/>
    </row>
    <row r="585" spans="1:55" ht="12.95" customHeight="1">
      <c r="A585" s="55" t="s">
        <v>763</v>
      </c>
      <c r="B585" t="s">
        <v>463</v>
      </c>
      <c r="G585" s="1377" t="str">
        <f>C558</f>
        <v>City of Livermore (assumed)</v>
      </c>
      <c r="H585" s="1377"/>
      <c r="I585" s="1377"/>
      <c r="J585" s="1377"/>
      <c r="K585" s="1377"/>
      <c r="L585" s="1377"/>
      <c r="M585" s="1377"/>
      <c r="N585" s="1377"/>
      <c r="O585" s="1377"/>
      <c r="P585" s="1377"/>
      <c r="Q585" s="1377"/>
      <c r="R585" s="1377"/>
      <c r="T585" s="55" t="s">
        <v>584</v>
      </c>
      <c r="U585" t="s">
        <v>463</v>
      </c>
      <c r="Z585" s="1377" t="str">
        <f>C559</f>
        <v>CHFA School Facility Fees Loan (assumed)</v>
      </c>
      <c r="AA585" s="1377"/>
      <c r="AB585" s="1377"/>
      <c r="AC585" s="1377"/>
      <c r="AD585" s="1377"/>
      <c r="AE585" s="1377"/>
      <c r="AF585" s="1377"/>
      <c r="AG585" s="1377"/>
      <c r="AH585" s="1377"/>
      <c r="AI585" s="1377"/>
      <c r="AJ585" s="1377"/>
      <c r="AK585" s="1377"/>
      <c r="BB585" s="3"/>
      <c r="BC585" s="3"/>
    </row>
    <row r="586" spans="1:55" ht="12.95" customHeight="1">
      <c r="A586" s="22"/>
      <c r="B586" t="s">
        <v>85</v>
      </c>
      <c r="G586" s="1390" t="s">
        <v>2714</v>
      </c>
      <c r="H586" s="1390"/>
      <c r="I586" s="1390"/>
      <c r="J586" s="1390"/>
      <c r="K586" s="1390"/>
      <c r="L586" s="1390"/>
      <c r="M586" s="1390"/>
      <c r="N586" s="1390"/>
      <c r="O586" s="1390"/>
      <c r="P586" s="1390"/>
      <c r="Q586" s="1390"/>
      <c r="R586" s="1390"/>
      <c r="T586" s="22"/>
      <c r="U586" t="s">
        <v>85</v>
      </c>
      <c r="Z586" s="1390" t="s">
        <v>2610</v>
      </c>
      <c r="AA586" s="1390"/>
      <c r="AB586" s="1390"/>
      <c r="AC586" s="1390"/>
      <c r="AD586" s="1390"/>
      <c r="AE586" s="1390"/>
      <c r="AF586" s="1390"/>
      <c r="AG586" s="1390"/>
      <c r="AH586" s="1390"/>
      <c r="AI586" s="1390"/>
      <c r="AJ586" s="1390"/>
      <c r="AK586" s="1390"/>
      <c r="BB586" s="3"/>
      <c r="BC586" s="3"/>
    </row>
    <row r="587" spans="1:55" ht="12.95" customHeight="1">
      <c r="A587" s="22"/>
      <c r="B587" t="s">
        <v>580</v>
      </c>
      <c r="G587" s="1390" t="s">
        <v>68</v>
      </c>
      <c r="H587" s="1390"/>
      <c r="I587" s="1390"/>
      <c r="J587" s="1390"/>
      <c r="K587" s="1390"/>
      <c r="L587" s="1390"/>
      <c r="M587" s="1390"/>
      <c r="N587" s="1390"/>
      <c r="O587" s="1390"/>
      <c r="P587" s="1390"/>
      <c r="Q587" s="1390"/>
      <c r="R587" s="1390"/>
      <c r="T587" s="22"/>
      <c r="U587" t="s">
        <v>580</v>
      </c>
      <c r="Z587" s="1367" t="s">
        <v>2611</v>
      </c>
      <c r="AA587" s="1367"/>
      <c r="AB587" s="1367"/>
      <c r="AC587" s="1367"/>
      <c r="AD587" s="1367"/>
      <c r="AE587" s="1367"/>
      <c r="AF587" s="1367"/>
      <c r="AG587" s="1367"/>
      <c r="AH587" s="1367"/>
      <c r="AI587" s="1367"/>
      <c r="AJ587" s="1367"/>
      <c r="AK587" s="1367"/>
      <c r="BB587" s="3"/>
      <c r="BC587" s="3"/>
    </row>
    <row r="588" spans="1:55" ht="12.95" customHeight="1">
      <c r="A588" s="22"/>
      <c r="B588" t="s">
        <v>17</v>
      </c>
      <c r="G588" s="1390" t="s">
        <v>2715</v>
      </c>
      <c r="H588" s="1390"/>
      <c r="I588" s="1390"/>
      <c r="J588" s="1390"/>
      <c r="K588" s="1390"/>
      <c r="L588" s="1390"/>
      <c r="M588" s="1390"/>
      <c r="N588" s="1390"/>
      <c r="O588" s="1390"/>
      <c r="P588" s="1390"/>
      <c r="Q588" s="1390"/>
      <c r="R588" s="1390"/>
      <c r="T588" s="22"/>
      <c r="U588" t="s">
        <v>17</v>
      </c>
      <c r="Z588" s="1367" t="s">
        <v>2613</v>
      </c>
      <c r="AA588" s="1367"/>
      <c r="AB588" s="1367"/>
      <c r="AC588" s="1367"/>
      <c r="AD588" s="1367"/>
      <c r="AE588" s="1367"/>
      <c r="AF588" s="1367"/>
      <c r="AG588" s="1367"/>
      <c r="AH588" s="1367"/>
      <c r="AI588" s="1367"/>
      <c r="AJ588" s="1367"/>
      <c r="AK588" s="1367"/>
    </row>
    <row r="589" spans="1:55" ht="12.95" customHeight="1">
      <c r="A589" s="22"/>
      <c r="B589" t="s">
        <v>316</v>
      </c>
      <c r="G589" s="1682" t="s">
        <v>2716</v>
      </c>
      <c r="H589" s="1365"/>
      <c r="I589" s="1365"/>
      <c r="J589" s="1365"/>
      <c r="K589" s="1365"/>
      <c r="L589" s="1365"/>
      <c r="O589" s="33" t="s">
        <v>206</v>
      </c>
      <c r="P589" s="1457"/>
      <c r="Q589" s="1457"/>
      <c r="R589" s="1457"/>
      <c r="T589" s="22"/>
      <c r="U589" t="s">
        <v>316</v>
      </c>
      <c r="Z589" s="1682" t="s">
        <v>2706</v>
      </c>
      <c r="AA589" s="1365"/>
      <c r="AB589" s="1365"/>
      <c r="AC589" s="1365"/>
      <c r="AD589" s="1365"/>
      <c r="AE589" s="1365"/>
      <c r="AH589" s="33" t="s">
        <v>206</v>
      </c>
      <c r="AI589" s="1457"/>
      <c r="AJ589" s="1457"/>
      <c r="AK589" s="1457"/>
      <c r="AZ589" s="3"/>
      <c r="BA589" s="3"/>
      <c r="BB589" s="3"/>
      <c r="BC589" s="3"/>
    </row>
    <row r="590" spans="1:55" ht="12.95" customHeight="1">
      <c r="A590" s="22"/>
      <c r="B590" t="s">
        <v>18</v>
      </c>
      <c r="H590" s="1390" t="s">
        <v>2713</v>
      </c>
      <c r="I590" s="1390"/>
      <c r="J590" s="1390"/>
      <c r="K590" s="1390"/>
      <c r="L590" s="1390"/>
      <c r="M590" s="1390"/>
      <c r="N590" s="1390"/>
      <c r="O590" s="1390"/>
      <c r="P590" s="1390"/>
      <c r="Q590" s="1390"/>
      <c r="R590" s="1390"/>
      <c r="T590" s="22"/>
      <c r="U590" t="s">
        <v>18</v>
      </c>
      <c r="AA590" s="1390" t="s">
        <v>2707</v>
      </c>
      <c r="AB590" s="1390"/>
      <c r="AC590" s="1390"/>
      <c r="AD590" s="1390"/>
      <c r="AE590" s="1390"/>
      <c r="AF590" s="1390"/>
      <c r="AG590" s="1390"/>
      <c r="AH590" s="1390"/>
      <c r="AI590" s="1390"/>
      <c r="AJ590" s="1390"/>
      <c r="AK590" s="1390"/>
      <c r="AZ590" s="3"/>
      <c r="BA590" s="3"/>
      <c r="BB590" s="3"/>
      <c r="BC590" s="3"/>
    </row>
    <row r="591" spans="1:55" ht="12.95" customHeight="1">
      <c r="A591" s="22"/>
      <c r="B591" t="s">
        <v>20</v>
      </c>
      <c r="N591" s="1351" t="s">
        <v>545</v>
      </c>
      <c r="O591" s="1351"/>
      <c r="T591" s="22"/>
      <c r="U591" t="s">
        <v>20</v>
      </c>
      <c r="AG591" s="1351" t="s">
        <v>545</v>
      </c>
      <c r="AH591" s="1351"/>
      <c r="AZ591" s="3"/>
      <c r="BA591" s="3"/>
      <c r="BB591" s="3"/>
      <c r="BC591" s="3"/>
    </row>
    <row r="592" spans="1:55" ht="12.95" customHeight="1">
      <c r="A592" s="22"/>
      <c r="T592" s="22"/>
      <c r="AZ592" s="3"/>
      <c r="BA592" s="3"/>
      <c r="BB592" s="3"/>
      <c r="BC592" s="3"/>
    </row>
    <row r="593" spans="1:55" ht="12.95" customHeight="1">
      <c r="A593" s="55" t="s">
        <v>455</v>
      </c>
      <c r="B593" t="s">
        <v>463</v>
      </c>
      <c r="G593" s="1377" t="str">
        <f>C560</f>
        <v>Costs Deferred Until Conversion</v>
      </c>
      <c r="H593" s="1377"/>
      <c r="I593" s="1377"/>
      <c r="J593" s="1377"/>
      <c r="K593" s="1377"/>
      <c r="L593" s="1377"/>
      <c r="M593" s="1377"/>
      <c r="N593" s="1377"/>
      <c r="O593" s="1377"/>
      <c r="P593" s="1377"/>
      <c r="Q593" s="1377"/>
      <c r="R593" s="1377"/>
      <c r="T593" s="55" t="s">
        <v>456</v>
      </c>
      <c r="U593" t="s">
        <v>463</v>
      </c>
      <c r="Z593" s="1377" t="str">
        <f>C561</f>
        <v>Income from Operations</v>
      </c>
      <c r="AA593" s="1377"/>
      <c r="AB593" s="1377"/>
      <c r="AC593" s="1377"/>
      <c r="AD593" s="1377"/>
      <c r="AE593" s="1377"/>
      <c r="AF593" s="1377"/>
      <c r="AG593" s="1377"/>
      <c r="AH593" s="1377"/>
      <c r="AI593" s="1377"/>
      <c r="AJ593" s="1377"/>
      <c r="AK593" s="1377"/>
      <c r="AZ593" s="3"/>
      <c r="BA593" s="3"/>
      <c r="BB593" s="3"/>
      <c r="BC593" s="3"/>
    </row>
    <row r="594" spans="1:55" s="4" customFormat="1" ht="12.95" customHeight="1">
      <c r="A594" s="22"/>
      <c r="B594" t="s">
        <v>85</v>
      </c>
      <c r="C594"/>
      <c r="D594"/>
      <c r="E594"/>
      <c r="F594"/>
      <c r="G594" s="1390" t="s">
        <v>2610</v>
      </c>
      <c r="H594" s="1390"/>
      <c r="I594" s="1390"/>
      <c r="J594" s="1390"/>
      <c r="K594" s="1390"/>
      <c r="L594" s="1390"/>
      <c r="M594" s="1390"/>
      <c r="N594" s="1390"/>
      <c r="O594" s="1390"/>
      <c r="P594" s="1390"/>
      <c r="Q594" s="1390"/>
      <c r="R594" s="1390"/>
      <c r="S594"/>
      <c r="T594" s="22"/>
      <c r="U594" t="s">
        <v>85</v>
      </c>
      <c r="V594"/>
      <c r="W594"/>
      <c r="X594"/>
      <c r="Y594"/>
      <c r="Z594" s="1390" t="s">
        <v>2610</v>
      </c>
      <c r="AA594" s="1390"/>
      <c r="AB594" s="1390"/>
      <c r="AC594" s="1390"/>
      <c r="AD594" s="1390"/>
      <c r="AE594" s="1390"/>
      <c r="AF594" s="1390"/>
      <c r="AG594" s="1390"/>
      <c r="AH594" s="1390"/>
      <c r="AI594" s="1390"/>
      <c r="AJ594" s="1390"/>
      <c r="AK594" s="1390"/>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90" t="s">
        <v>2611</v>
      </c>
      <c r="H595" s="1390"/>
      <c r="I595" s="1390"/>
      <c r="J595" s="1390"/>
      <c r="K595" s="1390"/>
      <c r="L595" s="1390"/>
      <c r="M595" s="1390"/>
      <c r="N595" s="1390"/>
      <c r="O595" s="1390"/>
      <c r="P595" s="1390"/>
      <c r="Q595" s="1390"/>
      <c r="R595" s="1390"/>
      <c r="S595"/>
      <c r="T595" s="22"/>
      <c r="U595" t="s">
        <v>580</v>
      </c>
      <c r="V595"/>
      <c r="W595"/>
      <c r="X595"/>
      <c r="Y595"/>
      <c r="Z595" s="1367" t="s">
        <v>2611</v>
      </c>
      <c r="AA595" s="1367"/>
      <c r="AB595" s="1367"/>
      <c r="AC595" s="1367"/>
      <c r="AD595" s="1367"/>
      <c r="AE595" s="1367"/>
      <c r="AF595" s="1367"/>
      <c r="AG595" s="1367"/>
      <c r="AH595" s="1367"/>
      <c r="AI595" s="1367"/>
      <c r="AJ595" s="1367"/>
      <c r="AK595" s="136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90" t="s">
        <v>2613</v>
      </c>
      <c r="H596" s="1390"/>
      <c r="I596" s="1390"/>
      <c r="J596" s="1390"/>
      <c r="K596" s="1390"/>
      <c r="L596" s="1390"/>
      <c r="M596" s="1390"/>
      <c r="N596" s="1390"/>
      <c r="O596" s="1390"/>
      <c r="P596" s="1390"/>
      <c r="Q596" s="1390"/>
      <c r="R596" s="1390"/>
      <c r="S596"/>
      <c r="T596" s="22"/>
      <c r="U596" t="s">
        <v>17</v>
      </c>
      <c r="V596"/>
      <c r="W596"/>
      <c r="X596"/>
      <c r="Y596"/>
      <c r="Z596" s="1367" t="s">
        <v>2613</v>
      </c>
      <c r="AA596" s="1367"/>
      <c r="AB596" s="1367"/>
      <c r="AC596" s="1367"/>
      <c r="AD596" s="1367"/>
      <c r="AE596" s="1367"/>
      <c r="AF596" s="1367"/>
      <c r="AG596" s="1367"/>
      <c r="AH596" s="1367"/>
      <c r="AI596" s="1367"/>
      <c r="AJ596" s="1367"/>
      <c r="AK596" s="136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682" t="s">
        <v>2706</v>
      </c>
      <c r="H597" s="1365"/>
      <c r="I597" s="1365"/>
      <c r="J597" s="1365"/>
      <c r="K597" s="1365"/>
      <c r="L597" s="1365"/>
      <c r="M597"/>
      <c r="N597"/>
      <c r="O597" s="33" t="s">
        <v>206</v>
      </c>
      <c r="P597" s="1457"/>
      <c r="Q597" s="1457"/>
      <c r="R597" s="1457"/>
      <c r="S597"/>
      <c r="T597" s="22"/>
      <c r="U597" t="s">
        <v>316</v>
      </c>
      <c r="V597"/>
      <c r="W597"/>
      <c r="X597"/>
      <c r="Y597"/>
      <c r="Z597" s="1682" t="s">
        <v>2706</v>
      </c>
      <c r="AA597" s="1365"/>
      <c r="AB597" s="1365"/>
      <c r="AC597" s="1365"/>
      <c r="AD597" s="1365"/>
      <c r="AE597" s="1365"/>
      <c r="AF597"/>
      <c r="AG597"/>
      <c r="AH597" s="33" t="s">
        <v>206</v>
      </c>
      <c r="AI597" s="1457"/>
      <c r="AJ597" s="1457"/>
      <c r="AK597" s="145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90" t="s">
        <v>2708</v>
      </c>
      <c r="I598" s="1390"/>
      <c r="J598" s="1390"/>
      <c r="K598" s="1390"/>
      <c r="L598" s="1390"/>
      <c r="M598" s="1390"/>
      <c r="N598" s="1390"/>
      <c r="O598" s="1390"/>
      <c r="P598" s="1390"/>
      <c r="Q598" s="1390"/>
      <c r="R598" s="1390"/>
      <c r="S598"/>
      <c r="T598" s="22"/>
      <c r="U598" t="s">
        <v>18</v>
      </c>
      <c r="V598"/>
      <c r="W598"/>
      <c r="X598"/>
      <c r="Y598"/>
      <c r="Z598"/>
      <c r="AA598" s="1390" t="s">
        <v>2709</v>
      </c>
      <c r="AB598" s="1390"/>
      <c r="AC598" s="1390"/>
      <c r="AD598" s="1390"/>
      <c r="AE598" s="1390"/>
      <c r="AF598" s="1390"/>
      <c r="AG598" s="1390"/>
      <c r="AH598" s="1390"/>
      <c r="AI598" s="1390"/>
      <c r="AJ598" s="1390"/>
      <c r="AK598" s="1390"/>
      <c r="AL598"/>
      <c r="AM598"/>
      <c r="AN598"/>
      <c r="AO598"/>
      <c r="AP598"/>
      <c r="AQ598"/>
      <c r="AR598"/>
      <c r="AS598"/>
      <c r="AT598"/>
      <c r="AU598"/>
      <c r="AV598"/>
      <c r="AW598"/>
      <c r="AX598"/>
      <c r="AY598"/>
      <c r="BB598" s="3"/>
      <c r="BC598" s="3"/>
    </row>
    <row r="599" spans="1:55" ht="12.95" customHeight="1">
      <c r="A599" s="22"/>
      <c r="B599" t="s">
        <v>20</v>
      </c>
      <c r="N599" s="1351" t="s">
        <v>545</v>
      </c>
      <c r="O599" s="1351"/>
      <c r="T599" s="22"/>
      <c r="U599" t="s">
        <v>20</v>
      </c>
      <c r="AG599" s="1351" t="s">
        <v>545</v>
      </c>
      <c r="AH599" s="1351"/>
      <c r="BB599" s="3"/>
      <c r="BC599" s="3"/>
    </row>
    <row r="600" spans="1:55" ht="12.95" customHeight="1">
      <c r="A600" s="22"/>
      <c r="T600" s="22"/>
      <c r="BB600" s="3"/>
      <c r="BC600" s="3"/>
    </row>
    <row r="601" spans="1:55" ht="12.95" customHeight="1">
      <c r="A601" s="55" t="s">
        <v>461</v>
      </c>
      <c r="B601" t="s">
        <v>463</v>
      </c>
      <c r="G601" s="1377" t="str">
        <f>C562</f>
        <v>Deferred Developer Fee</v>
      </c>
      <c r="H601" s="1377"/>
      <c r="I601" s="1377"/>
      <c r="J601" s="1377"/>
      <c r="K601" s="1377"/>
      <c r="L601" s="1377"/>
      <c r="M601" s="1377"/>
      <c r="N601" s="1377"/>
      <c r="O601" s="1377"/>
      <c r="P601" s="1377"/>
      <c r="Q601" s="1377"/>
      <c r="R601" s="1377"/>
      <c r="T601" s="55" t="s">
        <v>646</v>
      </c>
      <c r="U601" t="s">
        <v>463</v>
      </c>
      <c r="Z601" s="1377" t="str">
        <f>C563</f>
        <v>Accrued/Deferred Interest</v>
      </c>
      <c r="AA601" s="1377"/>
      <c r="AB601" s="1377"/>
      <c r="AC601" s="1377"/>
      <c r="AD601" s="1377"/>
      <c r="AE601" s="1377"/>
      <c r="AF601" s="1377"/>
      <c r="AG601" s="1377"/>
      <c r="AH601" s="1377"/>
      <c r="AI601" s="1377"/>
      <c r="AJ601" s="1377"/>
      <c r="AK601" s="1377"/>
      <c r="BB601" s="3"/>
      <c r="BC601" s="3"/>
    </row>
    <row r="602" spans="1:55" ht="12.95" customHeight="1">
      <c r="A602" s="22"/>
      <c r="B602" t="s">
        <v>85</v>
      </c>
      <c r="G602" s="1390" t="s">
        <v>2610</v>
      </c>
      <c r="H602" s="1390"/>
      <c r="I602" s="1390"/>
      <c r="J602" s="1390"/>
      <c r="K602" s="1390"/>
      <c r="L602" s="1390"/>
      <c r="M602" s="1390"/>
      <c r="N602" s="1390"/>
      <c r="O602" s="1390"/>
      <c r="P602" s="1390"/>
      <c r="Q602" s="1390"/>
      <c r="R602" s="1390"/>
      <c r="T602" s="22"/>
      <c r="U602" t="s">
        <v>85</v>
      </c>
      <c r="Z602" s="1390" t="s">
        <v>2657</v>
      </c>
      <c r="AA602" s="1390"/>
      <c r="AB602" s="1390"/>
      <c r="AC602" s="1390"/>
      <c r="AD602" s="1390"/>
      <c r="AE602" s="1390"/>
      <c r="AF602" s="1390"/>
      <c r="AG602" s="1390"/>
      <c r="AH602" s="1390"/>
      <c r="AI602" s="1390"/>
      <c r="AJ602" s="1390"/>
      <c r="AK602" s="1390"/>
      <c r="AZ602" s="3"/>
      <c r="BA602" s="3"/>
      <c r="BB602" s="3"/>
      <c r="BC602" s="3"/>
    </row>
    <row r="603" spans="1:55" ht="12.95" customHeight="1">
      <c r="A603" s="22"/>
      <c r="B603" t="s">
        <v>580</v>
      </c>
      <c r="G603" s="1390" t="s">
        <v>2611</v>
      </c>
      <c r="H603" s="1390"/>
      <c r="I603" s="1390"/>
      <c r="J603" s="1390"/>
      <c r="K603" s="1390"/>
      <c r="L603" s="1390"/>
      <c r="M603" s="1390"/>
      <c r="N603" s="1390"/>
      <c r="O603" s="1390"/>
      <c r="P603" s="1390"/>
      <c r="Q603" s="1390"/>
      <c r="R603" s="1390"/>
      <c r="T603" s="22"/>
      <c r="U603" t="s">
        <v>580</v>
      </c>
      <c r="Z603" s="1367"/>
      <c r="AA603" s="1367"/>
      <c r="AB603" s="1367"/>
      <c r="AC603" s="1367"/>
      <c r="AD603" s="1367"/>
      <c r="AE603" s="1367"/>
      <c r="AF603" s="1367"/>
      <c r="AG603" s="1367"/>
      <c r="AH603" s="1367"/>
      <c r="AI603" s="1367"/>
      <c r="AJ603" s="1367"/>
      <c r="AK603" s="1367"/>
      <c r="AZ603" s="3"/>
      <c r="BA603" s="3"/>
      <c r="BB603" s="3"/>
      <c r="BC603" s="3"/>
    </row>
    <row r="604" spans="1:55" ht="12.95" customHeight="1">
      <c r="A604" s="22"/>
      <c r="B604" t="s">
        <v>17</v>
      </c>
      <c r="G604" s="1390" t="s">
        <v>2613</v>
      </c>
      <c r="H604" s="1390"/>
      <c r="I604" s="1390"/>
      <c r="J604" s="1390"/>
      <c r="K604" s="1390"/>
      <c r="L604" s="1390"/>
      <c r="M604" s="1390"/>
      <c r="N604" s="1390"/>
      <c r="O604" s="1390"/>
      <c r="P604" s="1390"/>
      <c r="Q604" s="1390"/>
      <c r="R604" s="1390"/>
      <c r="T604" s="22"/>
      <c r="U604" t="s">
        <v>17</v>
      </c>
      <c r="Z604" s="1367"/>
      <c r="AA604" s="1367"/>
      <c r="AB604" s="1367"/>
      <c r="AC604" s="1367"/>
      <c r="AD604" s="1367"/>
      <c r="AE604" s="1367"/>
      <c r="AF604" s="1367"/>
      <c r="AG604" s="1367"/>
      <c r="AH604" s="1367"/>
      <c r="AI604" s="1367"/>
      <c r="AJ604" s="1367"/>
      <c r="AK604" s="1367"/>
      <c r="AZ604" s="3"/>
      <c r="BA604" s="3"/>
      <c r="BB604" s="3"/>
      <c r="BC604" s="3"/>
    </row>
    <row r="605" spans="1:55" s="4" customFormat="1" ht="12.95" customHeight="1">
      <c r="A605" s="22"/>
      <c r="B605" t="s">
        <v>316</v>
      </c>
      <c r="C605"/>
      <c r="D605"/>
      <c r="E605"/>
      <c r="F605"/>
      <c r="G605" s="1682" t="s">
        <v>2706</v>
      </c>
      <c r="H605" s="1365"/>
      <c r="I605" s="1365"/>
      <c r="J605" s="1365"/>
      <c r="K605" s="1365"/>
      <c r="L605" s="1365"/>
      <c r="M605"/>
      <c r="N605"/>
      <c r="O605" s="33" t="s">
        <v>206</v>
      </c>
      <c r="P605" s="1457"/>
      <c r="Q605" s="1457"/>
      <c r="R605" s="1457"/>
      <c r="S605"/>
      <c r="T605" s="22"/>
      <c r="U605" t="s">
        <v>316</v>
      </c>
      <c r="V605"/>
      <c r="W605"/>
      <c r="X605"/>
      <c r="Y605"/>
      <c r="Z605" s="1365"/>
      <c r="AA605" s="1365"/>
      <c r="AB605" s="1365"/>
      <c r="AC605" s="1365"/>
      <c r="AD605" s="1365"/>
      <c r="AE605" s="1365"/>
      <c r="AF605"/>
      <c r="AG605"/>
      <c r="AH605" s="33" t="s">
        <v>206</v>
      </c>
      <c r="AI605" s="1457"/>
      <c r="AJ605" s="1457"/>
      <c r="AK605" s="145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90" t="s">
        <v>2318</v>
      </c>
      <c r="I606" s="1390"/>
      <c r="J606" s="1390"/>
      <c r="K606" s="1390"/>
      <c r="L606" s="1390"/>
      <c r="M606" s="1390"/>
      <c r="N606" s="1390"/>
      <c r="O606" s="1390"/>
      <c r="P606" s="1390"/>
      <c r="Q606" s="1390"/>
      <c r="R606" s="1390"/>
      <c r="S606"/>
      <c r="T606" s="22"/>
      <c r="U606" t="s">
        <v>18</v>
      </c>
      <c r="V606"/>
      <c r="W606"/>
      <c r="X606"/>
      <c r="Y606"/>
      <c r="Z606"/>
      <c r="AA606" s="1390"/>
      <c r="AB606" s="1390"/>
      <c r="AC606" s="1390"/>
      <c r="AD606" s="1390"/>
      <c r="AE606" s="1390"/>
      <c r="AF606" s="1390"/>
      <c r="AG606" s="1390"/>
      <c r="AH606" s="1390"/>
      <c r="AI606" s="1390"/>
      <c r="AJ606" s="1390"/>
      <c r="AK606" s="139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51" t="s">
        <v>545</v>
      </c>
      <c r="O607" s="1351"/>
      <c r="P607"/>
      <c r="Q607"/>
      <c r="R607"/>
      <c r="S607"/>
      <c r="T607" s="22"/>
      <c r="U607" t="s">
        <v>20</v>
      </c>
      <c r="V607"/>
      <c r="W607"/>
      <c r="X607"/>
      <c r="Y607"/>
      <c r="Z607"/>
      <c r="AA607"/>
      <c r="AB607"/>
      <c r="AC607"/>
      <c r="AD607"/>
      <c r="AE607"/>
      <c r="AF607"/>
      <c r="AG607" s="1351" t="s">
        <v>669</v>
      </c>
      <c r="AH607" s="135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77" t="str">
        <f>C564</f>
        <v>GP Capital: Acq Reserves</v>
      </c>
      <c r="H609" s="1377"/>
      <c r="I609" s="1377"/>
      <c r="J609" s="1377"/>
      <c r="K609" s="1377"/>
      <c r="L609" s="1377"/>
      <c r="M609" s="1377"/>
      <c r="N609" s="1377"/>
      <c r="O609" s="1377"/>
      <c r="P609" s="1377"/>
      <c r="Q609" s="1377"/>
      <c r="R609" s="1377"/>
      <c r="T609" s="55" t="s">
        <v>363</v>
      </c>
      <c r="U609" t="s">
        <v>463</v>
      </c>
      <c r="Z609" s="1377" t="str">
        <f>C565</f>
        <v>LP Equity</v>
      </c>
      <c r="AA609" s="1377"/>
      <c r="AB609" s="1377"/>
      <c r="AC609" s="1377"/>
      <c r="AD609" s="1377"/>
      <c r="AE609" s="1377"/>
      <c r="AF609" s="1377"/>
      <c r="AG609" s="1377"/>
      <c r="AH609" s="1377"/>
      <c r="AI609" s="1377"/>
      <c r="AJ609" s="1377"/>
      <c r="AK609" s="1377"/>
      <c r="AZ609" s="3"/>
      <c r="BA609" s="3"/>
      <c r="BB609" s="3"/>
      <c r="BC609" s="3"/>
    </row>
    <row r="610" spans="1:55" ht="12.95" customHeight="1">
      <c r="B610" t="s">
        <v>85</v>
      </c>
      <c r="G610" s="1390" t="s">
        <v>2610</v>
      </c>
      <c r="H610" s="1390"/>
      <c r="I610" s="1390"/>
      <c r="J610" s="1390"/>
      <c r="K610" s="1390"/>
      <c r="L610" s="1390"/>
      <c r="M610" s="1390"/>
      <c r="N610" s="1390"/>
      <c r="O610" s="1390"/>
      <c r="P610" s="1390"/>
      <c r="Q610" s="1390"/>
      <c r="R610" s="1390"/>
      <c r="U610" t="s">
        <v>85</v>
      </c>
      <c r="Z610" s="1390" t="s">
        <v>2657</v>
      </c>
      <c r="AA610" s="1390"/>
      <c r="AB610" s="1390"/>
      <c r="AC610" s="1390"/>
      <c r="AD610" s="1390"/>
      <c r="AE610" s="1390"/>
      <c r="AF610" s="1390"/>
      <c r="AG610" s="1390"/>
      <c r="AH610" s="1390"/>
      <c r="AI610" s="1390"/>
      <c r="AJ610" s="1390"/>
      <c r="AK610" s="1390"/>
      <c r="AZ610" s="3"/>
      <c r="BA610" s="3"/>
      <c r="BB610" s="3"/>
      <c r="BC610" s="3"/>
    </row>
    <row r="611" spans="1:55" ht="12.95" customHeight="1">
      <c r="B611" t="s">
        <v>580</v>
      </c>
      <c r="G611" s="1390" t="s">
        <v>2611</v>
      </c>
      <c r="H611" s="1390"/>
      <c r="I611" s="1390"/>
      <c r="J611" s="1390"/>
      <c r="K611" s="1390"/>
      <c r="L611" s="1390"/>
      <c r="M611" s="1390"/>
      <c r="N611" s="1390"/>
      <c r="O611" s="1390"/>
      <c r="P611" s="1390"/>
      <c r="Q611" s="1390"/>
      <c r="R611" s="1390"/>
      <c r="U611" t="s">
        <v>580</v>
      </c>
      <c r="Z611" s="1367"/>
      <c r="AA611" s="1367"/>
      <c r="AB611" s="1367"/>
      <c r="AC611" s="1367"/>
      <c r="AD611" s="1367"/>
      <c r="AE611" s="1367"/>
      <c r="AF611" s="1367"/>
      <c r="AG611" s="1367"/>
      <c r="AH611" s="1367"/>
      <c r="AI611" s="1367"/>
      <c r="AJ611" s="1367"/>
      <c r="AK611" s="1367"/>
      <c r="AZ611" s="3"/>
      <c r="BA611" s="3"/>
      <c r="BB611" s="3"/>
      <c r="BC611" s="3"/>
    </row>
    <row r="612" spans="1:55" ht="12.95" customHeight="1">
      <c r="B612" t="s">
        <v>17</v>
      </c>
      <c r="G612" s="1390" t="s">
        <v>2613</v>
      </c>
      <c r="H612" s="1390"/>
      <c r="I612" s="1390"/>
      <c r="J612" s="1390"/>
      <c r="K612" s="1390"/>
      <c r="L612" s="1390"/>
      <c r="M612" s="1390"/>
      <c r="N612" s="1390"/>
      <c r="O612" s="1390"/>
      <c r="P612" s="1390"/>
      <c r="Q612" s="1390"/>
      <c r="R612" s="1390"/>
      <c r="U612" t="s">
        <v>17</v>
      </c>
      <c r="Z612" s="1367"/>
      <c r="AA612" s="1367"/>
      <c r="AB612" s="1367"/>
      <c r="AC612" s="1367"/>
      <c r="AD612" s="1367"/>
      <c r="AE612" s="1367"/>
      <c r="AF612" s="1367"/>
      <c r="AG612" s="1367"/>
      <c r="AH612" s="1367"/>
      <c r="AI612" s="1367"/>
      <c r="AJ612" s="1367"/>
      <c r="AK612" s="1367"/>
      <c r="AZ612" s="3"/>
      <c r="BA612" s="3"/>
      <c r="BB612" s="3"/>
      <c r="BC612" s="3"/>
    </row>
    <row r="613" spans="1:55" ht="12.95" customHeight="1">
      <c r="B613" t="s">
        <v>316</v>
      </c>
      <c r="G613" s="1365" t="s">
        <v>2706</v>
      </c>
      <c r="H613" s="1365"/>
      <c r="I613" s="1365"/>
      <c r="J613" s="1365"/>
      <c r="K613" s="1365"/>
      <c r="L613" s="1365"/>
      <c r="O613" s="33" t="s">
        <v>206</v>
      </c>
      <c r="P613" s="1457"/>
      <c r="Q613" s="1457"/>
      <c r="R613" s="1457"/>
      <c r="U613" t="s">
        <v>316</v>
      </c>
      <c r="Z613" s="1365"/>
      <c r="AA613" s="1365"/>
      <c r="AB613" s="1365"/>
      <c r="AC613" s="1365"/>
      <c r="AD613" s="1365"/>
      <c r="AE613" s="1365"/>
      <c r="AH613" s="33" t="s">
        <v>206</v>
      </c>
      <c r="AI613" s="1457"/>
      <c r="AJ613" s="1457"/>
      <c r="AK613" s="1457"/>
      <c r="AZ613" s="3"/>
      <c r="BA613" s="3"/>
      <c r="BB613" s="3"/>
      <c r="BC613" s="3"/>
    </row>
    <row r="614" spans="1:55" ht="12.95" customHeight="1">
      <c r="B614" t="s">
        <v>18</v>
      </c>
      <c r="H614" s="1390" t="s">
        <v>2709</v>
      </c>
      <c r="I614" s="1390"/>
      <c r="J614" s="1390"/>
      <c r="K614" s="1390"/>
      <c r="L614" s="1390"/>
      <c r="M614" s="1390"/>
      <c r="N614" s="1390"/>
      <c r="O614" s="1390"/>
      <c r="P614" s="1390"/>
      <c r="Q614" s="1390"/>
      <c r="R614" s="1390"/>
      <c r="U614" t="s">
        <v>18</v>
      </c>
      <c r="AA614" s="1390"/>
      <c r="AB614" s="1390"/>
      <c r="AC614" s="1390"/>
      <c r="AD614" s="1390"/>
      <c r="AE614" s="1390"/>
      <c r="AF614" s="1390"/>
      <c r="AG614" s="1390"/>
      <c r="AH614" s="1390"/>
      <c r="AI614" s="1390"/>
      <c r="AJ614" s="1390"/>
      <c r="AK614" s="1390"/>
      <c r="AU614" s="899"/>
      <c r="AV614" s="899"/>
      <c r="AW614" s="899"/>
      <c r="AX614" s="899"/>
      <c r="AY614" s="899"/>
      <c r="AZ614" s="3"/>
      <c r="BA614" s="3"/>
      <c r="BB614" s="3"/>
      <c r="BC614" s="3"/>
    </row>
    <row r="615" spans="1:55" ht="12.95" customHeight="1">
      <c r="B615" t="s">
        <v>20</v>
      </c>
      <c r="N615" s="1351" t="s">
        <v>669</v>
      </c>
      <c r="O615" s="1351"/>
      <c r="U615" t="s">
        <v>20</v>
      </c>
      <c r="AG615" s="1351" t="s">
        <v>669</v>
      </c>
      <c r="AH615" s="1351"/>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12" t="s">
        <v>2101</v>
      </c>
      <c r="C624" s="1712"/>
      <c r="D624" s="1712"/>
      <c r="E624" s="1712"/>
      <c r="F624" s="1712"/>
      <c r="G624" s="1712"/>
      <c r="H624" s="1712"/>
      <c r="I624" s="1712"/>
      <c r="J624" s="1712"/>
      <c r="K624" s="1712"/>
      <c r="L624" s="1712"/>
      <c r="M624" s="1462" t="s">
        <v>2102</v>
      </c>
      <c r="N624" s="1462"/>
      <c r="O624" s="1462"/>
      <c r="P624" s="1462"/>
      <c r="Q624" s="1462" t="s">
        <v>1851</v>
      </c>
      <c r="R624" s="1462"/>
      <c r="S624" s="1462"/>
      <c r="T624" s="1462" t="s">
        <v>1849</v>
      </c>
      <c r="U624" s="1462"/>
      <c r="V624" s="1462"/>
      <c r="W624" s="1683" t="s">
        <v>453</v>
      </c>
      <c r="X624" s="1683"/>
      <c r="Y624" s="1683"/>
      <c r="Z624" s="1451" t="s">
        <v>2131</v>
      </c>
      <c r="AA624" s="1451"/>
      <c r="AB624" s="1452"/>
      <c r="AC624" s="1693" t="s">
        <v>1675</v>
      </c>
      <c r="AD624" s="1694"/>
      <c r="AE624" s="1695"/>
      <c r="AF624" s="1679" t="s">
        <v>1929</v>
      </c>
      <c r="AG624" s="1451"/>
      <c r="AH624" s="1451"/>
      <c r="AI624" s="1451"/>
      <c r="AJ624" s="1452"/>
      <c r="AK624" s="1684" t="s">
        <v>1930</v>
      </c>
      <c r="AL624" s="1685"/>
      <c r="AM624" s="1685"/>
      <c r="AN624" s="1686"/>
      <c r="AO624" s="1462" t="s">
        <v>454</v>
      </c>
      <c r="AP624" s="1462"/>
      <c r="AQ624" s="1462"/>
      <c r="AR624" s="1462"/>
      <c r="AS624" s="1462"/>
      <c r="AU624" s="3"/>
      <c r="AZ624" s="3"/>
      <c r="BA624" s="3"/>
      <c r="BB624" s="3"/>
      <c r="BC624" s="3"/>
    </row>
    <row r="625" spans="2:157" ht="12.95" customHeight="1">
      <c r="B625" s="1712"/>
      <c r="C625" s="1712"/>
      <c r="D625" s="1712"/>
      <c r="E625" s="1712"/>
      <c r="F625" s="1712"/>
      <c r="G625" s="1712"/>
      <c r="H625" s="1712"/>
      <c r="I625" s="1712"/>
      <c r="J625" s="1712"/>
      <c r="K625" s="1712"/>
      <c r="L625" s="1712"/>
      <c r="M625" s="1462"/>
      <c r="N625" s="1462"/>
      <c r="O625" s="1462"/>
      <c r="P625" s="1462"/>
      <c r="Q625" s="1462"/>
      <c r="R625" s="1462"/>
      <c r="S625" s="1462"/>
      <c r="T625" s="1462"/>
      <c r="U625" s="1462"/>
      <c r="V625" s="1462"/>
      <c r="W625" s="1683"/>
      <c r="X625" s="1683"/>
      <c r="Y625" s="1683"/>
      <c r="Z625" s="1453"/>
      <c r="AA625" s="1453"/>
      <c r="AB625" s="1454"/>
      <c r="AC625" s="1696"/>
      <c r="AD625" s="1697"/>
      <c r="AE625" s="1698"/>
      <c r="AF625" s="1680"/>
      <c r="AG625" s="1453"/>
      <c r="AH625" s="1453"/>
      <c r="AI625" s="1453"/>
      <c r="AJ625" s="1454"/>
      <c r="AK625" s="1687"/>
      <c r="AL625" s="1688"/>
      <c r="AM625" s="1688"/>
      <c r="AN625" s="1689"/>
      <c r="AO625" s="1462"/>
      <c r="AP625" s="1462"/>
      <c r="AQ625" s="1462"/>
      <c r="AR625" s="1462"/>
      <c r="AS625" s="1462"/>
      <c r="AU625" s="3"/>
      <c r="AZ625" s="3"/>
      <c r="BA625" s="3"/>
      <c r="BB625" s="3"/>
      <c r="BC625" s="3"/>
      <c r="BD625" s="3"/>
    </row>
    <row r="626" spans="2:157" ht="12.95" customHeight="1">
      <c r="B626" s="1712"/>
      <c r="C626" s="1712"/>
      <c r="D626" s="1712"/>
      <c r="E626" s="1712"/>
      <c r="F626" s="1712"/>
      <c r="G626" s="1712"/>
      <c r="H626" s="1712"/>
      <c r="I626" s="1712"/>
      <c r="J626" s="1712"/>
      <c r="K626" s="1712"/>
      <c r="L626" s="1712"/>
      <c r="M626" s="1462"/>
      <c r="N626" s="1462"/>
      <c r="O626" s="1462"/>
      <c r="P626" s="1462"/>
      <c r="Q626" s="1462"/>
      <c r="R626" s="1462"/>
      <c r="S626" s="1462"/>
      <c r="T626" s="1462"/>
      <c r="U626" s="1462"/>
      <c r="V626" s="1462"/>
      <c r="W626" s="1683"/>
      <c r="X626" s="1683"/>
      <c r="Y626" s="1683"/>
      <c r="Z626" s="1455"/>
      <c r="AA626" s="1455"/>
      <c r="AB626" s="1456"/>
      <c r="AC626" s="1699"/>
      <c r="AD626" s="1700"/>
      <c r="AE626" s="1701"/>
      <c r="AF626" s="1681"/>
      <c r="AG626" s="1455"/>
      <c r="AH626" s="1455"/>
      <c r="AI626" s="1455"/>
      <c r="AJ626" s="1456"/>
      <c r="AK626" s="1690"/>
      <c r="AL626" s="1691"/>
      <c r="AM626" s="1691"/>
      <c r="AN626" s="1692"/>
      <c r="AO626" s="1462"/>
      <c r="AP626" s="1462"/>
      <c r="AQ626" s="1462"/>
      <c r="AR626" s="1462"/>
      <c r="AS626" s="1462"/>
      <c r="AT626" s="3"/>
      <c r="AU626" s="3"/>
      <c r="AZ626" s="3"/>
      <c r="BA626" s="3"/>
      <c r="BB626" s="3"/>
      <c r="BC626" s="3"/>
      <c r="BD626" s="3"/>
    </row>
    <row r="627" spans="2:157" ht="12.95" customHeight="1">
      <c r="B627" s="51" t="s">
        <v>112</v>
      </c>
      <c r="C627" s="1450" t="s">
        <v>2761</v>
      </c>
      <c r="D627" s="1450"/>
      <c r="E627" s="1450"/>
      <c r="F627" s="1450"/>
      <c r="G627" s="1450"/>
      <c r="H627" s="1450"/>
      <c r="I627" s="1450"/>
      <c r="J627" s="1450"/>
      <c r="K627" s="1450"/>
      <c r="L627" s="1450"/>
      <c r="M627" s="1632" t="s">
        <v>2118</v>
      </c>
      <c r="N627" s="1632"/>
      <c r="O627" s="1632"/>
      <c r="P627" s="1632"/>
      <c r="Q627" s="1445">
        <f>17*12</f>
        <v>204</v>
      </c>
      <c r="R627" s="1445"/>
      <c r="S627" s="1446"/>
      <c r="T627" s="1444">
        <v>420</v>
      </c>
      <c r="U627" s="1445"/>
      <c r="V627" s="1446"/>
      <c r="W627" s="1458">
        <v>6.3750000000000001E-2</v>
      </c>
      <c r="X627" s="1459"/>
      <c r="Y627" s="1460"/>
      <c r="Z627" s="1495" t="s">
        <v>2130</v>
      </c>
      <c r="AA627" s="1496"/>
      <c r="AB627" s="1497"/>
      <c r="AC627" s="1466">
        <v>1</v>
      </c>
      <c r="AD627" s="1467"/>
      <c r="AE627" s="1468"/>
      <c r="AF627" s="1492">
        <v>458930</v>
      </c>
      <c r="AG627" s="1493"/>
      <c r="AH627" s="1493"/>
      <c r="AI627" s="1493"/>
      <c r="AJ627" s="1494"/>
      <c r="AK627" s="1447"/>
      <c r="AL627" s="1448"/>
      <c r="AM627" s="1448"/>
      <c r="AN627" s="1449"/>
      <c r="AO627" s="1498">
        <v>6633000</v>
      </c>
      <c r="AP627" s="1498"/>
      <c r="AQ627" s="1498"/>
      <c r="AR627" s="1498"/>
      <c r="AS627" s="1498"/>
      <c r="AT627" s="3"/>
      <c r="AU627" s="3"/>
      <c r="AZ627" s="3"/>
      <c r="BA627" s="3"/>
      <c r="BB627" s="3"/>
      <c r="BC627" s="3"/>
      <c r="BD627" s="3"/>
    </row>
    <row r="628" spans="2:157" ht="12.95" customHeight="1">
      <c r="B628" s="52" t="s">
        <v>113</v>
      </c>
      <c r="C628" s="1450" t="str">
        <f>C557</f>
        <v>Seller Carryback Loan</v>
      </c>
      <c r="D628" s="1450"/>
      <c r="E628" s="1450"/>
      <c r="F628" s="1450"/>
      <c r="G628" s="1450"/>
      <c r="H628" s="1450"/>
      <c r="I628" s="1450"/>
      <c r="J628" s="1450"/>
      <c r="K628" s="1450"/>
      <c r="L628" s="1450"/>
      <c r="M628" s="1632" t="s">
        <v>2115</v>
      </c>
      <c r="N628" s="1632"/>
      <c r="O628" s="1632"/>
      <c r="P628" s="1632"/>
      <c r="Q628" s="1444">
        <v>660</v>
      </c>
      <c r="R628" s="1445"/>
      <c r="S628" s="1446"/>
      <c r="T628" s="1444">
        <v>660</v>
      </c>
      <c r="U628" s="1445"/>
      <c r="V628" s="1446"/>
      <c r="W628" s="1458">
        <v>5.0799999999999998E-2</v>
      </c>
      <c r="X628" s="1459"/>
      <c r="Y628" s="1460"/>
      <c r="Z628" s="1495" t="s">
        <v>457</v>
      </c>
      <c r="AA628" s="1496"/>
      <c r="AB628" s="1497"/>
      <c r="AC628" s="1466">
        <v>4</v>
      </c>
      <c r="AD628" s="1467"/>
      <c r="AE628" s="1468"/>
      <c r="AF628" s="1492"/>
      <c r="AG628" s="1493"/>
      <c r="AH628" s="1493"/>
      <c r="AI628" s="1493"/>
      <c r="AJ628" s="1494"/>
      <c r="AK628" s="1447"/>
      <c r="AL628" s="1448"/>
      <c r="AM628" s="1448"/>
      <c r="AN628" s="1449"/>
      <c r="AO628" s="1480">
        <f>AM557</f>
        <v>7943457</v>
      </c>
      <c r="AP628" s="1481"/>
      <c r="AQ628" s="1481"/>
      <c r="AR628" s="1481"/>
      <c r="AS628" s="1482"/>
      <c r="AT628" s="1148" t="str">
        <f>IF(AND(NOT(C627=""),C628="",NOT(C629="")),"!","")</f>
        <v/>
      </c>
      <c r="AU628" s="3"/>
      <c r="AZ628" s="3"/>
      <c r="BA628" s="3"/>
      <c r="BB628" s="3"/>
      <c r="BC628" s="3"/>
      <c r="BD628" s="3"/>
    </row>
    <row r="629" spans="2:157" ht="12.95" customHeight="1">
      <c r="B629" s="52" t="s">
        <v>119</v>
      </c>
      <c r="C629" s="1450" t="str">
        <f>C558</f>
        <v>City of Livermore (assumed)</v>
      </c>
      <c r="D629" s="1450"/>
      <c r="E629" s="1450"/>
      <c r="F629" s="1450"/>
      <c r="G629" s="1450"/>
      <c r="H629" s="1450"/>
      <c r="I629" s="1450"/>
      <c r="J629" s="1450"/>
      <c r="K629" s="1450"/>
      <c r="L629" s="1450"/>
      <c r="M629" s="1632" t="s">
        <v>2114</v>
      </c>
      <c r="N629" s="1632"/>
      <c r="O629" s="1632"/>
      <c r="P629" s="1632"/>
      <c r="Q629" s="1444">
        <v>660</v>
      </c>
      <c r="R629" s="1445"/>
      <c r="S629" s="1446"/>
      <c r="T629" s="1444">
        <v>660</v>
      </c>
      <c r="U629" s="1445"/>
      <c r="V629" s="1446"/>
      <c r="W629" s="1458">
        <v>5.0799999999999998E-2</v>
      </c>
      <c r="X629" s="1459"/>
      <c r="Y629" s="1460"/>
      <c r="Z629" s="1495" t="s">
        <v>457</v>
      </c>
      <c r="AA629" s="1496"/>
      <c r="AB629" s="1497"/>
      <c r="AC629" s="1466">
        <v>2</v>
      </c>
      <c r="AD629" s="1467"/>
      <c r="AE629" s="1468"/>
      <c r="AF629" s="1492"/>
      <c r="AG629" s="1493"/>
      <c r="AH629" s="1493"/>
      <c r="AI629" s="1493"/>
      <c r="AJ629" s="1494"/>
      <c r="AK629" s="1447"/>
      <c r="AL629" s="1448"/>
      <c r="AM629" s="1448"/>
      <c r="AN629" s="1449"/>
      <c r="AO629" s="1480">
        <f>AM558</f>
        <v>7099708</v>
      </c>
      <c r="AP629" s="1481"/>
      <c r="AQ629" s="1481"/>
      <c r="AR629" s="1481"/>
      <c r="AS629" s="1482"/>
      <c r="AT629" s="1148" t="str">
        <f t="shared" ref="AT629:AT638" si="1">IF(AND(NOT(C628=""),C629="",NOT(C630="")),"!","")</f>
        <v/>
      </c>
      <c r="AU629" s="3"/>
      <c r="AZ629" s="3"/>
      <c r="BA629" s="3"/>
      <c r="BB629" s="3"/>
      <c r="BC629" s="3"/>
      <c r="BD629" s="3"/>
    </row>
    <row r="630" spans="2:157" ht="12.95" customHeight="1">
      <c r="B630" s="52" t="s">
        <v>581</v>
      </c>
      <c r="C630" s="1450" t="str">
        <f>C559</f>
        <v>CHFA School Facility Fees Loan (assumed)</v>
      </c>
      <c r="D630" s="1366"/>
      <c r="E630" s="1366"/>
      <c r="F630" s="1366"/>
      <c r="G630" s="1366"/>
      <c r="H630" s="1366"/>
      <c r="I630" s="1366"/>
      <c r="J630" s="1366"/>
      <c r="K630" s="1366"/>
      <c r="L630" s="1366"/>
      <c r="M630" s="1632" t="s">
        <v>2114</v>
      </c>
      <c r="N630" s="1632"/>
      <c r="O630" s="1632"/>
      <c r="P630" s="1632"/>
      <c r="Q630" s="1444">
        <v>384</v>
      </c>
      <c r="R630" s="1445"/>
      <c r="S630" s="1446"/>
      <c r="T630" s="1444">
        <f>Q630</f>
        <v>384</v>
      </c>
      <c r="U630" s="1445"/>
      <c r="V630" s="1446"/>
      <c r="W630" s="1458">
        <v>0</v>
      </c>
      <c r="X630" s="1459"/>
      <c r="Y630" s="1460"/>
      <c r="Z630" s="1495" t="s">
        <v>457</v>
      </c>
      <c r="AA630" s="1496"/>
      <c r="AB630" s="1497"/>
      <c r="AC630" s="1466">
        <v>3</v>
      </c>
      <c r="AD630" s="1467"/>
      <c r="AE630" s="1468"/>
      <c r="AF630" s="1492"/>
      <c r="AG630" s="1493"/>
      <c r="AH630" s="1493"/>
      <c r="AI630" s="1493"/>
      <c r="AJ630" s="1494"/>
      <c r="AK630" s="1447"/>
      <c r="AL630" s="1448"/>
      <c r="AM630" s="1448"/>
      <c r="AN630" s="1449"/>
      <c r="AO630" s="1480">
        <f>AM559</f>
        <v>141214</v>
      </c>
      <c r="AP630" s="1481"/>
      <c r="AQ630" s="1481"/>
      <c r="AR630" s="1481"/>
      <c r="AS630" s="1482"/>
      <c r="AT630" s="1148" t="str">
        <f t="shared" si="1"/>
        <v/>
      </c>
      <c r="AU630" s="3"/>
      <c r="AZ630" s="3"/>
      <c r="BA630" s="3"/>
      <c r="BB630" s="3"/>
      <c r="BC630" s="3"/>
      <c r="BD630" s="3"/>
    </row>
    <row r="631" spans="2:157" ht="12.95" customHeight="1">
      <c r="B631" s="52" t="s">
        <v>763</v>
      </c>
      <c r="C631" s="1450" t="str">
        <f>C561</f>
        <v>Income from Operations</v>
      </c>
      <c r="D631" s="1366"/>
      <c r="E631" s="1366"/>
      <c r="F631" s="1366"/>
      <c r="G631" s="1366"/>
      <c r="H631" s="1366"/>
      <c r="I631" s="1366"/>
      <c r="J631" s="1366"/>
      <c r="K631" s="1366"/>
      <c r="L631" s="1366"/>
      <c r="M631" s="1632" t="s">
        <v>2120</v>
      </c>
      <c r="N631" s="1632"/>
      <c r="O631" s="1632"/>
      <c r="P631" s="1632"/>
      <c r="Q631" s="1444"/>
      <c r="R631" s="1445"/>
      <c r="S631" s="1446"/>
      <c r="T631" s="1444"/>
      <c r="U631" s="1445"/>
      <c r="V631" s="1446"/>
      <c r="W631" s="1458"/>
      <c r="X631" s="1459"/>
      <c r="Y631" s="1460"/>
      <c r="Z631" s="1495" t="s">
        <v>1183</v>
      </c>
      <c r="AA631" s="1496"/>
      <c r="AB631" s="1497"/>
      <c r="AC631" s="1466"/>
      <c r="AD631" s="1467"/>
      <c r="AE631" s="1468"/>
      <c r="AF631" s="1492"/>
      <c r="AG631" s="1493"/>
      <c r="AH631" s="1493"/>
      <c r="AI631" s="1493"/>
      <c r="AJ631" s="1494"/>
      <c r="AK631" s="1447"/>
      <c r="AL631" s="1448"/>
      <c r="AM631" s="1448"/>
      <c r="AN631" s="1449"/>
      <c r="AO631" s="1480">
        <f>AM561</f>
        <v>379475</v>
      </c>
      <c r="AP631" s="1481"/>
      <c r="AQ631" s="1481"/>
      <c r="AR631" s="1481"/>
      <c r="AS631" s="1482"/>
      <c r="AT631" s="1148" t="str">
        <f t="shared" si="1"/>
        <v/>
      </c>
      <c r="AU631" s="3"/>
      <c r="AZ631" s="3"/>
      <c r="BA631" s="3"/>
      <c r="BB631" s="3"/>
      <c r="BC631" s="3"/>
      <c r="BD631" s="3"/>
    </row>
    <row r="632" spans="2:157" ht="12.95" customHeight="1">
      <c r="B632" s="52" t="s">
        <v>584</v>
      </c>
      <c r="C632" s="1450" t="str">
        <f>C562</f>
        <v>Deferred Developer Fee</v>
      </c>
      <c r="D632" s="1366"/>
      <c r="E632" s="1366"/>
      <c r="F632" s="1366"/>
      <c r="G632" s="1366"/>
      <c r="H632" s="1366"/>
      <c r="I632" s="1366"/>
      <c r="J632" s="1366"/>
      <c r="K632" s="1366"/>
      <c r="L632" s="1366"/>
      <c r="M632" s="1632" t="s">
        <v>2105</v>
      </c>
      <c r="N632" s="1632"/>
      <c r="O632" s="1632"/>
      <c r="P632" s="1632"/>
      <c r="Q632" s="1444"/>
      <c r="R632" s="1445"/>
      <c r="S632" s="1446"/>
      <c r="T632" s="1444"/>
      <c r="U632" s="1445"/>
      <c r="V632" s="1446"/>
      <c r="W632" s="1458"/>
      <c r="X632" s="1459"/>
      <c r="Y632" s="1460"/>
      <c r="Z632" s="1495" t="s">
        <v>1183</v>
      </c>
      <c r="AA632" s="1496"/>
      <c r="AB632" s="1497"/>
      <c r="AC632" s="1466"/>
      <c r="AD632" s="1467"/>
      <c r="AE632" s="1468"/>
      <c r="AF632" s="1492"/>
      <c r="AG632" s="1493"/>
      <c r="AH632" s="1493"/>
      <c r="AI632" s="1493"/>
      <c r="AJ632" s="1494"/>
      <c r="AK632" s="1447"/>
      <c r="AL632" s="1448"/>
      <c r="AM632" s="1448"/>
      <c r="AN632" s="1449"/>
      <c r="AO632" s="1480">
        <f>AM562</f>
        <v>428058</v>
      </c>
      <c r="AP632" s="1481"/>
      <c r="AQ632" s="1481"/>
      <c r="AR632" s="1481"/>
      <c r="AS632" s="1482"/>
      <c r="AT632" s="1148" t="str">
        <f t="shared" si="1"/>
        <v/>
      </c>
      <c r="AU632" s="3"/>
      <c r="AZ632" s="3"/>
      <c r="BA632" s="3"/>
      <c r="BB632" s="3"/>
      <c r="BC632" s="3"/>
      <c r="BD632" s="3"/>
    </row>
    <row r="633" spans="2:157" ht="12.95" customHeight="1">
      <c r="B633" s="52" t="s">
        <v>455</v>
      </c>
      <c r="C633" s="1450" t="str">
        <f>C563</f>
        <v>Accrued/Deferred Interest</v>
      </c>
      <c r="D633" s="1366"/>
      <c r="E633" s="1366"/>
      <c r="F633" s="1366"/>
      <c r="G633" s="1366"/>
      <c r="H633" s="1366"/>
      <c r="I633" s="1366"/>
      <c r="J633" s="1366"/>
      <c r="K633" s="1366"/>
      <c r="L633" s="1366"/>
      <c r="M633" s="1632" t="s">
        <v>2103</v>
      </c>
      <c r="N633" s="1632"/>
      <c r="O633" s="1632"/>
      <c r="P633" s="1632"/>
      <c r="Q633" s="1444"/>
      <c r="R633" s="1445"/>
      <c r="S633" s="1446"/>
      <c r="T633" s="1444"/>
      <c r="U633" s="1445"/>
      <c r="V633" s="1446"/>
      <c r="W633" s="1458"/>
      <c r="X633" s="1459"/>
      <c r="Y633" s="1460"/>
      <c r="Z633" s="1495" t="s">
        <v>1183</v>
      </c>
      <c r="AA633" s="1496"/>
      <c r="AB633" s="1497"/>
      <c r="AC633" s="1466"/>
      <c r="AD633" s="1467"/>
      <c r="AE633" s="1468"/>
      <c r="AF633" s="1492"/>
      <c r="AG633" s="1493"/>
      <c r="AH633" s="1493"/>
      <c r="AI633" s="1493"/>
      <c r="AJ633" s="1494"/>
      <c r="AK633" s="1447"/>
      <c r="AL633" s="1448"/>
      <c r="AM633" s="1448"/>
      <c r="AN633" s="1449"/>
      <c r="AO633" s="1480">
        <f>AM563</f>
        <v>1188583</v>
      </c>
      <c r="AP633" s="1481"/>
      <c r="AQ633" s="1481"/>
      <c r="AR633" s="1481"/>
      <c r="AS633" s="1482"/>
      <c r="AT633" s="1148" t="str">
        <f t="shared" si="1"/>
        <v/>
      </c>
      <c r="AU633" s="3"/>
      <c r="AV633" s="3"/>
      <c r="AW633" s="3"/>
      <c r="AX633" s="3"/>
      <c r="AY633" s="3"/>
      <c r="AZ633" s="3"/>
      <c r="BA633" s="3"/>
      <c r="BB633" s="3"/>
      <c r="BC633" s="3"/>
      <c r="BD633" s="3"/>
    </row>
    <row r="634" spans="2:157" ht="12.95" customHeight="1">
      <c r="B634" s="52" t="s">
        <v>456</v>
      </c>
      <c r="C634" s="1450" t="str">
        <f>C564</f>
        <v>GP Capital: Acq Reserves</v>
      </c>
      <c r="D634" s="1366"/>
      <c r="E634" s="1366"/>
      <c r="F634" s="1366"/>
      <c r="G634" s="1366"/>
      <c r="H634" s="1366"/>
      <c r="I634" s="1366"/>
      <c r="J634" s="1366"/>
      <c r="K634" s="1366"/>
      <c r="L634" s="1366"/>
      <c r="M634" s="1632" t="s">
        <v>2122</v>
      </c>
      <c r="N634" s="1632"/>
      <c r="O634" s="1632"/>
      <c r="P634" s="1632"/>
      <c r="Q634" s="1444"/>
      <c r="R634" s="1445"/>
      <c r="S634" s="1446"/>
      <c r="T634" s="1444"/>
      <c r="U634" s="1445"/>
      <c r="V634" s="1446"/>
      <c r="W634" s="1458"/>
      <c r="X634" s="1459"/>
      <c r="Y634" s="1460"/>
      <c r="Z634" s="1495" t="s">
        <v>1183</v>
      </c>
      <c r="AA634" s="1496"/>
      <c r="AB634" s="1497"/>
      <c r="AC634" s="1466"/>
      <c r="AD634" s="1467"/>
      <c r="AE634" s="1468"/>
      <c r="AF634" s="1492"/>
      <c r="AG634" s="1493"/>
      <c r="AH634" s="1493"/>
      <c r="AI634" s="1493"/>
      <c r="AJ634" s="1494"/>
      <c r="AK634" s="1447"/>
      <c r="AL634" s="1448"/>
      <c r="AM634" s="1448"/>
      <c r="AN634" s="1449"/>
      <c r="AO634" s="1480">
        <f>AM564</f>
        <v>200000</v>
      </c>
      <c r="AP634" s="1481"/>
      <c r="AQ634" s="1481"/>
      <c r="AR634" s="1481"/>
      <c r="AS634" s="1482"/>
      <c r="AT634" s="1148" t="str">
        <f t="shared" si="1"/>
        <v/>
      </c>
      <c r="AU634" s="3"/>
      <c r="AV634" s="3"/>
      <c r="AW634" s="3"/>
      <c r="AX634" s="3"/>
      <c r="AY634" s="3"/>
      <c r="AZ634" s="3"/>
      <c r="BA634" s="3" t="s">
        <v>1183</v>
      </c>
      <c r="BB634" s="3"/>
      <c r="BC634" s="3"/>
      <c r="BD634" s="3"/>
    </row>
    <row r="635" spans="2:157" ht="12.95" customHeight="1">
      <c r="B635" s="52" t="s">
        <v>461</v>
      </c>
      <c r="C635" s="1450"/>
      <c r="D635" s="1366"/>
      <c r="E635" s="1366"/>
      <c r="F635" s="1366"/>
      <c r="G635" s="1366"/>
      <c r="H635" s="1366"/>
      <c r="I635" s="1366"/>
      <c r="J635" s="1366"/>
      <c r="K635" s="1366"/>
      <c r="L635" s="1366"/>
      <c r="M635" s="1632" t="s">
        <v>1183</v>
      </c>
      <c r="N635" s="1632"/>
      <c r="O635" s="1632"/>
      <c r="P635" s="1632"/>
      <c r="Q635" s="1444"/>
      <c r="R635" s="1445"/>
      <c r="S635" s="1446"/>
      <c r="T635" s="1444"/>
      <c r="U635" s="1445"/>
      <c r="V635" s="1446"/>
      <c r="W635" s="1458"/>
      <c r="X635" s="1459"/>
      <c r="Y635" s="1460"/>
      <c r="Z635" s="1495" t="s">
        <v>1183</v>
      </c>
      <c r="AA635" s="1496"/>
      <c r="AB635" s="1497"/>
      <c r="AC635" s="1466"/>
      <c r="AD635" s="1467"/>
      <c r="AE635" s="1468"/>
      <c r="AF635" s="1492"/>
      <c r="AG635" s="1493"/>
      <c r="AH635" s="1493"/>
      <c r="AI635" s="1493"/>
      <c r="AJ635" s="1494"/>
      <c r="AK635" s="1447"/>
      <c r="AL635" s="1448"/>
      <c r="AM635" s="1448"/>
      <c r="AN635" s="1449"/>
      <c r="AO635" s="1480"/>
      <c r="AP635" s="1481"/>
      <c r="AQ635" s="1481"/>
      <c r="AR635" s="1481"/>
      <c r="AS635" s="1482"/>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5" t="e">
        <f t="shared" ref="DX635:DX669" si="2">EZ718*(CP718/$CP$753)</f>
        <v>#VALUE!</v>
      </c>
      <c r="DY635" s="1465"/>
      <c r="DZ635" s="1465"/>
      <c r="EA635" s="1465"/>
      <c r="EB635" s="1465"/>
      <c r="EC635" s="1465">
        <f t="shared" ref="EC635:EC669" si="3">FE718*(CU718/$CU$753)</f>
        <v>133.66666666666666</v>
      </c>
      <c r="ED635" s="1465"/>
      <c r="EE635" s="1465"/>
      <c r="EF635" s="1465"/>
      <c r="EG635" s="1465"/>
      <c r="EH635" s="1465" t="e">
        <f t="shared" ref="EH635:EH669" si="4">FJ718*(CZ718/$CZ$753)</f>
        <v>#VALUE!</v>
      </c>
      <c r="EI635" s="1465"/>
      <c r="EJ635" s="1465"/>
      <c r="EK635" s="1465"/>
      <c r="EL635" s="1465"/>
      <c r="EM635" s="1465" t="e">
        <f t="shared" ref="EM635:EM669" si="5">FO718*(DE718/$DE$753)</f>
        <v>#VALUE!</v>
      </c>
      <c r="EN635" s="1465"/>
      <c r="EO635" s="1465"/>
      <c r="EP635" s="1465"/>
      <c r="EQ635" s="1465"/>
      <c r="ER635" s="1465" t="e">
        <f t="shared" ref="ER635:ER669" si="6">FT718*(DJ718/$DJ$753)</f>
        <v>#VALUE!</v>
      </c>
      <c r="ES635" s="1465"/>
      <c r="ET635" s="1465"/>
      <c r="EU635" s="1465"/>
      <c r="EV635" s="1465"/>
      <c r="EW635" s="1465" t="e">
        <f t="shared" ref="EW635:EW669" si="7">FY718*(DO718/$DO$753)</f>
        <v>#VALUE!</v>
      </c>
      <c r="EX635" s="1465"/>
      <c r="EY635" s="1465"/>
      <c r="EZ635" s="1465"/>
      <c r="FA635" s="1465"/>
    </row>
    <row r="636" spans="2:157" ht="12.95" customHeight="1">
      <c r="B636" s="52" t="s">
        <v>646</v>
      </c>
      <c r="C636" s="1366"/>
      <c r="D636" s="1366"/>
      <c r="E636" s="1366"/>
      <c r="F636" s="1366"/>
      <c r="G636" s="1366"/>
      <c r="H636" s="1366"/>
      <c r="I636" s="1366"/>
      <c r="J636" s="1366"/>
      <c r="K636" s="1366"/>
      <c r="L636" s="1366"/>
      <c r="M636" s="1632" t="s">
        <v>1183</v>
      </c>
      <c r="N636" s="1632"/>
      <c r="O636" s="1632"/>
      <c r="P636" s="1632"/>
      <c r="Q636" s="1444"/>
      <c r="R636" s="1445"/>
      <c r="S636" s="1446"/>
      <c r="T636" s="1444"/>
      <c r="U636" s="1445"/>
      <c r="V636" s="1446"/>
      <c r="W636" s="1458"/>
      <c r="X636" s="1459"/>
      <c r="Y636" s="1460"/>
      <c r="Z636" s="1495" t="s">
        <v>1183</v>
      </c>
      <c r="AA636" s="1496"/>
      <c r="AB636" s="1497"/>
      <c r="AC636" s="1466"/>
      <c r="AD636" s="1467"/>
      <c r="AE636" s="1468"/>
      <c r="AF636" s="1492"/>
      <c r="AG636" s="1493"/>
      <c r="AH636" s="1493"/>
      <c r="AI636" s="1493"/>
      <c r="AJ636" s="1494"/>
      <c r="AK636" s="1447"/>
      <c r="AL636" s="1448"/>
      <c r="AM636" s="1448"/>
      <c r="AN636" s="1449"/>
      <c r="AO636" s="1480"/>
      <c r="AP636" s="1481"/>
      <c r="AQ636" s="1481"/>
      <c r="AR636" s="1481"/>
      <c r="AS636" s="1482"/>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65" t="e">
        <f t="shared" si="2"/>
        <v>#VALUE!</v>
      </c>
      <c r="DY636" s="1465"/>
      <c r="DZ636" s="1465"/>
      <c r="EA636" s="1465"/>
      <c r="EB636" s="1465"/>
      <c r="EC636" s="1465" t="e">
        <f t="shared" si="3"/>
        <v>#VALUE!</v>
      </c>
      <c r="ED636" s="1465"/>
      <c r="EE636" s="1465"/>
      <c r="EF636" s="1465"/>
      <c r="EG636" s="1465"/>
      <c r="EH636" s="1465">
        <f t="shared" si="4"/>
        <v>67.714285714285708</v>
      </c>
      <c r="EI636" s="1465"/>
      <c r="EJ636" s="1465"/>
      <c r="EK636" s="1465"/>
      <c r="EL636" s="1465"/>
      <c r="EM636" s="1465" t="e">
        <f t="shared" si="5"/>
        <v>#VALUE!</v>
      </c>
      <c r="EN636" s="1465"/>
      <c r="EO636" s="1465"/>
      <c r="EP636" s="1465"/>
      <c r="EQ636" s="1465"/>
      <c r="ER636" s="1465" t="e">
        <f t="shared" si="6"/>
        <v>#VALUE!</v>
      </c>
      <c r="ES636" s="1465"/>
      <c r="ET636" s="1465"/>
      <c r="EU636" s="1465"/>
      <c r="EV636" s="1465"/>
      <c r="EW636" s="1465" t="e">
        <f t="shared" si="7"/>
        <v>#VALUE!</v>
      </c>
      <c r="EX636" s="1465"/>
      <c r="EY636" s="1465"/>
      <c r="EZ636" s="1465"/>
      <c r="FA636" s="1465"/>
    </row>
    <row r="637" spans="2:157" ht="12.95" customHeight="1">
      <c r="B637" s="52" t="s">
        <v>362</v>
      </c>
      <c r="C637" s="1366"/>
      <c r="D637" s="1366"/>
      <c r="E637" s="1366"/>
      <c r="F637" s="1366"/>
      <c r="G637" s="1366"/>
      <c r="H637" s="1366"/>
      <c r="I637" s="1366"/>
      <c r="J637" s="1366"/>
      <c r="K637" s="1366"/>
      <c r="L637" s="1366"/>
      <c r="M637" s="1632" t="s">
        <v>1183</v>
      </c>
      <c r="N637" s="1632"/>
      <c r="O637" s="1632"/>
      <c r="P637" s="1632"/>
      <c r="Q637" s="1444"/>
      <c r="R637" s="1445"/>
      <c r="S637" s="1446"/>
      <c r="T637" s="1444"/>
      <c r="U637" s="1445"/>
      <c r="V637" s="1446"/>
      <c r="W637" s="1458"/>
      <c r="X637" s="1459"/>
      <c r="Y637" s="1460"/>
      <c r="Z637" s="1495" t="s">
        <v>1183</v>
      </c>
      <c r="AA637" s="1496"/>
      <c r="AB637" s="1497"/>
      <c r="AC637" s="1466"/>
      <c r="AD637" s="1467"/>
      <c r="AE637" s="1468"/>
      <c r="AF637" s="1492"/>
      <c r="AG637" s="1493"/>
      <c r="AH637" s="1493"/>
      <c r="AI637" s="1493"/>
      <c r="AJ637" s="1494"/>
      <c r="AK637" s="1447"/>
      <c r="AL637" s="1448"/>
      <c r="AM637" s="1448"/>
      <c r="AN637" s="1449"/>
      <c r="AO637" s="1480"/>
      <c r="AP637" s="1481"/>
      <c r="AQ637" s="1481"/>
      <c r="AR637" s="1481"/>
      <c r="AS637" s="1482"/>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65" t="e">
        <f t="shared" si="2"/>
        <v>#VALUE!</v>
      </c>
      <c r="DY637" s="1465"/>
      <c r="DZ637" s="1465"/>
      <c r="EA637" s="1465"/>
      <c r="EB637" s="1465"/>
      <c r="EC637" s="1465" t="e">
        <f t="shared" si="3"/>
        <v>#VALUE!</v>
      </c>
      <c r="ED637" s="1465"/>
      <c r="EE637" s="1465"/>
      <c r="EF637" s="1465"/>
      <c r="EG637" s="1465"/>
      <c r="EH637" s="1465" t="e">
        <f t="shared" si="4"/>
        <v>#VALUE!</v>
      </c>
      <c r="EI637" s="1465"/>
      <c r="EJ637" s="1465"/>
      <c r="EK637" s="1465"/>
      <c r="EL637" s="1465"/>
      <c r="EM637" s="1465">
        <f t="shared" si="5"/>
        <v>146.35135135135135</v>
      </c>
      <c r="EN637" s="1465"/>
      <c r="EO637" s="1465"/>
      <c r="EP637" s="1465"/>
      <c r="EQ637" s="1465"/>
      <c r="ER637" s="1465" t="e">
        <f t="shared" si="6"/>
        <v>#VALUE!</v>
      </c>
      <c r="ES637" s="1465"/>
      <c r="ET637" s="1465"/>
      <c r="EU637" s="1465"/>
      <c r="EV637" s="1465"/>
      <c r="EW637" s="1465" t="e">
        <f t="shared" si="7"/>
        <v>#VALUE!</v>
      </c>
      <c r="EX637" s="1465"/>
      <c r="EY637" s="1465"/>
      <c r="EZ637" s="1465"/>
      <c r="FA637" s="1465"/>
    </row>
    <row r="638" spans="2:157" ht="12.95" customHeight="1">
      <c r="B638" s="52" t="s">
        <v>363</v>
      </c>
      <c r="C638" s="1366"/>
      <c r="D638" s="1366"/>
      <c r="E638" s="1366"/>
      <c r="F638" s="1366"/>
      <c r="G638" s="1366"/>
      <c r="H638" s="1366"/>
      <c r="I638" s="1366"/>
      <c r="J638" s="1366"/>
      <c r="K638" s="1366"/>
      <c r="L638" s="1366"/>
      <c r="M638" s="1632" t="s">
        <v>1183</v>
      </c>
      <c r="N638" s="1632"/>
      <c r="O638" s="1632"/>
      <c r="P638" s="1632"/>
      <c r="Q638" s="1444"/>
      <c r="R638" s="1445"/>
      <c r="S638" s="1446"/>
      <c r="T638" s="1444"/>
      <c r="U638" s="1445"/>
      <c r="V638" s="1446"/>
      <c r="W638" s="1458"/>
      <c r="X638" s="1459"/>
      <c r="Y638" s="1460"/>
      <c r="Z638" s="1495" t="s">
        <v>1183</v>
      </c>
      <c r="AA638" s="1496"/>
      <c r="AB638" s="1497"/>
      <c r="AC638" s="1466"/>
      <c r="AD638" s="1467"/>
      <c r="AE638" s="1468"/>
      <c r="AF638" s="1492"/>
      <c r="AG638" s="1493"/>
      <c r="AH638" s="1493"/>
      <c r="AI638" s="1493"/>
      <c r="AJ638" s="1494"/>
      <c r="AK638" s="1447"/>
      <c r="AL638" s="1448"/>
      <c r="AM638" s="1448"/>
      <c r="AN638" s="1449"/>
      <c r="AO638" s="1480"/>
      <c r="AP638" s="1481"/>
      <c r="AQ638" s="1481"/>
      <c r="AR638" s="1481"/>
      <c r="AS638" s="1482"/>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65" t="e">
        <f t="shared" si="2"/>
        <v>#VALUE!</v>
      </c>
      <c r="DY638" s="1465"/>
      <c r="DZ638" s="1465"/>
      <c r="EA638" s="1465"/>
      <c r="EB638" s="1465"/>
      <c r="EC638" s="1465">
        <f t="shared" si="3"/>
        <v>402</v>
      </c>
      <c r="ED638" s="1465"/>
      <c r="EE638" s="1465"/>
      <c r="EF638" s="1465"/>
      <c r="EG638" s="1465"/>
      <c r="EH638" s="1465" t="e">
        <f t="shared" si="4"/>
        <v>#VALUE!</v>
      </c>
      <c r="EI638" s="1465"/>
      <c r="EJ638" s="1465"/>
      <c r="EK638" s="1465"/>
      <c r="EL638" s="1465"/>
      <c r="EM638" s="1465" t="e">
        <f t="shared" si="5"/>
        <v>#VALUE!</v>
      </c>
      <c r="EN638" s="1465"/>
      <c r="EO638" s="1465"/>
      <c r="EP638" s="1465"/>
      <c r="EQ638" s="1465"/>
      <c r="ER638" s="1465" t="e">
        <f t="shared" si="6"/>
        <v>#VALUE!</v>
      </c>
      <c r="ES638" s="1465"/>
      <c r="ET638" s="1465"/>
      <c r="EU638" s="1465"/>
      <c r="EV638" s="1465"/>
      <c r="EW638" s="1465" t="e">
        <f t="shared" si="7"/>
        <v>#VALUE!</v>
      </c>
      <c r="EX638" s="1465"/>
      <c r="EY638" s="1465"/>
      <c r="EZ638" s="1465"/>
      <c r="FA638" s="1465"/>
    </row>
    <row r="639" spans="2:157" ht="12.95" customHeight="1">
      <c r="B639" s="1469" t="s">
        <v>128</v>
      </c>
      <c r="C639" s="1470"/>
      <c r="D639" s="1470"/>
      <c r="E639" s="1470"/>
      <c r="F639" s="1470"/>
      <c r="G639" s="1470"/>
      <c r="H639" s="1470"/>
      <c r="I639" s="1470"/>
      <c r="J639" s="1470"/>
      <c r="K639" s="1470"/>
      <c r="L639" s="1470"/>
      <c r="M639" s="1470"/>
      <c r="N639" s="1470"/>
      <c r="O639" s="1470"/>
      <c r="P639" s="1470"/>
      <c r="Q639" s="1470"/>
      <c r="R639" s="1470"/>
      <c r="S639" s="1470"/>
      <c r="T639" s="1470"/>
      <c r="U639" s="1470"/>
      <c r="V639" s="1470"/>
      <c r="W639" s="1470"/>
      <c r="X639" s="1470"/>
      <c r="Y639" s="1470"/>
      <c r="Z639" s="1470"/>
      <c r="AA639" s="1470"/>
      <c r="AB639" s="1470"/>
      <c r="AC639" s="1470"/>
      <c r="AD639" s="1470"/>
      <c r="AE639" s="1470"/>
      <c r="AF639" s="1470"/>
      <c r="AG639" s="1470"/>
      <c r="AH639" s="1470"/>
      <c r="AI639" s="1470"/>
      <c r="AJ639" s="1470"/>
      <c r="AK639" s="1470"/>
      <c r="AL639" s="1470"/>
      <c r="AM639" s="1470"/>
      <c r="AN639" s="1471"/>
      <c r="AO639" s="1629">
        <f>SUM(AO627:AR638)</f>
        <v>24013495</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5" t="e">
        <f t="shared" si="2"/>
        <v>#VALUE!</v>
      </c>
      <c r="DY639" s="1465"/>
      <c r="DZ639" s="1465"/>
      <c r="EA639" s="1465"/>
      <c r="EB639" s="1465"/>
      <c r="EC639" s="1465" t="e">
        <f t="shared" si="3"/>
        <v>#VALUE!</v>
      </c>
      <c r="ED639" s="1465"/>
      <c r="EE639" s="1465"/>
      <c r="EF639" s="1465"/>
      <c r="EG639" s="1465"/>
      <c r="EH639" s="1465">
        <f t="shared" si="4"/>
        <v>179.75</v>
      </c>
      <c r="EI639" s="1465"/>
      <c r="EJ639" s="1465"/>
      <c r="EK639" s="1465"/>
      <c r="EL639" s="1465"/>
      <c r="EM639" s="1465" t="e">
        <f t="shared" si="5"/>
        <v>#VALUE!</v>
      </c>
      <c r="EN639" s="1465"/>
      <c r="EO639" s="1465"/>
      <c r="EP639" s="1465"/>
      <c r="EQ639" s="1465"/>
      <c r="ER639" s="1465" t="e">
        <f t="shared" si="6"/>
        <v>#VALUE!</v>
      </c>
      <c r="ES639" s="1465"/>
      <c r="ET639" s="1465"/>
      <c r="EU639" s="1465"/>
      <c r="EV639" s="1465"/>
      <c r="EW639" s="1465" t="e">
        <f t="shared" si="7"/>
        <v>#VALUE!</v>
      </c>
      <c r="EX639" s="1465"/>
      <c r="EY639" s="1465"/>
      <c r="EZ639" s="1465"/>
      <c r="FA639" s="1465"/>
    </row>
    <row r="640" spans="2:157" ht="12.95" customHeight="1">
      <c r="B640" s="1469" t="s">
        <v>267</v>
      </c>
      <c r="C640" s="1470"/>
      <c r="D640" s="1470"/>
      <c r="E640" s="1470"/>
      <c r="F640" s="1470"/>
      <c r="G640" s="1470"/>
      <c r="H640" s="1470"/>
      <c r="I640" s="1470"/>
      <c r="J640" s="1470"/>
      <c r="K640" s="1470"/>
      <c r="L640" s="1470"/>
      <c r="M640" s="1470"/>
      <c r="N640" s="1470"/>
      <c r="O640" s="1470"/>
      <c r="P640" s="1470"/>
      <c r="Q640" s="1470"/>
      <c r="R640" s="1470"/>
      <c r="S640" s="1470"/>
      <c r="T640" s="1470"/>
      <c r="U640" s="1470"/>
      <c r="V640" s="1470"/>
      <c r="W640" s="1470"/>
      <c r="X640" s="1470"/>
      <c r="Y640" s="1470"/>
      <c r="Z640" s="1470"/>
      <c r="AA640" s="1470"/>
      <c r="AB640" s="1470"/>
      <c r="AC640" s="1470"/>
      <c r="AD640" s="1470"/>
      <c r="AE640" s="1470"/>
      <c r="AF640" s="1470"/>
      <c r="AG640" s="1470"/>
      <c r="AH640" s="1470"/>
      <c r="AI640" s="1470"/>
      <c r="AJ640" s="1470"/>
      <c r="AK640" s="1470"/>
      <c r="AL640" s="1470"/>
      <c r="AM640" s="1470"/>
      <c r="AN640" s="1471"/>
      <c r="AO640" s="1480">
        <v>11090961</v>
      </c>
      <c r="AP640" s="1481"/>
      <c r="AQ640" s="1481"/>
      <c r="AR640" s="1481"/>
      <c r="AS640" s="148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5" t="e">
        <f t="shared" si="2"/>
        <v>#VALUE!</v>
      </c>
      <c r="DY640" s="1465"/>
      <c r="DZ640" s="1465"/>
      <c r="EA640" s="1465"/>
      <c r="EB640" s="1465"/>
      <c r="EC640" s="1465" t="e">
        <f t="shared" si="3"/>
        <v>#VALUE!</v>
      </c>
      <c r="ED640" s="1465"/>
      <c r="EE640" s="1465"/>
      <c r="EF640" s="1465"/>
      <c r="EG640" s="1465"/>
      <c r="EH640" s="1465" t="e">
        <f t="shared" si="4"/>
        <v>#VALUE!</v>
      </c>
      <c r="EI640" s="1465"/>
      <c r="EJ640" s="1465"/>
      <c r="EK640" s="1465"/>
      <c r="EL640" s="1465"/>
      <c r="EM640" s="1465">
        <f t="shared" si="5"/>
        <v>124.29729729729731</v>
      </c>
      <c r="EN640" s="1465"/>
      <c r="EO640" s="1465"/>
      <c r="EP640" s="1465"/>
      <c r="EQ640" s="1465"/>
      <c r="ER640" s="1465" t="e">
        <f t="shared" si="6"/>
        <v>#VALUE!</v>
      </c>
      <c r="ES640" s="1465"/>
      <c r="ET640" s="1465"/>
      <c r="EU640" s="1465"/>
      <c r="EV640" s="1465"/>
      <c r="EW640" s="1465" t="e">
        <f t="shared" si="7"/>
        <v>#VALUE!</v>
      </c>
      <c r="EX640" s="1465"/>
      <c r="EY640" s="1465"/>
      <c r="EZ640" s="1465"/>
      <c r="FA640" s="1465"/>
    </row>
    <row r="641" spans="1:157" ht="12.95" customHeight="1">
      <c r="B641" s="1485" t="s">
        <v>268</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29">
        <f>AO639+AO640</f>
        <v>35104456</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5" t="e">
        <f t="shared" si="2"/>
        <v>#VALUE!</v>
      </c>
      <c r="DY641" s="1465"/>
      <c r="DZ641" s="1465"/>
      <c r="EA641" s="1465"/>
      <c r="EB641" s="1465"/>
      <c r="EC641" s="1465">
        <f t="shared" si="3"/>
        <v>727.5</v>
      </c>
      <c r="ED641" s="1465"/>
      <c r="EE641" s="1465"/>
      <c r="EF641" s="1465"/>
      <c r="EG641" s="1465"/>
      <c r="EH641" s="1465" t="e">
        <f t="shared" si="4"/>
        <v>#VALUE!</v>
      </c>
      <c r="EI641" s="1465"/>
      <c r="EJ641" s="1465"/>
      <c r="EK641" s="1465"/>
      <c r="EL641" s="1465"/>
      <c r="EM641" s="1465" t="e">
        <f t="shared" si="5"/>
        <v>#VALUE!</v>
      </c>
      <c r="EN641" s="1465"/>
      <c r="EO641" s="1465"/>
      <c r="EP641" s="1465"/>
      <c r="EQ641" s="1465"/>
      <c r="ER641" s="1465" t="e">
        <f t="shared" si="6"/>
        <v>#VALUE!</v>
      </c>
      <c r="ES641" s="1465"/>
      <c r="ET641" s="1465"/>
      <c r="EU641" s="1465"/>
      <c r="EV641" s="1465"/>
      <c r="EW641" s="1465" t="e">
        <f t="shared" si="7"/>
        <v>#VALUE!</v>
      </c>
      <c r="EX641" s="1465"/>
      <c r="EY641" s="1465"/>
      <c r="EZ641" s="1465"/>
      <c r="FA641" s="146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5" t="e">
        <f t="shared" si="2"/>
        <v>#VALUE!</v>
      </c>
      <c r="DY642" s="1465"/>
      <c r="DZ642" s="1465"/>
      <c r="EA642" s="1465"/>
      <c r="EB642" s="1465"/>
      <c r="EC642" s="1465" t="e">
        <f t="shared" si="3"/>
        <v>#VALUE!</v>
      </c>
      <c r="ED642" s="1465"/>
      <c r="EE642" s="1465"/>
      <c r="EF642" s="1465"/>
      <c r="EG642" s="1465"/>
      <c r="EH642" s="1465">
        <f t="shared" si="4"/>
        <v>1393.0714285714284</v>
      </c>
      <c r="EI642" s="1465"/>
      <c r="EJ642" s="1465"/>
      <c r="EK642" s="1465"/>
      <c r="EL642" s="1465"/>
      <c r="EM642" s="1465" t="e">
        <f t="shared" si="5"/>
        <v>#VALUE!</v>
      </c>
      <c r="EN642" s="1465"/>
      <c r="EO642" s="1465"/>
      <c r="EP642" s="1465"/>
      <c r="EQ642" s="1465"/>
      <c r="ER642" s="1465" t="e">
        <f t="shared" si="6"/>
        <v>#VALUE!</v>
      </c>
      <c r="ES642" s="1465"/>
      <c r="ET642" s="1465"/>
      <c r="EU642" s="1465"/>
      <c r="EV642" s="1465"/>
      <c r="EW642" s="1465" t="e">
        <f t="shared" si="7"/>
        <v>#VALUE!</v>
      </c>
      <c r="EX642" s="1465"/>
      <c r="EY642" s="1465"/>
      <c r="EZ642" s="1465"/>
      <c r="FA642" s="1465"/>
    </row>
    <row r="643" spans="1:157" ht="12.95" customHeight="1">
      <c r="A643" s="55" t="s">
        <v>112</v>
      </c>
      <c r="B643" t="s">
        <v>463</v>
      </c>
      <c r="G643" s="1377" t="str">
        <f>C627</f>
        <v>JP Morgan TE Perm Loan</v>
      </c>
      <c r="H643" s="1377"/>
      <c r="I643" s="1377"/>
      <c r="J643" s="1377"/>
      <c r="K643" s="1377"/>
      <c r="L643" s="1377"/>
      <c r="M643" s="1377"/>
      <c r="N643" s="1377"/>
      <c r="O643" s="1377"/>
      <c r="P643" s="1377"/>
      <c r="Q643" s="1377"/>
      <c r="R643" s="1377"/>
      <c r="S643" s="8"/>
      <c r="T643" s="55" t="s">
        <v>113</v>
      </c>
      <c r="U643" t="s">
        <v>463</v>
      </c>
      <c r="Z643" s="1377" t="str">
        <f>C628</f>
        <v>Seller Carryback Loan</v>
      </c>
      <c r="AA643" s="1377"/>
      <c r="AB643" s="1377"/>
      <c r="AC643" s="1377"/>
      <c r="AD643" s="1377"/>
      <c r="AE643" s="1377"/>
      <c r="AF643" s="1377"/>
      <c r="AG643" s="1377"/>
      <c r="AH643" s="1377"/>
      <c r="AI643" s="1377"/>
      <c r="AJ643" s="1377"/>
      <c r="AK643" s="137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5" t="e">
        <f t="shared" si="2"/>
        <v>#VALUE!</v>
      </c>
      <c r="DY643" s="1465"/>
      <c r="DZ643" s="1465"/>
      <c r="EA643" s="1465"/>
      <c r="EB643" s="1465"/>
      <c r="EC643" s="1465" t="e">
        <f t="shared" si="3"/>
        <v>#VALUE!</v>
      </c>
      <c r="ED643" s="1465"/>
      <c r="EE643" s="1465"/>
      <c r="EF643" s="1465"/>
      <c r="EG643" s="1465"/>
      <c r="EH643" s="1465" t="e">
        <f t="shared" si="4"/>
        <v>#VALUE!</v>
      </c>
      <c r="EI643" s="1465"/>
      <c r="EJ643" s="1465"/>
      <c r="EK643" s="1465"/>
      <c r="EL643" s="1465"/>
      <c r="EM643" s="1465">
        <f t="shared" si="5"/>
        <v>1563.2802702702702</v>
      </c>
      <c r="EN643" s="1465"/>
      <c r="EO643" s="1465"/>
      <c r="EP643" s="1465"/>
      <c r="EQ643" s="1465"/>
      <c r="ER643" s="1465" t="e">
        <f t="shared" si="6"/>
        <v>#VALUE!</v>
      </c>
      <c r="ES643" s="1465"/>
      <c r="ET643" s="1465"/>
      <c r="EU643" s="1465"/>
      <c r="EV643" s="1465"/>
      <c r="EW643" s="1465" t="e">
        <f t="shared" si="7"/>
        <v>#VALUE!</v>
      </c>
      <c r="EX643" s="1465"/>
      <c r="EY643" s="1465"/>
      <c r="EZ643" s="1465"/>
      <c r="FA643" s="1465"/>
    </row>
    <row r="644" spans="1:157" ht="12.95" customHeight="1">
      <c r="A644" s="22"/>
      <c r="B644" t="s">
        <v>85</v>
      </c>
      <c r="G644" s="1390" t="str">
        <f>G569</f>
        <v>560 Mission Street, 3rd Floor</v>
      </c>
      <c r="H644" s="1390"/>
      <c r="I644" s="1390"/>
      <c r="J644" s="1390"/>
      <c r="K644" s="1390"/>
      <c r="L644" s="1390"/>
      <c r="M644" s="1390"/>
      <c r="N644" s="1390"/>
      <c r="O644" s="1390"/>
      <c r="P644" s="1390"/>
      <c r="Q644" s="1390"/>
      <c r="R644" s="1390"/>
      <c r="S644" s="8"/>
      <c r="T644" s="22"/>
      <c r="U644" t="s">
        <v>85</v>
      </c>
      <c r="Z644" s="1390" t="s">
        <v>2610</v>
      </c>
      <c r="AA644" s="1390"/>
      <c r="AB644" s="1390"/>
      <c r="AC644" s="1390"/>
      <c r="AD644" s="1390"/>
      <c r="AE644" s="1390"/>
      <c r="AF644" s="1390"/>
      <c r="AG644" s="1390"/>
      <c r="AH644" s="1390"/>
      <c r="AI644" s="1390"/>
      <c r="AJ644" s="1390"/>
      <c r="AK644" s="1390"/>
      <c r="AV644" s="3"/>
      <c r="AW644" s="3"/>
      <c r="AX644" s="3"/>
      <c r="AY644" s="3"/>
      <c r="AZ644" s="3"/>
      <c r="BA644" s="3"/>
      <c r="BB644" s="3"/>
      <c r="BC644" s="3"/>
      <c r="BD644" s="3"/>
      <c r="BE644" s="3"/>
      <c r="BF644" s="3"/>
      <c r="BG644" s="3"/>
      <c r="BH644" s="3"/>
      <c r="BI644" s="3"/>
      <c r="BJ644" s="3"/>
      <c r="BK644" s="3"/>
      <c r="BL644" s="3"/>
      <c r="BM644" s="3"/>
      <c r="DX644" s="1465" t="e">
        <f t="shared" si="2"/>
        <v>#VALUE!</v>
      </c>
      <c r="DY644" s="1465"/>
      <c r="DZ644" s="1465"/>
      <c r="EA644" s="1465"/>
      <c r="EB644" s="1465"/>
      <c r="EC644" s="1465" t="e">
        <f t="shared" si="3"/>
        <v>#VALUE!</v>
      </c>
      <c r="ED644" s="1465"/>
      <c r="EE644" s="1465"/>
      <c r="EF644" s="1465"/>
      <c r="EG644" s="1465"/>
      <c r="EH644" s="1465" t="e">
        <f t="shared" si="4"/>
        <v>#VALUE!</v>
      </c>
      <c r="EI644" s="1465"/>
      <c r="EJ644" s="1465"/>
      <c r="EK644" s="1465"/>
      <c r="EL644" s="1465"/>
      <c r="EM644" s="1465" t="e">
        <f t="shared" si="5"/>
        <v>#VALUE!</v>
      </c>
      <c r="EN644" s="1465"/>
      <c r="EO644" s="1465"/>
      <c r="EP644" s="1465"/>
      <c r="EQ644" s="1465"/>
      <c r="ER644" s="1465" t="e">
        <f t="shared" si="6"/>
        <v>#VALUE!</v>
      </c>
      <c r="ES644" s="1465"/>
      <c r="ET644" s="1465"/>
      <c r="EU644" s="1465"/>
      <c r="EV644" s="1465"/>
      <c r="EW644" s="1465" t="e">
        <f t="shared" si="7"/>
        <v>#VALUE!</v>
      </c>
      <c r="EX644" s="1465"/>
      <c r="EY644" s="1465"/>
      <c r="EZ644" s="1465"/>
      <c r="FA644" s="1465"/>
    </row>
    <row r="645" spans="1:157" ht="12.95" customHeight="1">
      <c r="A645" s="22"/>
      <c r="B645" t="s">
        <v>580</v>
      </c>
      <c r="G645" s="1390" t="str">
        <f>G570</f>
        <v>San Francisco</v>
      </c>
      <c r="H645" s="1390"/>
      <c r="I645" s="1390"/>
      <c r="J645" s="1390"/>
      <c r="K645" s="1390"/>
      <c r="L645" s="1390"/>
      <c r="M645" s="1390"/>
      <c r="N645" s="1390"/>
      <c r="O645" s="1390"/>
      <c r="P645" s="1390"/>
      <c r="Q645" s="1390"/>
      <c r="R645" s="1390"/>
      <c r="T645" s="22"/>
      <c r="U645" t="s">
        <v>580</v>
      </c>
      <c r="Z645" s="1367" t="s">
        <v>2611</v>
      </c>
      <c r="AA645" s="1367"/>
      <c r="AB645" s="1367"/>
      <c r="AC645" s="1367"/>
      <c r="AD645" s="1367"/>
      <c r="AE645" s="1367"/>
      <c r="AF645" s="1367"/>
      <c r="AG645" s="1367"/>
      <c r="AH645" s="1367"/>
      <c r="AI645" s="1367"/>
      <c r="AJ645" s="1367"/>
      <c r="AK645" s="1367"/>
      <c r="AV645" s="3"/>
      <c r="AW645" s="3"/>
      <c r="AX645" s="3"/>
      <c r="AY645" s="3"/>
      <c r="AZ645" s="3"/>
      <c r="BA645" s="3"/>
      <c r="BB645" s="3"/>
      <c r="BC645" s="3"/>
      <c r="BD645" s="3"/>
      <c r="BE645" s="3"/>
      <c r="BF645" s="3"/>
      <c r="BG645" s="3"/>
      <c r="BH645" s="3"/>
      <c r="BI645" s="3"/>
      <c r="BJ645" s="3"/>
      <c r="BK645" s="3"/>
      <c r="BL645" s="3"/>
      <c r="BM645" s="3"/>
      <c r="DX645" s="1465" t="e">
        <f t="shared" si="2"/>
        <v>#VALUE!</v>
      </c>
      <c r="DY645" s="1465"/>
      <c r="DZ645" s="1465"/>
      <c r="EA645" s="1465"/>
      <c r="EB645" s="1465"/>
      <c r="EC645" s="1465" t="e">
        <f t="shared" si="3"/>
        <v>#VALUE!</v>
      </c>
      <c r="ED645" s="1465"/>
      <c r="EE645" s="1465"/>
      <c r="EF645" s="1465"/>
      <c r="EG645" s="1465"/>
      <c r="EH645" s="1465" t="e">
        <f t="shared" si="4"/>
        <v>#VALUE!</v>
      </c>
      <c r="EI645" s="1465"/>
      <c r="EJ645" s="1465"/>
      <c r="EK645" s="1465"/>
      <c r="EL645" s="1465"/>
      <c r="EM645" s="1465" t="e">
        <f t="shared" si="5"/>
        <v>#VALUE!</v>
      </c>
      <c r="EN645" s="1465"/>
      <c r="EO645" s="1465"/>
      <c r="EP645" s="1465"/>
      <c r="EQ645" s="1465"/>
      <c r="ER645" s="1465" t="e">
        <f t="shared" si="6"/>
        <v>#VALUE!</v>
      </c>
      <c r="ES645" s="1465"/>
      <c r="ET645" s="1465"/>
      <c r="EU645" s="1465"/>
      <c r="EV645" s="1465"/>
      <c r="EW645" s="1465" t="e">
        <f t="shared" si="7"/>
        <v>#VALUE!</v>
      </c>
      <c r="EX645" s="1465"/>
      <c r="EY645" s="1465"/>
      <c r="EZ645" s="1465"/>
      <c r="FA645" s="1465"/>
    </row>
    <row r="646" spans="1:157" ht="12.95" customHeight="1">
      <c r="A646" s="22"/>
      <c r="B646" t="s">
        <v>17</v>
      </c>
      <c r="G646" s="1390" t="str">
        <f>G571</f>
        <v>James Vossoughi</v>
      </c>
      <c r="H646" s="1390"/>
      <c r="I646" s="1390"/>
      <c r="J646" s="1390"/>
      <c r="K646" s="1390"/>
      <c r="L646" s="1390"/>
      <c r="M646" s="1390"/>
      <c r="N646" s="1390"/>
      <c r="O646" s="1390"/>
      <c r="P646" s="1390"/>
      <c r="Q646" s="1390"/>
      <c r="R646" s="1390"/>
      <c r="S646" s="8"/>
      <c r="T646" s="22"/>
      <c r="U646" t="s">
        <v>17</v>
      </c>
      <c r="Z646" s="1367" t="s">
        <v>2613</v>
      </c>
      <c r="AA646" s="1367"/>
      <c r="AB646" s="1367"/>
      <c r="AC646" s="1367"/>
      <c r="AD646" s="1367"/>
      <c r="AE646" s="1367"/>
      <c r="AF646" s="1367"/>
      <c r="AG646" s="1367"/>
      <c r="AH646" s="1367"/>
      <c r="AI646" s="1367"/>
      <c r="AJ646" s="1367"/>
      <c r="AK646" s="1367"/>
      <c r="AZ646" s="3"/>
      <c r="BA646" s="3"/>
      <c r="BB646" s="3"/>
      <c r="BC646" s="3"/>
      <c r="BD646" s="3"/>
      <c r="BE646" s="3"/>
      <c r="BF646" s="3"/>
      <c r="BG646" s="3"/>
      <c r="BH646" s="3"/>
      <c r="BI646" s="3"/>
      <c r="BJ646" s="3"/>
      <c r="BK646" s="3"/>
      <c r="BL646" s="3"/>
      <c r="BM646" s="3"/>
      <c r="DX646" s="1465" t="e">
        <f t="shared" si="2"/>
        <v>#VALUE!</v>
      </c>
      <c r="DY646" s="1465"/>
      <c r="DZ646" s="1465"/>
      <c r="EA646" s="1465"/>
      <c r="EB646" s="1465"/>
      <c r="EC646" s="1465" t="e">
        <f t="shared" si="3"/>
        <v>#VALUE!</v>
      </c>
      <c r="ED646" s="1465"/>
      <c r="EE646" s="1465"/>
      <c r="EF646" s="1465"/>
      <c r="EG646" s="1465"/>
      <c r="EH646" s="1465" t="e">
        <f t="shared" si="4"/>
        <v>#VALUE!</v>
      </c>
      <c r="EI646" s="1465"/>
      <c r="EJ646" s="1465"/>
      <c r="EK646" s="1465"/>
      <c r="EL646" s="1465"/>
      <c r="EM646" s="1465" t="e">
        <f t="shared" si="5"/>
        <v>#VALUE!</v>
      </c>
      <c r="EN646" s="1465"/>
      <c r="EO646" s="1465"/>
      <c r="EP646" s="1465"/>
      <c r="EQ646" s="1465"/>
      <c r="ER646" s="1465" t="e">
        <f t="shared" si="6"/>
        <v>#VALUE!</v>
      </c>
      <c r="ES646" s="1465"/>
      <c r="ET646" s="1465"/>
      <c r="EU646" s="1465"/>
      <c r="EV646" s="1465"/>
      <c r="EW646" s="1465" t="e">
        <f t="shared" si="7"/>
        <v>#VALUE!</v>
      </c>
      <c r="EX646" s="1465"/>
      <c r="EY646" s="1465"/>
      <c r="EZ646" s="1465"/>
      <c r="FA646" s="1465"/>
    </row>
    <row r="647" spans="1:157" ht="12.95" customHeight="1">
      <c r="A647" s="22"/>
      <c r="B647" t="s">
        <v>316</v>
      </c>
      <c r="G647" s="1365" t="str">
        <f>G572</f>
        <v>415-315-6708</v>
      </c>
      <c r="H647" s="1365"/>
      <c r="I647" s="1365"/>
      <c r="J647" s="1365"/>
      <c r="K647" s="1365"/>
      <c r="L647" s="1365"/>
      <c r="O647" s="33" t="s">
        <v>206</v>
      </c>
      <c r="P647" s="1457"/>
      <c r="Q647" s="1457"/>
      <c r="R647" s="1457"/>
      <c r="S647" s="10"/>
      <c r="T647" s="22"/>
      <c r="U647" t="s">
        <v>316</v>
      </c>
      <c r="Z647" s="1365" t="s">
        <v>2706</v>
      </c>
      <c r="AA647" s="1365"/>
      <c r="AB647" s="1365"/>
      <c r="AC647" s="1365"/>
      <c r="AD647" s="1365"/>
      <c r="AE647" s="1365"/>
      <c r="AH647" s="33" t="s">
        <v>206</v>
      </c>
      <c r="AI647" s="1457"/>
      <c r="AJ647" s="1457"/>
      <c r="AK647" s="1457"/>
      <c r="AZ647" s="34"/>
      <c r="BA647" s="34"/>
      <c r="BB647" s="34"/>
      <c r="BC647" s="34"/>
      <c r="BD647" s="34"/>
      <c r="BE647" s="34"/>
      <c r="BF647" s="34"/>
      <c r="BG647" s="34"/>
      <c r="BH647" s="34"/>
      <c r="BI647" s="34"/>
      <c r="BJ647" s="34"/>
      <c r="BK647" s="34"/>
      <c r="BL647" s="34"/>
      <c r="BM647" s="34"/>
      <c r="DX647" s="1465" t="e">
        <f t="shared" si="2"/>
        <v>#VALUE!</v>
      </c>
      <c r="DY647" s="1465"/>
      <c r="DZ647" s="1465"/>
      <c r="EA647" s="1465"/>
      <c r="EB647" s="1465"/>
      <c r="EC647" s="1465" t="e">
        <f t="shared" si="3"/>
        <v>#VALUE!</v>
      </c>
      <c r="ED647" s="1465"/>
      <c r="EE647" s="1465"/>
      <c r="EF647" s="1465"/>
      <c r="EG647" s="1465"/>
      <c r="EH647" s="1465" t="e">
        <f t="shared" si="4"/>
        <v>#VALUE!</v>
      </c>
      <c r="EI647" s="1465"/>
      <c r="EJ647" s="1465"/>
      <c r="EK647" s="1465"/>
      <c r="EL647" s="1465"/>
      <c r="EM647" s="1465" t="e">
        <f t="shared" si="5"/>
        <v>#VALUE!</v>
      </c>
      <c r="EN647" s="1465"/>
      <c r="EO647" s="1465"/>
      <c r="EP647" s="1465"/>
      <c r="EQ647" s="1465"/>
      <c r="ER647" s="1465" t="e">
        <f t="shared" si="6"/>
        <v>#VALUE!</v>
      </c>
      <c r="ES647" s="1465"/>
      <c r="ET647" s="1465"/>
      <c r="EU647" s="1465"/>
      <c r="EV647" s="1465"/>
      <c r="EW647" s="1465" t="e">
        <f t="shared" si="7"/>
        <v>#VALUE!</v>
      </c>
      <c r="EX647" s="1465"/>
      <c r="EY647" s="1465"/>
      <c r="EZ647" s="1465"/>
      <c r="FA647" s="1465"/>
    </row>
    <row r="648" spans="1:157" ht="12.95" customHeight="1">
      <c r="A648" s="22"/>
      <c r="B648" t="s">
        <v>18</v>
      </c>
      <c r="H648" s="1390" t="s">
        <v>2718</v>
      </c>
      <c r="I648" s="1390"/>
      <c r="J648" s="1390"/>
      <c r="K648" s="1390"/>
      <c r="L648" s="1390"/>
      <c r="M648" s="1390"/>
      <c r="N648" s="1390"/>
      <c r="O648" s="1390"/>
      <c r="P648" s="1390"/>
      <c r="Q648" s="1390"/>
      <c r="R648" s="1390"/>
      <c r="S648" s="8"/>
      <c r="T648" s="22"/>
      <c r="U648" t="s">
        <v>18</v>
      </c>
      <c r="AA648" s="1390" t="s">
        <v>2707</v>
      </c>
      <c r="AB648" s="1390"/>
      <c r="AC648" s="1390"/>
      <c r="AD648" s="1390"/>
      <c r="AE648" s="1390"/>
      <c r="AF648" s="1390"/>
      <c r="AG648" s="1390"/>
      <c r="AH648" s="1390"/>
      <c r="AI648" s="1390"/>
      <c r="AJ648" s="1390"/>
      <c r="AK648" s="1390"/>
      <c r="AZ648" s="34"/>
      <c r="BA648" s="34"/>
      <c r="BB648" s="34"/>
      <c r="BC648" s="34"/>
      <c r="BD648" s="34"/>
      <c r="BE648" s="34"/>
      <c r="BF648" s="34"/>
      <c r="BG648" s="34"/>
      <c r="BH648" s="34"/>
      <c r="BI648" s="34"/>
      <c r="BJ648" s="34"/>
      <c r="BK648" s="34"/>
      <c r="BL648" s="34"/>
      <c r="BM648" s="34"/>
      <c r="DX648" s="1465" t="e">
        <f t="shared" si="2"/>
        <v>#VALUE!</v>
      </c>
      <c r="DY648" s="1465"/>
      <c r="DZ648" s="1465"/>
      <c r="EA648" s="1465"/>
      <c r="EB648" s="1465"/>
      <c r="EC648" s="1465" t="e">
        <f t="shared" si="3"/>
        <v>#VALUE!</v>
      </c>
      <c r="ED648" s="1465"/>
      <c r="EE648" s="1465"/>
      <c r="EF648" s="1465"/>
      <c r="EG648" s="1465"/>
      <c r="EH648" s="1465" t="e">
        <f t="shared" si="4"/>
        <v>#VALUE!</v>
      </c>
      <c r="EI648" s="1465"/>
      <c r="EJ648" s="1465"/>
      <c r="EK648" s="1465"/>
      <c r="EL648" s="1465"/>
      <c r="EM648" s="1465" t="e">
        <f t="shared" si="5"/>
        <v>#VALUE!</v>
      </c>
      <c r="EN648" s="1465"/>
      <c r="EO648" s="1465"/>
      <c r="EP648" s="1465"/>
      <c r="EQ648" s="1465"/>
      <c r="ER648" s="1465" t="e">
        <f t="shared" si="6"/>
        <v>#VALUE!</v>
      </c>
      <c r="ES648" s="1465"/>
      <c r="ET648" s="1465"/>
      <c r="EU648" s="1465"/>
      <c r="EV648" s="1465"/>
      <c r="EW648" s="1465" t="e">
        <f t="shared" si="7"/>
        <v>#VALUE!</v>
      </c>
      <c r="EX648" s="1465"/>
      <c r="EY648" s="1465"/>
      <c r="EZ648" s="1465"/>
      <c r="FA648" s="1465"/>
    </row>
    <row r="649" spans="1:157" ht="12.95" customHeight="1">
      <c r="A649" s="22"/>
      <c r="B649" t="s">
        <v>20</v>
      </c>
      <c r="N649" s="1351" t="s">
        <v>545</v>
      </c>
      <c r="O649" s="1351"/>
      <c r="T649" s="22"/>
      <c r="U649" t="s">
        <v>20</v>
      </c>
      <c r="AG649" s="1351" t="s">
        <v>545</v>
      </c>
      <c r="AH649" s="1351"/>
      <c r="AZ649" s="34"/>
      <c r="BA649" s="34"/>
      <c r="BB649" s="34"/>
      <c r="BC649" s="34"/>
      <c r="BD649" s="34"/>
      <c r="BE649" s="34"/>
      <c r="BF649" s="34"/>
      <c r="BG649" s="34"/>
      <c r="BH649" s="34"/>
      <c r="BI649" s="34"/>
      <c r="BJ649" s="34"/>
      <c r="BK649" s="34"/>
      <c r="BL649" s="34"/>
      <c r="BM649" s="34"/>
      <c r="DX649" s="1465" t="e">
        <f t="shared" si="2"/>
        <v>#VALUE!</v>
      </c>
      <c r="DY649" s="1465"/>
      <c r="DZ649" s="1465"/>
      <c r="EA649" s="1465"/>
      <c r="EB649" s="1465"/>
      <c r="EC649" s="1465" t="e">
        <f t="shared" si="3"/>
        <v>#VALUE!</v>
      </c>
      <c r="ED649" s="1465"/>
      <c r="EE649" s="1465"/>
      <c r="EF649" s="1465"/>
      <c r="EG649" s="1465"/>
      <c r="EH649" s="1465" t="e">
        <f t="shared" si="4"/>
        <v>#VALUE!</v>
      </c>
      <c r="EI649" s="1465"/>
      <c r="EJ649" s="1465"/>
      <c r="EK649" s="1465"/>
      <c r="EL649" s="1465"/>
      <c r="EM649" s="1465" t="e">
        <f t="shared" si="5"/>
        <v>#VALUE!</v>
      </c>
      <c r="EN649" s="1465"/>
      <c r="EO649" s="1465"/>
      <c r="EP649" s="1465"/>
      <c r="EQ649" s="1465"/>
      <c r="ER649" s="1465" t="e">
        <f t="shared" si="6"/>
        <v>#VALUE!</v>
      </c>
      <c r="ES649" s="1465"/>
      <c r="ET649" s="1465"/>
      <c r="EU649" s="1465"/>
      <c r="EV649" s="1465"/>
      <c r="EW649" s="1465" t="e">
        <f t="shared" si="7"/>
        <v>#VALUE!</v>
      </c>
      <c r="EX649" s="1465"/>
      <c r="EY649" s="1465"/>
      <c r="EZ649" s="1465"/>
      <c r="FA649" s="1465"/>
    </row>
    <row r="650" spans="1:157" ht="12.95" customHeight="1">
      <c r="A650" s="22"/>
      <c r="T650" s="22"/>
      <c r="AZ650" s="34"/>
      <c r="BA650" s="34"/>
      <c r="BB650" s="34"/>
      <c r="BC650" s="34"/>
      <c r="BD650" s="34"/>
      <c r="BE650" s="34"/>
      <c r="BF650" s="34"/>
      <c r="BG650" s="34"/>
      <c r="BH650" s="34"/>
      <c r="BI650" s="34"/>
      <c r="BJ650" s="34"/>
      <c r="BK650" s="34"/>
      <c r="BL650" s="34"/>
      <c r="BM650" s="34"/>
      <c r="DX650" s="1465" t="e">
        <f t="shared" si="2"/>
        <v>#VALUE!</v>
      </c>
      <c r="DY650" s="1465"/>
      <c r="DZ650" s="1465"/>
      <c r="EA650" s="1465"/>
      <c r="EB650" s="1465"/>
      <c r="EC650" s="1465" t="e">
        <f t="shared" si="3"/>
        <v>#VALUE!</v>
      </c>
      <c r="ED650" s="1465"/>
      <c r="EE650" s="1465"/>
      <c r="EF650" s="1465"/>
      <c r="EG650" s="1465"/>
      <c r="EH650" s="1465" t="e">
        <f t="shared" si="4"/>
        <v>#VALUE!</v>
      </c>
      <c r="EI650" s="1465"/>
      <c r="EJ650" s="1465"/>
      <c r="EK650" s="1465"/>
      <c r="EL650" s="1465"/>
      <c r="EM650" s="1465" t="e">
        <f t="shared" si="5"/>
        <v>#VALUE!</v>
      </c>
      <c r="EN650" s="1465"/>
      <c r="EO650" s="1465"/>
      <c r="EP650" s="1465"/>
      <c r="EQ650" s="1465"/>
      <c r="ER650" s="1465" t="e">
        <f t="shared" si="6"/>
        <v>#VALUE!</v>
      </c>
      <c r="ES650" s="1465"/>
      <c r="ET650" s="1465"/>
      <c r="EU650" s="1465"/>
      <c r="EV650" s="1465"/>
      <c r="EW650" s="1465" t="e">
        <f t="shared" si="7"/>
        <v>#VALUE!</v>
      </c>
      <c r="EX650" s="1465"/>
      <c r="EY650" s="1465"/>
      <c r="EZ650" s="1465"/>
      <c r="FA650" s="1465"/>
    </row>
    <row r="651" spans="1:157" ht="12.95" customHeight="1">
      <c r="A651" s="55" t="s">
        <v>119</v>
      </c>
      <c r="B651" t="s">
        <v>463</v>
      </c>
      <c r="G651" s="1377" t="str">
        <f>C629</f>
        <v>City of Livermore (assumed)</v>
      </c>
      <c r="H651" s="1377"/>
      <c r="I651" s="1377"/>
      <c r="J651" s="1377"/>
      <c r="K651" s="1377"/>
      <c r="L651" s="1377"/>
      <c r="M651" s="1377"/>
      <c r="N651" s="1377"/>
      <c r="O651" s="1377"/>
      <c r="P651" s="1377"/>
      <c r="Q651" s="1377"/>
      <c r="R651" s="1377"/>
      <c r="T651" s="55" t="s">
        <v>581</v>
      </c>
      <c r="U651" t="s">
        <v>463</v>
      </c>
      <c r="Z651" s="1377" t="str">
        <f>C630</f>
        <v>CHFA School Facility Fees Loan (assumed)</v>
      </c>
      <c r="AA651" s="1377"/>
      <c r="AB651" s="1377"/>
      <c r="AC651" s="1377"/>
      <c r="AD651" s="1377"/>
      <c r="AE651" s="1377"/>
      <c r="AF651" s="1377"/>
      <c r="AG651" s="1377"/>
      <c r="AH651" s="1377"/>
      <c r="AI651" s="1377"/>
      <c r="AJ651" s="1377"/>
      <c r="AK651" s="1377"/>
      <c r="AZ651" s="34"/>
      <c r="BA651" s="34"/>
      <c r="BB651" s="34"/>
      <c r="BC651" s="34"/>
      <c r="BD651" s="34"/>
      <c r="BE651" s="34"/>
      <c r="BF651" s="34"/>
      <c r="BG651" s="34"/>
      <c r="BH651" s="34"/>
      <c r="BI651" s="34"/>
      <c r="BJ651" s="34"/>
      <c r="BK651" s="34"/>
      <c r="BL651" s="34"/>
      <c r="BM651" s="34"/>
      <c r="DX651" s="1465" t="e">
        <f t="shared" si="2"/>
        <v>#VALUE!</v>
      </c>
      <c r="DY651" s="1465"/>
      <c r="DZ651" s="1465"/>
      <c r="EA651" s="1465"/>
      <c r="EB651" s="1465"/>
      <c r="EC651" s="1465" t="e">
        <f t="shared" si="3"/>
        <v>#VALUE!</v>
      </c>
      <c r="ED651" s="1465"/>
      <c r="EE651" s="1465"/>
      <c r="EF651" s="1465"/>
      <c r="EG651" s="1465"/>
      <c r="EH651" s="1465" t="e">
        <f t="shared" si="4"/>
        <v>#VALUE!</v>
      </c>
      <c r="EI651" s="1465"/>
      <c r="EJ651" s="1465"/>
      <c r="EK651" s="1465"/>
      <c r="EL651" s="1465"/>
      <c r="EM651" s="1465" t="e">
        <f t="shared" si="5"/>
        <v>#VALUE!</v>
      </c>
      <c r="EN651" s="1465"/>
      <c r="EO651" s="1465"/>
      <c r="EP651" s="1465"/>
      <c r="EQ651" s="1465"/>
      <c r="ER651" s="1465" t="e">
        <f t="shared" si="6"/>
        <v>#VALUE!</v>
      </c>
      <c r="ES651" s="1465"/>
      <c r="ET651" s="1465"/>
      <c r="EU651" s="1465"/>
      <c r="EV651" s="1465"/>
      <c r="EW651" s="1465" t="e">
        <f t="shared" si="7"/>
        <v>#VALUE!</v>
      </c>
      <c r="EX651" s="1465"/>
      <c r="EY651" s="1465"/>
      <c r="EZ651" s="1465"/>
      <c r="FA651" s="1465"/>
    </row>
    <row r="652" spans="1:157" ht="12.95" customHeight="1">
      <c r="A652" s="22"/>
      <c r="B652" t="s">
        <v>85</v>
      </c>
      <c r="G652" s="1390" t="str">
        <f>G586</f>
        <v>500 Capitol Mall, Ste. 1400</v>
      </c>
      <c r="H652" s="1390"/>
      <c r="I652" s="1390"/>
      <c r="J652" s="1390"/>
      <c r="K652" s="1390"/>
      <c r="L652" s="1390"/>
      <c r="M652" s="1390"/>
      <c r="N652" s="1390"/>
      <c r="O652" s="1390"/>
      <c r="P652" s="1390"/>
      <c r="Q652" s="1390"/>
      <c r="R652" s="1390"/>
      <c r="T652" s="22"/>
      <c r="U652" t="s">
        <v>85</v>
      </c>
      <c r="Z652" s="1390" t="str">
        <f>Z586</f>
        <v>22645 Grand Street</v>
      </c>
      <c r="AA652" s="1390"/>
      <c r="AB652" s="1390"/>
      <c r="AC652" s="1390"/>
      <c r="AD652" s="1390"/>
      <c r="AE652" s="1390"/>
      <c r="AF652" s="1390"/>
      <c r="AG652" s="1390"/>
      <c r="AH652" s="1390"/>
      <c r="AI652" s="1390"/>
      <c r="AJ652" s="1390"/>
      <c r="AK652" s="1390"/>
      <c r="AZ652" s="34"/>
      <c r="BA652" s="34"/>
      <c r="BB652" s="34"/>
      <c r="BC652" s="34"/>
      <c r="BD652" s="34"/>
      <c r="BE652" s="34"/>
      <c r="BF652" s="34"/>
      <c r="BG652" s="34"/>
      <c r="BH652" s="34"/>
      <c r="BI652" s="34"/>
      <c r="BJ652" s="34"/>
      <c r="BK652" s="34"/>
      <c r="BL652" s="34"/>
      <c r="BM652" s="34"/>
      <c r="DX652" s="1465" t="e">
        <f t="shared" si="2"/>
        <v>#VALUE!</v>
      </c>
      <c r="DY652" s="1465"/>
      <c r="DZ652" s="1465"/>
      <c r="EA652" s="1465"/>
      <c r="EB652" s="1465"/>
      <c r="EC652" s="1465" t="e">
        <f t="shared" si="3"/>
        <v>#VALUE!</v>
      </c>
      <c r="ED652" s="1465"/>
      <c r="EE652" s="1465"/>
      <c r="EF652" s="1465"/>
      <c r="EG652" s="1465"/>
      <c r="EH652" s="1465" t="e">
        <f t="shared" si="4"/>
        <v>#VALUE!</v>
      </c>
      <c r="EI652" s="1465"/>
      <c r="EJ652" s="1465"/>
      <c r="EK652" s="1465"/>
      <c r="EL652" s="1465"/>
      <c r="EM652" s="1465" t="e">
        <f t="shared" si="5"/>
        <v>#VALUE!</v>
      </c>
      <c r="EN652" s="1465"/>
      <c r="EO652" s="1465"/>
      <c r="EP652" s="1465"/>
      <c r="EQ652" s="1465"/>
      <c r="ER652" s="1465" t="e">
        <f t="shared" si="6"/>
        <v>#VALUE!</v>
      </c>
      <c r="ES652" s="1465"/>
      <c r="ET652" s="1465"/>
      <c r="EU652" s="1465"/>
      <c r="EV652" s="1465"/>
      <c r="EW652" s="1465" t="e">
        <f t="shared" si="7"/>
        <v>#VALUE!</v>
      </c>
      <c r="EX652" s="1465"/>
      <c r="EY652" s="1465"/>
      <c r="EZ652" s="1465"/>
      <c r="FA652" s="1465"/>
    </row>
    <row r="653" spans="1:157" ht="12.95" customHeight="1">
      <c r="A653" s="22"/>
      <c r="B653" t="s">
        <v>580</v>
      </c>
      <c r="G653" s="1367" t="str">
        <f t="shared" ref="G653:G654" si="8">G587</f>
        <v>Sacramento</v>
      </c>
      <c r="H653" s="1367"/>
      <c r="I653" s="1367"/>
      <c r="J653" s="1367"/>
      <c r="K653" s="1367"/>
      <c r="L653" s="1367"/>
      <c r="M653" s="1367"/>
      <c r="N653" s="1367"/>
      <c r="O653" s="1367"/>
      <c r="P653" s="1367"/>
      <c r="Q653" s="1367"/>
      <c r="R653" s="1367"/>
      <c r="T653" s="22"/>
      <c r="U653" t="s">
        <v>580</v>
      </c>
      <c r="Z653" s="1367" t="str">
        <f>Z587</f>
        <v>Hayward</v>
      </c>
      <c r="AA653" s="1367"/>
      <c r="AB653" s="1367"/>
      <c r="AC653" s="1367"/>
      <c r="AD653" s="1367"/>
      <c r="AE653" s="1367"/>
      <c r="AF653" s="1367"/>
      <c r="AG653" s="1367"/>
      <c r="AH653" s="1367"/>
      <c r="AI653" s="1367"/>
      <c r="AJ653" s="1367"/>
      <c r="AK653" s="1367"/>
      <c r="AZ653" s="34"/>
      <c r="BA653" s="34"/>
      <c r="BB653" s="34"/>
      <c r="BC653" s="34"/>
      <c r="BD653" s="34"/>
      <c r="BE653" s="34"/>
      <c r="BF653" s="34"/>
      <c r="BG653" s="34"/>
      <c r="BH653" s="34"/>
      <c r="BI653" s="34"/>
      <c r="BJ653" s="34"/>
      <c r="BK653" s="34"/>
      <c r="BL653" s="34"/>
      <c r="BM653" s="34"/>
      <c r="DX653" s="1465" t="e">
        <f t="shared" si="2"/>
        <v>#VALUE!</v>
      </c>
      <c r="DY653" s="1465"/>
      <c r="DZ653" s="1465"/>
      <c r="EA653" s="1465"/>
      <c r="EB653" s="1465"/>
      <c r="EC653" s="1465" t="e">
        <f t="shared" si="3"/>
        <v>#VALUE!</v>
      </c>
      <c r="ED653" s="1465"/>
      <c r="EE653" s="1465"/>
      <c r="EF653" s="1465"/>
      <c r="EG653" s="1465"/>
      <c r="EH653" s="1465" t="e">
        <f t="shared" si="4"/>
        <v>#VALUE!</v>
      </c>
      <c r="EI653" s="1465"/>
      <c r="EJ653" s="1465"/>
      <c r="EK653" s="1465"/>
      <c r="EL653" s="1465"/>
      <c r="EM653" s="1465" t="e">
        <f t="shared" si="5"/>
        <v>#VALUE!</v>
      </c>
      <c r="EN653" s="1465"/>
      <c r="EO653" s="1465"/>
      <c r="EP653" s="1465"/>
      <c r="EQ653" s="1465"/>
      <c r="ER653" s="1465" t="e">
        <f t="shared" si="6"/>
        <v>#VALUE!</v>
      </c>
      <c r="ES653" s="1465"/>
      <c r="ET653" s="1465"/>
      <c r="EU653" s="1465"/>
      <c r="EV653" s="1465"/>
      <c r="EW653" s="1465" t="e">
        <f t="shared" si="7"/>
        <v>#VALUE!</v>
      </c>
      <c r="EX653" s="1465"/>
      <c r="EY653" s="1465"/>
      <c r="EZ653" s="1465"/>
      <c r="FA653" s="1465"/>
    </row>
    <row r="654" spans="1:157" ht="12.95" customHeight="1">
      <c r="A654" s="22"/>
      <c r="B654" t="s">
        <v>17</v>
      </c>
      <c r="G654" s="1367" t="str">
        <f t="shared" si="8"/>
        <v>Kate Ferguson</v>
      </c>
      <c r="H654" s="1367"/>
      <c r="I654" s="1367"/>
      <c r="J654" s="1367"/>
      <c r="K654" s="1367"/>
      <c r="L654" s="1367"/>
      <c r="M654" s="1367"/>
      <c r="N654" s="1367"/>
      <c r="O654" s="1367"/>
      <c r="P654" s="1367"/>
      <c r="Q654" s="1367"/>
      <c r="R654" s="1367"/>
      <c r="T654" s="22"/>
      <c r="U654" t="s">
        <v>17</v>
      </c>
      <c r="Z654" s="1367" t="str">
        <f>Z588</f>
        <v>Andrea Osgood</v>
      </c>
      <c r="AA654" s="1367"/>
      <c r="AB654" s="1367"/>
      <c r="AC654" s="1367"/>
      <c r="AD654" s="1367"/>
      <c r="AE654" s="1367"/>
      <c r="AF654" s="1367"/>
      <c r="AG654" s="1367"/>
      <c r="AH654" s="1367"/>
      <c r="AI654" s="1367"/>
      <c r="AJ654" s="1367"/>
      <c r="AK654" s="1367"/>
      <c r="AZ654" s="34"/>
      <c r="BA654" s="34"/>
      <c r="BB654" s="34"/>
      <c r="BC654" s="34"/>
      <c r="BD654" s="34"/>
      <c r="BE654" s="34"/>
      <c r="BF654" s="34"/>
      <c r="BG654" s="34"/>
      <c r="BH654" s="34"/>
      <c r="BI654" s="34"/>
      <c r="BJ654" s="34"/>
      <c r="BK654" s="34"/>
      <c r="BL654" s="34"/>
      <c r="BM654" s="34"/>
      <c r="DX654" s="1465" t="e">
        <f t="shared" si="2"/>
        <v>#VALUE!</v>
      </c>
      <c r="DY654" s="1465"/>
      <c r="DZ654" s="1465"/>
      <c r="EA654" s="1465"/>
      <c r="EB654" s="1465"/>
      <c r="EC654" s="1465" t="e">
        <f t="shared" si="3"/>
        <v>#VALUE!</v>
      </c>
      <c r="ED654" s="1465"/>
      <c r="EE654" s="1465"/>
      <c r="EF654" s="1465"/>
      <c r="EG654" s="1465"/>
      <c r="EH654" s="1465" t="e">
        <f t="shared" si="4"/>
        <v>#VALUE!</v>
      </c>
      <c r="EI654" s="1465"/>
      <c r="EJ654" s="1465"/>
      <c r="EK654" s="1465"/>
      <c r="EL654" s="1465"/>
      <c r="EM654" s="1465" t="e">
        <f t="shared" si="5"/>
        <v>#VALUE!</v>
      </c>
      <c r="EN654" s="1465"/>
      <c r="EO654" s="1465"/>
      <c r="EP654" s="1465"/>
      <c r="EQ654" s="1465"/>
      <c r="ER654" s="1465" t="e">
        <f t="shared" si="6"/>
        <v>#VALUE!</v>
      </c>
      <c r="ES654" s="1465"/>
      <c r="ET654" s="1465"/>
      <c r="EU654" s="1465"/>
      <c r="EV654" s="1465"/>
      <c r="EW654" s="1465" t="e">
        <f t="shared" si="7"/>
        <v>#VALUE!</v>
      </c>
      <c r="EX654" s="1465"/>
      <c r="EY654" s="1465"/>
      <c r="EZ654" s="1465"/>
      <c r="FA654" s="1465"/>
    </row>
    <row r="655" spans="1:157" ht="12.95" customHeight="1">
      <c r="A655" s="22"/>
      <c r="B655" t="s">
        <v>316</v>
      </c>
      <c r="G655" s="1365" t="str">
        <f>G589</f>
        <v>916-326-8800</v>
      </c>
      <c r="H655" s="1365"/>
      <c r="I655" s="1365"/>
      <c r="J655" s="1365"/>
      <c r="K655" s="1365"/>
      <c r="L655" s="1365"/>
      <c r="O655" s="33" t="s">
        <v>206</v>
      </c>
      <c r="P655" s="1457"/>
      <c r="Q655" s="1457"/>
      <c r="R655" s="1457"/>
      <c r="T655" s="22"/>
      <c r="U655" t="s">
        <v>316</v>
      </c>
      <c r="Z655" s="1365" t="str">
        <f>Z589</f>
        <v xml:space="preserve">510-247-8103 </v>
      </c>
      <c r="AA655" s="1365"/>
      <c r="AB655" s="1365"/>
      <c r="AC655" s="1365"/>
      <c r="AD655" s="1365"/>
      <c r="AE655" s="1365"/>
      <c r="AH655" s="33" t="s">
        <v>206</v>
      </c>
      <c r="AI655" s="1457"/>
      <c r="AJ655" s="1457"/>
      <c r="AK655" s="1457"/>
      <c r="AZ655" s="34"/>
      <c r="BA655" s="34"/>
      <c r="BB655" s="34"/>
      <c r="BC655" s="34"/>
      <c r="BD655" s="34"/>
      <c r="BE655" s="34"/>
      <c r="BF655" s="34"/>
      <c r="BG655" s="34"/>
      <c r="BH655" s="34"/>
      <c r="BI655" s="34"/>
      <c r="BJ655" s="34"/>
      <c r="BK655" s="34"/>
      <c r="BL655" s="34"/>
      <c r="BM655" s="34"/>
      <c r="DX655" s="1465" t="e">
        <f t="shared" si="2"/>
        <v>#VALUE!</v>
      </c>
      <c r="DY655" s="1465"/>
      <c r="DZ655" s="1465"/>
      <c r="EA655" s="1465"/>
      <c r="EB655" s="1465"/>
      <c r="EC655" s="1465" t="e">
        <f t="shared" si="3"/>
        <v>#VALUE!</v>
      </c>
      <c r="ED655" s="1465"/>
      <c r="EE655" s="1465"/>
      <c r="EF655" s="1465"/>
      <c r="EG655" s="1465"/>
      <c r="EH655" s="1465" t="e">
        <f t="shared" si="4"/>
        <v>#VALUE!</v>
      </c>
      <c r="EI655" s="1465"/>
      <c r="EJ655" s="1465"/>
      <c r="EK655" s="1465"/>
      <c r="EL655" s="1465"/>
      <c r="EM655" s="1465" t="e">
        <f t="shared" si="5"/>
        <v>#VALUE!</v>
      </c>
      <c r="EN655" s="1465"/>
      <c r="EO655" s="1465"/>
      <c r="EP655" s="1465"/>
      <c r="EQ655" s="1465"/>
      <c r="ER655" s="1465" t="e">
        <f t="shared" si="6"/>
        <v>#VALUE!</v>
      </c>
      <c r="ES655" s="1465"/>
      <c r="ET655" s="1465"/>
      <c r="EU655" s="1465"/>
      <c r="EV655" s="1465"/>
      <c r="EW655" s="1465" t="e">
        <f t="shared" si="7"/>
        <v>#VALUE!</v>
      </c>
      <c r="EX655" s="1465"/>
      <c r="EY655" s="1465"/>
      <c r="EZ655" s="1465"/>
      <c r="FA655" s="1465"/>
    </row>
    <row r="656" spans="1:157" ht="12.95" customHeight="1">
      <c r="A656" s="22"/>
      <c r="B656" t="s">
        <v>18</v>
      </c>
      <c r="H656" s="1390" t="str">
        <f>H590</f>
        <v>Deferred Payment Loan</v>
      </c>
      <c r="I656" s="1390"/>
      <c r="J656" s="1390"/>
      <c r="K656" s="1390"/>
      <c r="L656" s="1390"/>
      <c r="M656" s="1390"/>
      <c r="N656" s="1390"/>
      <c r="O656" s="1390"/>
      <c r="P656" s="1390"/>
      <c r="Q656" s="1390"/>
      <c r="R656" s="1390"/>
      <c r="T656" s="22"/>
      <c r="U656" t="s">
        <v>18</v>
      </c>
      <c r="AA656" s="1390" t="str">
        <f>AA590</f>
        <v>Seller Financing</v>
      </c>
      <c r="AB656" s="1390"/>
      <c r="AC656" s="1390"/>
      <c r="AD656" s="1390"/>
      <c r="AE656" s="1390"/>
      <c r="AF656" s="1390"/>
      <c r="AG656" s="1390"/>
      <c r="AH656" s="1390"/>
      <c r="AI656" s="1390"/>
      <c r="AJ656" s="1390"/>
      <c r="AK656" s="1390"/>
      <c r="AZ656" s="34"/>
      <c r="BA656" s="34"/>
      <c r="BB656" s="34"/>
      <c r="BC656" s="34"/>
      <c r="BD656" s="34"/>
      <c r="BE656" s="34"/>
      <c r="BF656" s="34"/>
      <c r="BG656" s="34"/>
      <c r="BH656" s="34"/>
      <c r="BI656" s="34"/>
      <c r="BJ656" s="34"/>
      <c r="BK656" s="34"/>
      <c r="BL656" s="34"/>
      <c r="BM656" s="34"/>
      <c r="DX656" s="1465" t="e">
        <f t="shared" si="2"/>
        <v>#VALUE!</v>
      </c>
      <c r="DY656" s="1465"/>
      <c r="DZ656" s="1465"/>
      <c r="EA656" s="1465"/>
      <c r="EB656" s="1465"/>
      <c r="EC656" s="1465" t="e">
        <f t="shared" si="3"/>
        <v>#VALUE!</v>
      </c>
      <c r="ED656" s="1465"/>
      <c r="EE656" s="1465"/>
      <c r="EF656" s="1465"/>
      <c r="EG656" s="1465"/>
      <c r="EH656" s="1465" t="e">
        <f t="shared" si="4"/>
        <v>#VALUE!</v>
      </c>
      <c r="EI656" s="1465"/>
      <c r="EJ656" s="1465"/>
      <c r="EK656" s="1465"/>
      <c r="EL656" s="1465"/>
      <c r="EM656" s="1465" t="e">
        <f t="shared" si="5"/>
        <v>#VALUE!</v>
      </c>
      <c r="EN656" s="1465"/>
      <c r="EO656" s="1465"/>
      <c r="EP656" s="1465"/>
      <c r="EQ656" s="1465"/>
      <c r="ER656" s="1465" t="e">
        <f t="shared" si="6"/>
        <v>#VALUE!</v>
      </c>
      <c r="ES656" s="1465"/>
      <c r="ET656" s="1465"/>
      <c r="EU656" s="1465"/>
      <c r="EV656" s="1465"/>
      <c r="EW656" s="1465" t="e">
        <f t="shared" si="7"/>
        <v>#VALUE!</v>
      </c>
      <c r="EX656" s="1465"/>
      <c r="EY656" s="1465"/>
      <c r="EZ656" s="1465"/>
      <c r="FA656" s="1465"/>
    </row>
    <row r="657" spans="1:157" ht="12.95" customHeight="1">
      <c r="A657" s="22"/>
      <c r="B657" t="s">
        <v>20</v>
      </c>
      <c r="N657" s="1351" t="s">
        <v>545</v>
      </c>
      <c r="O657" s="1351"/>
      <c r="T657" s="22"/>
      <c r="U657" t="s">
        <v>20</v>
      </c>
      <c r="AG657" s="1351" t="s">
        <v>545</v>
      </c>
      <c r="AH657" s="1351"/>
      <c r="AZ657" s="34"/>
      <c r="BA657" s="34"/>
      <c r="BB657" s="34"/>
      <c r="BC657" s="34"/>
      <c r="BD657" s="34"/>
      <c r="BE657" s="34"/>
      <c r="BF657" s="34"/>
      <c r="BG657" s="34"/>
      <c r="BH657" s="34"/>
      <c r="BI657" s="34"/>
      <c r="BJ657" s="34"/>
      <c r="BK657" s="34"/>
      <c r="BL657" s="34"/>
      <c r="BM657" s="34"/>
      <c r="DX657" s="1465" t="e">
        <f t="shared" si="2"/>
        <v>#VALUE!</v>
      </c>
      <c r="DY657" s="1465"/>
      <c r="DZ657" s="1465"/>
      <c r="EA657" s="1465"/>
      <c r="EB657" s="1465"/>
      <c r="EC657" s="1465" t="e">
        <f t="shared" si="3"/>
        <v>#VALUE!</v>
      </c>
      <c r="ED657" s="1465"/>
      <c r="EE657" s="1465"/>
      <c r="EF657" s="1465"/>
      <c r="EG657" s="1465"/>
      <c r="EH657" s="1465" t="e">
        <f t="shared" si="4"/>
        <v>#VALUE!</v>
      </c>
      <c r="EI657" s="1465"/>
      <c r="EJ657" s="1465"/>
      <c r="EK657" s="1465"/>
      <c r="EL657" s="1465"/>
      <c r="EM657" s="1465" t="e">
        <f t="shared" si="5"/>
        <v>#VALUE!</v>
      </c>
      <c r="EN657" s="1465"/>
      <c r="EO657" s="1465"/>
      <c r="EP657" s="1465"/>
      <c r="EQ657" s="1465"/>
      <c r="ER657" s="1465" t="e">
        <f t="shared" si="6"/>
        <v>#VALUE!</v>
      </c>
      <c r="ES657" s="1465"/>
      <c r="ET657" s="1465"/>
      <c r="EU657" s="1465"/>
      <c r="EV657" s="1465"/>
      <c r="EW657" s="1465" t="e">
        <f t="shared" si="7"/>
        <v>#VALUE!</v>
      </c>
      <c r="EX657" s="1465"/>
      <c r="EY657" s="1465"/>
      <c r="EZ657" s="1465"/>
      <c r="FA657" s="1465"/>
    </row>
    <row r="658" spans="1:157" ht="12.95" customHeight="1">
      <c r="A658" s="22"/>
      <c r="T658" s="22"/>
      <c r="AZ658" s="34"/>
      <c r="BA658" s="34"/>
      <c r="BB658" s="34"/>
      <c r="BC658" s="34"/>
      <c r="BD658" s="34"/>
      <c r="BE658" s="34"/>
      <c r="BF658" s="34"/>
      <c r="BG658" s="34"/>
      <c r="BH658" s="34"/>
      <c r="BI658" s="34"/>
      <c r="BJ658" s="34"/>
      <c r="BK658" s="34"/>
      <c r="BL658" s="34"/>
      <c r="BM658" s="34"/>
      <c r="DX658" s="1465" t="e">
        <f t="shared" si="2"/>
        <v>#VALUE!</v>
      </c>
      <c r="DY658" s="1465"/>
      <c r="DZ658" s="1465"/>
      <c r="EA658" s="1465"/>
      <c r="EB658" s="1465"/>
      <c r="EC658" s="1465" t="e">
        <f t="shared" si="3"/>
        <v>#VALUE!</v>
      </c>
      <c r="ED658" s="1465"/>
      <c r="EE658" s="1465"/>
      <c r="EF658" s="1465"/>
      <c r="EG658" s="1465"/>
      <c r="EH658" s="1465" t="e">
        <f t="shared" si="4"/>
        <v>#VALUE!</v>
      </c>
      <c r="EI658" s="1465"/>
      <c r="EJ658" s="1465"/>
      <c r="EK658" s="1465"/>
      <c r="EL658" s="1465"/>
      <c r="EM658" s="1465" t="e">
        <f t="shared" si="5"/>
        <v>#VALUE!</v>
      </c>
      <c r="EN658" s="1465"/>
      <c r="EO658" s="1465"/>
      <c r="EP658" s="1465"/>
      <c r="EQ658" s="1465"/>
      <c r="ER658" s="1465" t="e">
        <f t="shared" si="6"/>
        <v>#VALUE!</v>
      </c>
      <c r="ES658" s="1465"/>
      <c r="ET658" s="1465"/>
      <c r="EU658" s="1465"/>
      <c r="EV658" s="1465"/>
      <c r="EW658" s="1465" t="e">
        <f t="shared" si="7"/>
        <v>#VALUE!</v>
      </c>
      <c r="EX658" s="1465"/>
      <c r="EY658" s="1465"/>
      <c r="EZ658" s="1465"/>
      <c r="FA658" s="1465"/>
    </row>
    <row r="659" spans="1:157" ht="12.95" customHeight="1">
      <c r="A659" s="55" t="s">
        <v>763</v>
      </c>
      <c r="B659" t="s">
        <v>463</v>
      </c>
      <c r="G659" s="1377" t="str">
        <f>C631</f>
        <v>Income from Operations</v>
      </c>
      <c r="H659" s="1377"/>
      <c r="I659" s="1377"/>
      <c r="J659" s="1377"/>
      <c r="K659" s="1377"/>
      <c r="L659" s="1377"/>
      <c r="M659" s="1377"/>
      <c r="N659" s="1377"/>
      <c r="O659" s="1377"/>
      <c r="P659" s="1377"/>
      <c r="Q659" s="1377"/>
      <c r="R659" s="1377"/>
      <c r="T659" s="55" t="s">
        <v>584</v>
      </c>
      <c r="U659" t="s">
        <v>463</v>
      </c>
      <c r="Z659" s="1377" t="str">
        <f>C632</f>
        <v>Deferred Developer Fee</v>
      </c>
      <c r="AA659" s="1377"/>
      <c r="AB659" s="1377"/>
      <c r="AC659" s="1377"/>
      <c r="AD659" s="1377"/>
      <c r="AE659" s="1377"/>
      <c r="AF659" s="1377"/>
      <c r="AG659" s="1377"/>
      <c r="AH659" s="1377"/>
      <c r="AI659" s="1377"/>
      <c r="AJ659" s="1377"/>
      <c r="AK659" s="1377"/>
      <c r="AZ659" s="34"/>
      <c r="BA659" s="34"/>
      <c r="BB659" s="34"/>
      <c r="BC659" s="34"/>
      <c r="BD659" s="34"/>
      <c r="BE659" s="34"/>
      <c r="BF659" s="34"/>
      <c r="BG659" s="34"/>
      <c r="BH659" s="34"/>
      <c r="BI659" s="34"/>
      <c r="BJ659" s="34"/>
      <c r="BK659" s="34"/>
      <c r="BL659" s="34"/>
      <c r="BM659" s="34"/>
      <c r="DX659" s="1465" t="e">
        <f t="shared" si="2"/>
        <v>#VALUE!</v>
      </c>
      <c r="DY659" s="1465"/>
      <c r="DZ659" s="1465"/>
      <c r="EA659" s="1465"/>
      <c r="EB659" s="1465"/>
      <c r="EC659" s="1465" t="e">
        <f t="shared" si="3"/>
        <v>#VALUE!</v>
      </c>
      <c r="ED659" s="1465"/>
      <c r="EE659" s="1465"/>
      <c r="EF659" s="1465"/>
      <c r="EG659" s="1465"/>
      <c r="EH659" s="1465" t="e">
        <f t="shared" si="4"/>
        <v>#VALUE!</v>
      </c>
      <c r="EI659" s="1465"/>
      <c r="EJ659" s="1465"/>
      <c r="EK659" s="1465"/>
      <c r="EL659" s="1465"/>
      <c r="EM659" s="1465" t="e">
        <f t="shared" si="5"/>
        <v>#VALUE!</v>
      </c>
      <c r="EN659" s="1465"/>
      <c r="EO659" s="1465"/>
      <c r="EP659" s="1465"/>
      <c r="EQ659" s="1465"/>
      <c r="ER659" s="1465" t="e">
        <f t="shared" si="6"/>
        <v>#VALUE!</v>
      </c>
      <c r="ES659" s="1465"/>
      <c r="ET659" s="1465"/>
      <c r="EU659" s="1465"/>
      <c r="EV659" s="1465"/>
      <c r="EW659" s="1465" t="e">
        <f t="shared" si="7"/>
        <v>#VALUE!</v>
      </c>
      <c r="EX659" s="1465"/>
      <c r="EY659" s="1465"/>
      <c r="EZ659" s="1465"/>
      <c r="FA659" s="1465"/>
    </row>
    <row r="660" spans="1:157" ht="12.95" customHeight="1">
      <c r="A660" s="22"/>
      <c r="B660" t="s">
        <v>85</v>
      </c>
      <c r="G660" s="1390" t="s">
        <v>2610</v>
      </c>
      <c r="H660" s="1390"/>
      <c r="I660" s="1390"/>
      <c r="J660" s="1390"/>
      <c r="K660" s="1390"/>
      <c r="L660" s="1390"/>
      <c r="M660" s="1390"/>
      <c r="N660" s="1390"/>
      <c r="O660" s="1390"/>
      <c r="P660" s="1390"/>
      <c r="Q660" s="1390"/>
      <c r="R660" s="1390"/>
      <c r="T660" s="22"/>
      <c r="U660" t="s">
        <v>85</v>
      </c>
      <c r="Z660" s="1390" t="str">
        <f>G594</f>
        <v>22645 Grand Street</v>
      </c>
      <c r="AA660" s="1390"/>
      <c r="AB660" s="1390"/>
      <c r="AC660" s="1390"/>
      <c r="AD660" s="1390"/>
      <c r="AE660" s="1390"/>
      <c r="AF660" s="1390"/>
      <c r="AG660" s="1390"/>
      <c r="AH660" s="1390"/>
      <c r="AI660" s="1390"/>
      <c r="AJ660" s="1390"/>
      <c r="AK660" s="1390"/>
      <c r="AZ660" s="34"/>
      <c r="BA660" s="34"/>
      <c r="BB660" s="34"/>
      <c r="BC660" s="34"/>
      <c r="BD660" s="34"/>
      <c r="BE660" s="34"/>
      <c r="BF660" s="34"/>
      <c r="BG660" s="34"/>
      <c r="BH660" s="34"/>
      <c r="BI660" s="34"/>
      <c r="BJ660" s="34"/>
      <c r="BK660" s="34"/>
      <c r="BL660" s="34"/>
      <c r="BM660" s="34"/>
      <c r="DX660" s="1465" t="e">
        <f t="shared" si="2"/>
        <v>#VALUE!</v>
      </c>
      <c r="DY660" s="1465"/>
      <c r="DZ660" s="1465"/>
      <c r="EA660" s="1465"/>
      <c r="EB660" s="1465"/>
      <c r="EC660" s="1465" t="e">
        <f t="shared" si="3"/>
        <v>#VALUE!</v>
      </c>
      <c r="ED660" s="1465"/>
      <c r="EE660" s="1465"/>
      <c r="EF660" s="1465"/>
      <c r="EG660" s="1465"/>
      <c r="EH660" s="1465" t="e">
        <f t="shared" si="4"/>
        <v>#VALUE!</v>
      </c>
      <c r="EI660" s="1465"/>
      <c r="EJ660" s="1465"/>
      <c r="EK660" s="1465"/>
      <c r="EL660" s="1465"/>
      <c r="EM660" s="1465" t="e">
        <f t="shared" si="5"/>
        <v>#VALUE!</v>
      </c>
      <c r="EN660" s="1465"/>
      <c r="EO660" s="1465"/>
      <c r="EP660" s="1465"/>
      <c r="EQ660" s="1465"/>
      <c r="ER660" s="1465" t="e">
        <f t="shared" si="6"/>
        <v>#VALUE!</v>
      </c>
      <c r="ES660" s="1465"/>
      <c r="ET660" s="1465"/>
      <c r="EU660" s="1465"/>
      <c r="EV660" s="1465"/>
      <c r="EW660" s="1465" t="e">
        <f t="shared" si="7"/>
        <v>#VALUE!</v>
      </c>
      <c r="EX660" s="1465"/>
      <c r="EY660" s="1465"/>
      <c r="EZ660" s="1465"/>
      <c r="FA660" s="1465"/>
    </row>
    <row r="661" spans="1:157" ht="12.95" customHeight="1">
      <c r="A661" s="22"/>
      <c r="B661" t="s">
        <v>580</v>
      </c>
      <c r="G661" s="1390" t="s">
        <v>2611</v>
      </c>
      <c r="H661" s="1390"/>
      <c r="I661" s="1390"/>
      <c r="J661" s="1390"/>
      <c r="K661" s="1390"/>
      <c r="L661" s="1390"/>
      <c r="M661" s="1390"/>
      <c r="N661" s="1390"/>
      <c r="O661" s="1390"/>
      <c r="P661" s="1390"/>
      <c r="Q661" s="1390"/>
      <c r="R661" s="1390"/>
      <c r="T661" s="22"/>
      <c r="U661" t="s">
        <v>580</v>
      </c>
      <c r="Z661" s="1367" t="str">
        <f>G595</f>
        <v>Hayward</v>
      </c>
      <c r="AA661" s="1367"/>
      <c r="AB661" s="1367"/>
      <c r="AC661" s="1367"/>
      <c r="AD661" s="1367"/>
      <c r="AE661" s="1367"/>
      <c r="AF661" s="1367"/>
      <c r="AG661" s="1367"/>
      <c r="AH661" s="1367"/>
      <c r="AI661" s="1367"/>
      <c r="AJ661" s="1367"/>
      <c r="AK661" s="1367"/>
      <c r="AZ661" s="34"/>
      <c r="BA661" s="34"/>
      <c r="BB661" s="34"/>
      <c r="BC661" s="34"/>
      <c r="BD661" s="34"/>
      <c r="BE661" s="34"/>
      <c r="BF661" s="34"/>
      <c r="BG661" s="34"/>
      <c r="BH661" s="34"/>
      <c r="BI661" s="34"/>
      <c r="BJ661" s="34"/>
      <c r="BK661" s="34"/>
      <c r="BL661" s="34"/>
      <c r="BM661" s="34"/>
      <c r="DX661" s="1465" t="e">
        <f t="shared" si="2"/>
        <v>#VALUE!</v>
      </c>
      <c r="DY661" s="1465"/>
      <c r="DZ661" s="1465"/>
      <c r="EA661" s="1465"/>
      <c r="EB661" s="1465"/>
      <c r="EC661" s="1465" t="e">
        <f t="shared" si="3"/>
        <v>#VALUE!</v>
      </c>
      <c r="ED661" s="1465"/>
      <c r="EE661" s="1465"/>
      <c r="EF661" s="1465"/>
      <c r="EG661" s="1465"/>
      <c r="EH661" s="1465" t="e">
        <f t="shared" si="4"/>
        <v>#VALUE!</v>
      </c>
      <c r="EI661" s="1465"/>
      <c r="EJ661" s="1465"/>
      <c r="EK661" s="1465"/>
      <c r="EL661" s="1465"/>
      <c r="EM661" s="1465" t="e">
        <f t="shared" si="5"/>
        <v>#VALUE!</v>
      </c>
      <c r="EN661" s="1465"/>
      <c r="EO661" s="1465"/>
      <c r="EP661" s="1465"/>
      <c r="EQ661" s="1465"/>
      <c r="ER661" s="1465" t="e">
        <f t="shared" si="6"/>
        <v>#VALUE!</v>
      </c>
      <c r="ES661" s="1465"/>
      <c r="ET661" s="1465"/>
      <c r="EU661" s="1465"/>
      <c r="EV661" s="1465"/>
      <c r="EW661" s="1465" t="e">
        <f t="shared" si="7"/>
        <v>#VALUE!</v>
      </c>
      <c r="EX661" s="1465"/>
      <c r="EY661" s="1465"/>
      <c r="EZ661" s="1465"/>
      <c r="FA661" s="1465"/>
    </row>
    <row r="662" spans="1:157" ht="12.95" customHeight="1">
      <c r="A662" s="22"/>
      <c r="B662" t="s">
        <v>17</v>
      </c>
      <c r="G662" s="1390" t="s">
        <v>2613</v>
      </c>
      <c r="H662" s="1390"/>
      <c r="I662" s="1390"/>
      <c r="J662" s="1390"/>
      <c r="K662" s="1390"/>
      <c r="L662" s="1390"/>
      <c r="M662" s="1390"/>
      <c r="N662" s="1390"/>
      <c r="O662" s="1390"/>
      <c r="P662" s="1390"/>
      <c r="Q662" s="1390"/>
      <c r="R662" s="1390"/>
      <c r="T662" s="22"/>
      <c r="U662" t="s">
        <v>17</v>
      </c>
      <c r="Z662" s="1367" t="str">
        <f>G596</f>
        <v>Andrea Osgood</v>
      </c>
      <c r="AA662" s="1367"/>
      <c r="AB662" s="1367"/>
      <c r="AC662" s="1367"/>
      <c r="AD662" s="1367"/>
      <c r="AE662" s="1367"/>
      <c r="AF662" s="1367"/>
      <c r="AG662" s="1367"/>
      <c r="AH662" s="1367"/>
      <c r="AI662" s="1367"/>
      <c r="AJ662" s="1367"/>
      <c r="AK662" s="136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5" t="e">
        <f t="shared" si="2"/>
        <v>#VALUE!</v>
      </c>
      <c r="DY662" s="1465"/>
      <c r="DZ662" s="1465"/>
      <c r="EA662" s="1465"/>
      <c r="EB662" s="1465"/>
      <c r="EC662" s="1465" t="e">
        <f t="shared" si="3"/>
        <v>#VALUE!</v>
      </c>
      <c r="ED662" s="1465"/>
      <c r="EE662" s="1465"/>
      <c r="EF662" s="1465"/>
      <c r="EG662" s="1465"/>
      <c r="EH662" s="1465" t="e">
        <f t="shared" si="4"/>
        <v>#VALUE!</v>
      </c>
      <c r="EI662" s="1465"/>
      <c r="EJ662" s="1465"/>
      <c r="EK662" s="1465"/>
      <c r="EL662" s="1465"/>
      <c r="EM662" s="1465" t="e">
        <f t="shared" si="5"/>
        <v>#VALUE!</v>
      </c>
      <c r="EN662" s="1465"/>
      <c r="EO662" s="1465"/>
      <c r="EP662" s="1465"/>
      <c r="EQ662" s="1465"/>
      <c r="ER662" s="1465" t="e">
        <f t="shared" si="6"/>
        <v>#VALUE!</v>
      </c>
      <c r="ES662" s="1465"/>
      <c r="ET662" s="1465"/>
      <c r="EU662" s="1465"/>
      <c r="EV662" s="1465"/>
      <c r="EW662" s="1465" t="e">
        <f t="shared" si="7"/>
        <v>#VALUE!</v>
      </c>
      <c r="EX662" s="1465"/>
      <c r="EY662" s="1465"/>
      <c r="EZ662" s="1465"/>
      <c r="FA662" s="1465"/>
    </row>
    <row r="663" spans="1:157" ht="12.95" customHeight="1">
      <c r="A663" s="22"/>
      <c r="B663" t="s">
        <v>316</v>
      </c>
      <c r="G663" s="1682" t="s">
        <v>2614</v>
      </c>
      <c r="H663" s="1365"/>
      <c r="I663" s="1365"/>
      <c r="J663" s="1365"/>
      <c r="K663" s="1365"/>
      <c r="L663" s="1365"/>
      <c r="O663" s="33" t="s">
        <v>206</v>
      </c>
      <c r="P663" s="1457"/>
      <c r="Q663" s="1457"/>
      <c r="R663" s="1457"/>
      <c r="T663" s="22"/>
      <c r="U663" t="s">
        <v>316</v>
      </c>
      <c r="Z663" s="1365" t="str">
        <f>G597</f>
        <v xml:space="preserve">510-247-8103 </v>
      </c>
      <c r="AA663" s="1365"/>
      <c r="AB663" s="1365"/>
      <c r="AC663" s="1365"/>
      <c r="AD663" s="1365"/>
      <c r="AE663" s="1365"/>
      <c r="AH663" s="33" t="s">
        <v>206</v>
      </c>
      <c r="AI663" s="1457"/>
      <c r="AJ663" s="1457"/>
      <c r="AK663" s="145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5" t="e">
        <f t="shared" si="2"/>
        <v>#VALUE!</v>
      </c>
      <c r="DY663" s="1465"/>
      <c r="DZ663" s="1465"/>
      <c r="EA663" s="1465"/>
      <c r="EB663" s="1465"/>
      <c r="EC663" s="1465" t="e">
        <f t="shared" si="3"/>
        <v>#VALUE!</v>
      </c>
      <c r="ED663" s="1465"/>
      <c r="EE663" s="1465"/>
      <c r="EF663" s="1465"/>
      <c r="EG663" s="1465"/>
      <c r="EH663" s="1465" t="e">
        <f t="shared" si="4"/>
        <v>#VALUE!</v>
      </c>
      <c r="EI663" s="1465"/>
      <c r="EJ663" s="1465"/>
      <c r="EK663" s="1465"/>
      <c r="EL663" s="1465"/>
      <c r="EM663" s="1465" t="e">
        <f t="shared" si="5"/>
        <v>#VALUE!</v>
      </c>
      <c r="EN663" s="1465"/>
      <c r="EO663" s="1465"/>
      <c r="EP663" s="1465"/>
      <c r="EQ663" s="1465"/>
      <c r="ER663" s="1465" t="e">
        <f t="shared" si="6"/>
        <v>#VALUE!</v>
      </c>
      <c r="ES663" s="1465"/>
      <c r="ET663" s="1465"/>
      <c r="EU663" s="1465"/>
      <c r="EV663" s="1465"/>
      <c r="EW663" s="1465" t="e">
        <f t="shared" si="7"/>
        <v>#VALUE!</v>
      </c>
      <c r="EX663" s="1465"/>
      <c r="EY663" s="1465"/>
      <c r="EZ663" s="1465"/>
      <c r="FA663" s="1465"/>
    </row>
    <row r="664" spans="1:157" ht="12.95" customHeight="1">
      <c r="A664" s="22"/>
      <c r="B664" t="s">
        <v>18</v>
      </c>
      <c r="H664" s="1390" t="s">
        <v>2717</v>
      </c>
      <c r="I664" s="1390"/>
      <c r="J664" s="1390"/>
      <c r="K664" s="1390"/>
      <c r="L664" s="1390"/>
      <c r="M664" s="1390"/>
      <c r="N664" s="1390"/>
      <c r="O664" s="1390"/>
      <c r="P664" s="1390"/>
      <c r="Q664" s="1390"/>
      <c r="R664" s="1390"/>
      <c r="T664" s="22"/>
      <c r="U664" t="s">
        <v>18</v>
      </c>
      <c r="AA664" s="1390" t="str">
        <f>H598</f>
        <v>Developer Financing</v>
      </c>
      <c r="AB664" s="1390"/>
      <c r="AC664" s="1390"/>
      <c r="AD664" s="1390"/>
      <c r="AE664" s="1390"/>
      <c r="AF664" s="1390"/>
      <c r="AG664" s="1390"/>
      <c r="AH664" s="1390"/>
      <c r="AI664" s="1390"/>
      <c r="AJ664" s="1390"/>
      <c r="AK664" s="139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5" t="e">
        <f t="shared" si="2"/>
        <v>#VALUE!</v>
      </c>
      <c r="DY664" s="1465"/>
      <c r="DZ664" s="1465"/>
      <c r="EA664" s="1465"/>
      <c r="EB664" s="1465"/>
      <c r="EC664" s="1465" t="e">
        <f t="shared" si="3"/>
        <v>#VALUE!</v>
      </c>
      <c r="ED664" s="1465"/>
      <c r="EE664" s="1465"/>
      <c r="EF664" s="1465"/>
      <c r="EG664" s="1465"/>
      <c r="EH664" s="1465" t="e">
        <f t="shared" si="4"/>
        <v>#VALUE!</v>
      </c>
      <c r="EI664" s="1465"/>
      <c r="EJ664" s="1465"/>
      <c r="EK664" s="1465"/>
      <c r="EL664" s="1465"/>
      <c r="EM664" s="1465" t="e">
        <f t="shared" si="5"/>
        <v>#VALUE!</v>
      </c>
      <c r="EN664" s="1465"/>
      <c r="EO664" s="1465"/>
      <c r="EP664" s="1465"/>
      <c r="EQ664" s="1465"/>
      <c r="ER664" s="1465" t="e">
        <f t="shared" si="6"/>
        <v>#VALUE!</v>
      </c>
      <c r="ES664" s="1465"/>
      <c r="ET664" s="1465"/>
      <c r="EU664" s="1465"/>
      <c r="EV664" s="1465"/>
      <c r="EW664" s="1465" t="e">
        <f t="shared" si="7"/>
        <v>#VALUE!</v>
      </c>
      <c r="EX664" s="1465"/>
      <c r="EY664" s="1465"/>
      <c r="EZ664" s="1465"/>
      <c r="FA664" s="1465"/>
    </row>
    <row r="665" spans="1:157" ht="12.95" customHeight="1">
      <c r="A665" s="22"/>
      <c r="B665" t="s">
        <v>20</v>
      </c>
      <c r="N665" s="1351" t="s">
        <v>545</v>
      </c>
      <c r="O665" s="1351"/>
      <c r="T665" s="22"/>
      <c r="U665" t="s">
        <v>20</v>
      </c>
      <c r="AG665" s="1351" t="s">
        <v>545</v>
      </c>
      <c r="AH665" s="135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5" t="e">
        <f t="shared" si="2"/>
        <v>#VALUE!</v>
      </c>
      <c r="DY665" s="1465"/>
      <c r="DZ665" s="1465"/>
      <c r="EA665" s="1465"/>
      <c r="EB665" s="1465"/>
      <c r="EC665" s="1465" t="e">
        <f t="shared" si="3"/>
        <v>#VALUE!</v>
      </c>
      <c r="ED665" s="1465"/>
      <c r="EE665" s="1465"/>
      <c r="EF665" s="1465"/>
      <c r="EG665" s="1465"/>
      <c r="EH665" s="1465" t="e">
        <f t="shared" si="4"/>
        <v>#VALUE!</v>
      </c>
      <c r="EI665" s="1465"/>
      <c r="EJ665" s="1465"/>
      <c r="EK665" s="1465"/>
      <c r="EL665" s="1465"/>
      <c r="EM665" s="1465" t="e">
        <f t="shared" si="5"/>
        <v>#VALUE!</v>
      </c>
      <c r="EN665" s="1465"/>
      <c r="EO665" s="1465"/>
      <c r="EP665" s="1465"/>
      <c r="EQ665" s="1465"/>
      <c r="ER665" s="1465" t="e">
        <f t="shared" si="6"/>
        <v>#VALUE!</v>
      </c>
      <c r="ES665" s="1465"/>
      <c r="ET665" s="1465"/>
      <c r="EU665" s="1465"/>
      <c r="EV665" s="1465"/>
      <c r="EW665" s="1465" t="e">
        <f t="shared" si="7"/>
        <v>#VALUE!</v>
      </c>
      <c r="EX665" s="1465"/>
      <c r="EY665" s="1465"/>
      <c r="EZ665" s="1465"/>
      <c r="FA665" s="146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5" t="e">
        <f t="shared" si="2"/>
        <v>#VALUE!</v>
      </c>
      <c r="DY666" s="1465"/>
      <c r="DZ666" s="1465"/>
      <c r="EA666" s="1465"/>
      <c r="EB666" s="1465"/>
      <c r="EC666" s="1465" t="e">
        <f t="shared" si="3"/>
        <v>#VALUE!</v>
      </c>
      <c r="ED666" s="1465"/>
      <c r="EE666" s="1465"/>
      <c r="EF666" s="1465"/>
      <c r="EG666" s="1465"/>
      <c r="EH666" s="1465" t="e">
        <f t="shared" si="4"/>
        <v>#VALUE!</v>
      </c>
      <c r="EI666" s="1465"/>
      <c r="EJ666" s="1465"/>
      <c r="EK666" s="1465"/>
      <c r="EL666" s="1465"/>
      <c r="EM666" s="1465" t="e">
        <f t="shared" si="5"/>
        <v>#VALUE!</v>
      </c>
      <c r="EN666" s="1465"/>
      <c r="EO666" s="1465"/>
      <c r="EP666" s="1465"/>
      <c r="EQ666" s="1465"/>
      <c r="ER666" s="1465" t="e">
        <f t="shared" si="6"/>
        <v>#VALUE!</v>
      </c>
      <c r="ES666" s="1465"/>
      <c r="ET666" s="1465"/>
      <c r="EU666" s="1465"/>
      <c r="EV666" s="1465"/>
      <c r="EW666" s="1465" t="e">
        <f t="shared" si="7"/>
        <v>#VALUE!</v>
      </c>
      <c r="EX666" s="1465"/>
      <c r="EY666" s="1465"/>
      <c r="EZ666" s="1465"/>
      <c r="FA666" s="1465"/>
    </row>
    <row r="667" spans="1:157" ht="12.95" customHeight="1">
      <c r="A667" s="55" t="s">
        <v>455</v>
      </c>
      <c r="B667" t="s">
        <v>463</v>
      </c>
      <c r="G667" s="1377" t="str">
        <f>C633</f>
        <v>Accrued/Deferred Interest</v>
      </c>
      <c r="H667" s="1377"/>
      <c r="I667" s="1377"/>
      <c r="J667" s="1377"/>
      <c r="K667" s="1377"/>
      <c r="L667" s="1377"/>
      <c r="M667" s="1377"/>
      <c r="N667" s="1377"/>
      <c r="O667" s="1377"/>
      <c r="P667" s="1377"/>
      <c r="Q667" s="1377"/>
      <c r="R667" s="1377"/>
      <c r="T667" s="55" t="s">
        <v>456</v>
      </c>
      <c r="U667" t="s">
        <v>463</v>
      </c>
      <c r="Z667" s="1377" t="str">
        <f>C634</f>
        <v>GP Capital: Acq Reserves</v>
      </c>
      <c r="AA667" s="1377"/>
      <c r="AB667" s="1377"/>
      <c r="AC667" s="1377"/>
      <c r="AD667" s="1377"/>
      <c r="AE667" s="1377"/>
      <c r="AF667" s="1377"/>
      <c r="AG667" s="1377"/>
      <c r="AH667" s="1377"/>
      <c r="AI667" s="1377"/>
      <c r="AJ667" s="1377"/>
      <c r="AK667" s="137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5" t="e">
        <f t="shared" si="2"/>
        <v>#VALUE!</v>
      </c>
      <c r="DY667" s="1465"/>
      <c r="DZ667" s="1465"/>
      <c r="EA667" s="1465"/>
      <c r="EB667" s="1465"/>
      <c r="EC667" s="1465" t="e">
        <f t="shared" si="3"/>
        <v>#VALUE!</v>
      </c>
      <c r="ED667" s="1465"/>
      <c r="EE667" s="1465"/>
      <c r="EF667" s="1465"/>
      <c r="EG667" s="1465"/>
      <c r="EH667" s="1465" t="e">
        <f t="shared" si="4"/>
        <v>#VALUE!</v>
      </c>
      <c r="EI667" s="1465"/>
      <c r="EJ667" s="1465"/>
      <c r="EK667" s="1465"/>
      <c r="EL667" s="1465"/>
      <c r="EM667" s="1465" t="e">
        <f t="shared" si="5"/>
        <v>#VALUE!</v>
      </c>
      <c r="EN667" s="1465"/>
      <c r="EO667" s="1465"/>
      <c r="EP667" s="1465"/>
      <c r="EQ667" s="1465"/>
      <c r="ER667" s="1465" t="e">
        <f t="shared" si="6"/>
        <v>#VALUE!</v>
      </c>
      <c r="ES667" s="1465"/>
      <c r="ET667" s="1465"/>
      <c r="EU667" s="1465"/>
      <c r="EV667" s="1465"/>
      <c r="EW667" s="1465" t="e">
        <f t="shared" si="7"/>
        <v>#VALUE!</v>
      </c>
      <c r="EX667" s="1465"/>
      <c r="EY667" s="1465"/>
      <c r="EZ667" s="1465"/>
      <c r="FA667" s="1465"/>
    </row>
    <row r="668" spans="1:157" ht="12.95" customHeight="1">
      <c r="A668" s="22"/>
      <c r="B668" t="s">
        <v>85</v>
      </c>
      <c r="G668" s="1390" t="str">
        <f>G602</f>
        <v>22645 Grand Street</v>
      </c>
      <c r="H668" s="1390"/>
      <c r="I668" s="1390"/>
      <c r="J668" s="1390"/>
      <c r="K668" s="1390"/>
      <c r="L668" s="1390"/>
      <c r="M668" s="1390"/>
      <c r="N668" s="1390"/>
      <c r="O668" s="1390"/>
      <c r="P668" s="1390"/>
      <c r="Q668" s="1390"/>
      <c r="R668" s="1390"/>
      <c r="T668" s="22"/>
      <c r="U668" t="s">
        <v>85</v>
      </c>
      <c r="Z668" s="1390" t="str">
        <f>G602</f>
        <v>22645 Grand Street</v>
      </c>
      <c r="AA668" s="1390"/>
      <c r="AB668" s="1390"/>
      <c r="AC668" s="1390"/>
      <c r="AD668" s="1390"/>
      <c r="AE668" s="1390"/>
      <c r="AF668" s="1390"/>
      <c r="AG668" s="1390"/>
      <c r="AH668" s="1390"/>
      <c r="AI668" s="1390"/>
      <c r="AJ668" s="1390"/>
      <c r="AK668" s="139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5" t="e">
        <f t="shared" si="2"/>
        <v>#VALUE!</v>
      </c>
      <c r="DY668" s="1465"/>
      <c r="DZ668" s="1465"/>
      <c r="EA668" s="1465"/>
      <c r="EB668" s="1465"/>
      <c r="EC668" s="1465" t="e">
        <f t="shared" si="3"/>
        <v>#VALUE!</v>
      </c>
      <c r="ED668" s="1465"/>
      <c r="EE668" s="1465"/>
      <c r="EF668" s="1465"/>
      <c r="EG668" s="1465"/>
      <c r="EH668" s="1465" t="e">
        <f t="shared" si="4"/>
        <v>#VALUE!</v>
      </c>
      <c r="EI668" s="1465"/>
      <c r="EJ668" s="1465"/>
      <c r="EK668" s="1465"/>
      <c r="EL668" s="1465"/>
      <c r="EM668" s="1465" t="e">
        <f t="shared" si="5"/>
        <v>#VALUE!</v>
      </c>
      <c r="EN668" s="1465"/>
      <c r="EO668" s="1465"/>
      <c r="EP668" s="1465"/>
      <c r="EQ668" s="1465"/>
      <c r="ER668" s="1465" t="e">
        <f t="shared" si="6"/>
        <v>#VALUE!</v>
      </c>
      <c r="ES668" s="1465"/>
      <c r="ET668" s="1465"/>
      <c r="EU668" s="1465"/>
      <c r="EV668" s="1465"/>
      <c r="EW668" s="1465" t="e">
        <f t="shared" si="7"/>
        <v>#VALUE!</v>
      </c>
      <c r="EX668" s="1465"/>
      <c r="EY668" s="1465"/>
      <c r="EZ668" s="1465"/>
      <c r="FA668" s="1465"/>
    </row>
    <row r="669" spans="1:157" ht="12.95" customHeight="1">
      <c r="A669" s="22"/>
      <c r="B669" t="s">
        <v>580</v>
      </c>
      <c r="G669" s="1390" t="str">
        <f>G603</f>
        <v>Hayward</v>
      </c>
      <c r="H669" s="1390"/>
      <c r="I669" s="1390"/>
      <c r="J669" s="1390"/>
      <c r="K669" s="1390"/>
      <c r="L669" s="1390"/>
      <c r="M669" s="1390"/>
      <c r="N669" s="1390"/>
      <c r="O669" s="1390"/>
      <c r="P669" s="1390"/>
      <c r="Q669" s="1390"/>
      <c r="R669" s="1390"/>
      <c r="T669" s="22"/>
      <c r="U669" t="s">
        <v>580</v>
      </c>
      <c r="Z669" s="1367" t="str">
        <f>G603</f>
        <v>Hayward</v>
      </c>
      <c r="AA669" s="1367"/>
      <c r="AB669" s="1367"/>
      <c r="AC669" s="1367"/>
      <c r="AD669" s="1367"/>
      <c r="AE669" s="1367"/>
      <c r="AF669" s="1367"/>
      <c r="AG669" s="1367"/>
      <c r="AH669" s="1367"/>
      <c r="AI669" s="1367"/>
      <c r="AJ669" s="1367"/>
      <c r="AK669" s="136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5" t="e">
        <f t="shared" si="2"/>
        <v>#VALUE!</v>
      </c>
      <c r="DY669" s="1465"/>
      <c r="DZ669" s="1465"/>
      <c r="EA669" s="1465"/>
      <c r="EB669" s="1465"/>
      <c r="EC669" s="1465" t="e">
        <f t="shared" si="3"/>
        <v>#VALUE!</v>
      </c>
      <c r="ED669" s="1465"/>
      <c r="EE669" s="1465"/>
      <c r="EF669" s="1465"/>
      <c r="EG669" s="1465"/>
      <c r="EH669" s="1465" t="e">
        <f t="shared" si="4"/>
        <v>#VALUE!</v>
      </c>
      <c r="EI669" s="1465"/>
      <c r="EJ669" s="1465"/>
      <c r="EK669" s="1465"/>
      <c r="EL669" s="1465"/>
      <c r="EM669" s="1465" t="e">
        <f t="shared" si="5"/>
        <v>#VALUE!</v>
      </c>
      <c r="EN669" s="1465"/>
      <c r="EO669" s="1465"/>
      <c r="EP669" s="1465"/>
      <c r="EQ669" s="1465"/>
      <c r="ER669" s="1465" t="e">
        <f t="shared" si="6"/>
        <v>#VALUE!</v>
      </c>
      <c r="ES669" s="1465"/>
      <c r="ET669" s="1465"/>
      <c r="EU669" s="1465"/>
      <c r="EV669" s="1465"/>
      <c r="EW669" s="1465" t="e">
        <f t="shared" si="7"/>
        <v>#VALUE!</v>
      </c>
      <c r="EX669" s="1465"/>
      <c r="EY669" s="1465"/>
      <c r="EZ669" s="1465"/>
      <c r="FA669" s="1465"/>
    </row>
    <row r="670" spans="1:157" ht="12.95" customHeight="1">
      <c r="A670" s="22"/>
      <c r="B670" t="s">
        <v>17</v>
      </c>
      <c r="G670" s="1390" t="str">
        <f>G604</f>
        <v>Andrea Osgood</v>
      </c>
      <c r="H670" s="1390"/>
      <c r="I670" s="1390"/>
      <c r="J670" s="1390"/>
      <c r="K670" s="1390"/>
      <c r="L670" s="1390"/>
      <c r="M670" s="1390"/>
      <c r="N670" s="1390"/>
      <c r="O670" s="1390"/>
      <c r="P670" s="1390"/>
      <c r="Q670" s="1390"/>
      <c r="R670" s="1390"/>
      <c r="T670" s="22"/>
      <c r="U670" t="s">
        <v>17</v>
      </c>
      <c r="Z670" s="1367" t="str">
        <f>G604</f>
        <v>Andrea Osgood</v>
      </c>
      <c r="AA670" s="1367"/>
      <c r="AB670" s="1367"/>
      <c r="AC670" s="1367"/>
      <c r="AD670" s="1367"/>
      <c r="AE670" s="1367"/>
      <c r="AF670" s="1367"/>
      <c r="AG670" s="1367"/>
      <c r="AH670" s="1367"/>
      <c r="AI670" s="1367"/>
      <c r="AJ670" s="1367"/>
      <c r="AK670" s="136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5">
        <f>SUMIF(DX635:EB669,"&gt;0")</f>
        <v>0</v>
      </c>
      <c r="DY670" s="1465"/>
      <c r="DZ670" s="1465"/>
      <c r="EA670" s="1465"/>
      <c r="EB670" s="1465"/>
      <c r="EC670" s="1465">
        <f>SUMIF(EC635:EG669,"&gt;0")</f>
        <v>1263.1666666666665</v>
      </c>
      <c r="ED670" s="1465"/>
      <c r="EE670" s="1465"/>
      <c r="EF670" s="1465"/>
      <c r="EG670" s="1465"/>
      <c r="EH670" s="1465">
        <f>SUMIF(EH635:EL669,"&gt;0")</f>
        <v>1640.5357142857142</v>
      </c>
      <c r="EI670" s="1465"/>
      <c r="EJ670" s="1465"/>
      <c r="EK670" s="1465"/>
      <c r="EL670" s="1465"/>
      <c r="EM670" s="1465">
        <f>SUMIF(EM635:EQ669,"&gt;0")</f>
        <v>1833.928918918919</v>
      </c>
      <c r="EN670" s="1465"/>
      <c r="EO670" s="1465"/>
      <c r="EP670" s="1465"/>
      <c r="EQ670" s="1465"/>
      <c r="ER670" s="1465">
        <f>SUMIF(ER635:EV669,"&gt;0")</f>
        <v>0</v>
      </c>
      <c r="ES670" s="1465"/>
      <c r="ET670" s="1465"/>
      <c r="EU670" s="1465"/>
      <c r="EV670" s="1465"/>
      <c r="EW670" s="1465">
        <f>SUMIF(EW635:FA669,"&gt;0")</f>
        <v>0</v>
      </c>
      <c r="EX670" s="1465"/>
      <c r="EY670" s="1465"/>
      <c r="EZ670" s="1465"/>
      <c r="FA670" s="1465"/>
    </row>
    <row r="671" spans="1:157" ht="12.95" customHeight="1">
      <c r="A671" s="22"/>
      <c r="B671" t="s">
        <v>316</v>
      </c>
      <c r="G671" s="1365" t="str">
        <f>G605</f>
        <v xml:space="preserve">510-247-8103 </v>
      </c>
      <c r="H671" s="1365"/>
      <c r="I671" s="1365"/>
      <c r="J671" s="1365"/>
      <c r="K671" s="1365"/>
      <c r="L671" s="1365"/>
      <c r="O671" s="33" t="s">
        <v>206</v>
      </c>
      <c r="P671" s="1457"/>
      <c r="Q671" s="1457"/>
      <c r="R671" s="1457"/>
      <c r="T671" s="22"/>
      <c r="U671" t="s">
        <v>316</v>
      </c>
      <c r="Z671" s="1365" t="str">
        <f>G605</f>
        <v xml:space="preserve">510-247-8103 </v>
      </c>
      <c r="AA671" s="1365"/>
      <c r="AB671" s="1365"/>
      <c r="AC671" s="1365"/>
      <c r="AD671" s="1365"/>
      <c r="AE671" s="1365"/>
      <c r="AH671" s="33" t="s">
        <v>206</v>
      </c>
      <c r="AI671" s="1457"/>
      <c r="AJ671" s="1457"/>
      <c r="AK671" s="145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0" t="s">
        <v>2719</v>
      </c>
      <c r="I672" s="1390"/>
      <c r="J672" s="1390"/>
      <c r="K672" s="1390"/>
      <c r="L672" s="1390"/>
      <c r="M672" s="1390"/>
      <c r="N672" s="1390"/>
      <c r="O672" s="1390"/>
      <c r="P672" s="1390"/>
      <c r="Q672" s="1390"/>
      <c r="R672" s="1390"/>
      <c r="T672" s="22"/>
      <c r="U672" t="s">
        <v>18</v>
      </c>
      <c r="AA672" s="1390" t="str">
        <f>H606</f>
        <v>Deferred Developer Fee</v>
      </c>
      <c r="AB672" s="1390"/>
      <c r="AC672" s="1390"/>
      <c r="AD672" s="1390"/>
      <c r="AE672" s="1390"/>
      <c r="AF672" s="1390"/>
      <c r="AG672" s="1390"/>
      <c r="AH672" s="1390"/>
      <c r="AI672" s="1390"/>
      <c r="AJ672" s="1390"/>
      <c r="AK672" s="139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51" t="s">
        <v>545</v>
      </c>
      <c r="O673" s="1351"/>
      <c r="T673" s="22"/>
      <c r="U673" t="s">
        <v>20</v>
      </c>
      <c r="AG673" s="1351" t="s">
        <v>545</v>
      </c>
      <c r="AH673" s="1351"/>
      <c r="AZ673" s="3"/>
    </row>
    <row r="674" spans="1:52" ht="12.95" customHeight="1">
      <c r="A674" s="22"/>
      <c r="T674" s="22"/>
      <c r="AZ674" s="3"/>
    </row>
    <row r="675" spans="1:52" ht="12.95" customHeight="1">
      <c r="A675" s="55" t="s">
        <v>461</v>
      </c>
      <c r="B675" t="s">
        <v>463</v>
      </c>
      <c r="G675" s="1377">
        <f>C635</f>
        <v>0</v>
      </c>
      <c r="H675" s="1377"/>
      <c r="I675" s="1377"/>
      <c r="J675" s="1377"/>
      <c r="K675" s="1377"/>
      <c r="L675" s="1377"/>
      <c r="M675" s="1377"/>
      <c r="N675" s="1377"/>
      <c r="O675" s="1377"/>
      <c r="P675" s="1377"/>
      <c r="Q675" s="1377"/>
      <c r="R675" s="1377"/>
      <c r="T675" s="55" t="s">
        <v>646</v>
      </c>
      <c r="U675" t="s">
        <v>463</v>
      </c>
      <c r="Z675" s="1377">
        <f>C636</f>
        <v>0</v>
      </c>
      <c r="AA675" s="1377"/>
      <c r="AB675" s="1377"/>
      <c r="AC675" s="1377"/>
      <c r="AD675" s="1377"/>
      <c r="AE675" s="1377"/>
      <c r="AF675" s="1377"/>
      <c r="AG675" s="1377"/>
      <c r="AH675" s="1377"/>
      <c r="AI675" s="1377"/>
      <c r="AJ675" s="1377"/>
      <c r="AK675" s="1377"/>
      <c r="AZ675" s="3"/>
    </row>
    <row r="676" spans="1:52" ht="12.95" customHeight="1">
      <c r="A676" s="22"/>
      <c r="B676" t="s">
        <v>85</v>
      </c>
      <c r="G676" s="1390"/>
      <c r="H676" s="1390"/>
      <c r="I676" s="1390"/>
      <c r="J676" s="1390"/>
      <c r="K676" s="1390"/>
      <c r="L676" s="1390"/>
      <c r="M676" s="1390"/>
      <c r="N676" s="1390"/>
      <c r="O676" s="1390"/>
      <c r="P676" s="1390"/>
      <c r="Q676" s="1390"/>
      <c r="R676" s="1390"/>
      <c r="T676" s="22"/>
      <c r="U676" t="s">
        <v>85</v>
      </c>
      <c r="Z676" s="1390"/>
      <c r="AA676" s="1390"/>
      <c r="AB676" s="1390"/>
      <c r="AC676" s="1390"/>
      <c r="AD676" s="1390"/>
      <c r="AE676" s="1390"/>
      <c r="AF676" s="1390"/>
      <c r="AG676" s="1390"/>
      <c r="AH676" s="1390"/>
      <c r="AI676" s="1390"/>
      <c r="AJ676" s="1390"/>
      <c r="AK676" s="1390"/>
      <c r="AZ676" s="3"/>
    </row>
    <row r="677" spans="1:52" ht="12.95" customHeight="1">
      <c r="A677" s="22"/>
      <c r="B677" t="s">
        <v>580</v>
      </c>
      <c r="G677" s="1390"/>
      <c r="H677" s="1390"/>
      <c r="I677" s="1390"/>
      <c r="J677" s="1390"/>
      <c r="K677" s="1390"/>
      <c r="L677" s="1390"/>
      <c r="M677" s="1390"/>
      <c r="N677" s="1390"/>
      <c r="O677" s="1390"/>
      <c r="P677" s="1390"/>
      <c r="Q677" s="1390"/>
      <c r="R677" s="1390"/>
      <c r="T677" s="22"/>
      <c r="U677" t="s">
        <v>580</v>
      </c>
      <c r="Z677" s="1367"/>
      <c r="AA677" s="1367"/>
      <c r="AB677" s="1367"/>
      <c r="AC677" s="1367"/>
      <c r="AD677" s="1367"/>
      <c r="AE677" s="1367"/>
      <c r="AF677" s="1367"/>
      <c r="AG677" s="1367"/>
      <c r="AH677" s="1367"/>
      <c r="AI677" s="1367"/>
      <c r="AJ677" s="1367"/>
      <c r="AK677" s="1367"/>
      <c r="AZ677" s="3"/>
    </row>
    <row r="678" spans="1:52" ht="12.95" customHeight="1">
      <c r="A678" s="22"/>
      <c r="B678" t="s">
        <v>17</v>
      </c>
      <c r="G678" s="1390"/>
      <c r="H678" s="1390"/>
      <c r="I678" s="1390"/>
      <c r="J678" s="1390"/>
      <c r="K678" s="1390"/>
      <c r="L678" s="1390"/>
      <c r="M678" s="1390"/>
      <c r="N678" s="1390"/>
      <c r="O678" s="1390"/>
      <c r="P678" s="1390"/>
      <c r="Q678" s="1390"/>
      <c r="R678" s="1390"/>
      <c r="T678" s="22"/>
      <c r="U678" t="s">
        <v>17</v>
      </c>
      <c r="Z678" s="1367"/>
      <c r="AA678" s="1367"/>
      <c r="AB678" s="1367"/>
      <c r="AC678" s="1367"/>
      <c r="AD678" s="1367"/>
      <c r="AE678" s="1367"/>
      <c r="AF678" s="1367"/>
      <c r="AG678" s="1367"/>
      <c r="AH678" s="1367"/>
      <c r="AI678" s="1367"/>
      <c r="AJ678" s="1367"/>
      <c r="AK678" s="1367"/>
      <c r="AZ678" s="3"/>
    </row>
    <row r="679" spans="1:52" ht="12.95" customHeight="1">
      <c r="A679" s="22"/>
      <c r="B679" t="s">
        <v>316</v>
      </c>
      <c r="G679" s="1682"/>
      <c r="H679" s="1365"/>
      <c r="I679" s="1365"/>
      <c r="J679" s="1365"/>
      <c r="K679" s="1365"/>
      <c r="L679" s="1365"/>
      <c r="O679" s="33" t="s">
        <v>206</v>
      </c>
      <c r="P679" s="1457"/>
      <c r="Q679" s="1457"/>
      <c r="R679" s="1457"/>
      <c r="T679" s="22"/>
      <c r="U679" t="s">
        <v>316</v>
      </c>
      <c r="Z679" s="1365"/>
      <c r="AA679" s="1365"/>
      <c r="AB679" s="1365"/>
      <c r="AC679" s="1365"/>
      <c r="AD679" s="1365"/>
      <c r="AE679" s="1365"/>
      <c r="AH679" s="33" t="s">
        <v>206</v>
      </c>
      <c r="AI679" s="1457"/>
      <c r="AJ679" s="1457"/>
      <c r="AK679" s="1457"/>
      <c r="AZ679" s="3"/>
    </row>
    <row r="680" spans="1:52" ht="12.95" customHeight="1">
      <c r="A680" s="22"/>
      <c r="B680" t="s">
        <v>18</v>
      </c>
      <c r="H680" s="1390"/>
      <c r="I680" s="1390"/>
      <c r="J680" s="1390"/>
      <c r="K680" s="1390"/>
      <c r="L680" s="1390"/>
      <c r="M680" s="1390"/>
      <c r="N680" s="1390"/>
      <c r="O680" s="1390"/>
      <c r="P680" s="1390"/>
      <c r="Q680" s="1390"/>
      <c r="R680" s="1390"/>
      <c r="T680" s="22"/>
      <c r="U680" t="s">
        <v>18</v>
      </c>
      <c r="AA680" s="1390"/>
      <c r="AB680" s="1390"/>
      <c r="AC680" s="1390"/>
      <c r="AD680" s="1390"/>
      <c r="AE680" s="1390"/>
      <c r="AF680" s="1390"/>
      <c r="AG680" s="1390"/>
      <c r="AH680" s="1390"/>
      <c r="AI680" s="1390"/>
      <c r="AJ680" s="1390"/>
      <c r="AK680" s="1390"/>
      <c r="AZ680" s="3"/>
    </row>
    <row r="681" spans="1:52" ht="12.95" customHeight="1">
      <c r="A681" s="22"/>
      <c r="B681" t="s">
        <v>20</v>
      </c>
      <c r="N681" s="1351" t="s">
        <v>545</v>
      </c>
      <c r="O681" s="1351"/>
      <c r="T681" s="22"/>
      <c r="U681" t="s">
        <v>20</v>
      </c>
      <c r="AG681" s="1351" t="s">
        <v>669</v>
      </c>
      <c r="AH681" s="1351"/>
      <c r="AZ681" s="3"/>
    </row>
    <row r="682" spans="1:52" ht="12.95" customHeight="1">
      <c r="A682" s="22"/>
      <c r="T682" s="22"/>
      <c r="AZ682" s="3"/>
    </row>
    <row r="683" spans="1:52" ht="12.95" customHeight="1">
      <c r="A683" s="55" t="s">
        <v>362</v>
      </c>
      <c r="B683" t="s">
        <v>463</v>
      </c>
      <c r="G683" s="1377">
        <f>C637</f>
        <v>0</v>
      </c>
      <c r="H683" s="1377"/>
      <c r="I683" s="1377"/>
      <c r="J683" s="1377"/>
      <c r="K683" s="1377"/>
      <c r="L683" s="1377"/>
      <c r="M683" s="1377"/>
      <c r="N683" s="1377"/>
      <c r="O683" s="1377"/>
      <c r="P683" s="1377"/>
      <c r="Q683" s="1377"/>
      <c r="R683" s="1377"/>
      <c r="T683" s="55" t="s">
        <v>363</v>
      </c>
      <c r="U683" t="s">
        <v>463</v>
      </c>
      <c r="Z683" s="1377">
        <f>C638</f>
        <v>0</v>
      </c>
      <c r="AA683" s="1377"/>
      <c r="AB683" s="1377"/>
      <c r="AC683" s="1377"/>
      <c r="AD683" s="1377"/>
      <c r="AE683" s="1377"/>
      <c r="AF683" s="1377"/>
      <c r="AG683" s="1377"/>
      <c r="AH683" s="1377"/>
      <c r="AI683" s="1377"/>
      <c r="AJ683" s="1377"/>
      <c r="AK683" s="1377"/>
      <c r="AZ683" s="3"/>
    </row>
    <row r="684" spans="1:52" ht="12.95" customHeight="1">
      <c r="B684" t="s">
        <v>85</v>
      </c>
      <c r="G684" s="1390"/>
      <c r="H684" s="1390"/>
      <c r="I684" s="1390"/>
      <c r="J684" s="1390"/>
      <c r="K684" s="1390"/>
      <c r="L684" s="1390"/>
      <c r="M684" s="1390"/>
      <c r="N684" s="1390"/>
      <c r="O684" s="1390"/>
      <c r="P684" s="1390"/>
      <c r="Q684" s="1390"/>
      <c r="R684" s="1390"/>
      <c r="T684" s="22"/>
      <c r="U684" t="s">
        <v>85</v>
      </c>
      <c r="Z684" s="1390"/>
      <c r="AA684" s="1390"/>
      <c r="AB684" s="1390"/>
      <c r="AC684" s="1390"/>
      <c r="AD684" s="1390"/>
      <c r="AE684" s="1390"/>
      <c r="AF684" s="1390"/>
      <c r="AG684" s="1390"/>
      <c r="AH684" s="1390"/>
      <c r="AI684" s="1390"/>
      <c r="AJ684" s="1390"/>
      <c r="AK684" s="1390"/>
      <c r="AZ684" s="3"/>
    </row>
    <row r="685" spans="1:52" ht="12.95" customHeight="1">
      <c r="B685" t="s">
        <v>580</v>
      </c>
      <c r="G685" s="1390"/>
      <c r="H685" s="1390"/>
      <c r="I685" s="1390"/>
      <c r="J685" s="1390"/>
      <c r="K685" s="1390"/>
      <c r="L685" s="1390"/>
      <c r="M685" s="1390"/>
      <c r="N685" s="1390"/>
      <c r="O685" s="1390"/>
      <c r="P685" s="1390"/>
      <c r="Q685" s="1390"/>
      <c r="R685" s="1390"/>
      <c r="U685" t="s">
        <v>580</v>
      </c>
      <c r="Z685" s="1367"/>
      <c r="AA685" s="1367"/>
      <c r="AB685" s="1367"/>
      <c r="AC685" s="1367"/>
      <c r="AD685" s="1367"/>
      <c r="AE685" s="1367"/>
      <c r="AF685" s="1367"/>
      <c r="AG685" s="1367"/>
      <c r="AH685" s="1367"/>
      <c r="AI685" s="1367"/>
      <c r="AJ685" s="1367"/>
      <c r="AK685" s="1367"/>
      <c r="AZ685" s="3"/>
    </row>
    <row r="686" spans="1:52" ht="12.95" customHeight="1">
      <c r="B686" t="s">
        <v>17</v>
      </c>
      <c r="G686" s="1390"/>
      <c r="H686" s="1390"/>
      <c r="I686" s="1390"/>
      <c r="J686" s="1390"/>
      <c r="K686" s="1390"/>
      <c r="L686" s="1390"/>
      <c r="M686" s="1390"/>
      <c r="N686" s="1390"/>
      <c r="O686" s="1390"/>
      <c r="P686" s="1390"/>
      <c r="Q686" s="1390"/>
      <c r="R686" s="1390"/>
      <c r="U686" t="s">
        <v>17</v>
      </c>
      <c r="Z686" s="1367"/>
      <c r="AA686" s="1367"/>
      <c r="AB686" s="1367"/>
      <c r="AC686" s="1367"/>
      <c r="AD686" s="1367"/>
      <c r="AE686" s="1367"/>
      <c r="AF686" s="1367"/>
      <c r="AG686" s="1367"/>
      <c r="AH686" s="1367"/>
      <c r="AI686" s="1367"/>
      <c r="AJ686" s="1367"/>
      <c r="AK686" s="1367"/>
      <c r="AZ686" s="3"/>
    </row>
    <row r="687" spans="1:52" ht="12.95" customHeight="1">
      <c r="B687" t="s">
        <v>316</v>
      </c>
      <c r="G687" s="1365"/>
      <c r="H687" s="1365"/>
      <c r="I687" s="1365"/>
      <c r="J687" s="1365"/>
      <c r="K687" s="1365"/>
      <c r="L687" s="1365"/>
      <c r="O687" s="33" t="s">
        <v>206</v>
      </c>
      <c r="P687" s="1457"/>
      <c r="Q687" s="1457"/>
      <c r="R687" s="1457"/>
      <c r="U687" t="s">
        <v>316</v>
      </c>
      <c r="Z687" s="1365"/>
      <c r="AA687" s="1365"/>
      <c r="AB687" s="1365"/>
      <c r="AC687" s="1365"/>
      <c r="AD687" s="1365"/>
      <c r="AE687" s="1365"/>
      <c r="AH687" s="33" t="s">
        <v>206</v>
      </c>
      <c r="AI687" s="1457"/>
      <c r="AJ687" s="1457"/>
      <c r="AK687" s="1457"/>
      <c r="AZ687" s="3"/>
    </row>
    <row r="688" spans="1:52" ht="12.95" customHeight="1">
      <c r="B688" t="s">
        <v>18</v>
      </c>
      <c r="H688" s="1390"/>
      <c r="I688" s="1390"/>
      <c r="J688" s="1390"/>
      <c r="K688" s="1390"/>
      <c r="L688" s="1390"/>
      <c r="M688" s="1390"/>
      <c r="N688" s="1390"/>
      <c r="O688" s="1390"/>
      <c r="P688" s="1390"/>
      <c r="Q688" s="1390"/>
      <c r="R688" s="1390"/>
      <c r="U688" t="s">
        <v>18</v>
      </c>
      <c r="AA688" s="1390"/>
      <c r="AB688" s="1390"/>
      <c r="AC688" s="1390"/>
      <c r="AD688" s="1390"/>
      <c r="AE688" s="1390"/>
      <c r="AF688" s="1390"/>
      <c r="AG688" s="1390"/>
      <c r="AH688" s="1390"/>
      <c r="AI688" s="1390"/>
      <c r="AJ688" s="1390"/>
      <c r="AK688" s="1390"/>
      <c r="AZ688" s="3"/>
    </row>
    <row r="689" spans="1:67" ht="12.95" customHeight="1">
      <c r="B689" t="s">
        <v>20</v>
      </c>
      <c r="N689" s="1351" t="s">
        <v>669</v>
      </c>
      <c r="O689" s="1351"/>
      <c r="U689" t="s">
        <v>20</v>
      </c>
      <c r="AG689" s="1351" t="s">
        <v>669</v>
      </c>
      <c r="AH689" s="1351"/>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51" t="s">
        <v>545</v>
      </c>
      <c r="AF693" s="1351"/>
      <c r="AZ693" s="3"/>
    </row>
    <row r="694" spans="1:67" ht="12.95" customHeight="1">
      <c r="B694" s="135"/>
      <c r="C694" s="135"/>
      <c r="D694" s="136" t="s">
        <v>438</v>
      </c>
      <c r="E694" s="135"/>
      <c r="F694" s="135"/>
      <c r="G694" s="135"/>
      <c r="H694" s="135"/>
      <c r="AE694" s="1351" t="s">
        <v>669</v>
      </c>
      <c r="AF694" s="1351"/>
      <c r="AZ694" s="3"/>
    </row>
    <row r="695" spans="1:67" ht="12.95" customHeight="1">
      <c r="B695" s="135"/>
      <c r="C695" s="135"/>
      <c r="D695" s="136" t="s">
        <v>920</v>
      </c>
      <c r="E695" s="135"/>
      <c r="F695" s="135"/>
      <c r="G695" s="135"/>
      <c r="H695" s="135"/>
      <c r="AE695" s="1705">
        <v>45909</v>
      </c>
      <c r="AF695" s="1706"/>
      <c r="AG695" s="1706"/>
      <c r="AH695" s="1706"/>
      <c r="AI695" s="1706"/>
    </row>
    <row r="696" spans="1:67" ht="12.95" customHeight="1">
      <c r="B696" s="135"/>
      <c r="C696" s="135"/>
      <c r="D696" s="317" t="s">
        <v>982</v>
      </c>
      <c r="E696" s="135"/>
      <c r="F696" s="135"/>
      <c r="G696" s="135"/>
      <c r="H696" s="135"/>
      <c r="AE696" s="1713" t="s">
        <v>2657</v>
      </c>
      <c r="AF696" s="1713"/>
      <c r="AG696" s="1713"/>
      <c r="AH696" s="1713"/>
      <c r="AI696" s="1713"/>
    </row>
    <row r="697" spans="1:67" ht="12.95" customHeight="1">
      <c r="B697" s="135"/>
      <c r="C697" s="135"/>
    </row>
    <row r="698" spans="1:67" ht="12.95" customHeight="1">
      <c r="B698" s="135"/>
      <c r="C698" s="135"/>
      <c r="D698" s="136" t="s">
        <v>816</v>
      </c>
      <c r="E698" s="135"/>
      <c r="F698" s="135"/>
      <c r="G698" s="135"/>
      <c r="H698" s="135"/>
      <c r="AE698" s="1706" t="s">
        <v>2657</v>
      </c>
      <c r="AF698" s="1706"/>
      <c r="AG698" s="1706"/>
      <c r="AH698" s="1706"/>
      <c r="AI698" s="1706"/>
    </row>
    <row r="699" spans="1:67" ht="12.95" customHeight="1">
      <c r="B699" s="135"/>
      <c r="C699" s="135"/>
      <c r="D699" s="136" t="s">
        <v>436</v>
      </c>
      <c r="E699" s="135"/>
      <c r="F699" s="135"/>
      <c r="G699" s="135"/>
      <c r="H699" s="135"/>
      <c r="AE699" s="1675">
        <v>0.3</v>
      </c>
      <c r="AF699" s="1675"/>
      <c r="AG699" s="1675"/>
      <c r="AH699" s="1675"/>
      <c r="AI699" s="1675"/>
    </row>
    <row r="700" spans="1:67" ht="12.95" customHeight="1">
      <c r="B700" s="135"/>
      <c r="C700" s="135"/>
      <c r="D700" s="136" t="s">
        <v>437</v>
      </c>
      <c r="E700" s="135"/>
      <c r="F700" s="135"/>
      <c r="G700" s="135"/>
      <c r="H700" s="135"/>
      <c r="W700" s="1377" t="str">
        <f>H335</f>
        <v>California Housing Financing Agency</v>
      </c>
      <c r="X700" s="1377"/>
      <c r="Y700" s="1377"/>
      <c r="Z700" s="1377"/>
      <c r="AA700" s="1377"/>
      <c r="AB700" s="1377"/>
      <c r="AC700" s="1377"/>
      <c r="AD700" s="1377"/>
      <c r="AE700" s="1377"/>
      <c r="AF700" s="1377"/>
      <c r="AG700" s="1377"/>
      <c r="AH700" s="1377"/>
      <c r="AI700" s="1377"/>
      <c r="AJ700" s="1377"/>
      <c r="AK700" s="137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51" t="s">
        <v>669</v>
      </c>
      <c r="AF702" s="1351"/>
      <c r="AZ702" s="4" t="s">
        <v>324</v>
      </c>
    </row>
    <row r="703" spans="1:67" ht="12.95" customHeight="1">
      <c r="B703" s="135"/>
      <c r="C703" s="135"/>
      <c r="D703" s="136" t="s">
        <v>442</v>
      </c>
      <c r="E703" s="135"/>
      <c r="F703" s="135"/>
      <c r="G703" s="135"/>
      <c r="H703" s="135"/>
      <c r="W703" s="1390"/>
      <c r="X703" s="1390"/>
      <c r="Y703" s="1390"/>
      <c r="Z703" s="1390"/>
      <c r="AA703" s="1390"/>
      <c r="AB703" s="1390"/>
      <c r="AC703" s="1390"/>
      <c r="AD703" s="1390"/>
      <c r="AE703" s="1390"/>
      <c r="AF703" s="1390"/>
      <c r="AG703" s="1390"/>
      <c r="AH703" s="1390"/>
      <c r="AI703" s="1390"/>
      <c r="AJ703" s="1390"/>
      <c r="AK703" s="1390"/>
      <c r="AZ703" s="4" t="s">
        <v>325</v>
      </c>
    </row>
    <row r="704" spans="1:67" ht="12.95" customHeight="1">
      <c r="B704" s="135"/>
      <c r="C704" s="135"/>
      <c r="D704" s="136" t="s">
        <v>87</v>
      </c>
      <c r="E704" s="135"/>
      <c r="F704" s="135"/>
      <c r="G704" s="135"/>
      <c r="H704" s="135"/>
      <c r="J704" s="1390"/>
      <c r="K704" s="1390"/>
      <c r="L704" s="1390"/>
      <c r="M704" s="1390"/>
      <c r="N704" s="1390"/>
      <c r="O704" s="1390"/>
      <c r="P704" s="1390"/>
      <c r="Q704" s="1390"/>
      <c r="R704" s="1390"/>
      <c r="S704" s="1390"/>
      <c r="T704" s="1390"/>
      <c r="U704" s="1390"/>
      <c r="V704" s="1390"/>
      <c r="W704" s="1390"/>
      <c r="X704" s="1390"/>
      <c r="AZ704" s="4" t="s">
        <v>163</v>
      </c>
      <c r="BB704" s="34"/>
      <c r="BC704" s="34"/>
      <c r="BD704" s="34"/>
      <c r="BE704" s="3"/>
      <c r="BF704" s="3"/>
      <c r="BJ704" s="3"/>
      <c r="BK704" s="3"/>
      <c r="BL704" s="3"/>
      <c r="BM704" s="3"/>
      <c r="BN704" s="34"/>
      <c r="BO704" s="34"/>
    </row>
    <row r="705" spans="1:185" ht="12.95" customHeight="1">
      <c r="B705" s="135"/>
      <c r="C705" s="135"/>
      <c r="D705" s="136" t="s">
        <v>88</v>
      </c>
      <c r="J705" s="1365"/>
      <c r="K705" s="1365"/>
      <c r="L705" s="1365"/>
      <c r="M705" s="1365"/>
      <c r="N705" s="1365"/>
      <c r="O705" s="1365"/>
      <c r="P705" s="4" t="s">
        <v>206</v>
      </c>
      <c r="Q705" s="4"/>
      <c r="R705" s="1457"/>
      <c r="S705" s="1457"/>
      <c r="T705" s="145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90" t="s">
        <v>307</v>
      </c>
      <c r="X706" s="1390"/>
      <c r="Y706" s="1390"/>
      <c r="Z706" s="1390"/>
      <c r="AA706" s="1390"/>
      <c r="AB706" s="1390"/>
      <c r="AC706" s="1390"/>
      <c r="AD706" s="1390"/>
      <c r="AE706" s="1390"/>
      <c r="AF706" s="1390"/>
      <c r="AG706" s="1390"/>
      <c r="AH706" s="1390"/>
      <c r="AI706" s="1390"/>
      <c r="AJ706" s="1390"/>
      <c r="AK706" s="139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90" t="s">
        <v>334</v>
      </c>
      <c r="F707" s="1390"/>
      <c r="G707" s="1390"/>
      <c r="H707" s="1390"/>
      <c r="I707" s="1390"/>
      <c r="J707" s="1390"/>
      <c r="K707" s="1390"/>
      <c r="L707" s="1390"/>
      <c r="M707" s="1390"/>
      <c r="N707" s="1390"/>
      <c r="O707" s="1390"/>
      <c r="P707" s="1390"/>
      <c r="Q707" s="1390"/>
      <c r="R707" s="1390"/>
      <c r="S707" s="1390"/>
      <c r="T707" s="1390"/>
      <c r="U707" s="1390"/>
      <c r="V707" s="1390"/>
      <c r="W707" s="1390"/>
      <c r="X707" s="1390"/>
      <c r="Y707" s="1390"/>
      <c r="Z707" s="1390"/>
      <c r="AA707" s="1390"/>
      <c r="AB707" s="1390"/>
      <c r="AC707" s="1390"/>
      <c r="AD707" s="1390"/>
      <c r="AE707" s="1390"/>
      <c r="AF707" s="1390"/>
      <c r="AG707" s="1390"/>
      <c r="AH707" s="1390"/>
      <c r="AI707" s="1390"/>
      <c r="AJ707" s="1390"/>
      <c r="AK707" s="139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81" t="s">
        <v>389</v>
      </c>
      <c r="C714" s="1382"/>
      <c r="D714" s="1382"/>
      <c r="E714" s="1382"/>
      <c r="F714" s="1383"/>
      <c r="G714" s="1381" t="s">
        <v>285</v>
      </c>
      <c r="H714" s="1382"/>
      <c r="I714" s="1382"/>
      <c r="J714" s="1383"/>
      <c r="K714" s="1730" t="s">
        <v>1678</v>
      </c>
      <c r="L714" s="1731"/>
      <c r="M714" s="1731"/>
      <c r="N714" s="1732"/>
      <c r="O714" s="1381" t="s">
        <v>447</v>
      </c>
      <c r="P714" s="1382"/>
      <c r="Q714" s="1382"/>
      <c r="R714" s="1382"/>
      <c r="S714" s="1383"/>
      <c r="T714" s="1673" t="s">
        <v>1948</v>
      </c>
      <c r="U714" s="1382"/>
      <c r="V714" s="1382"/>
      <c r="W714" s="1383"/>
      <c r="X714" s="1673" t="s">
        <v>1950</v>
      </c>
      <c r="Y714" s="1382"/>
      <c r="Z714" s="1382"/>
      <c r="AA714" s="1382"/>
      <c r="AB714" s="1383"/>
      <c r="AC714" s="1673" t="s">
        <v>1949</v>
      </c>
      <c r="AD714" s="1382"/>
      <c r="AE714" s="1382"/>
      <c r="AF714" s="1382"/>
      <c r="AG714" s="1383"/>
      <c r="AH714" s="1673" t="s">
        <v>1951</v>
      </c>
      <c r="AI714" s="1382"/>
      <c r="AJ714" s="1383"/>
      <c r="AK714" s="1673" t="s">
        <v>1978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84"/>
      <c r="C715" s="1385"/>
      <c r="D715" s="1385"/>
      <c r="E715" s="1385"/>
      <c r="F715" s="1386"/>
      <c r="G715" s="1384"/>
      <c r="H715" s="1385"/>
      <c r="I715" s="1385"/>
      <c r="J715" s="1386"/>
      <c r="K715" s="1733"/>
      <c r="L715" s="1734"/>
      <c r="M715" s="1734"/>
      <c r="N715" s="1735"/>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84"/>
      <c r="C716" s="1385"/>
      <c r="D716" s="1385"/>
      <c r="E716" s="1385"/>
      <c r="F716" s="1386"/>
      <c r="G716" s="1384"/>
      <c r="H716" s="1385"/>
      <c r="I716" s="1385"/>
      <c r="J716" s="1386"/>
      <c r="K716" s="1733"/>
      <c r="L716" s="1734"/>
      <c r="M716" s="1734"/>
      <c r="N716" s="1735"/>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87"/>
      <c r="C717" s="1388"/>
      <c r="D717" s="1388"/>
      <c r="E717" s="1388"/>
      <c r="F717" s="1389"/>
      <c r="G717" s="1387"/>
      <c r="H717" s="1388"/>
      <c r="I717" s="1388"/>
      <c r="J717" s="1389"/>
      <c r="K717" s="1733"/>
      <c r="L717" s="1734"/>
      <c r="M717" s="1734"/>
      <c r="N717" s="1735"/>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83"/>
      <c r="CJ717" s="1484"/>
      <c r="CK717" s="121" t="s">
        <v>475</v>
      </c>
      <c r="CL717" s="122"/>
      <c r="CM717" s="1483"/>
      <c r="CN717" s="1484"/>
      <c r="CO717" s="3"/>
      <c r="CP717" s="1405" t="s">
        <v>633</v>
      </c>
      <c r="CQ717" s="1406"/>
      <c r="CR717" s="1406"/>
      <c r="CS717" s="1406"/>
      <c r="CT717" s="1407"/>
      <c r="CU717" s="1478" t="s">
        <v>325</v>
      </c>
      <c r="CV717" s="1478"/>
      <c r="CW717" s="1478"/>
      <c r="CX717" s="1478"/>
      <c r="CY717" s="1478"/>
      <c r="CZ717" s="1478" t="s">
        <v>163</v>
      </c>
      <c r="DA717" s="1478"/>
      <c r="DB717" s="1478"/>
      <c r="DC717" s="1478"/>
      <c r="DD717" s="1478"/>
      <c r="DE717" s="1478" t="s">
        <v>164</v>
      </c>
      <c r="DF717" s="1478"/>
      <c r="DG717" s="1478"/>
      <c r="DH717" s="1478"/>
      <c r="DI717" s="1478"/>
      <c r="DJ717" s="1478" t="s">
        <v>460</v>
      </c>
      <c r="DK717" s="1478"/>
      <c r="DL717" s="1478"/>
      <c r="DM717" s="1478"/>
      <c r="DN717" s="1478"/>
      <c r="DO717" s="1478" t="s">
        <v>30</v>
      </c>
      <c r="DP717" s="1478"/>
      <c r="DQ717" s="1478"/>
      <c r="DR717" s="1478"/>
      <c r="DS717" s="1478"/>
      <c r="DT717" s="89"/>
      <c r="DU717" s="1478" t="s">
        <v>633</v>
      </c>
      <c r="DV717" s="1478"/>
      <c r="DW717" s="1478"/>
      <c r="DX717" s="1478"/>
      <c r="DY717" s="1478"/>
      <c r="DZ717" s="1478" t="s">
        <v>325</v>
      </c>
      <c r="EA717" s="1478"/>
      <c r="EB717" s="1478"/>
      <c r="EC717" s="1478"/>
      <c r="ED717" s="1478"/>
      <c r="EE717" s="1478" t="s">
        <v>163</v>
      </c>
      <c r="EF717" s="1478"/>
      <c r="EG717" s="1478"/>
      <c r="EH717" s="1478"/>
      <c r="EI717" s="1478"/>
      <c r="EJ717" s="1478" t="s">
        <v>164</v>
      </c>
      <c r="EK717" s="1478"/>
      <c r="EL717" s="1478"/>
      <c r="EM717" s="1478"/>
      <c r="EN717" s="1478"/>
      <c r="EO717" s="1478" t="s">
        <v>460</v>
      </c>
      <c r="EP717" s="1478"/>
      <c r="EQ717" s="1478"/>
      <c r="ER717" s="1478"/>
      <c r="ES717" s="1478"/>
      <c r="ET717" s="1478" t="s">
        <v>30</v>
      </c>
      <c r="EU717" s="1478"/>
      <c r="EV717" s="1478"/>
      <c r="EW717" s="1478"/>
      <c r="EX717" s="1478"/>
      <c r="EY717" s="4"/>
      <c r="EZ717" s="1478" t="s">
        <v>633</v>
      </c>
      <c r="FA717" s="1478"/>
      <c r="FB717" s="1478"/>
      <c r="FC717" s="1478"/>
      <c r="FD717" s="1478"/>
      <c r="FE717" s="1478" t="s">
        <v>325</v>
      </c>
      <c r="FF717" s="1478"/>
      <c r="FG717" s="1478"/>
      <c r="FH717" s="1478"/>
      <c r="FI717" s="1478"/>
      <c r="FJ717" s="1478" t="s">
        <v>163</v>
      </c>
      <c r="FK717" s="1478"/>
      <c r="FL717" s="1478"/>
      <c r="FM717" s="1478"/>
      <c r="FN717" s="1478"/>
      <c r="FO717" s="1478" t="s">
        <v>164</v>
      </c>
      <c r="FP717" s="1478"/>
      <c r="FQ717" s="1478"/>
      <c r="FR717" s="1478"/>
      <c r="FS717" s="1478"/>
      <c r="FT717" s="1478" t="s">
        <v>460</v>
      </c>
      <c r="FU717" s="1478"/>
      <c r="FV717" s="1478"/>
      <c r="FW717" s="1478"/>
      <c r="FX717" s="1478"/>
      <c r="FY717" s="1478" t="s">
        <v>30</v>
      </c>
      <c r="FZ717" s="1478"/>
      <c r="GA717" s="1478"/>
      <c r="GB717" s="1478"/>
      <c r="GC717" s="1478"/>
    </row>
    <row r="718" spans="1:185" ht="12.95" customHeight="1">
      <c r="A718" s="4"/>
      <c r="B718" s="1356" t="s">
        <v>325</v>
      </c>
      <c r="C718" s="1357"/>
      <c r="D718" s="1357"/>
      <c r="E718" s="1357"/>
      <c r="F718" s="1358"/>
      <c r="G718" s="1368">
        <v>1</v>
      </c>
      <c r="H718" s="1369"/>
      <c r="I718" s="1369"/>
      <c r="J718" s="1370"/>
      <c r="K718" s="1362">
        <v>700</v>
      </c>
      <c r="L718" s="1363"/>
      <c r="M718" s="1363"/>
      <c r="N718" s="1364"/>
      <c r="O718" s="1359">
        <v>802</v>
      </c>
      <c r="P718" s="1360"/>
      <c r="Q718" s="1360"/>
      <c r="R718" s="1360"/>
      <c r="S718" s="1361"/>
      <c r="T718" s="1359">
        <v>97</v>
      </c>
      <c r="U718" s="1360"/>
      <c r="V718" s="1360"/>
      <c r="W718" s="1361"/>
      <c r="X718" s="1371">
        <f t="shared" ref="X718:X741" si="9">O718+T718</f>
        <v>899</v>
      </c>
      <c r="Y718" s="1372"/>
      <c r="Z718" s="1372"/>
      <c r="AA718" s="1372"/>
      <c r="AB718" s="1373"/>
      <c r="AC718" s="1378">
        <v>0.3</v>
      </c>
      <c r="AD718" s="1379"/>
      <c r="AE718" s="1379"/>
      <c r="AF718" s="1379"/>
      <c r="AG718" s="1380"/>
      <c r="AH718" s="1374">
        <f>IF($AC718&gt;0,($X718/$AZ718), "")</f>
        <v>0.3000667556742323</v>
      </c>
      <c r="AI718" s="1375"/>
      <c r="AJ718" s="1376"/>
      <c r="AK718" s="1356" t="s">
        <v>591</v>
      </c>
      <c r="AL718" s="1357"/>
      <c r="AM718" s="1357"/>
      <c r="AN718" s="1357"/>
      <c r="AO718" s="1358"/>
      <c r="AP718" s="3"/>
      <c r="AQ718" s="3"/>
      <c r="AR718" s="3"/>
      <c r="AS718" s="3"/>
      <c r="AZ718" s="118">
        <f t="shared" ref="AZ718:AZ752" si="10">IF($G718=0,"N/A",VLOOKUP($T$189,TC_Rent,(MATCH($B718,bedrooms,FALSE)),FALSE))</f>
        <v>2996</v>
      </c>
      <c r="BA718" s="3"/>
      <c r="BB718" s="3"/>
      <c r="BC718" s="3"/>
      <c r="BD718" s="3"/>
      <c r="BE718" s="204"/>
      <c r="BF718" s="293">
        <f t="shared" ref="BF718:BF752" si="11">G718</f>
        <v>1</v>
      </c>
      <c r="BG718" s="297">
        <f t="shared" ref="BG718:BG752" si="12">IF($BF$753=0,0,BF718/$BF$753)</f>
        <v>1.4084507042253521E-2</v>
      </c>
      <c r="BH718" s="298">
        <f t="shared" ref="BH718:BH752" si="13">IF(BG718=0,"",BG718*AC718)</f>
        <v>4.2253521126760559E-3</v>
      </c>
      <c r="BI718" s="3"/>
      <c r="BJ718" s="3"/>
      <c r="BK718" s="3"/>
      <c r="BL718" s="3"/>
      <c r="BM718" s="3"/>
      <c r="BN718" s="3"/>
      <c r="BS718" s="293">
        <f t="shared" ref="BS718:BS752" si="14">G718</f>
        <v>1</v>
      </c>
      <c r="BT718" s="297">
        <f t="shared" ref="BT718:BT752" si="15">IF($BS$753=0,0,BS718/$BS$753)</f>
        <v>1.4084507042253521E-2</v>
      </c>
      <c r="BU718" s="298">
        <f t="shared" ref="BU718:BU752" si="16">IF(BT718=0,"",BT718*AH718)</f>
        <v>4.2262923334398916E-3</v>
      </c>
      <c r="CC718" s="3"/>
      <c r="CD718" s="3"/>
      <c r="CE718" s="3"/>
      <c r="CF718" s="3"/>
      <c r="CG718" s="1472">
        <f>IF(AND(AC718&lt;=0.5,AC718&gt;=0.36),1,0)</f>
        <v>0</v>
      </c>
      <c r="CH718" s="1473"/>
      <c r="CI718" s="1483">
        <f>IF(CG718=1,G718,0)</f>
        <v>0</v>
      </c>
      <c r="CJ718" s="1484"/>
      <c r="CK718" s="1472">
        <f t="shared" ref="CK718:CK752" si="17">IF(AND(AC718&lt;=0.35,AC718&gt;0),1,0)</f>
        <v>1</v>
      </c>
      <c r="CL718" s="1473"/>
      <c r="CM718" s="1483">
        <f t="shared" ref="CM718:CM752" si="18">IF(CK718=1,G718,0)</f>
        <v>1</v>
      </c>
      <c r="CN718" s="1484"/>
      <c r="CO718" s="3"/>
      <c r="CP718" s="1474">
        <f t="shared" ref="CP718:CP752" si="19">IF(B718="SRO/Studio",G718,0)</f>
        <v>0</v>
      </c>
      <c r="CQ718" s="1475"/>
      <c r="CR718" s="1475"/>
      <c r="CS718" s="1475"/>
      <c r="CT718" s="1476"/>
      <c r="CU718" s="1463">
        <f t="shared" ref="CU718:CU752" si="20">IF(B718="1 Bedroom",G718,0)</f>
        <v>1</v>
      </c>
      <c r="CV718" s="1463"/>
      <c r="CW718" s="1463"/>
      <c r="CX718" s="1463"/>
      <c r="CY718" s="1463"/>
      <c r="CZ718" s="1463">
        <f t="shared" ref="CZ718:CZ752" si="21">IF(B718="2 Bedrooms",G718,0)</f>
        <v>0</v>
      </c>
      <c r="DA718" s="1463"/>
      <c r="DB718" s="1463"/>
      <c r="DC718" s="1463"/>
      <c r="DD718" s="1463"/>
      <c r="DE718" s="1463">
        <f t="shared" ref="DE718:DE752" si="22">IF(B718="3 Bedrooms",G718,0)</f>
        <v>0</v>
      </c>
      <c r="DF718" s="1463"/>
      <c r="DG718" s="1463"/>
      <c r="DH718" s="1463"/>
      <c r="DI718" s="1463"/>
      <c r="DJ718" s="1463">
        <f t="shared" ref="DJ718:DJ752" si="23">IF(B718="4 Bedrooms",G718,0)</f>
        <v>0</v>
      </c>
      <c r="DK718" s="1463"/>
      <c r="DL718" s="1463"/>
      <c r="DM718" s="1463"/>
      <c r="DN718" s="1463"/>
      <c r="DO718" s="1463">
        <f t="shared" ref="DO718:DO752" si="24">IF(B718="5 Bedrooms",G718,0)</f>
        <v>0</v>
      </c>
      <c r="DP718" s="1463"/>
      <c r="DQ718" s="1463"/>
      <c r="DR718" s="1463"/>
      <c r="DS718" s="1463"/>
      <c r="DT718" s="6"/>
      <c r="DU718" s="1464">
        <f t="shared" ref="DU718:DU752" si="25">IF(AND(B718="SRO/Studio",AC718&lt;=0.3),G718,0)</f>
        <v>0</v>
      </c>
      <c r="DV718" s="1464"/>
      <c r="DW718" s="1464"/>
      <c r="DX718" s="1464"/>
      <c r="DY718" s="1464"/>
      <c r="DZ718" s="1464">
        <f t="shared" ref="DZ718:DZ752" si="26">IF(AND(B718="1 Bedroom",AC718&lt;=0.3),G718,0)</f>
        <v>1</v>
      </c>
      <c r="EA718" s="1464"/>
      <c r="EB718" s="1464"/>
      <c r="EC718" s="1464"/>
      <c r="ED718" s="1464"/>
      <c r="EE718" s="1464">
        <f t="shared" ref="EE718:EE752" si="27">IF(AND(B718="2 Bedrooms",AC718&lt;=0.3),G718,0)</f>
        <v>0</v>
      </c>
      <c r="EF718" s="1464"/>
      <c r="EG718" s="1464"/>
      <c r="EH718" s="1464"/>
      <c r="EI718" s="1464"/>
      <c r="EJ718" s="1464">
        <f t="shared" ref="EJ718:EJ752" si="28">IF(AND(B718="3 Bedrooms",AC718&lt;=0.3),G718,0)</f>
        <v>0</v>
      </c>
      <c r="EK718" s="1464"/>
      <c r="EL718" s="1464"/>
      <c r="EM718" s="1464"/>
      <c r="EN718" s="1464"/>
      <c r="EO718" s="1464">
        <f t="shared" ref="EO718:EO752" si="29">IF(AND(B718="4 Bedrooms",AC718&lt;=0.3),G718,0)</f>
        <v>0</v>
      </c>
      <c r="EP718" s="1464"/>
      <c r="EQ718" s="1464"/>
      <c r="ER718" s="1464"/>
      <c r="ES718" s="1464"/>
      <c r="ET718" s="1464">
        <f t="shared" ref="ET718:ET752" si="30">IF(AND(B718="5 Bedrooms",AC718&lt;=0.3),G718,0)</f>
        <v>0</v>
      </c>
      <c r="EU718" s="1464"/>
      <c r="EV718" s="1464"/>
      <c r="EW718" s="1464"/>
      <c r="EX718" s="1464"/>
      <c r="EY718" s="4"/>
      <c r="EZ718" s="1472" t="str">
        <f t="shared" ref="EZ718:EZ752" si="31">IF(CP718&gt;0,O718,"")</f>
        <v/>
      </c>
      <c r="FA718" s="1479"/>
      <c r="FB718" s="1479"/>
      <c r="FC718" s="1479"/>
      <c r="FD718" s="1473"/>
      <c r="FE718" s="1472">
        <f t="shared" ref="FE718:FE752" si="32">IF(CU718&gt;0,O718,"")</f>
        <v>802</v>
      </c>
      <c r="FF718" s="1479"/>
      <c r="FG718" s="1479"/>
      <c r="FH718" s="1479"/>
      <c r="FI718" s="1473"/>
      <c r="FJ718" s="1472" t="str">
        <f t="shared" ref="FJ718:FJ752" si="33">IF(CZ718&gt;0,O718,"")</f>
        <v/>
      </c>
      <c r="FK718" s="1479"/>
      <c r="FL718" s="1479"/>
      <c r="FM718" s="1479"/>
      <c r="FN718" s="1473"/>
      <c r="FO718" s="1472" t="str">
        <f t="shared" ref="FO718:FO752" si="34">IF(DE718&gt;0,O718,"")</f>
        <v/>
      </c>
      <c r="FP718" s="1479"/>
      <c r="FQ718" s="1479"/>
      <c r="FR718" s="1479"/>
      <c r="FS718" s="1473"/>
      <c r="FT718" s="1472" t="str">
        <f t="shared" ref="FT718:FT752" si="35">IF(DJ718&gt;0,O718,"")</f>
        <v/>
      </c>
      <c r="FU718" s="1479"/>
      <c r="FV718" s="1479"/>
      <c r="FW718" s="1479"/>
      <c r="FX718" s="1473"/>
      <c r="FY718" s="1472" t="str">
        <f t="shared" ref="FY718:FY752" si="36">IF(DO718&gt;0,O718,"")</f>
        <v/>
      </c>
      <c r="FZ718" s="1479"/>
      <c r="GA718" s="1479"/>
      <c r="GB718" s="1479"/>
      <c r="GC718" s="1473"/>
    </row>
    <row r="719" spans="1:185" ht="12.95" customHeight="1">
      <c r="A719" s="4"/>
      <c r="B719" s="1356" t="s">
        <v>163</v>
      </c>
      <c r="C719" s="1357"/>
      <c r="D719" s="1357"/>
      <c r="E719" s="1357"/>
      <c r="F719" s="1358"/>
      <c r="G719" s="1368">
        <v>2</v>
      </c>
      <c r="H719" s="1369"/>
      <c r="I719" s="1369"/>
      <c r="J719" s="1370"/>
      <c r="K719" s="1362">
        <v>851</v>
      </c>
      <c r="L719" s="1363"/>
      <c r="M719" s="1363"/>
      <c r="N719" s="1364"/>
      <c r="O719" s="1359">
        <v>948</v>
      </c>
      <c r="P719" s="1360"/>
      <c r="Q719" s="1360"/>
      <c r="R719" s="1360"/>
      <c r="S719" s="1361"/>
      <c r="T719" s="1359">
        <v>131</v>
      </c>
      <c r="U719" s="1360"/>
      <c r="V719" s="1360"/>
      <c r="W719" s="1361"/>
      <c r="X719" s="1371">
        <f t="shared" si="9"/>
        <v>1079</v>
      </c>
      <c r="Y719" s="1372"/>
      <c r="Z719" s="1372"/>
      <c r="AA719" s="1372"/>
      <c r="AB719" s="1373"/>
      <c r="AC719" s="1378">
        <v>0.3</v>
      </c>
      <c r="AD719" s="1379"/>
      <c r="AE719" s="1379"/>
      <c r="AF719" s="1379"/>
      <c r="AG719" s="1380"/>
      <c r="AH719" s="1374">
        <f t="shared" ref="AH719:AH752" si="37">IF($AC719&gt;0,($X719/$AZ719), "")</f>
        <v>0.30005561735261399</v>
      </c>
      <c r="AI719" s="1375"/>
      <c r="AJ719" s="1376"/>
      <c r="AK719" s="1356" t="s">
        <v>591</v>
      </c>
      <c r="AL719" s="1357"/>
      <c r="AM719" s="1357"/>
      <c r="AN719" s="1357"/>
      <c r="AO719" s="1358"/>
      <c r="AP719" s="3"/>
      <c r="AQ719" s="3"/>
      <c r="AR719" s="3"/>
      <c r="AS719" s="3"/>
      <c r="AZ719" s="118">
        <f t="shared" si="10"/>
        <v>3596</v>
      </c>
      <c r="BA719" s="3"/>
      <c r="BB719" s="3"/>
      <c r="BC719" s="3"/>
      <c r="BD719" s="3"/>
      <c r="BE719" s="204"/>
      <c r="BF719" s="294">
        <f t="shared" si="11"/>
        <v>2</v>
      </c>
      <c r="BG719" s="297">
        <f t="shared" si="12"/>
        <v>2.8169014084507043E-2</v>
      </c>
      <c r="BH719" s="298">
        <f t="shared" si="13"/>
        <v>8.4507042253521118E-3</v>
      </c>
      <c r="BI719" s="3"/>
      <c r="BJ719" s="3"/>
      <c r="BK719" s="3"/>
      <c r="BL719" s="3"/>
      <c r="BM719" s="3"/>
      <c r="BN719" s="3"/>
      <c r="BS719" s="294">
        <f t="shared" si="14"/>
        <v>2</v>
      </c>
      <c r="BT719" s="297">
        <f t="shared" si="15"/>
        <v>2.8169014084507043E-2</v>
      </c>
      <c r="BU719" s="298">
        <f t="shared" si="16"/>
        <v>8.4522709113412399E-3</v>
      </c>
      <c r="CC719" s="3"/>
      <c r="CD719" s="3"/>
      <c r="CE719" s="3"/>
      <c r="CF719" s="3"/>
      <c r="CG719" s="1472">
        <f t="shared" ref="CG719:CG752" si="38">IF(AND(AC719&lt;=0.5,AC719&gt;=0.36),1,0)</f>
        <v>0</v>
      </c>
      <c r="CH719" s="1473"/>
      <c r="CI719" s="1483">
        <f t="shared" ref="CI719:CI752" si="39">IF(CG719=1,G719,0)</f>
        <v>0</v>
      </c>
      <c r="CJ719" s="1484"/>
      <c r="CK719" s="1472">
        <f t="shared" si="17"/>
        <v>1</v>
      </c>
      <c r="CL719" s="1473"/>
      <c r="CM719" s="1483">
        <f t="shared" si="18"/>
        <v>2</v>
      </c>
      <c r="CN719" s="1484"/>
      <c r="CO719" s="3"/>
      <c r="CP719" s="1474">
        <f t="shared" si="19"/>
        <v>0</v>
      </c>
      <c r="CQ719" s="1475"/>
      <c r="CR719" s="1475"/>
      <c r="CS719" s="1475"/>
      <c r="CT719" s="1476"/>
      <c r="CU719" s="1463">
        <f t="shared" si="20"/>
        <v>0</v>
      </c>
      <c r="CV719" s="1463"/>
      <c r="CW719" s="1463"/>
      <c r="CX719" s="1463"/>
      <c r="CY719" s="1463"/>
      <c r="CZ719" s="1463">
        <f t="shared" si="21"/>
        <v>2</v>
      </c>
      <c r="DA719" s="1463"/>
      <c r="DB719" s="1463"/>
      <c r="DC719" s="1463"/>
      <c r="DD719" s="1463"/>
      <c r="DE719" s="1463">
        <f t="shared" si="22"/>
        <v>0</v>
      </c>
      <c r="DF719" s="1463"/>
      <c r="DG719" s="1463"/>
      <c r="DH719" s="1463"/>
      <c r="DI719" s="1463"/>
      <c r="DJ719" s="1463">
        <f t="shared" si="23"/>
        <v>0</v>
      </c>
      <c r="DK719" s="1463"/>
      <c r="DL719" s="1463"/>
      <c r="DM719" s="1463"/>
      <c r="DN719" s="1463"/>
      <c r="DO719" s="1463">
        <f t="shared" si="24"/>
        <v>0</v>
      </c>
      <c r="DP719" s="1463"/>
      <c r="DQ719" s="1463"/>
      <c r="DR719" s="1463"/>
      <c r="DS719" s="1463"/>
      <c r="DT719" s="6"/>
      <c r="DU719" s="1464">
        <f t="shared" si="25"/>
        <v>0</v>
      </c>
      <c r="DV719" s="1464"/>
      <c r="DW719" s="1464"/>
      <c r="DX719" s="1464"/>
      <c r="DY719" s="1464"/>
      <c r="DZ719" s="1464">
        <f t="shared" si="26"/>
        <v>0</v>
      </c>
      <c r="EA719" s="1464"/>
      <c r="EB719" s="1464"/>
      <c r="EC719" s="1464"/>
      <c r="ED719" s="1464"/>
      <c r="EE719" s="1464">
        <f t="shared" si="27"/>
        <v>2</v>
      </c>
      <c r="EF719" s="1464"/>
      <c r="EG719" s="1464"/>
      <c r="EH719" s="1464"/>
      <c r="EI719" s="1464"/>
      <c r="EJ719" s="1464">
        <f t="shared" si="28"/>
        <v>0</v>
      </c>
      <c r="EK719" s="1464"/>
      <c r="EL719" s="1464"/>
      <c r="EM719" s="1464"/>
      <c r="EN719" s="1464"/>
      <c r="EO719" s="1464">
        <f t="shared" si="29"/>
        <v>0</v>
      </c>
      <c r="EP719" s="1464"/>
      <c r="EQ719" s="1464"/>
      <c r="ER719" s="1464"/>
      <c r="ES719" s="1464"/>
      <c r="ET719" s="1464">
        <f t="shared" si="30"/>
        <v>0</v>
      </c>
      <c r="EU719" s="1464"/>
      <c r="EV719" s="1464"/>
      <c r="EW719" s="1464"/>
      <c r="EX719" s="1464"/>
      <c r="EY719" s="4"/>
      <c r="EZ719" s="1472" t="str">
        <f t="shared" si="31"/>
        <v/>
      </c>
      <c r="FA719" s="1479"/>
      <c r="FB719" s="1479"/>
      <c r="FC719" s="1479"/>
      <c r="FD719" s="1473"/>
      <c r="FE719" s="1472" t="str">
        <f t="shared" si="32"/>
        <v/>
      </c>
      <c r="FF719" s="1479"/>
      <c r="FG719" s="1479"/>
      <c r="FH719" s="1479"/>
      <c r="FI719" s="1473"/>
      <c r="FJ719" s="1472">
        <f t="shared" si="33"/>
        <v>948</v>
      </c>
      <c r="FK719" s="1479"/>
      <c r="FL719" s="1479"/>
      <c r="FM719" s="1479"/>
      <c r="FN719" s="1473"/>
      <c r="FO719" s="1472" t="str">
        <f t="shared" si="34"/>
        <v/>
      </c>
      <c r="FP719" s="1479"/>
      <c r="FQ719" s="1479"/>
      <c r="FR719" s="1479"/>
      <c r="FS719" s="1473"/>
      <c r="FT719" s="1472" t="str">
        <f t="shared" si="35"/>
        <v/>
      </c>
      <c r="FU719" s="1479"/>
      <c r="FV719" s="1479"/>
      <c r="FW719" s="1479"/>
      <c r="FX719" s="1473"/>
      <c r="FY719" s="1472" t="str">
        <f t="shared" si="36"/>
        <v/>
      </c>
      <c r="FZ719" s="1479"/>
      <c r="GA719" s="1479"/>
      <c r="GB719" s="1479"/>
      <c r="GC719" s="1473"/>
    </row>
    <row r="720" spans="1:185" ht="12.95" customHeight="1">
      <c r="A720" s="4"/>
      <c r="B720" s="1356" t="s">
        <v>164</v>
      </c>
      <c r="C720" s="1357"/>
      <c r="D720" s="1357"/>
      <c r="E720" s="1357"/>
      <c r="F720" s="1358"/>
      <c r="G720" s="1368">
        <v>5</v>
      </c>
      <c r="H720" s="1369"/>
      <c r="I720" s="1369"/>
      <c r="J720" s="1370"/>
      <c r="K720" s="1362">
        <v>1217</v>
      </c>
      <c r="L720" s="1363"/>
      <c r="M720" s="1363"/>
      <c r="N720" s="1364"/>
      <c r="O720" s="1359">
        <v>1083</v>
      </c>
      <c r="P720" s="1360"/>
      <c r="Q720" s="1360"/>
      <c r="R720" s="1360"/>
      <c r="S720" s="1361"/>
      <c r="T720" s="1359">
        <v>163</v>
      </c>
      <c r="U720" s="1360"/>
      <c r="V720" s="1360"/>
      <c r="W720" s="1361"/>
      <c r="X720" s="1371">
        <f t="shared" si="9"/>
        <v>1246</v>
      </c>
      <c r="Y720" s="1372"/>
      <c r="Z720" s="1372"/>
      <c r="AA720" s="1372"/>
      <c r="AB720" s="1373"/>
      <c r="AC720" s="1378">
        <v>0.3</v>
      </c>
      <c r="AD720" s="1379"/>
      <c r="AE720" s="1379"/>
      <c r="AF720" s="1379"/>
      <c r="AG720" s="1380"/>
      <c r="AH720" s="1374">
        <f t="shared" si="37"/>
        <v>0.29995185363505056</v>
      </c>
      <c r="AI720" s="1375"/>
      <c r="AJ720" s="1376"/>
      <c r="AK720" s="1356" t="s">
        <v>591</v>
      </c>
      <c r="AL720" s="1357"/>
      <c r="AM720" s="1357"/>
      <c r="AN720" s="1357"/>
      <c r="AO720" s="1358"/>
      <c r="AP720" s="3"/>
      <c r="AQ720" s="3"/>
      <c r="AR720" s="3"/>
      <c r="AS720" s="3"/>
      <c r="AZ720" s="118">
        <f t="shared" si="10"/>
        <v>4154</v>
      </c>
      <c r="BA720" s="3"/>
      <c r="BB720" s="3"/>
      <c r="BC720" s="3"/>
      <c r="BD720" s="3"/>
      <c r="BE720" s="204"/>
      <c r="BF720" s="294">
        <f t="shared" si="11"/>
        <v>5</v>
      </c>
      <c r="BG720" s="297">
        <f t="shared" si="12"/>
        <v>7.0422535211267609E-2</v>
      </c>
      <c r="BH720" s="298">
        <f t="shared" si="13"/>
        <v>2.1126760563380281E-2</v>
      </c>
      <c r="BI720" s="3"/>
      <c r="BJ720" s="3"/>
      <c r="BK720" s="3"/>
      <c r="BL720" s="3"/>
      <c r="BM720" s="3"/>
      <c r="BN720" s="3"/>
      <c r="BS720" s="294">
        <f t="shared" si="14"/>
        <v>5</v>
      </c>
      <c r="BT720" s="297">
        <f t="shared" si="15"/>
        <v>7.0422535211267609E-2</v>
      </c>
      <c r="BU720" s="298">
        <f t="shared" si="16"/>
        <v>2.1123369974299335E-2</v>
      </c>
      <c r="CC720" s="3"/>
      <c r="CD720" s="3"/>
      <c r="CE720" s="3"/>
      <c r="CF720" s="3"/>
      <c r="CG720" s="1472">
        <f t="shared" si="38"/>
        <v>0</v>
      </c>
      <c r="CH720" s="1473"/>
      <c r="CI720" s="1483">
        <f t="shared" si="39"/>
        <v>0</v>
      </c>
      <c r="CJ720" s="1484"/>
      <c r="CK720" s="1472">
        <f t="shared" si="17"/>
        <v>1</v>
      </c>
      <c r="CL720" s="1473"/>
      <c r="CM720" s="1483">
        <f t="shared" si="18"/>
        <v>5</v>
      </c>
      <c r="CN720" s="1484"/>
      <c r="CO720" s="3"/>
      <c r="CP720" s="1474">
        <f t="shared" si="19"/>
        <v>0</v>
      </c>
      <c r="CQ720" s="1475"/>
      <c r="CR720" s="1475"/>
      <c r="CS720" s="1475"/>
      <c r="CT720" s="1476"/>
      <c r="CU720" s="1463">
        <f t="shared" si="20"/>
        <v>0</v>
      </c>
      <c r="CV720" s="1463"/>
      <c r="CW720" s="1463"/>
      <c r="CX720" s="1463"/>
      <c r="CY720" s="1463"/>
      <c r="CZ720" s="1463">
        <f t="shared" si="21"/>
        <v>0</v>
      </c>
      <c r="DA720" s="1463"/>
      <c r="DB720" s="1463"/>
      <c r="DC720" s="1463"/>
      <c r="DD720" s="1463"/>
      <c r="DE720" s="1463">
        <f t="shared" si="22"/>
        <v>5</v>
      </c>
      <c r="DF720" s="1463"/>
      <c r="DG720" s="1463"/>
      <c r="DH720" s="1463"/>
      <c r="DI720" s="1463"/>
      <c r="DJ720" s="1463">
        <f t="shared" si="23"/>
        <v>0</v>
      </c>
      <c r="DK720" s="1463"/>
      <c r="DL720" s="1463"/>
      <c r="DM720" s="1463"/>
      <c r="DN720" s="1463"/>
      <c r="DO720" s="1463">
        <f t="shared" si="24"/>
        <v>0</v>
      </c>
      <c r="DP720" s="1463"/>
      <c r="DQ720" s="1463"/>
      <c r="DR720" s="1463"/>
      <c r="DS720" s="1463"/>
      <c r="DT720" s="6"/>
      <c r="DU720" s="1464">
        <f t="shared" si="25"/>
        <v>0</v>
      </c>
      <c r="DV720" s="1464"/>
      <c r="DW720" s="1464"/>
      <c r="DX720" s="1464"/>
      <c r="DY720" s="1464"/>
      <c r="DZ720" s="1464">
        <f t="shared" si="26"/>
        <v>0</v>
      </c>
      <c r="EA720" s="1464"/>
      <c r="EB720" s="1464"/>
      <c r="EC720" s="1464"/>
      <c r="ED720" s="1464"/>
      <c r="EE720" s="1464">
        <f t="shared" si="27"/>
        <v>0</v>
      </c>
      <c r="EF720" s="1464"/>
      <c r="EG720" s="1464"/>
      <c r="EH720" s="1464"/>
      <c r="EI720" s="1464"/>
      <c r="EJ720" s="1464">
        <f t="shared" si="28"/>
        <v>5</v>
      </c>
      <c r="EK720" s="1464"/>
      <c r="EL720" s="1464"/>
      <c r="EM720" s="1464"/>
      <c r="EN720" s="1464"/>
      <c r="EO720" s="1464">
        <f t="shared" si="29"/>
        <v>0</v>
      </c>
      <c r="EP720" s="1464"/>
      <c r="EQ720" s="1464"/>
      <c r="ER720" s="1464"/>
      <c r="ES720" s="1464"/>
      <c r="ET720" s="1464">
        <f t="shared" si="30"/>
        <v>0</v>
      </c>
      <c r="EU720" s="1464"/>
      <c r="EV720" s="1464"/>
      <c r="EW720" s="1464"/>
      <c r="EX720" s="1464"/>
      <c r="EZ720" s="1472" t="str">
        <f t="shared" si="31"/>
        <v/>
      </c>
      <c r="FA720" s="1479"/>
      <c r="FB720" s="1479"/>
      <c r="FC720" s="1479"/>
      <c r="FD720" s="1473"/>
      <c r="FE720" s="1472" t="str">
        <f t="shared" si="32"/>
        <v/>
      </c>
      <c r="FF720" s="1479"/>
      <c r="FG720" s="1479"/>
      <c r="FH720" s="1479"/>
      <c r="FI720" s="1473"/>
      <c r="FJ720" s="1472" t="str">
        <f t="shared" si="33"/>
        <v/>
      </c>
      <c r="FK720" s="1479"/>
      <c r="FL720" s="1479"/>
      <c r="FM720" s="1479"/>
      <c r="FN720" s="1473"/>
      <c r="FO720" s="1472">
        <f t="shared" si="34"/>
        <v>1083</v>
      </c>
      <c r="FP720" s="1479"/>
      <c r="FQ720" s="1479"/>
      <c r="FR720" s="1479"/>
      <c r="FS720" s="1473"/>
      <c r="FT720" s="1472" t="str">
        <f t="shared" si="35"/>
        <v/>
      </c>
      <c r="FU720" s="1479"/>
      <c r="FV720" s="1479"/>
      <c r="FW720" s="1479"/>
      <c r="FX720" s="1473"/>
      <c r="FY720" s="1472" t="str">
        <f t="shared" si="36"/>
        <v/>
      </c>
      <c r="FZ720" s="1479"/>
      <c r="GA720" s="1479"/>
      <c r="GB720" s="1479"/>
      <c r="GC720" s="1473"/>
    </row>
    <row r="721" spans="1:185" ht="12.95" customHeight="1">
      <c r="B721" s="1356" t="s">
        <v>325</v>
      </c>
      <c r="C721" s="1357"/>
      <c r="D721" s="1357"/>
      <c r="E721" s="1357"/>
      <c r="F721" s="1358"/>
      <c r="G721" s="1368">
        <v>2</v>
      </c>
      <c r="H721" s="1369"/>
      <c r="I721" s="1369"/>
      <c r="J721" s="1370"/>
      <c r="K721" s="1362">
        <v>700</v>
      </c>
      <c r="L721" s="1363"/>
      <c r="M721" s="1363"/>
      <c r="N721" s="1364"/>
      <c r="O721" s="1359">
        <v>1206</v>
      </c>
      <c r="P721" s="1360"/>
      <c r="Q721" s="1360"/>
      <c r="R721" s="1360"/>
      <c r="S721" s="1361"/>
      <c r="T721" s="1359">
        <v>97</v>
      </c>
      <c r="U721" s="1360"/>
      <c r="V721" s="1360"/>
      <c r="W721" s="1361"/>
      <c r="X721" s="1371">
        <f t="shared" si="9"/>
        <v>1303</v>
      </c>
      <c r="Y721" s="1372"/>
      <c r="Z721" s="1372"/>
      <c r="AA721" s="1372"/>
      <c r="AB721" s="1373"/>
      <c r="AC721" s="1378">
        <v>0.5</v>
      </c>
      <c r="AD721" s="1379"/>
      <c r="AE721" s="1379"/>
      <c r="AF721" s="1379"/>
      <c r="AG721" s="1380"/>
      <c r="AH721" s="1374">
        <f t="shared" si="37"/>
        <v>0.43491321762349799</v>
      </c>
      <c r="AI721" s="1375"/>
      <c r="AJ721" s="1376"/>
      <c r="AK721" s="1356" t="s">
        <v>591</v>
      </c>
      <c r="AL721" s="1357"/>
      <c r="AM721" s="1357"/>
      <c r="AN721" s="1357"/>
      <c r="AO721" s="1358"/>
      <c r="AP721" s="3"/>
      <c r="AQ721" s="3"/>
      <c r="AR721" s="3"/>
      <c r="AS721" s="3"/>
      <c r="AY721" s="116"/>
      <c r="AZ721" s="118">
        <f t="shared" si="10"/>
        <v>2996</v>
      </c>
      <c r="BA721" s="3"/>
      <c r="BB721" s="3"/>
      <c r="BC721" s="3"/>
      <c r="BD721" s="3"/>
      <c r="BE721" s="204"/>
      <c r="BF721" s="294">
        <f t="shared" si="11"/>
        <v>2</v>
      </c>
      <c r="BG721" s="297">
        <f t="shared" si="12"/>
        <v>2.8169014084507043E-2</v>
      </c>
      <c r="BH721" s="298">
        <f t="shared" si="13"/>
        <v>1.4084507042253521E-2</v>
      </c>
      <c r="BI721" s="3"/>
      <c r="BJ721" s="3"/>
      <c r="BK721" s="3"/>
      <c r="BL721" s="3"/>
      <c r="BM721" s="3"/>
      <c r="BN721" s="3"/>
      <c r="BS721" s="294">
        <f t="shared" si="14"/>
        <v>2</v>
      </c>
      <c r="BT721" s="297">
        <f t="shared" si="15"/>
        <v>2.8169014084507043E-2</v>
      </c>
      <c r="BU721" s="298">
        <f t="shared" si="16"/>
        <v>1.2251076552774591E-2</v>
      </c>
      <c r="CC721" s="3"/>
      <c r="CD721" s="3"/>
      <c r="CE721" s="3"/>
      <c r="CF721" s="3"/>
      <c r="CG721" s="1472">
        <f t="shared" si="38"/>
        <v>1</v>
      </c>
      <c r="CH721" s="1473"/>
      <c r="CI721" s="1483">
        <f t="shared" si="39"/>
        <v>2</v>
      </c>
      <c r="CJ721" s="1484"/>
      <c r="CK721" s="1472">
        <f t="shared" si="17"/>
        <v>0</v>
      </c>
      <c r="CL721" s="1473"/>
      <c r="CM721" s="1483">
        <f t="shared" si="18"/>
        <v>0</v>
      </c>
      <c r="CN721" s="1484"/>
      <c r="CO721" s="3"/>
      <c r="CP721" s="1474">
        <f t="shared" si="19"/>
        <v>0</v>
      </c>
      <c r="CQ721" s="1475"/>
      <c r="CR721" s="1475"/>
      <c r="CS721" s="1475"/>
      <c r="CT721" s="1476"/>
      <c r="CU721" s="1463">
        <f t="shared" si="20"/>
        <v>2</v>
      </c>
      <c r="CV721" s="1463"/>
      <c r="CW721" s="1463"/>
      <c r="CX721" s="1463"/>
      <c r="CY721" s="1463"/>
      <c r="CZ721" s="1463">
        <f t="shared" si="21"/>
        <v>0</v>
      </c>
      <c r="DA721" s="1463"/>
      <c r="DB721" s="1463"/>
      <c r="DC721" s="1463"/>
      <c r="DD721" s="1463"/>
      <c r="DE721" s="1463">
        <f t="shared" si="22"/>
        <v>0</v>
      </c>
      <c r="DF721" s="1463"/>
      <c r="DG721" s="1463"/>
      <c r="DH721" s="1463"/>
      <c r="DI721" s="1463"/>
      <c r="DJ721" s="1463">
        <f t="shared" si="23"/>
        <v>0</v>
      </c>
      <c r="DK721" s="1463"/>
      <c r="DL721" s="1463"/>
      <c r="DM721" s="1463"/>
      <c r="DN721" s="1463"/>
      <c r="DO721" s="1463">
        <f t="shared" si="24"/>
        <v>0</v>
      </c>
      <c r="DP721" s="1463"/>
      <c r="DQ721" s="1463"/>
      <c r="DR721" s="1463"/>
      <c r="DS721" s="1463"/>
      <c r="DT721" s="6"/>
      <c r="DU721" s="1464">
        <f t="shared" si="25"/>
        <v>0</v>
      </c>
      <c r="DV721" s="1464"/>
      <c r="DW721" s="1464"/>
      <c r="DX721" s="1464"/>
      <c r="DY721" s="1464"/>
      <c r="DZ721" s="1464">
        <f t="shared" si="26"/>
        <v>0</v>
      </c>
      <c r="EA721" s="1464"/>
      <c r="EB721" s="1464"/>
      <c r="EC721" s="1464"/>
      <c r="ED721" s="1464"/>
      <c r="EE721" s="1464">
        <f t="shared" si="27"/>
        <v>0</v>
      </c>
      <c r="EF721" s="1464"/>
      <c r="EG721" s="1464"/>
      <c r="EH721" s="1464"/>
      <c r="EI721" s="1464"/>
      <c r="EJ721" s="1464">
        <f t="shared" si="28"/>
        <v>0</v>
      </c>
      <c r="EK721" s="1464"/>
      <c r="EL721" s="1464"/>
      <c r="EM721" s="1464"/>
      <c r="EN721" s="1464"/>
      <c r="EO721" s="1464">
        <f t="shared" si="29"/>
        <v>0</v>
      </c>
      <c r="EP721" s="1464"/>
      <c r="EQ721" s="1464"/>
      <c r="ER721" s="1464"/>
      <c r="ES721" s="1464"/>
      <c r="ET721" s="1464">
        <f t="shared" si="30"/>
        <v>0</v>
      </c>
      <c r="EU721" s="1464"/>
      <c r="EV721" s="1464"/>
      <c r="EW721" s="1464"/>
      <c r="EX721" s="1464"/>
      <c r="EZ721" s="1472" t="str">
        <f t="shared" si="31"/>
        <v/>
      </c>
      <c r="FA721" s="1479"/>
      <c r="FB721" s="1479"/>
      <c r="FC721" s="1479"/>
      <c r="FD721" s="1473"/>
      <c r="FE721" s="1472">
        <f t="shared" si="32"/>
        <v>1206</v>
      </c>
      <c r="FF721" s="1479"/>
      <c r="FG721" s="1479"/>
      <c r="FH721" s="1479"/>
      <c r="FI721" s="1473"/>
      <c r="FJ721" s="1472" t="str">
        <f t="shared" si="33"/>
        <v/>
      </c>
      <c r="FK721" s="1479"/>
      <c r="FL721" s="1479"/>
      <c r="FM721" s="1479"/>
      <c r="FN721" s="1473"/>
      <c r="FO721" s="1472" t="str">
        <f t="shared" si="34"/>
        <v/>
      </c>
      <c r="FP721" s="1479"/>
      <c r="FQ721" s="1479"/>
      <c r="FR721" s="1479"/>
      <c r="FS721" s="1473"/>
      <c r="FT721" s="1472" t="str">
        <f t="shared" si="35"/>
        <v/>
      </c>
      <c r="FU721" s="1479"/>
      <c r="FV721" s="1479"/>
      <c r="FW721" s="1479"/>
      <c r="FX721" s="1473"/>
      <c r="FY721" s="1472" t="str">
        <f t="shared" si="36"/>
        <v/>
      </c>
      <c r="FZ721" s="1479"/>
      <c r="GA721" s="1479"/>
      <c r="GB721" s="1479"/>
      <c r="GC721" s="1473"/>
    </row>
    <row r="722" spans="1:185" ht="12.95" customHeight="1">
      <c r="B722" s="1356" t="s">
        <v>163</v>
      </c>
      <c r="C722" s="1357"/>
      <c r="D722" s="1357"/>
      <c r="E722" s="1357"/>
      <c r="F722" s="1358"/>
      <c r="G722" s="1368">
        <v>4</v>
      </c>
      <c r="H722" s="1369"/>
      <c r="I722" s="1369"/>
      <c r="J722" s="1370"/>
      <c r="K722" s="1362">
        <v>851</v>
      </c>
      <c r="L722" s="1363"/>
      <c r="M722" s="1363"/>
      <c r="N722" s="1364"/>
      <c r="O722" s="1359">
        <v>1258.25</v>
      </c>
      <c r="P722" s="1360"/>
      <c r="Q722" s="1360"/>
      <c r="R722" s="1360"/>
      <c r="S722" s="1361"/>
      <c r="T722" s="1359">
        <v>131</v>
      </c>
      <c r="U722" s="1360"/>
      <c r="V722" s="1360"/>
      <c r="W722" s="1361"/>
      <c r="X722" s="1371">
        <f t="shared" si="9"/>
        <v>1389.25</v>
      </c>
      <c r="Y722" s="1372"/>
      <c r="Z722" s="1372"/>
      <c r="AA722" s="1372"/>
      <c r="AB722" s="1373"/>
      <c r="AC722" s="1378">
        <v>0.5</v>
      </c>
      <c r="AD722" s="1379"/>
      <c r="AE722" s="1379"/>
      <c r="AF722" s="1379"/>
      <c r="AG722" s="1380"/>
      <c r="AH722" s="1374">
        <f t="shared" si="37"/>
        <v>0.38633203559510565</v>
      </c>
      <c r="AI722" s="1375"/>
      <c r="AJ722" s="1376"/>
      <c r="AK722" s="1356" t="s">
        <v>591</v>
      </c>
      <c r="AL722" s="1357"/>
      <c r="AM722" s="1357"/>
      <c r="AN722" s="1357"/>
      <c r="AO722" s="1358"/>
      <c r="AP722" s="3"/>
      <c r="AQ722" s="3"/>
      <c r="AR722" s="3"/>
      <c r="AS722" s="3"/>
      <c r="AY722" s="116"/>
      <c r="AZ722" s="118">
        <f t="shared" si="10"/>
        <v>3596</v>
      </c>
      <c r="BA722" s="3"/>
      <c r="BB722" s="3"/>
      <c r="BC722" s="3"/>
      <c r="BD722" s="3"/>
      <c r="BE722" s="204"/>
      <c r="BF722" s="294">
        <f t="shared" si="11"/>
        <v>4</v>
      </c>
      <c r="BG722" s="297">
        <f t="shared" si="12"/>
        <v>5.6338028169014086E-2</v>
      </c>
      <c r="BH722" s="298">
        <f t="shared" si="13"/>
        <v>2.8169014084507043E-2</v>
      </c>
      <c r="BI722" s="3"/>
      <c r="BJ722" s="3"/>
      <c r="BK722" s="3"/>
      <c r="BL722" s="3"/>
      <c r="BM722" s="3"/>
      <c r="BN722" s="3"/>
      <c r="BS722" s="294">
        <f t="shared" si="14"/>
        <v>4</v>
      </c>
      <c r="BT722" s="297">
        <f t="shared" si="15"/>
        <v>5.6338028169014086E-2</v>
      </c>
      <c r="BU722" s="298">
        <f t="shared" si="16"/>
        <v>2.1765185103949616E-2</v>
      </c>
      <c r="CC722" s="3"/>
      <c r="CD722" s="3"/>
      <c r="CE722" s="3"/>
      <c r="CF722" s="3"/>
      <c r="CG722" s="1472">
        <f t="shared" si="38"/>
        <v>1</v>
      </c>
      <c r="CH722" s="1473"/>
      <c r="CI722" s="1483">
        <f t="shared" si="39"/>
        <v>4</v>
      </c>
      <c r="CJ722" s="1484"/>
      <c r="CK722" s="1472">
        <f t="shared" si="17"/>
        <v>0</v>
      </c>
      <c r="CL722" s="1473"/>
      <c r="CM722" s="1483">
        <f t="shared" si="18"/>
        <v>0</v>
      </c>
      <c r="CN722" s="1484"/>
      <c r="CO722" s="3"/>
      <c r="CP722" s="1474">
        <f t="shared" si="19"/>
        <v>0</v>
      </c>
      <c r="CQ722" s="1475"/>
      <c r="CR722" s="1475"/>
      <c r="CS722" s="1475"/>
      <c r="CT722" s="1476"/>
      <c r="CU722" s="1463">
        <f t="shared" si="20"/>
        <v>0</v>
      </c>
      <c r="CV722" s="1463"/>
      <c r="CW722" s="1463"/>
      <c r="CX722" s="1463"/>
      <c r="CY722" s="1463"/>
      <c r="CZ722" s="1463">
        <f t="shared" si="21"/>
        <v>4</v>
      </c>
      <c r="DA722" s="1463"/>
      <c r="DB722" s="1463"/>
      <c r="DC722" s="1463"/>
      <c r="DD722" s="1463"/>
      <c r="DE722" s="1463">
        <f t="shared" si="22"/>
        <v>0</v>
      </c>
      <c r="DF722" s="1463"/>
      <c r="DG722" s="1463"/>
      <c r="DH722" s="1463"/>
      <c r="DI722" s="1463"/>
      <c r="DJ722" s="1463">
        <f t="shared" si="23"/>
        <v>0</v>
      </c>
      <c r="DK722" s="1463"/>
      <c r="DL722" s="1463"/>
      <c r="DM722" s="1463"/>
      <c r="DN722" s="1463"/>
      <c r="DO722" s="1463">
        <f t="shared" si="24"/>
        <v>0</v>
      </c>
      <c r="DP722" s="1463"/>
      <c r="DQ722" s="1463"/>
      <c r="DR722" s="1463"/>
      <c r="DS722" s="1463"/>
      <c r="DT722" s="6"/>
      <c r="DU722" s="1464">
        <f t="shared" si="25"/>
        <v>0</v>
      </c>
      <c r="DV722" s="1464"/>
      <c r="DW722" s="1464"/>
      <c r="DX722" s="1464"/>
      <c r="DY722" s="1464"/>
      <c r="DZ722" s="1464">
        <f t="shared" si="26"/>
        <v>0</v>
      </c>
      <c r="EA722" s="1464"/>
      <c r="EB722" s="1464"/>
      <c r="EC722" s="1464"/>
      <c r="ED722" s="1464"/>
      <c r="EE722" s="1464">
        <f t="shared" si="27"/>
        <v>0</v>
      </c>
      <c r="EF722" s="1464"/>
      <c r="EG722" s="1464"/>
      <c r="EH722" s="1464"/>
      <c r="EI722" s="1464"/>
      <c r="EJ722" s="1464">
        <f t="shared" si="28"/>
        <v>0</v>
      </c>
      <c r="EK722" s="1464"/>
      <c r="EL722" s="1464"/>
      <c r="EM722" s="1464"/>
      <c r="EN722" s="1464"/>
      <c r="EO722" s="1464">
        <f t="shared" si="29"/>
        <v>0</v>
      </c>
      <c r="EP722" s="1464"/>
      <c r="EQ722" s="1464"/>
      <c r="ER722" s="1464"/>
      <c r="ES722" s="1464"/>
      <c r="ET722" s="1464">
        <f t="shared" si="30"/>
        <v>0</v>
      </c>
      <c r="EU722" s="1464"/>
      <c r="EV722" s="1464"/>
      <c r="EW722" s="1464"/>
      <c r="EX722" s="1464"/>
      <c r="EZ722" s="1472" t="str">
        <f t="shared" si="31"/>
        <v/>
      </c>
      <c r="FA722" s="1479"/>
      <c r="FB722" s="1479"/>
      <c r="FC722" s="1479"/>
      <c r="FD722" s="1473"/>
      <c r="FE722" s="1472" t="str">
        <f t="shared" si="32"/>
        <v/>
      </c>
      <c r="FF722" s="1479"/>
      <c r="FG722" s="1479"/>
      <c r="FH722" s="1479"/>
      <c r="FI722" s="1473"/>
      <c r="FJ722" s="1472">
        <f t="shared" si="33"/>
        <v>1258.25</v>
      </c>
      <c r="FK722" s="1479"/>
      <c r="FL722" s="1479"/>
      <c r="FM722" s="1479"/>
      <c r="FN722" s="1473"/>
      <c r="FO722" s="1472" t="str">
        <f t="shared" si="34"/>
        <v/>
      </c>
      <c r="FP722" s="1479"/>
      <c r="FQ722" s="1479"/>
      <c r="FR722" s="1479"/>
      <c r="FS722" s="1473"/>
      <c r="FT722" s="1472" t="str">
        <f t="shared" si="35"/>
        <v/>
      </c>
      <c r="FU722" s="1479"/>
      <c r="FV722" s="1479"/>
      <c r="FW722" s="1479"/>
      <c r="FX722" s="1473"/>
      <c r="FY722" s="1472" t="str">
        <f t="shared" si="36"/>
        <v/>
      </c>
      <c r="FZ722" s="1479"/>
      <c r="GA722" s="1479"/>
      <c r="GB722" s="1479"/>
      <c r="GC722" s="1473"/>
    </row>
    <row r="723" spans="1:185" ht="12.95" customHeight="1">
      <c r="B723" s="1356" t="s">
        <v>164</v>
      </c>
      <c r="C723" s="1357"/>
      <c r="D723" s="1357"/>
      <c r="E723" s="1357"/>
      <c r="F723" s="1358"/>
      <c r="G723" s="1368">
        <v>3</v>
      </c>
      <c r="H723" s="1369"/>
      <c r="I723" s="1369"/>
      <c r="J723" s="1370"/>
      <c r="K723" s="1362">
        <v>1217</v>
      </c>
      <c r="L723" s="1363"/>
      <c r="M723" s="1363"/>
      <c r="N723" s="1364"/>
      <c r="O723" s="1359">
        <v>1533</v>
      </c>
      <c r="P723" s="1360"/>
      <c r="Q723" s="1360"/>
      <c r="R723" s="1360"/>
      <c r="S723" s="1361"/>
      <c r="T723" s="1359">
        <v>163</v>
      </c>
      <c r="U723" s="1360"/>
      <c r="V723" s="1360"/>
      <c r="W723" s="1361"/>
      <c r="X723" s="1371">
        <f t="shared" si="9"/>
        <v>1696</v>
      </c>
      <c r="Y723" s="1372"/>
      <c r="Z723" s="1372"/>
      <c r="AA723" s="1372"/>
      <c r="AB723" s="1373"/>
      <c r="AC723" s="1378">
        <v>0.5</v>
      </c>
      <c r="AD723" s="1379"/>
      <c r="AE723" s="1379"/>
      <c r="AF723" s="1379"/>
      <c r="AG723" s="1380"/>
      <c r="AH723" s="1374">
        <f t="shared" si="37"/>
        <v>0.40828117477130477</v>
      </c>
      <c r="AI723" s="1375"/>
      <c r="AJ723" s="1376"/>
      <c r="AK723" s="1356" t="s">
        <v>591</v>
      </c>
      <c r="AL723" s="1357"/>
      <c r="AM723" s="1357"/>
      <c r="AN723" s="1357"/>
      <c r="AO723" s="1358"/>
      <c r="AP723" s="3"/>
      <c r="AQ723" s="3"/>
      <c r="AR723" s="3"/>
      <c r="AS723" s="3"/>
      <c r="AY723" s="116"/>
      <c r="AZ723" s="118">
        <f t="shared" si="10"/>
        <v>4154</v>
      </c>
      <c r="BA723" s="3"/>
      <c r="BB723" s="3"/>
      <c r="BC723" s="3"/>
      <c r="BD723" s="3"/>
      <c r="BE723" s="204"/>
      <c r="BF723" s="294">
        <f t="shared" si="11"/>
        <v>3</v>
      </c>
      <c r="BG723" s="297">
        <f t="shared" si="12"/>
        <v>4.2253521126760563E-2</v>
      </c>
      <c r="BH723" s="298">
        <f t="shared" si="13"/>
        <v>2.1126760563380281E-2</v>
      </c>
      <c r="BI723" s="3"/>
      <c r="BJ723" s="3"/>
      <c r="BK723" s="3"/>
      <c r="BL723" s="3"/>
      <c r="BM723" s="3"/>
      <c r="BN723" s="3"/>
      <c r="BS723" s="294">
        <f t="shared" si="14"/>
        <v>3</v>
      </c>
      <c r="BT723" s="297">
        <f t="shared" si="15"/>
        <v>4.2253521126760563E-2</v>
      </c>
      <c r="BU723" s="298">
        <f t="shared" si="16"/>
        <v>1.7251317243857946E-2</v>
      </c>
      <c r="CC723" s="3"/>
      <c r="CD723" s="3"/>
      <c r="CE723" s="3"/>
      <c r="CF723" s="3"/>
      <c r="CG723" s="1472">
        <f t="shared" si="38"/>
        <v>1</v>
      </c>
      <c r="CH723" s="1473"/>
      <c r="CI723" s="1483">
        <f t="shared" si="39"/>
        <v>3</v>
      </c>
      <c r="CJ723" s="1484"/>
      <c r="CK723" s="1472">
        <f t="shared" si="17"/>
        <v>0</v>
      </c>
      <c r="CL723" s="1473"/>
      <c r="CM723" s="1483">
        <f t="shared" si="18"/>
        <v>0</v>
      </c>
      <c r="CN723" s="1484"/>
      <c r="CO723" s="3"/>
      <c r="CP723" s="1474">
        <f t="shared" si="19"/>
        <v>0</v>
      </c>
      <c r="CQ723" s="1475"/>
      <c r="CR723" s="1475"/>
      <c r="CS723" s="1475"/>
      <c r="CT723" s="1476"/>
      <c r="CU723" s="1463">
        <f t="shared" si="20"/>
        <v>0</v>
      </c>
      <c r="CV723" s="1463"/>
      <c r="CW723" s="1463"/>
      <c r="CX723" s="1463"/>
      <c r="CY723" s="1463"/>
      <c r="CZ723" s="1463">
        <f t="shared" si="21"/>
        <v>0</v>
      </c>
      <c r="DA723" s="1463"/>
      <c r="DB723" s="1463"/>
      <c r="DC723" s="1463"/>
      <c r="DD723" s="1463"/>
      <c r="DE723" s="1463">
        <f t="shared" si="22"/>
        <v>3</v>
      </c>
      <c r="DF723" s="1463"/>
      <c r="DG723" s="1463"/>
      <c r="DH723" s="1463"/>
      <c r="DI723" s="1463"/>
      <c r="DJ723" s="1463">
        <f t="shared" si="23"/>
        <v>0</v>
      </c>
      <c r="DK723" s="1463"/>
      <c r="DL723" s="1463"/>
      <c r="DM723" s="1463"/>
      <c r="DN723" s="1463"/>
      <c r="DO723" s="1463">
        <f t="shared" si="24"/>
        <v>0</v>
      </c>
      <c r="DP723" s="1463"/>
      <c r="DQ723" s="1463"/>
      <c r="DR723" s="1463"/>
      <c r="DS723" s="1463"/>
      <c r="DT723" s="6"/>
      <c r="DU723" s="1464">
        <f t="shared" si="25"/>
        <v>0</v>
      </c>
      <c r="DV723" s="1464"/>
      <c r="DW723" s="1464"/>
      <c r="DX723" s="1464"/>
      <c r="DY723" s="1464"/>
      <c r="DZ723" s="1464">
        <f t="shared" si="26"/>
        <v>0</v>
      </c>
      <c r="EA723" s="1464"/>
      <c r="EB723" s="1464"/>
      <c r="EC723" s="1464"/>
      <c r="ED723" s="1464"/>
      <c r="EE723" s="1464">
        <f t="shared" si="27"/>
        <v>0</v>
      </c>
      <c r="EF723" s="1464"/>
      <c r="EG723" s="1464"/>
      <c r="EH723" s="1464"/>
      <c r="EI723" s="1464"/>
      <c r="EJ723" s="1464">
        <f t="shared" si="28"/>
        <v>0</v>
      </c>
      <c r="EK723" s="1464"/>
      <c r="EL723" s="1464"/>
      <c r="EM723" s="1464"/>
      <c r="EN723" s="1464"/>
      <c r="EO723" s="1464">
        <f t="shared" si="29"/>
        <v>0</v>
      </c>
      <c r="EP723" s="1464"/>
      <c r="EQ723" s="1464"/>
      <c r="ER723" s="1464"/>
      <c r="ES723" s="1464"/>
      <c r="ET723" s="1464">
        <f t="shared" si="30"/>
        <v>0</v>
      </c>
      <c r="EU723" s="1464"/>
      <c r="EV723" s="1464"/>
      <c r="EW723" s="1464"/>
      <c r="EX723" s="1464"/>
      <c r="EZ723" s="1472" t="str">
        <f t="shared" si="31"/>
        <v/>
      </c>
      <c r="FA723" s="1479"/>
      <c r="FB723" s="1479"/>
      <c r="FC723" s="1479"/>
      <c r="FD723" s="1473"/>
      <c r="FE723" s="1472" t="str">
        <f t="shared" si="32"/>
        <v/>
      </c>
      <c r="FF723" s="1479"/>
      <c r="FG723" s="1479"/>
      <c r="FH723" s="1479"/>
      <c r="FI723" s="1473"/>
      <c r="FJ723" s="1472" t="str">
        <f t="shared" si="33"/>
        <v/>
      </c>
      <c r="FK723" s="1479"/>
      <c r="FL723" s="1479"/>
      <c r="FM723" s="1479"/>
      <c r="FN723" s="1473"/>
      <c r="FO723" s="1472">
        <f t="shared" si="34"/>
        <v>1533</v>
      </c>
      <c r="FP723" s="1479"/>
      <c r="FQ723" s="1479"/>
      <c r="FR723" s="1479"/>
      <c r="FS723" s="1473"/>
      <c r="FT723" s="1472" t="str">
        <f t="shared" si="35"/>
        <v/>
      </c>
      <c r="FU723" s="1479"/>
      <c r="FV723" s="1479"/>
      <c r="FW723" s="1479"/>
      <c r="FX723" s="1473"/>
      <c r="FY723" s="1472" t="str">
        <f t="shared" si="36"/>
        <v/>
      </c>
      <c r="FZ723" s="1479"/>
      <c r="GA723" s="1479"/>
      <c r="GB723" s="1479"/>
      <c r="GC723" s="1473"/>
    </row>
    <row r="724" spans="1:185" ht="12.95" customHeight="1">
      <c r="B724" s="1356" t="s">
        <v>325</v>
      </c>
      <c r="C724" s="1357"/>
      <c r="D724" s="1357"/>
      <c r="E724" s="1357"/>
      <c r="F724" s="1358"/>
      <c r="G724" s="1368">
        <v>3</v>
      </c>
      <c r="H724" s="1369"/>
      <c r="I724" s="1369"/>
      <c r="J724" s="1370"/>
      <c r="K724" s="1362">
        <v>700</v>
      </c>
      <c r="L724" s="1363"/>
      <c r="M724" s="1363"/>
      <c r="N724" s="1364"/>
      <c r="O724" s="1359">
        <v>1455</v>
      </c>
      <c r="P724" s="1360"/>
      <c r="Q724" s="1360"/>
      <c r="R724" s="1360"/>
      <c r="S724" s="1361"/>
      <c r="T724" s="1359">
        <v>97</v>
      </c>
      <c r="U724" s="1360"/>
      <c r="V724" s="1360"/>
      <c r="W724" s="1361"/>
      <c r="X724" s="1371">
        <f t="shared" si="9"/>
        <v>1552</v>
      </c>
      <c r="Y724" s="1372"/>
      <c r="Z724" s="1372"/>
      <c r="AA724" s="1372"/>
      <c r="AB724" s="1373"/>
      <c r="AC724" s="1378">
        <v>0.6</v>
      </c>
      <c r="AD724" s="1379"/>
      <c r="AE724" s="1379"/>
      <c r="AF724" s="1379"/>
      <c r="AG724" s="1380"/>
      <c r="AH724" s="1374">
        <f t="shared" si="37"/>
        <v>0.51802403204272363</v>
      </c>
      <c r="AI724" s="1375"/>
      <c r="AJ724" s="1376"/>
      <c r="AK724" s="1356" t="s">
        <v>591</v>
      </c>
      <c r="AL724" s="1357"/>
      <c r="AM724" s="1357"/>
      <c r="AN724" s="1357"/>
      <c r="AO724" s="1358"/>
      <c r="AP724" s="3"/>
      <c r="AQ724" s="3"/>
      <c r="AR724" s="3"/>
      <c r="AS724" s="3"/>
      <c r="AY724" s="116"/>
      <c r="AZ724" s="118">
        <f t="shared" si="10"/>
        <v>2996</v>
      </c>
      <c r="BA724" s="3"/>
      <c r="BB724" s="3"/>
      <c r="BC724" s="3"/>
      <c r="BD724" s="3"/>
      <c r="BE724" s="204"/>
      <c r="BF724" s="294">
        <f t="shared" si="11"/>
        <v>3</v>
      </c>
      <c r="BG724" s="297">
        <f t="shared" si="12"/>
        <v>4.2253521126760563E-2</v>
      </c>
      <c r="BH724" s="298">
        <f t="shared" si="13"/>
        <v>2.5352112676056335E-2</v>
      </c>
      <c r="BI724" s="3"/>
      <c r="BJ724" s="3"/>
      <c r="BK724" s="3"/>
      <c r="BL724" s="3"/>
      <c r="BM724" s="3"/>
      <c r="BN724" s="3"/>
      <c r="BS724" s="294">
        <f t="shared" si="14"/>
        <v>3</v>
      </c>
      <c r="BT724" s="297">
        <f t="shared" si="15"/>
        <v>4.2253521126760563E-2</v>
      </c>
      <c r="BU724" s="298">
        <f t="shared" si="16"/>
        <v>2.1888339382086914E-2</v>
      </c>
      <c r="CC724" s="3"/>
      <c r="CE724" s="3"/>
      <c r="CF724" s="3"/>
      <c r="CG724" s="1472">
        <f t="shared" si="38"/>
        <v>0</v>
      </c>
      <c r="CH724" s="1473"/>
      <c r="CI724" s="1483">
        <f t="shared" si="39"/>
        <v>0</v>
      </c>
      <c r="CJ724" s="1484"/>
      <c r="CK724" s="1472">
        <f t="shared" si="17"/>
        <v>0</v>
      </c>
      <c r="CL724" s="1473"/>
      <c r="CM724" s="1483">
        <f t="shared" si="18"/>
        <v>0</v>
      </c>
      <c r="CN724" s="1484"/>
      <c r="CO724" s="3"/>
      <c r="CP724" s="1474">
        <f t="shared" si="19"/>
        <v>0</v>
      </c>
      <c r="CQ724" s="1475"/>
      <c r="CR724" s="1475"/>
      <c r="CS724" s="1475"/>
      <c r="CT724" s="1476"/>
      <c r="CU724" s="1463">
        <f t="shared" si="20"/>
        <v>3</v>
      </c>
      <c r="CV724" s="1463"/>
      <c r="CW724" s="1463"/>
      <c r="CX724" s="1463"/>
      <c r="CY724" s="1463"/>
      <c r="CZ724" s="1463">
        <f t="shared" si="21"/>
        <v>0</v>
      </c>
      <c r="DA724" s="1463"/>
      <c r="DB724" s="1463"/>
      <c r="DC724" s="1463"/>
      <c r="DD724" s="1463"/>
      <c r="DE724" s="1463">
        <f t="shared" si="22"/>
        <v>0</v>
      </c>
      <c r="DF724" s="1463"/>
      <c r="DG724" s="1463"/>
      <c r="DH724" s="1463"/>
      <c r="DI724" s="1463"/>
      <c r="DJ724" s="1463">
        <f t="shared" si="23"/>
        <v>0</v>
      </c>
      <c r="DK724" s="1463"/>
      <c r="DL724" s="1463"/>
      <c r="DM724" s="1463"/>
      <c r="DN724" s="1463"/>
      <c r="DO724" s="1463">
        <f t="shared" si="24"/>
        <v>0</v>
      </c>
      <c r="DP724" s="1463"/>
      <c r="DQ724" s="1463"/>
      <c r="DR724" s="1463"/>
      <c r="DS724" s="1463"/>
      <c r="DT724" s="6"/>
      <c r="DU724" s="1464">
        <f t="shared" si="25"/>
        <v>0</v>
      </c>
      <c r="DV724" s="1464"/>
      <c r="DW724" s="1464"/>
      <c r="DX724" s="1464"/>
      <c r="DY724" s="1464"/>
      <c r="DZ724" s="1464">
        <f t="shared" si="26"/>
        <v>0</v>
      </c>
      <c r="EA724" s="1464"/>
      <c r="EB724" s="1464"/>
      <c r="EC724" s="1464"/>
      <c r="ED724" s="1464"/>
      <c r="EE724" s="1464">
        <f t="shared" si="27"/>
        <v>0</v>
      </c>
      <c r="EF724" s="1464"/>
      <c r="EG724" s="1464"/>
      <c r="EH724" s="1464"/>
      <c r="EI724" s="1464"/>
      <c r="EJ724" s="1464">
        <f t="shared" si="28"/>
        <v>0</v>
      </c>
      <c r="EK724" s="1464"/>
      <c r="EL724" s="1464"/>
      <c r="EM724" s="1464"/>
      <c r="EN724" s="1464"/>
      <c r="EO724" s="1464">
        <f t="shared" si="29"/>
        <v>0</v>
      </c>
      <c r="EP724" s="1464"/>
      <c r="EQ724" s="1464"/>
      <c r="ER724" s="1464"/>
      <c r="ES724" s="1464"/>
      <c r="ET724" s="1464">
        <f t="shared" si="30"/>
        <v>0</v>
      </c>
      <c r="EU724" s="1464"/>
      <c r="EV724" s="1464"/>
      <c r="EW724" s="1464"/>
      <c r="EX724" s="1464"/>
      <c r="EZ724" s="1472" t="str">
        <f t="shared" si="31"/>
        <v/>
      </c>
      <c r="FA724" s="1479"/>
      <c r="FB724" s="1479"/>
      <c r="FC724" s="1479"/>
      <c r="FD724" s="1473"/>
      <c r="FE724" s="1472">
        <f t="shared" si="32"/>
        <v>1455</v>
      </c>
      <c r="FF724" s="1479"/>
      <c r="FG724" s="1479"/>
      <c r="FH724" s="1479"/>
      <c r="FI724" s="1473"/>
      <c r="FJ724" s="1472" t="str">
        <f t="shared" si="33"/>
        <v/>
      </c>
      <c r="FK724" s="1479"/>
      <c r="FL724" s="1479"/>
      <c r="FM724" s="1479"/>
      <c r="FN724" s="1473"/>
      <c r="FO724" s="1472" t="str">
        <f t="shared" si="34"/>
        <v/>
      </c>
      <c r="FP724" s="1479"/>
      <c r="FQ724" s="1479"/>
      <c r="FR724" s="1479"/>
      <c r="FS724" s="1473"/>
      <c r="FT724" s="1472" t="str">
        <f t="shared" si="35"/>
        <v/>
      </c>
      <c r="FU724" s="1479"/>
      <c r="FV724" s="1479"/>
      <c r="FW724" s="1479"/>
      <c r="FX724" s="1473"/>
      <c r="FY724" s="1472" t="str">
        <f t="shared" si="36"/>
        <v/>
      </c>
      <c r="FZ724" s="1479"/>
      <c r="GA724" s="1479"/>
      <c r="GB724" s="1479"/>
      <c r="GC724" s="1473"/>
    </row>
    <row r="725" spans="1:185" ht="12.95" customHeight="1">
      <c r="B725" s="1356" t="s">
        <v>163</v>
      </c>
      <c r="C725" s="1357"/>
      <c r="D725" s="1357"/>
      <c r="E725" s="1357"/>
      <c r="F725" s="1358"/>
      <c r="G725" s="1368">
        <v>22</v>
      </c>
      <c r="H725" s="1369"/>
      <c r="I725" s="1369"/>
      <c r="J725" s="1370"/>
      <c r="K725" s="1362">
        <v>851</v>
      </c>
      <c r="L725" s="1363"/>
      <c r="M725" s="1363"/>
      <c r="N725" s="1364"/>
      <c r="O725" s="1359">
        <v>1773</v>
      </c>
      <c r="P725" s="1360"/>
      <c r="Q725" s="1360"/>
      <c r="R725" s="1360"/>
      <c r="S725" s="1361"/>
      <c r="T725" s="1359">
        <v>131</v>
      </c>
      <c r="U725" s="1360"/>
      <c r="V725" s="1360"/>
      <c r="W725" s="1361"/>
      <c r="X725" s="1371">
        <f t="shared" si="9"/>
        <v>1904</v>
      </c>
      <c r="Y725" s="1372"/>
      <c r="Z725" s="1372"/>
      <c r="AA725" s="1372"/>
      <c r="AB725" s="1373"/>
      <c r="AC725" s="1378">
        <v>0.6</v>
      </c>
      <c r="AD725" s="1379"/>
      <c r="AE725" s="1379"/>
      <c r="AF725" s="1379"/>
      <c r="AG725" s="1380"/>
      <c r="AH725" s="1374">
        <f t="shared" si="37"/>
        <v>0.52947719688542827</v>
      </c>
      <c r="AI725" s="1375"/>
      <c r="AJ725" s="1376"/>
      <c r="AK725" s="1356" t="s">
        <v>591</v>
      </c>
      <c r="AL725" s="1357"/>
      <c r="AM725" s="1357"/>
      <c r="AN725" s="1357"/>
      <c r="AO725" s="1358"/>
      <c r="AP725" s="3"/>
      <c r="AQ725" s="3"/>
      <c r="AR725" s="3"/>
      <c r="AS725" s="3"/>
      <c r="AY725" s="1085"/>
      <c r="AZ725" s="118">
        <f t="shared" si="10"/>
        <v>3596</v>
      </c>
      <c r="BA725" s="3"/>
      <c r="BB725" s="3"/>
      <c r="BC725" s="3"/>
      <c r="BD725" s="3"/>
      <c r="BE725" s="204"/>
      <c r="BF725" s="294">
        <f t="shared" si="11"/>
        <v>22</v>
      </c>
      <c r="BG725" s="297">
        <f t="shared" si="12"/>
        <v>0.30985915492957744</v>
      </c>
      <c r="BH725" s="298">
        <f t="shared" si="13"/>
        <v>0.18591549295774645</v>
      </c>
      <c r="BI725" s="3"/>
      <c r="BJ725" s="3"/>
      <c r="BK725" s="3"/>
      <c r="BL725" s="3"/>
      <c r="BM725" s="3"/>
      <c r="BN725" s="3"/>
      <c r="BS725" s="294">
        <f t="shared" si="14"/>
        <v>22</v>
      </c>
      <c r="BT725" s="297">
        <f t="shared" si="15"/>
        <v>0.30985915492957744</v>
      </c>
      <c r="BU725" s="298">
        <f t="shared" si="16"/>
        <v>0.1640633567814003</v>
      </c>
      <c r="BV725" s="292"/>
      <c r="BW725" s="3"/>
      <c r="BX725" s="3"/>
      <c r="BY725" s="3"/>
      <c r="BZ725" s="3"/>
      <c r="CA725" s="3"/>
      <c r="CB725" s="3"/>
      <c r="CC725" s="3"/>
      <c r="CE725" s="3"/>
      <c r="CF725" s="3"/>
      <c r="CG725" s="1472">
        <f t="shared" si="38"/>
        <v>0</v>
      </c>
      <c r="CH725" s="1473"/>
      <c r="CI725" s="1483">
        <f t="shared" si="39"/>
        <v>0</v>
      </c>
      <c r="CJ725" s="1484"/>
      <c r="CK725" s="1472">
        <f t="shared" si="17"/>
        <v>0</v>
      </c>
      <c r="CL725" s="1473"/>
      <c r="CM725" s="1483">
        <f t="shared" si="18"/>
        <v>0</v>
      </c>
      <c r="CN725" s="1484"/>
      <c r="CO725" s="3"/>
      <c r="CP725" s="1474">
        <f t="shared" si="19"/>
        <v>0</v>
      </c>
      <c r="CQ725" s="1475"/>
      <c r="CR725" s="1475"/>
      <c r="CS725" s="1475"/>
      <c r="CT725" s="1476"/>
      <c r="CU725" s="1463">
        <f t="shared" si="20"/>
        <v>0</v>
      </c>
      <c r="CV725" s="1463"/>
      <c r="CW725" s="1463"/>
      <c r="CX725" s="1463"/>
      <c r="CY725" s="1463"/>
      <c r="CZ725" s="1463">
        <f t="shared" si="21"/>
        <v>22</v>
      </c>
      <c r="DA725" s="1463"/>
      <c r="DB725" s="1463"/>
      <c r="DC725" s="1463"/>
      <c r="DD725" s="1463"/>
      <c r="DE725" s="1463">
        <f t="shared" si="22"/>
        <v>0</v>
      </c>
      <c r="DF725" s="1463"/>
      <c r="DG725" s="1463"/>
      <c r="DH725" s="1463"/>
      <c r="DI725" s="1463"/>
      <c r="DJ725" s="1463">
        <f t="shared" si="23"/>
        <v>0</v>
      </c>
      <c r="DK725" s="1463"/>
      <c r="DL725" s="1463"/>
      <c r="DM725" s="1463"/>
      <c r="DN725" s="1463"/>
      <c r="DO725" s="1463">
        <f t="shared" si="24"/>
        <v>0</v>
      </c>
      <c r="DP725" s="1463"/>
      <c r="DQ725" s="1463"/>
      <c r="DR725" s="1463"/>
      <c r="DS725" s="1463"/>
      <c r="DT725" s="6"/>
      <c r="DU725" s="1464">
        <f t="shared" si="25"/>
        <v>0</v>
      </c>
      <c r="DV725" s="1464"/>
      <c r="DW725" s="1464"/>
      <c r="DX725" s="1464"/>
      <c r="DY725" s="1464"/>
      <c r="DZ725" s="1464">
        <f t="shared" si="26"/>
        <v>0</v>
      </c>
      <c r="EA725" s="1464"/>
      <c r="EB725" s="1464"/>
      <c r="EC725" s="1464"/>
      <c r="ED725" s="1464"/>
      <c r="EE725" s="1464">
        <f t="shared" si="27"/>
        <v>0</v>
      </c>
      <c r="EF725" s="1464"/>
      <c r="EG725" s="1464"/>
      <c r="EH725" s="1464"/>
      <c r="EI725" s="1464"/>
      <c r="EJ725" s="1464">
        <f t="shared" si="28"/>
        <v>0</v>
      </c>
      <c r="EK725" s="1464"/>
      <c r="EL725" s="1464"/>
      <c r="EM725" s="1464"/>
      <c r="EN725" s="1464"/>
      <c r="EO725" s="1464">
        <f t="shared" si="29"/>
        <v>0</v>
      </c>
      <c r="EP725" s="1464"/>
      <c r="EQ725" s="1464"/>
      <c r="ER725" s="1464"/>
      <c r="ES725" s="1464"/>
      <c r="ET725" s="1464">
        <f t="shared" si="30"/>
        <v>0</v>
      </c>
      <c r="EU725" s="1464"/>
      <c r="EV725" s="1464"/>
      <c r="EW725" s="1464"/>
      <c r="EX725" s="1464"/>
      <c r="EZ725" s="1472" t="str">
        <f t="shared" si="31"/>
        <v/>
      </c>
      <c r="FA725" s="1479"/>
      <c r="FB725" s="1479"/>
      <c r="FC725" s="1479"/>
      <c r="FD725" s="1473"/>
      <c r="FE725" s="1472" t="str">
        <f t="shared" si="32"/>
        <v/>
      </c>
      <c r="FF725" s="1479"/>
      <c r="FG725" s="1479"/>
      <c r="FH725" s="1479"/>
      <c r="FI725" s="1473"/>
      <c r="FJ725" s="1472">
        <f t="shared" si="33"/>
        <v>1773</v>
      </c>
      <c r="FK725" s="1479"/>
      <c r="FL725" s="1479"/>
      <c r="FM725" s="1479"/>
      <c r="FN725" s="1473"/>
      <c r="FO725" s="1472" t="str">
        <f t="shared" si="34"/>
        <v/>
      </c>
      <c r="FP725" s="1479"/>
      <c r="FQ725" s="1479"/>
      <c r="FR725" s="1479"/>
      <c r="FS725" s="1473"/>
      <c r="FT725" s="1472" t="str">
        <f t="shared" si="35"/>
        <v/>
      </c>
      <c r="FU725" s="1479"/>
      <c r="FV725" s="1479"/>
      <c r="FW725" s="1479"/>
      <c r="FX725" s="1473"/>
      <c r="FY725" s="1472" t="str">
        <f t="shared" si="36"/>
        <v/>
      </c>
      <c r="FZ725" s="1479"/>
      <c r="GA725" s="1479"/>
      <c r="GB725" s="1479"/>
      <c r="GC725" s="1473"/>
    </row>
    <row r="726" spans="1:185" ht="12.95" customHeight="1">
      <c r="B726" s="1356" t="s">
        <v>164</v>
      </c>
      <c r="C726" s="1357"/>
      <c r="D726" s="1357"/>
      <c r="E726" s="1357"/>
      <c r="F726" s="1358"/>
      <c r="G726" s="1368">
        <v>29</v>
      </c>
      <c r="H726" s="1369"/>
      <c r="I726" s="1369"/>
      <c r="J726" s="1370"/>
      <c r="K726" s="1362">
        <v>1217</v>
      </c>
      <c r="L726" s="1363"/>
      <c r="M726" s="1363"/>
      <c r="N726" s="1364"/>
      <c r="O726" s="1359">
        <v>1994.53</v>
      </c>
      <c r="P726" s="1360"/>
      <c r="Q726" s="1360"/>
      <c r="R726" s="1360"/>
      <c r="S726" s="1361"/>
      <c r="T726" s="1359">
        <v>163</v>
      </c>
      <c r="U726" s="1360"/>
      <c r="V726" s="1360"/>
      <c r="W726" s="1361"/>
      <c r="X726" s="1371">
        <f t="shared" si="9"/>
        <v>2157.5299999999997</v>
      </c>
      <c r="Y726" s="1372"/>
      <c r="Z726" s="1372"/>
      <c r="AA726" s="1372"/>
      <c r="AB726" s="1373"/>
      <c r="AC726" s="1378">
        <v>0.6</v>
      </c>
      <c r="AD726" s="1379"/>
      <c r="AE726" s="1379"/>
      <c r="AF726" s="1379"/>
      <c r="AG726" s="1380"/>
      <c r="AH726" s="1374">
        <f t="shared" si="37"/>
        <v>0.51938613384689447</v>
      </c>
      <c r="AI726" s="1375"/>
      <c r="AJ726" s="1376"/>
      <c r="AK726" s="1356" t="s">
        <v>591</v>
      </c>
      <c r="AL726" s="1357"/>
      <c r="AM726" s="1357"/>
      <c r="AN726" s="1357"/>
      <c r="AO726" s="1358"/>
      <c r="AP726" s="3"/>
      <c r="AQ726" s="3"/>
      <c r="AR726" s="3"/>
      <c r="AS726" s="3"/>
      <c r="AY726" s="1085"/>
      <c r="AZ726" s="118">
        <f t="shared" si="10"/>
        <v>4154</v>
      </c>
      <c r="BA726" s="3"/>
      <c r="BB726" s="3"/>
      <c r="BC726" s="3"/>
      <c r="BD726" s="3"/>
      <c r="BE726" s="204"/>
      <c r="BF726" s="294">
        <f t="shared" si="11"/>
        <v>29</v>
      </c>
      <c r="BG726" s="297">
        <f t="shared" si="12"/>
        <v>0.40845070422535212</v>
      </c>
      <c r="BH726" s="298">
        <f t="shared" si="13"/>
        <v>0.24507042253521127</v>
      </c>
      <c r="BI726" s="3"/>
      <c r="BJ726" s="3"/>
      <c r="BK726" s="3"/>
      <c r="BL726" s="3"/>
      <c r="BM726" s="3"/>
      <c r="BN726" s="3"/>
      <c r="BS726" s="294">
        <f t="shared" si="14"/>
        <v>29</v>
      </c>
      <c r="BT726" s="297">
        <f t="shared" si="15"/>
        <v>0.40845070422535212</v>
      </c>
      <c r="BU726" s="298">
        <f t="shared" si="16"/>
        <v>0.21214363213464704</v>
      </c>
      <c r="BV726" s="3"/>
      <c r="BW726" s="3"/>
      <c r="BX726" s="3"/>
      <c r="BY726" s="3"/>
      <c r="BZ726" s="3"/>
      <c r="CA726" s="3"/>
      <c r="CB726" s="3"/>
      <c r="CC726" s="3"/>
      <c r="CE726" s="3"/>
      <c r="CF726" s="3"/>
      <c r="CG726" s="1472">
        <f t="shared" si="38"/>
        <v>0</v>
      </c>
      <c r="CH726" s="1473"/>
      <c r="CI726" s="1483">
        <f t="shared" si="39"/>
        <v>0</v>
      </c>
      <c r="CJ726" s="1484"/>
      <c r="CK726" s="1472">
        <f t="shared" si="17"/>
        <v>0</v>
      </c>
      <c r="CL726" s="1473"/>
      <c r="CM726" s="1483">
        <f t="shared" si="18"/>
        <v>0</v>
      </c>
      <c r="CN726" s="1484"/>
      <c r="CO726" s="3"/>
      <c r="CP726" s="1474">
        <f t="shared" si="19"/>
        <v>0</v>
      </c>
      <c r="CQ726" s="1475"/>
      <c r="CR726" s="1475"/>
      <c r="CS726" s="1475"/>
      <c r="CT726" s="1476"/>
      <c r="CU726" s="1463">
        <f t="shared" si="20"/>
        <v>0</v>
      </c>
      <c r="CV726" s="1463"/>
      <c r="CW726" s="1463"/>
      <c r="CX726" s="1463"/>
      <c r="CY726" s="1463"/>
      <c r="CZ726" s="1463">
        <f t="shared" si="21"/>
        <v>0</v>
      </c>
      <c r="DA726" s="1463"/>
      <c r="DB726" s="1463"/>
      <c r="DC726" s="1463"/>
      <c r="DD726" s="1463"/>
      <c r="DE726" s="1463">
        <f t="shared" si="22"/>
        <v>29</v>
      </c>
      <c r="DF726" s="1463"/>
      <c r="DG726" s="1463"/>
      <c r="DH726" s="1463"/>
      <c r="DI726" s="1463"/>
      <c r="DJ726" s="1463">
        <f t="shared" si="23"/>
        <v>0</v>
      </c>
      <c r="DK726" s="1463"/>
      <c r="DL726" s="1463"/>
      <c r="DM726" s="1463"/>
      <c r="DN726" s="1463"/>
      <c r="DO726" s="1463">
        <f t="shared" si="24"/>
        <v>0</v>
      </c>
      <c r="DP726" s="1463"/>
      <c r="DQ726" s="1463"/>
      <c r="DR726" s="1463"/>
      <c r="DS726" s="1463"/>
      <c r="DT726" s="6"/>
      <c r="DU726" s="1464">
        <f t="shared" si="25"/>
        <v>0</v>
      </c>
      <c r="DV726" s="1464"/>
      <c r="DW726" s="1464"/>
      <c r="DX726" s="1464"/>
      <c r="DY726" s="1464"/>
      <c r="DZ726" s="1464">
        <f t="shared" si="26"/>
        <v>0</v>
      </c>
      <c r="EA726" s="1464"/>
      <c r="EB726" s="1464"/>
      <c r="EC726" s="1464"/>
      <c r="ED726" s="1464"/>
      <c r="EE726" s="1464">
        <f t="shared" si="27"/>
        <v>0</v>
      </c>
      <c r="EF726" s="1464"/>
      <c r="EG726" s="1464"/>
      <c r="EH726" s="1464"/>
      <c r="EI726" s="1464"/>
      <c r="EJ726" s="1464">
        <f t="shared" si="28"/>
        <v>0</v>
      </c>
      <c r="EK726" s="1464"/>
      <c r="EL726" s="1464"/>
      <c r="EM726" s="1464"/>
      <c r="EN726" s="1464"/>
      <c r="EO726" s="1464">
        <f t="shared" si="29"/>
        <v>0</v>
      </c>
      <c r="EP726" s="1464"/>
      <c r="EQ726" s="1464"/>
      <c r="ER726" s="1464"/>
      <c r="ES726" s="1464"/>
      <c r="ET726" s="1464">
        <f t="shared" si="30"/>
        <v>0</v>
      </c>
      <c r="EU726" s="1464"/>
      <c r="EV726" s="1464"/>
      <c r="EW726" s="1464"/>
      <c r="EX726" s="1464"/>
      <c r="EY726" s="4"/>
      <c r="EZ726" s="1472" t="str">
        <f t="shared" si="31"/>
        <v/>
      </c>
      <c r="FA726" s="1479"/>
      <c r="FB726" s="1479"/>
      <c r="FC726" s="1479"/>
      <c r="FD726" s="1473"/>
      <c r="FE726" s="1472" t="str">
        <f t="shared" si="32"/>
        <v/>
      </c>
      <c r="FF726" s="1479"/>
      <c r="FG726" s="1479"/>
      <c r="FH726" s="1479"/>
      <c r="FI726" s="1473"/>
      <c r="FJ726" s="1472" t="str">
        <f t="shared" si="33"/>
        <v/>
      </c>
      <c r="FK726" s="1479"/>
      <c r="FL726" s="1479"/>
      <c r="FM726" s="1479"/>
      <c r="FN726" s="1473"/>
      <c r="FO726" s="1472">
        <f t="shared" si="34"/>
        <v>1994.53</v>
      </c>
      <c r="FP726" s="1479"/>
      <c r="FQ726" s="1479"/>
      <c r="FR726" s="1479"/>
      <c r="FS726" s="1473"/>
      <c r="FT726" s="1472" t="str">
        <f t="shared" si="35"/>
        <v/>
      </c>
      <c r="FU726" s="1479"/>
      <c r="FV726" s="1479"/>
      <c r="FW726" s="1479"/>
      <c r="FX726" s="1473"/>
      <c r="FY726" s="1472" t="str">
        <f t="shared" si="36"/>
        <v/>
      </c>
      <c r="FZ726" s="1479"/>
      <c r="GA726" s="1479"/>
      <c r="GB726" s="1479"/>
      <c r="GC726" s="1473"/>
    </row>
    <row r="727" spans="1:185" ht="12.95" customHeight="1">
      <c r="A727" s="4"/>
      <c r="B727" s="1356"/>
      <c r="C727" s="1357"/>
      <c r="D727" s="1357"/>
      <c r="E727" s="1357"/>
      <c r="F727" s="1358"/>
      <c r="G727" s="1368"/>
      <c r="H727" s="1369"/>
      <c r="I727" s="1369"/>
      <c r="J727" s="1370"/>
      <c r="K727" s="1362"/>
      <c r="L727" s="1363"/>
      <c r="M727" s="1363"/>
      <c r="N727" s="1364"/>
      <c r="O727" s="1359"/>
      <c r="P727" s="1360"/>
      <c r="Q727" s="1360"/>
      <c r="R727" s="1360"/>
      <c r="S727" s="1361"/>
      <c r="T727" s="1359"/>
      <c r="U727" s="1360"/>
      <c r="V727" s="1360"/>
      <c r="W727" s="1361"/>
      <c r="X727" s="1371">
        <f t="shared" si="9"/>
        <v>0</v>
      </c>
      <c r="Y727" s="1372"/>
      <c r="Z727" s="1372"/>
      <c r="AA727" s="1372"/>
      <c r="AB727" s="1373"/>
      <c r="AC727" s="1378"/>
      <c r="AD727" s="1379"/>
      <c r="AE727" s="1379"/>
      <c r="AF727" s="1379"/>
      <c r="AG727" s="1380"/>
      <c r="AH727" s="1374" t="str">
        <f t="shared" si="37"/>
        <v/>
      </c>
      <c r="AI727" s="1375"/>
      <c r="AJ727" s="1376"/>
      <c r="AK727" s="1356" t="s">
        <v>591</v>
      </c>
      <c r="AL727" s="1357"/>
      <c r="AM727" s="1357"/>
      <c r="AN727" s="1357"/>
      <c r="AO727" s="1358"/>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72">
        <f t="shared" si="38"/>
        <v>0</v>
      </c>
      <c r="CH727" s="1473"/>
      <c r="CI727" s="1483">
        <f t="shared" si="39"/>
        <v>0</v>
      </c>
      <c r="CJ727" s="1484"/>
      <c r="CK727" s="1472">
        <f t="shared" si="17"/>
        <v>0</v>
      </c>
      <c r="CL727" s="1473"/>
      <c r="CM727" s="1483">
        <f t="shared" si="18"/>
        <v>0</v>
      </c>
      <c r="CN727" s="1484"/>
      <c r="CO727" s="3"/>
      <c r="CP727" s="1474">
        <f t="shared" si="19"/>
        <v>0</v>
      </c>
      <c r="CQ727" s="1475"/>
      <c r="CR727" s="1475"/>
      <c r="CS727" s="1475"/>
      <c r="CT727" s="1476"/>
      <c r="CU727" s="1463">
        <f t="shared" si="20"/>
        <v>0</v>
      </c>
      <c r="CV727" s="1463"/>
      <c r="CW727" s="1463"/>
      <c r="CX727" s="1463"/>
      <c r="CY727" s="1463"/>
      <c r="CZ727" s="1463">
        <f t="shared" si="21"/>
        <v>0</v>
      </c>
      <c r="DA727" s="1463"/>
      <c r="DB727" s="1463"/>
      <c r="DC727" s="1463"/>
      <c r="DD727" s="1463"/>
      <c r="DE727" s="1463">
        <f t="shared" si="22"/>
        <v>0</v>
      </c>
      <c r="DF727" s="1463"/>
      <c r="DG727" s="1463"/>
      <c r="DH727" s="1463"/>
      <c r="DI727" s="1463"/>
      <c r="DJ727" s="1463">
        <f t="shared" si="23"/>
        <v>0</v>
      </c>
      <c r="DK727" s="1463"/>
      <c r="DL727" s="1463"/>
      <c r="DM727" s="1463"/>
      <c r="DN727" s="1463"/>
      <c r="DO727" s="1463">
        <f t="shared" si="24"/>
        <v>0</v>
      </c>
      <c r="DP727" s="1463"/>
      <c r="DQ727" s="1463"/>
      <c r="DR727" s="1463"/>
      <c r="DS727" s="1463"/>
      <c r="DT727" s="6"/>
      <c r="DU727" s="1464">
        <f t="shared" si="25"/>
        <v>0</v>
      </c>
      <c r="DV727" s="1464"/>
      <c r="DW727" s="1464"/>
      <c r="DX727" s="1464"/>
      <c r="DY727" s="1464"/>
      <c r="DZ727" s="1464">
        <f t="shared" si="26"/>
        <v>0</v>
      </c>
      <c r="EA727" s="1464"/>
      <c r="EB727" s="1464"/>
      <c r="EC727" s="1464"/>
      <c r="ED727" s="1464"/>
      <c r="EE727" s="1464">
        <f t="shared" si="27"/>
        <v>0</v>
      </c>
      <c r="EF727" s="1464"/>
      <c r="EG727" s="1464"/>
      <c r="EH727" s="1464"/>
      <c r="EI727" s="1464"/>
      <c r="EJ727" s="1464">
        <f t="shared" si="28"/>
        <v>0</v>
      </c>
      <c r="EK727" s="1464"/>
      <c r="EL727" s="1464"/>
      <c r="EM727" s="1464"/>
      <c r="EN727" s="1464"/>
      <c r="EO727" s="1464">
        <f t="shared" si="29"/>
        <v>0</v>
      </c>
      <c r="EP727" s="1464"/>
      <c r="EQ727" s="1464"/>
      <c r="ER727" s="1464"/>
      <c r="ES727" s="1464"/>
      <c r="ET727" s="1464">
        <f t="shared" si="30"/>
        <v>0</v>
      </c>
      <c r="EU727" s="1464"/>
      <c r="EV727" s="1464"/>
      <c r="EW727" s="1464"/>
      <c r="EX727" s="1464"/>
      <c r="EY727" s="4"/>
      <c r="EZ727" s="1472" t="str">
        <f t="shared" si="31"/>
        <v/>
      </c>
      <c r="FA727" s="1479"/>
      <c r="FB727" s="1479"/>
      <c r="FC727" s="1479"/>
      <c r="FD727" s="1473"/>
      <c r="FE727" s="1472" t="str">
        <f t="shared" si="32"/>
        <v/>
      </c>
      <c r="FF727" s="1479"/>
      <c r="FG727" s="1479"/>
      <c r="FH727" s="1479"/>
      <c r="FI727" s="1473"/>
      <c r="FJ727" s="1472" t="str">
        <f t="shared" si="33"/>
        <v/>
      </c>
      <c r="FK727" s="1479"/>
      <c r="FL727" s="1479"/>
      <c r="FM727" s="1479"/>
      <c r="FN727" s="1473"/>
      <c r="FO727" s="1472" t="str">
        <f t="shared" si="34"/>
        <v/>
      </c>
      <c r="FP727" s="1479"/>
      <c r="FQ727" s="1479"/>
      <c r="FR727" s="1479"/>
      <c r="FS727" s="1473"/>
      <c r="FT727" s="1472" t="str">
        <f t="shared" si="35"/>
        <v/>
      </c>
      <c r="FU727" s="1479"/>
      <c r="FV727" s="1479"/>
      <c r="FW727" s="1479"/>
      <c r="FX727" s="1473"/>
      <c r="FY727" s="1472" t="str">
        <f t="shared" si="36"/>
        <v/>
      </c>
      <c r="FZ727" s="1479"/>
      <c r="GA727" s="1479"/>
      <c r="GB727" s="1479"/>
      <c r="GC727" s="1473"/>
    </row>
    <row r="728" spans="1:185" ht="12.95" customHeight="1">
      <c r="A728" s="4"/>
      <c r="B728" s="1356"/>
      <c r="C728" s="1357"/>
      <c r="D728" s="1357"/>
      <c r="E728" s="1357"/>
      <c r="F728" s="1358"/>
      <c r="G728" s="1368"/>
      <c r="H728" s="1369"/>
      <c r="I728" s="1369"/>
      <c r="J728" s="1370"/>
      <c r="K728" s="1362"/>
      <c r="L728" s="1363"/>
      <c r="M728" s="1363"/>
      <c r="N728" s="1364"/>
      <c r="O728" s="1359"/>
      <c r="P728" s="1360"/>
      <c r="Q728" s="1360"/>
      <c r="R728" s="1360"/>
      <c r="S728" s="1361"/>
      <c r="T728" s="1359"/>
      <c r="U728" s="1360"/>
      <c r="V728" s="1360"/>
      <c r="W728" s="1361"/>
      <c r="X728" s="1371">
        <f t="shared" si="9"/>
        <v>0</v>
      </c>
      <c r="Y728" s="1372"/>
      <c r="Z728" s="1372"/>
      <c r="AA728" s="1372"/>
      <c r="AB728" s="1373"/>
      <c r="AC728" s="1378"/>
      <c r="AD728" s="1379"/>
      <c r="AE728" s="1379"/>
      <c r="AF728" s="1379"/>
      <c r="AG728" s="1380"/>
      <c r="AH728" s="1374" t="str">
        <f t="shared" si="37"/>
        <v/>
      </c>
      <c r="AI728" s="1375"/>
      <c r="AJ728" s="1376"/>
      <c r="AK728" s="1356" t="s">
        <v>591</v>
      </c>
      <c r="AL728" s="1357"/>
      <c r="AM728" s="1357"/>
      <c r="AN728" s="1357"/>
      <c r="AO728" s="1358"/>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72">
        <f t="shared" si="38"/>
        <v>0</v>
      </c>
      <c r="CH728" s="1473"/>
      <c r="CI728" s="1483">
        <f t="shared" si="39"/>
        <v>0</v>
      </c>
      <c r="CJ728" s="1484"/>
      <c r="CK728" s="1472">
        <f t="shared" si="17"/>
        <v>0</v>
      </c>
      <c r="CL728" s="1473"/>
      <c r="CM728" s="1483">
        <f t="shared" si="18"/>
        <v>0</v>
      </c>
      <c r="CN728" s="1484"/>
      <c r="CO728" s="3"/>
      <c r="CP728" s="1474">
        <f t="shared" si="19"/>
        <v>0</v>
      </c>
      <c r="CQ728" s="1475"/>
      <c r="CR728" s="1475"/>
      <c r="CS728" s="1475"/>
      <c r="CT728" s="1476"/>
      <c r="CU728" s="1463">
        <f t="shared" si="20"/>
        <v>0</v>
      </c>
      <c r="CV728" s="1463"/>
      <c r="CW728" s="1463"/>
      <c r="CX728" s="1463"/>
      <c r="CY728" s="1463"/>
      <c r="CZ728" s="1463">
        <f t="shared" si="21"/>
        <v>0</v>
      </c>
      <c r="DA728" s="1463"/>
      <c r="DB728" s="1463"/>
      <c r="DC728" s="1463"/>
      <c r="DD728" s="1463"/>
      <c r="DE728" s="1463">
        <f t="shared" si="22"/>
        <v>0</v>
      </c>
      <c r="DF728" s="1463"/>
      <c r="DG728" s="1463"/>
      <c r="DH728" s="1463"/>
      <c r="DI728" s="1463"/>
      <c r="DJ728" s="1463">
        <f t="shared" si="23"/>
        <v>0</v>
      </c>
      <c r="DK728" s="1463"/>
      <c r="DL728" s="1463"/>
      <c r="DM728" s="1463"/>
      <c r="DN728" s="1463"/>
      <c r="DO728" s="1463">
        <f t="shared" si="24"/>
        <v>0</v>
      </c>
      <c r="DP728" s="1463"/>
      <c r="DQ728" s="1463"/>
      <c r="DR728" s="1463"/>
      <c r="DS728" s="1463"/>
      <c r="DT728" s="6"/>
      <c r="DU728" s="1464">
        <f t="shared" si="25"/>
        <v>0</v>
      </c>
      <c r="DV728" s="1464"/>
      <c r="DW728" s="1464"/>
      <c r="DX728" s="1464"/>
      <c r="DY728" s="1464"/>
      <c r="DZ728" s="1464">
        <f t="shared" si="26"/>
        <v>0</v>
      </c>
      <c r="EA728" s="1464"/>
      <c r="EB728" s="1464"/>
      <c r="EC728" s="1464"/>
      <c r="ED728" s="1464"/>
      <c r="EE728" s="1464">
        <f t="shared" si="27"/>
        <v>0</v>
      </c>
      <c r="EF728" s="1464"/>
      <c r="EG728" s="1464"/>
      <c r="EH728" s="1464"/>
      <c r="EI728" s="1464"/>
      <c r="EJ728" s="1464">
        <f t="shared" si="28"/>
        <v>0</v>
      </c>
      <c r="EK728" s="1464"/>
      <c r="EL728" s="1464"/>
      <c r="EM728" s="1464"/>
      <c r="EN728" s="1464"/>
      <c r="EO728" s="1464">
        <f t="shared" si="29"/>
        <v>0</v>
      </c>
      <c r="EP728" s="1464"/>
      <c r="EQ728" s="1464"/>
      <c r="ER728" s="1464"/>
      <c r="ES728" s="1464"/>
      <c r="ET728" s="1464">
        <f t="shared" si="30"/>
        <v>0</v>
      </c>
      <c r="EU728" s="1464"/>
      <c r="EV728" s="1464"/>
      <c r="EW728" s="1464"/>
      <c r="EX728" s="1464"/>
      <c r="EY728" s="4"/>
      <c r="EZ728" s="1472" t="str">
        <f t="shared" si="31"/>
        <v/>
      </c>
      <c r="FA728" s="1479"/>
      <c r="FB728" s="1479"/>
      <c r="FC728" s="1479"/>
      <c r="FD728" s="1473"/>
      <c r="FE728" s="1472" t="str">
        <f t="shared" si="32"/>
        <v/>
      </c>
      <c r="FF728" s="1479"/>
      <c r="FG728" s="1479"/>
      <c r="FH728" s="1479"/>
      <c r="FI728" s="1473"/>
      <c r="FJ728" s="1472" t="str">
        <f t="shared" si="33"/>
        <v/>
      </c>
      <c r="FK728" s="1479"/>
      <c r="FL728" s="1479"/>
      <c r="FM728" s="1479"/>
      <c r="FN728" s="1473"/>
      <c r="FO728" s="1472" t="str">
        <f t="shared" si="34"/>
        <v/>
      </c>
      <c r="FP728" s="1479"/>
      <c r="FQ728" s="1479"/>
      <c r="FR728" s="1479"/>
      <c r="FS728" s="1473"/>
      <c r="FT728" s="1472" t="str">
        <f t="shared" si="35"/>
        <v/>
      </c>
      <c r="FU728" s="1479"/>
      <c r="FV728" s="1479"/>
      <c r="FW728" s="1479"/>
      <c r="FX728" s="1473"/>
      <c r="FY728" s="1472" t="str">
        <f t="shared" si="36"/>
        <v/>
      </c>
      <c r="FZ728" s="1479"/>
      <c r="GA728" s="1479"/>
      <c r="GB728" s="1479"/>
      <c r="GC728" s="1473"/>
    </row>
    <row r="729" spans="1:185" ht="12.95" customHeight="1">
      <c r="A729" s="4"/>
      <c r="B729" s="1356"/>
      <c r="C729" s="1357"/>
      <c r="D729" s="1357"/>
      <c r="E729" s="1357"/>
      <c r="F729" s="1358"/>
      <c r="G729" s="1368"/>
      <c r="H729" s="1369"/>
      <c r="I729" s="1369"/>
      <c r="J729" s="1370"/>
      <c r="K729" s="1362"/>
      <c r="L729" s="1363"/>
      <c r="M729" s="1363"/>
      <c r="N729" s="1364"/>
      <c r="O729" s="1359"/>
      <c r="P729" s="1360"/>
      <c r="Q729" s="1360"/>
      <c r="R729" s="1360"/>
      <c r="S729" s="1361"/>
      <c r="T729" s="1359"/>
      <c r="U729" s="1360"/>
      <c r="V729" s="1360"/>
      <c r="W729" s="1361"/>
      <c r="X729" s="1371">
        <f t="shared" si="9"/>
        <v>0</v>
      </c>
      <c r="Y729" s="1372"/>
      <c r="Z729" s="1372"/>
      <c r="AA729" s="1372"/>
      <c r="AB729" s="1373"/>
      <c r="AC729" s="1378"/>
      <c r="AD729" s="1379"/>
      <c r="AE729" s="1379"/>
      <c r="AF729" s="1379"/>
      <c r="AG729" s="1380"/>
      <c r="AH729" s="1374" t="str">
        <f t="shared" si="37"/>
        <v/>
      </c>
      <c r="AI729" s="1375"/>
      <c r="AJ729" s="1376"/>
      <c r="AK729" s="1356" t="s">
        <v>591</v>
      </c>
      <c r="AL729" s="1357"/>
      <c r="AM729" s="1357"/>
      <c r="AN729" s="1357"/>
      <c r="AO729" s="1358"/>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72">
        <f t="shared" si="38"/>
        <v>0</v>
      </c>
      <c r="CH729" s="1473"/>
      <c r="CI729" s="1483">
        <f t="shared" si="39"/>
        <v>0</v>
      </c>
      <c r="CJ729" s="1484"/>
      <c r="CK729" s="1472">
        <f t="shared" si="17"/>
        <v>0</v>
      </c>
      <c r="CL729" s="1473"/>
      <c r="CM729" s="1483">
        <f t="shared" si="18"/>
        <v>0</v>
      </c>
      <c r="CN729" s="1484"/>
      <c r="CO729" s="3"/>
      <c r="CP729" s="1474">
        <f t="shared" si="19"/>
        <v>0</v>
      </c>
      <c r="CQ729" s="1475"/>
      <c r="CR729" s="1475"/>
      <c r="CS729" s="1475"/>
      <c r="CT729" s="1476"/>
      <c r="CU729" s="1463">
        <f t="shared" si="20"/>
        <v>0</v>
      </c>
      <c r="CV729" s="1463"/>
      <c r="CW729" s="1463"/>
      <c r="CX729" s="1463"/>
      <c r="CY729" s="1463"/>
      <c r="CZ729" s="1463">
        <f t="shared" si="21"/>
        <v>0</v>
      </c>
      <c r="DA729" s="1463"/>
      <c r="DB729" s="1463"/>
      <c r="DC729" s="1463"/>
      <c r="DD729" s="1463"/>
      <c r="DE729" s="1463">
        <f t="shared" si="22"/>
        <v>0</v>
      </c>
      <c r="DF729" s="1463"/>
      <c r="DG729" s="1463"/>
      <c r="DH729" s="1463"/>
      <c r="DI729" s="1463"/>
      <c r="DJ729" s="1463">
        <f t="shared" si="23"/>
        <v>0</v>
      </c>
      <c r="DK729" s="1463"/>
      <c r="DL729" s="1463"/>
      <c r="DM729" s="1463"/>
      <c r="DN729" s="1463"/>
      <c r="DO729" s="1463">
        <f t="shared" si="24"/>
        <v>0</v>
      </c>
      <c r="DP729" s="1463"/>
      <c r="DQ729" s="1463"/>
      <c r="DR729" s="1463"/>
      <c r="DS729" s="1463"/>
      <c r="DT729" s="6"/>
      <c r="DU729" s="1464">
        <f t="shared" si="25"/>
        <v>0</v>
      </c>
      <c r="DV729" s="1464"/>
      <c r="DW729" s="1464"/>
      <c r="DX729" s="1464"/>
      <c r="DY729" s="1464"/>
      <c r="DZ729" s="1464">
        <f t="shared" si="26"/>
        <v>0</v>
      </c>
      <c r="EA729" s="1464"/>
      <c r="EB729" s="1464"/>
      <c r="EC729" s="1464"/>
      <c r="ED729" s="1464"/>
      <c r="EE729" s="1464">
        <f t="shared" si="27"/>
        <v>0</v>
      </c>
      <c r="EF729" s="1464"/>
      <c r="EG729" s="1464"/>
      <c r="EH729" s="1464"/>
      <c r="EI729" s="1464"/>
      <c r="EJ729" s="1464">
        <f t="shared" si="28"/>
        <v>0</v>
      </c>
      <c r="EK729" s="1464"/>
      <c r="EL729" s="1464"/>
      <c r="EM729" s="1464"/>
      <c r="EN729" s="1464"/>
      <c r="EO729" s="1464">
        <f t="shared" si="29"/>
        <v>0</v>
      </c>
      <c r="EP729" s="1464"/>
      <c r="EQ729" s="1464"/>
      <c r="ER729" s="1464"/>
      <c r="ES729" s="1464"/>
      <c r="ET729" s="1464">
        <f t="shared" si="30"/>
        <v>0</v>
      </c>
      <c r="EU729" s="1464"/>
      <c r="EV729" s="1464"/>
      <c r="EW729" s="1464"/>
      <c r="EX729" s="1464"/>
      <c r="EZ729" s="1472" t="str">
        <f t="shared" si="31"/>
        <v/>
      </c>
      <c r="FA729" s="1479"/>
      <c r="FB729" s="1479"/>
      <c r="FC729" s="1479"/>
      <c r="FD729" s="1473"/>
      <c r="FE729" s="1472" t="str">
        <f t="shared" si="32"/>
        <v/>
      </c>
      <c r="FF729" s="1479"/>
      <c r="FG729" s="1479"/>
      <c r="FH729" s="1479"/>
      <c r="FI729" s="1473"/>
      <c r="FJ729" s="1472" t="str">
        <f t="shared" si="33"/>
        <v/>
      </c>
      <c r="FK729" s="1479"/>
      <c r="FL729" s="1479"/>
      <c r="FM729" s="1479"/>
      <c r="FN729" s="1473"/>
      <c r="FO729" s="1472" t="str">
        <f t="shared" si="34"/>
        <v/>
      </c>
      <c r="FP729" s="1479"/>
      <c r="FQ729" s="1479"/>
      <c r="FR729" s="1479"/>
      <c r="FS729" s="1473"/>
      <c r="FT729" s="1472" t="str">
        <f t="shared" si="35"/>
        <v/>
      </c>
      <c r="FU729" s="1479"/>
      <c r="FV729" s="1479"/>
      <c r="FW729" s="1479"/>
      <c r="FX729" s="1473"/>
      <c r="FY729" s="1472" t="str">
        <f t="shared" si="36"/>
        <v/>
      </c>
      <c r="FZ729" s="1479"/>
      <c r="GA729" s="1479"/>
      <c r="GB729" s="1479"/>
      <c r="GC729" s="1473"/>
    </row>
    <row r="730" spans="1:185" ht="12.95" customHeight="1">
      <c r="B730" s="1356"/>
      <c r="C730" s="1357"/>
      <c r="D730" s="1357"/>
      <c r="E730" s="1357"/>
      <c r="F730" s="1358"/>
      <c r="G730" s="1368"/>
      <c r="H730" s="1369"/>
      <c r="I730" s="1369"/>
      <c r="J730" s="1370"/>
      <c r="K730" s="1362"/>
      <c r="L730" s="1363"/>
      <c r="M730" s="1363"/>
      <c r="N730" s="1364"/>
      <c r="O730" s="1359"/>
      <c r="P730" s="1360"/>
      <c r="Q730" s="1360"/>
      <c r="R730" s="1360"/>
      <c r="S730" s="1361"/>
      <c r="T730" s="1359"/>
      <c r="U730" s="1360"/>
      <c r="V730" s="1360"/>
      <c r="W730" s="1361"/>
      <c r="X730" s="1371">
        <f t="shared" si="9"/>
        <v>0</v>
      </c>
      <c r="Y730" s="1372"/>
      <c r="Z730" s="1372"/>
      <c r="AA730" s="1372"/>
      <c r="AB730" s="1373"/>
      <c r="AC730" s="1378"/>
      <c r="AD730" s="1379"/>
      <c r="AE730" s="1379"/>
      <c r="AF730" s="1379"/>
      <c r="AG730" s="1380"/>
      <c r="AH730" s="1374" t="str">
        <f t="shared" si="37"/>
        <v/>
      </c>
      <c r="AI730" s="1375"/>
      <c r="AJ730" s="1376"/>
      <c r="AK730" s="1356" t="s">
        <v>591</v>
      </c>
      <c r="AL730" s="1357"/>
      <c r="AM730" s="1357"/>
      <c r="AN730" s="1357"/>
      <c r="AO730" s="1358"/>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72">
        <f t="shared" si="38"/>
        <v>0</v>
      </c>
      <c r="CH730" s="1473"/>
      <c r="CI730" s="1483">
        <f t="shared" si="39"/>
        <v>0</v>
      </c>
      <c r="CJ730" s="1484"/>
      <c r="CK730" s="1472">
        <f t="shared" si="17"/>
        <v>0</v>
      </c>
      <c r="CL730" s="1473"/>
      <c r="CM730" s="1483">
        <f t="shared" si="18"/>
        <v>0</v>
      </c>
      <c r="CN730" s="1484"/>
      <c r="CO730" s="3"/>
      <c r="CP730" s="1474">
        <f t="shared" si="19"/>
        <v>0</v>
      </c>
      <c r="CQ730" s="1475"/>
      <c r="CR730" s="1475"/>
      <c r="CS730" s="1475"/>
      <c r="CT730" s="1476"/>
      <c r="CU730" s="1463">
        <f t="shared" si="20"/>
        <v>0</v>
      </c>
      <c r="CV730" s="1463"/>
      <c r="CW730" s="1463"/>
      <c r="CX730" s="1463"/>
      <c r="CY730" s="1463"/>
      <c r="CZ730" s="1463">
        <f t="shared" si="21"/>
        <v>0</v>
      </c>
      <c r="DA730" s="1463"/>
      <c r="DB730" s="1463"/>
      <c r="DC730" s="1463"/>
      <c r="DD730" s="1463"/>
      <c r="DE730" s="1463">
        <f t="shared" si="22"/>
        <v>0</v>
      </c>
      <c r="DF730" s="1463"/>
      <c r="DG730" s="1463"/>
      <c r="DH730" s="1463"/>
      <c r="DI730" s="1463"/>
      <c r="DJ730" s="1463">
        <f t="shared" si="23"/>
        <v>0</v>
      </c>
      <c r="DK730" s="1463"/>
      <c r="DL730" s="1463"/>
      <c r="DM730" s="1463"/>
      <c r="DN730" s="1463"/>
      <c r="DO730" s="1463">
        <f t="shared" si="24"/>
        <v>0</v>
      </c>
      <c r="DP730" s="1463"/>
      <c r="DQ730" s="1463"/>
      <c r="DR730" s="1463"/>
      <c r="DS730" s="1463"/>
      <c r="DT730" s="6"/>
      <c r="DU730" s="1464">
        <f t="shared" si="25"/>
        <v>0</v>
      </c>
      <c r="DV730" s="1464"/>
      <c r="DW730" s="1464"/>
      <c r="DX730" s="1464"/>
      <c r="DY730" s="1464"/>
      <c r="DZ730" s="1464">
        <f t="shared" si="26"/>
        <v>0</v>
      </c>
      <c r="EA730" s="1464"/>
      <c r="EB730" s="1464"/>
      <c r="EC730" s="1464"/>
      <c r="ED730" s="1464"/>
      <c r="EE730" s="1464">
        <f t="shared" si="27"/>
        <v>0</v>
      </c>
      <c r="EF730" s="1464"/>
      <c r="EG730" s="1464"/>
      <c r="EH730" s="1464"/>
      <c r="EI730" s="1464"/>
      <c r="EJ730" s="1464">
        <f t="shared" si="28"/>
        <v>0</v>
      </c>
      <c r="EK730" s="1464"/>
      <c r="EL730" s="1464"/>
      <c r="EM730" s="1464"/>
      <c r="EN730" s="1464"/>
      <c r="EO730" s="1464">
        <f t="shared" si="29"/>
        <v>0</v>
      </c>
      <c r="EP730" s="1464"/>
      <c r="EQ730" s="1464"/>
      <c r="ER730" s="1464"/>
      <c r="ES730" s="1464"/>
      <c r="ET730" s="1464">
        <f t="shared" si="30"/>
        <v>0</v>
      </c>
      <c r="EU730" s="1464"/>
      <c r="EV730" s="1464"/>
      <c r="EW730" s="1464"/>
      <c r="EX730" s="1464"/>
      <c r="EZ730" s="1472" t="str">
        <f t="shared" si="31"/>
        <v/>
      </c>
      <c r="FA730" s="1479"/>
      <c r="FB730" s="1479"/>
      <c r="FC730" s="1479"/>
      <c r="FD730" s="1473"/>
      <c r="FE730" s="1472" t="str">
        <f t="shared" si="32"/>
        <v/>
      </c>
      <c r="FF730" s="1479"/>
      <c r="FG730" s="1479"/>
      <c r="FH730" s="1479"/>
      <c r="FI730" s="1473"/>
      <c r="FJ730" s="1472" t="str">
        <f t="shared" si="33"/>
        <v/>
      </c>
      <c r="FK730" s="1479"/>
      <c r="FL730" s="1479"/>
      <c r="FM730" s="1479"/>
      <c r="FN730" s="1473"/>
      <c r="FO730" s="1472" t="str">
        <f t="shared" si="34"/>
        <v/>
      </c>
      <c r="FP730" s="1479"/>
      <c r="FQ730" s="1479"/>
      <c r="FR730" s="1479"/>
      <c r="FS730" s="1473"/>
      <c r="FT730" s="1472" t="str">
        <f t="shared" si="35"/>
        <v/>
      </c>
      <c r="FU730" s="1479"/>
      <c r="FV730" s="1479"/>
      <c r="FW730" s="1479"/>
      <c r="FX730" s="1473"/>
      <c r="FY730" s="1472" t="str">
        <f t="shared" si="36"/>
        <v/>
      </c>
      <c r="FZ730" s="1479"/>
      <c r="GA730" s="1479"/>
      <c r="GB730" s="1479"/>
      <c r="GC730" s="1473"/>
    </row>
    <row r="731" spans="1:185" ht="12.95" customHeight="1">
      <c r="B731" s="1356"/>
      <c r="C731" s="1357"/>
      <c r="D731" s="1357"/>
      <c r="E731" s="1357"/>
      <c r="F731" s="1358"/>
      <c r="G731" s="1368"/>
      <c r="H731" s="1369"/>
      <c r="I731" s="1369"/>
      <c r="J731" s="1370"/>
      <c r="K731" s="1362"/>
      <c r="L731" s="1363"/>
      <c r="M731" s="1363"/>
      <c r="N731" s="1364"/>
      <c r="O731" s="1359"/>
      <c r="P731" s="1360"/>
      <c r="Q731" s="1360"/>
      <c r="R731" s="1360"/>
      <c r="S731" s="1361"/>
      <c r="T731" s="1359"/>
      <c r="U731" s="1360"/>
      <c r="V731" s="1360"/>
      <c r="W731" s="1361"/>
      <c r="X731" s="1371">
        <f t="shared" si="9"/>
        <v>0</v>
      </c>
      <c r="Y731" s="1372"/>
      <c r="Z731" s="1372"/>
      <c r="AA731" s="1372"/>
      <c r="AB731" s="1373"/>
      <c r="AC731" s="1378"/>
      <c r="AD731" s="1379"/>
      <c r="AE731" s="1379"/>
      <c r="AF731" s="1379"/>
      <c r="AG731" s="1380"/>
      <c r="AH731" s="1374" t="str">
        <f t="shared" si="37"/>
        <v/>
      </c>
      <c r="AI731" s="1375"/>
      <c r="AJ731" s="1376"/>
      <c r="AK731" s="1356" t="s">
        <v>591</v>
      </c>
      <c r="AL731" s="1357"/>
      <c r="AM731" s="1357"/>
      <c r="AN731" s="1357"/>
      <c r="AO731" s="1358"/>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72">
        <f t="shared" si="38"/>
        <v>0</v>
      </c>
      <c r="CH731" s="1473"/>
      <c r="CI731" s="1483">
        <f t="shared" si="39"/>
        <v>0</v>
      </c>
      <c r="CJ731" s="1484"/>
      <c r="CK731" s="1472">
        <f t="shared" si="17"/>
        <v>0</v>
      </c>
      <c r="CL731" s="1473"/>
      <c r="CM731" s="1483">
        <f t="shared" si="18"/>
        <v>0</v>
      </c>
      <c r="CN731" s="1484"/>
      <c r="CO731" s="3"/>
      <c r="CP731" s="1474">
        <f t="shared" si="19"/>
        <v>0</v>
      </c>
      <c r="CQ731" s="1475"/>
      <c r="CR731" s="1475"/>
      <c r="CS731" s="1475"/>
      <c r="CT731" s="1476"/>
      <c r="CU731" s="1463">
        <f t="shared" si="20"/>
        <v>0</v>
      </c>
      <c r="CV731" s="1463"/>
      <c r="CW731" s="1463"/>
      <c r="CX731" s="1463"/>
      <c r="CY731" s="1463"/>
      <c r="CZ731" s="1463">
        <f t="shared" si="21"/>
        <v>0</v>
      </c>
      <c r="DA731" s="1463"/>
      <c r="DB731" s="1463"/>
      <c r="DC731" s="1463"/>
      <c r="DD731" s="1463"/>
      <c r="DE731" s="1463">
        <f t="shared" si="22"/>
        <v>0</v>
      </c>
      <c r="DF731" s="1463"/>
      <c r="DG731" s="1463"/>
      <c r="DH731" s="1463"/>
      <c r="DI731" s="1463"/>
      <c r="DJ731" s="1463">
        <f t="shared" si="23"/>
        <v>0</v>
      </c>
      <c r="DK731" s="1463"/>
      <c r="DL731" s="1463"/>
      <c r="DM731" s="1463"/>
      <c r="DN731" s="1463"/>
      <c r="DO731" s="1463">
        <f t="shared" si="24"/>
        <v>0</v>
      </c>
      <c r="DP731" s="1463"/>
      <c r="DQ731" s="1463"/>
      <c r="DR731" s="1463"/>
      <c r="DS731" s="1463"/>
      <c r="DT731" s="6"/>
      <c r="DU731" s="1464">
        <f t="shared" si="25"/>
        <v>0</v>
      </c>
      <c r="DV731" s="1464"/>
      <c r="DW731" s="1464"/>
      <c r="DX731" s="1464"/>
      <c r="DY731" s="1464"/>
      <c r="DZ731" s="1464">
        <f t="shared" si="26"/>
        <v>0</v>
      </c>
      <c r="EA731" s="1464"/>
      <c r="EB731" s="1464"/>
      <c r="EC731" s="1464"/>
      <c r="ED731" s="1464"/>
      <c r="EE731" s="1464">
        <f t="shared" si="27"/>
        <v>0</v>
      </c>
      <c r="EF731" s="1464"/>
      <c r="EG731" s="1464"/>
      <c r="EH731" s="1464"/>
      <c r="EI731" s="1464"/>
      <c r="EJ731" s="1464">
        <f t="shared" si="28"/>
        <v>0</v>
      </c>
      <c r="EK731" s="1464"/>
      <c r="EL731" s="1464"/>
      <c r="EM731" s="1464"/>
      <c r="EN731" s="1464"/>
      <c r="EO731" s="1464">
        <f t="shared" si="29"/>
        <v>0</v>
      </c>
      <c r="EP731" s="1464"/>
      <c r="EQ731" s="1464"/>
      <c r="ER731" s="1464"/>
      <c r="ES731" s="1464"/>
      <c r="ET731" s="1464">
        <f t="shared" si="30"/>
        <v>0</v>
      </c>
      <c r="EU731" s="1464"/>
      <c r="EV731" s="1464"/>
      <c r="EW731" s="1464"/>
      <c r="EX731" s="1464"/>
      <c r="EZ731" s="1472" t="str">
        <f t="shared" si="31"/>
        <v/>
      </c>
      <c r="FA731" s="1479"/>
      <c r="FB731" s="1479"/>
      <c r="FC731" s="1479"/>
      <c r="FD731" s="1473"/>
      <c r="FE731" s="1472" t="str">
        <f t="shared" si="32"/>
        <v/>
      </c>
      <c r="FF731" s="1479"/>
      <c r="FG731" s="1479"/>
      <c r="FH731" s="1479"/>
      <c r="FI731" s="1473"/>
      <c r="FJ731" s="1472" t="str">
        <f t="shared" si="33"/>
        <v/>
      </c>
      <c r="FK731" s="1479"/>
      <c r="FL731" s="1479"/>
      <c r="FM731" s="1479"/>
      <c r="FN731" s="1473"/>
      <c r="FO731" s="1472" t="str">
        <f t="shared" si="34"/>
        <v/>
      </c>
      <c r="FP731" s="1479"/>
      <c r="FQ731" s="1479"/>
      <c r="FR731" s="1479"/>
      <c r="FS731" s="1473"/>
      <c r="FT731" s="1472" t="str">
        <f t="shared" si="35"/>
        <v/>
      </c>
      <c r="FU731" s="1479"/>
      <c r="FV731" s="1479"/>
      <c r="FW731" s="1479"/>
      <c r="FX731" s="1473"/>
      <c r="FY731" s="1472" t="str">
        <f t="shared" si="36"/>
        <v/>
      </c>
      <c r="FZ731" s="1479"/>
      <c r="GA731" s="1479"/>
      <c r="GB731" s="1479"/>
      <c r="GC731" s="1473"/>
    </row>
    <row r="732" spans="1:185" ht="12.95" customHeight="1">
      <c r="B732" s="1356"/>
      <c r="C732" s="1357"/>
      <c r="D732" s="1357"/>
      <c r="E732" s="1357"/>
      <c r="F732" s="1358"/>
      <c r="G732" s="1368"/>
      <c r="H732" s="1369"/>
      <c r="I732" s="1369"/>
      <c r="J732" s="1370"/>
      <c r="K732" s="1362"/>
      <c r="L732" s="1363"/>
      <c r="M732" s="1363"/>
      <c r="N732" s="1364"/>
      <c r="O732" s="1359"/>
      <c r="P732" s="1360"/>
      <c r="Q732" s="1360"/>
      <c r="R732" s="1360"/>
      <c r="S732" s="1361"/>
      <c r="T732" s="1359"/>
      <c r="U732" s="1360"/>
      <c r="V732" s="1360"/>
      <c r="W732" s="1361"/>
      <c r="X732" s="1371">
        <f t="shared" si="9"/>
        <v>0</v>
      </c>
      <c r="Y732" s="1372"/>
      <c r="Z732" s="1372"/>
      <c r="AA732" s="1372"/>
      <c r="AB732" s="1373"/>
      <c r="AC732" s="1378"/>
      <c r="AD732" s="1379"/>
      <c r="AE732" s="1379"/>
      <c r="AF732" s="1379"/>
      <c r="AG732" s="1380"/>
      <c r="AH732" s="1374" t="str">
        <f t="shared" si="37"/>
        <v/>
      </c>
      <c r="AI732" s="1375"/>
      <c r="AJ732" s="1376"/>
      <c r="AK732" s="1356" t="s">
        <v>591</v>
      </c>
      <c r="AL732" s="1357"/>
      <c r="AM732" s="1357"/>
      <c r="AN732" s="1357"/>
      <c r="AO732" s="1358"/>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72">
        <f t="shared" si="38"/>
        <v>0</v>
      </c>
      <c r="CH732" s="1473"/>
      <c r="CI732" s="1483">
        <f t="shared" si="39"/>
        <v>0</v>
      </c>
      <c r="CJ732" s="1484"/>
      <c r="CK732" s="1472">
        <f t="shared" si="17"/>
        <v>0</v>
      </c>
      <c r="CL732" s="1473"/>
      <c r="CM732" s="1483">
        <f t="shared" si="18"/>
        <v>0</v>
      </c>
      <c r="CN732" s="1484"/>
      <c r="CO732" s="3"/>
      <c r="CP732" s="1474">
        <f t="shared" si="19"/>
        <v>0</v>
      </c>
      <c r="CQ732" s="1475"/>
      <c r="CR732" s="1475"/>
      <c r="CS732" s="1475"/>
      <c r="CT732" s="1476"/>
      <c r="CU732" s="1463">
        <f t="shared" si="20"/>
        <v>0</v>
      </c>
      <c r="CV732" s="1463"/>
      <c r="CW732" s="1463"/>
      <c r="CX732" s="1463"/>
      <c r="CY732" s="1463"/>
      <c r="CZ732" s="1463">
        <f t="shared" si="21"/>
        <v>0</v>
      </c>
      <c r="DA732" s="1463"/>
      <c r="DB732" s="1463"/>
      <c r="DC732" s="1463"/>
      <c r="DD732" s="1463"/>
      <c r="DE732" s="1463">
        <f t="shared" si="22"/>
        <v>0</v>
      </c>
      <c r="DF732" s="1463"/>
      <c r="DG732" s="1463"/>
      <c r="DH732" s="1463"/>
      <c r="DI732" s="1463"/>
      <c r="DJ732" s="1463">
        <f t="shared" si="23"/>
        <v>0</v>
      </c>
      <c r="DK732" s="1463"/>
      <c r="DL732" s="1463"/>
      <c r="DM732" s="1463"/>
      <c r="DN732" s="1463"/>
      <c r="DO732" s="1463">
        <f t="shared" si="24"/>
        <v>0</v>
      </c>
      <c r="DP732" s="1463"/>
      <c r="DQ732" s="1463"/>
      <c r="DR732" s="1463"/>
      <c r="DS732" s="1463"/>
      <c r="DT732" s="6"/>
      <c r="DU732" s="1464">
        <f t="shared" si="25"/>
        <v>0</v>
      </c>
      <c r="DV732" s="1464"/>
      <c r="DW732" s="1464"/>
      <c r="DX732" s="1464"/>
      <c r="DY732" s="1464"/>
      <c r="DZ732" s="1464">
        <f t="shared" si="26"/>
        <v>0</v>
      </c>
      <c r="EA732" s="1464"/>
      <c r="EB732" s="1464"/>
      <c r="EC732" s="1464"/>
      <c r="ED732" s="1464"/>
      <c r="EE732" s="1464">
        <f t="shared" si="27"/>
        <v>0</v>
      </c>
      <c r="EF732" s="1464"/>
      <c r="EG732" s="1464"/>
      <c r="EH732" s="1464"/>
      <c r="EI732" s="1464"/>
      <c r="EJ732" s="1464">
        <f t="shared" si="28"/>
        <v>0</v>
      </c>
      <c r="EK732" s="1464"/>
      <c r="EL732" s="1464"/>
      <c r="EM732" s="1464"/>
      <c r="EN732" s="1464"/>
      <c r="EO732" s="1464">
        <f t="shared" si="29"/>
        <v>0</v>
      </c>
      <c r="EP732" s="1464"/>
      <c r="EQ732" s="1464"/>
      <c r="ER732" s="1464"/>
      <c r="ES732" s="1464"/>
      <c r="ET732" s="1464">
        <f t="shared" si="30"/>
        <v>0</v>
      </c>
      <c r="EU732" s="1464"/>
      <c r="EV732" s="1464"/>
      <c r="EW732" s="1464"/>
      <c r="EX732" s="1464"/>
      <c r="EZ732" s="1472" t="str">
        <f t="shared" si="31"/>
        <v/>
      </c>
      <c r="FA732" s="1479"/>
      <c r="FB732" s="1479"/>
      <c r="FC732" s="1479"/>
      <c r="FD732" s="1473"/>
      <c r="FE732" s="1472" t="str">
        <f t="shared" si="32"/>
        <v/>
      </c>
      <c r="FF732" s="1479"/>
      <c r="FG732" s="1479"/>
      <c r="FH732" s="1479"/>
      <c r="FI732" s="1473"/>
      <c r="FJ732" s="1472" t="str">
        <f t="shared" si="33"/>
        <v/>
      </c>
      <c r="FK732" s="1479"/>
      <c r="FL732" s="1479"/>
      <c r="FM732" s="1479"/>
      <c r="FN732" s="1473"/>
      <c r="FO732" s="1472" t="str">
        <f t="shared" si="34"/>
        <v/>
      </c>
      <c r="FP732" s="1479"/>
      <c r="FQ732" s="1479"/>
      <c r="FR732" s="1479"/>
      <c r="FS732" s="1473"/>
      <c r="FT732" s="1472" t="str">
        <f t="shared" si="35"/>
        <v/>
      </c>
      <c r="FU732" s="1479"/>
      <c r="FV732" s="1479"/>
      <c r="FW732" s="1479"/>
      <c r="FX732" s="1473"/>
      <c r="FY732" s="1472" t="str">
        <f t="shared" si="36"/>
        <v/>
      </c>
      <c r="FZ732" s="1479"/>
      <c r="GA732" s="1479"/>
      <c r="GB732" s="1479"/>
      <c r="GC732" s="1473"/>
    </row>
    <row r="733" spans="1:185" ht="12.95" customHeight="1">
      <c r="B733" s="1356"/>
      <c r="C733" s="1357"/>
      <c r="D733" s="1357"/>
      <c r="E733" s="1357"/>
      <c r="F733" s="1358"/>
      <c r="G733" s="1368"/>
      <c r="H733" s="1369"/>
      <c r="I733" s="1369"/>
      <c r="J733" s="1370"/>
      <c r="K733" s="1362"/>
      <c r="L733" s="1363"/>
      <c r="M733" s="1363"/>
      <c r="N733" s="1364"/>
      <c r="O733" s="1359"/>
      <c r="P733" s="1360"/>
      <c r="Q733" s="1360"/>
      <c r="R733" s="1360"/>
      <c r="S733" s="1361"/>
      <c r="T733" s="1359"/>
      <c r="U733" s="1360"/>
      <c r="V733" s="1360"/>
      <c r="W733" s="1361"/>
      <c r="X733" s="1371">
        <f t="shared" si="9"/>
        <v>0</v>
      </c>
      <c r="Y733" s="1372"/>
      <c r="Z733" s="1372"/>
      <c r="AA733" s="1372"/>
      <c r="AB733" s="1373"/>
      <c r="AC733" s="1378"/>
      <c r="AD733" s="1379"/>
      <c r="AE733" s="1379"/>
      <c r="AF733" s="1379"/>
      <c r="AG733" s="1380"/>
      <c r="AH733" s="1374" t="str">
        <f t="shared" si="37"/>
        <v/>
      </c>
      <c r="AI733" s="1375"/>
      <c r="AJ733" s="1376"/>
      <c r="AK733" s="1356" t="s">
        <v>591</v>
      </c>
      <c r="AL733" s="1357"/>
      <c r="AM733" s="1357"/>
      <c r="AN733" s="1357"/>
      <c r="AO733" s="1358"/>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72">
        <f t="shared" si="38"/>
        <v>0</v>
      </c>
      <c r="CH733" s="1473"/>
      <c r="CI733" s="1483">
        <f t="shared" si="39"/>
        <v>0</v>
      </c>
      <c r="CJ733" s="1484"/>
      <c r="CK733" s="1472">
        <f t="shared" si="17"/>
        <v>0</v>
      </c>
      <c r="CL733" s="1473"/>
      <c r="CM733" s="1483">
        <f t="shared" si="18"/>
        <v>0</v>
      </c>
      <c r="CN733" s="1484"/>
      <c r="CO733" s="3"/>
      <c r="CP733" s="1474">
        <f t="shared" si="19"/>
        <v>0</v>
      </c>
      <c r="CQ733" s="1475"/>
      <c r="CR733" s="1475"/>
      <c r="CS733" s="1475"/>
      <c r="CT733" s="1476"/>
      <c r="CU733" s="1463">
        <f t="shared" si="20"/>
        <v>0</v>
      </c>
      <c r="CV733" s="1463"/>
      <c r="CW733" s="1463"/>
      <c r="CX733" s="1463"/>
      <c r="CY733" s="1463"/>
      <c r="CZ733" s="1463">
        <f t="shared" si="21"/>
        <v>0</v>
      </c>
      <c r="DA733" s="1463"/>
      <c r="DB733" s="1463"/>
      <c r="DC733" s="1463"/>
      <c r="DD733" s="1463"/>
      <c r="DE733" s="1463">
        <f t="shared" si="22"/>
        <v>0</v>
      </c>
      <c r="DF733" s="1463"/>
      <c r="DG733" s="1463"/>
      <c r="DH733" s="1463"/>
      <c r="DI733" s="1463"/>
      <c r="DJ733" s="1463">
        <f t="shared" si="23"/>
        <v>0</v>
      </c>
      <c r="DK733" s="1463"/>
      <c r="DL733" s="1463"/>
      <c r="DM733" s="1463"/>
      <c r="DN733" s="1463"/>
      <c r="DO733" s="1463">
        <f t="shared" si="24"/>
        <v>0</v>
      </c>
      <c r="DP733" s="1463"/>
      <c r="DQ733" s="1463"/>
      <c r="DR733" s="1463"/>
      <c r="DS733" s="1463"/>
      <c r="DT733" s="6"/>
      <c r="DU733" s="1464">
        <f t="shared" si="25"/>
        <v>0</v>
      </c>
      <c r="DV733" s="1464"/>
      <c r="DW733" s="1464"/>
      <c r="DX733" s="1464"/>
      <c r="DY733" s="1464"/>
      <c r="DZ733" s="1464">
        <f t="shared" si="26"/>
        <v>0</v>
      </c>
      <c r="EA733" s="1464"/>
      <c r="EB733" s="1464"/>
      <c r="EC733" s="1464"/>
      <c r="ED733" s="1464"/>
      <c r="EE733" s="1464">
        <f t="shared" si="27"/>
        <v>0</v>
      </c>
      <c r="EF733" s="1464"/>
      <c r="EG733" s="1464"/>
      <c r="EH733" s="1464"/>
      <c r="EI733" s="1464"/>
      <c r="EJ733" s="1464">
        <f t="shared" si="28"/>
        <v>0</v>
      </c>
      <c r="EK733" s="1464"/>
      <c r="EL733" s="1464"/>
      <c r="EM733" s="1464"/>
      <c r="EN733" s="1464"/>
      <c r="EO733" s="1464">
        <f t="shared" si="29"/>
        <v>0</v>
      </c>
      <c r="EP733" s="1464"/>
      <c r="EQ733" s="1464"/>
      <c r="ER733" s="1464"/>
      <c r="ES733" s="1464"/>
      <c r="ET733" s="1464">
        <f t="shared" si="30"/>
        <v>0</v>
      </c>
      <c r="EU733" s="1464"/>
      <c r="EV733" s="1464"/>
      <c r="EW733" s="1464"/>
      <c r="EX733" s="1464"/>
      <c r="EZ733" s="1472" t="str">
        <f t="shared" si="31"/>
        <v/>
      </c>
      <c r="FA733" s="1479"/>
      <c r="FB733" s="1479"/>
      <c r="FC733" s="1479"/>
      <c r="FD733" s="1473"/>
      <c r="FE733" s="1472" t="str">
        <f t="shared" si="32"/>
        <v/>
      </c>
      <c r="FF733" s="1479"/>
      <c r="FG733" s="1479"/>
      <c r="FH733" s="1479"/>
      <c r="FI733" s="1473"/>
      <c r="FJ733" s="1472" t="str">
        <f t="shared" si="33"/>
        <v/>
      </c>
      <c r="FK733" s="1479"/>
      <c r="FL733" s="1479"/>
      <c r="FM733" s="1479"/>
      <c r="FN733" s="1473"/>
      <c r="FO733" s="1472" t="str">
        <f t="shared" si="34"/>
        <v/>
      </c>
      <c r="FP733" s="1479"/>
      <c r="FQ733" s="1479"/>
      <c r="FR733" s="1479"/>
      <c r="FS733" s="1473"/>
      <c r="FT733" s="1472" t="str">
        <f t="shared" si="35"/>
        <v/>
      </c>
      <c r="FU733" s="1479"/>
      <c r="FV733" s="1479"/>
      <c r="FW733" s="1479"/>
      <c r="FX733" s="1473"/>
      <c r="FY733" s="1472" t="str">
        <f t="shared" si="36"/>
        <v/>
      </c>
      <c r="FZ733" s="1479"/>
      <c r="GA733" s="1479"/>
      <c r="GB733" s="1479"/>
      <c r="GC733" s="1473"/>
    </row>
    <row r="734" spans="1:185" ht="12.95" customHeight="1">
      <c r="B734" s="1356"/>
      <c r="C734" s="1357"/>
      <c r="D734" s="1357"/>
      <c r="E734" s="1357"/>
      <c r="F734" s="1358"/>
      <c r="G734" s="1368"/>
      <c r="H734" s="1369"/>
      <c r="I734" s="1369"/>
      <c r="J734" s="1370"/>
      <c r="K734" s="1362"/>
      <c r="L734" s="1363"/>
      <c r="M734" s="1363"/>
      <c r="N734" s="1364"/>
      <c r="O734" s="1359"/>
      <c r="P734" s="1360"/>
      <c r="Q734" s="1360"/>
      <c r="R734" s="1360"/>
      <c r="S734" s="1361"/>
      <c r="T734" s="1359"/>
      <c r="U734" s="1360"/>
      <c r="V734" s="1360"/>
      <c r="W734" s="1361"/>
      <c r="X734" s="1371">
        <f t="shared" si="9"/>
        <v>0</v>
      </c>
      <c r="Y734" s="1372"/>
      <c r="Z734" s="1372"/>
      <c r="AA734" s="1372"/>
      <c r="AB734" s="1373"/>
      <c r="AC734" s="1378"/>
      <c r="AD734" s="1379"/>
      <c r="AE734" s="1379"/>
      <c r="AF734" s="1379"/>
      <c r="AG734" s="1380"/>
      <c r="AH734" s="1374" t="str">
        <f t="shared" si="37"/>
        <v/>
      </c>
      <c r="AI734" s="1375"/>
      <c r="AJ734" s="1376"/>
      <c r="AK734" s="1356" t="s">
        <v>591</v>
      </c>
      <c r="AL734" s="1357"/>
      <c r="AM734" s="1357"/>
      <c r="AN734" s="1357"/>
      <c r="AO734" s="1358"/>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72">
        <f t="shared" si="38"/>
        <v>0</v>
      </c>
      <c r="CH734" s="1473"/>
      <c r="CI734" s="1483">
        <f t="shared" si="39"/>
        <v>0</v>
      </c>
      <c r="CJ734" s="1484"/>
      <c r="CK734" s="1472">
        <f t="shared" si="17"/>
        <v>0</v>
      </c>
      <c r="CL734" s="1473"/>
      <c r="CM734" s="1483">
        <f t="shared" si="18"/>
        <v>0</v>
      </c>
      <c r="CN734" s="1484"/>
      <c r="CO734" s="3"/>
      <c r="CP734" s="1474">
        <f t="shared" si="19"/>
        <v>0</v>
      </c>
      <c r="CQ734" s="1475"/>
      <c r="CR734" s="1475"/>
      <c r="CS734" s="1475"/>
      <c r="CT734" s="1476"/>
      <c r="CU734" s="1463">
        <f t="shared" si="20"/>
        <v>0</v>
      </c>
      <c r="CV734" s="1463"/>
      <c r="CW734" s="1463"/>
      <c r="CX734" s="1463"/>
      <c r="CY734" s="1463"/>
      <c r="CZ734" s="1463">
        <f t="shared" si="21"/>
        <v>0</v>
      </c>
      <c r="DA734" s="1463"/>
      <c r="DB734" s="1463"/>
      <c r="DC734" s="1463"/>
      <c r="DD734" s="1463"/>
      <c r="DE734" s="1463">
        <f t="shared" si="22"/>
        <v>0</v>
      </c>
      <c r="DF734" s="1463"/>
      <c r="DG734" s="1463"/>
      <c r="DH734" s="1463"/>
      <c r="DI734" s="1463"/>
      <c r="DJ734" s="1463">
        <f t="shared" si="23"/>
        <v>0</v>
      </c>
      <c r="DK734" s="1463"/>
      <c r="DL734" s="1463"/>
      <c r="DM734" s="1463"/>
      <c r="DN734" s="1463"/>
      <c r="DO734" s="1463">
        <f t="shared" si="24"/>
        <v>0</v>
      </c>
      <c r="DP734" s="1463"/>
      <c r="DQ734" s="1463"/>
      <c r="DR734" s="1463"/>
      <c r="DS734" s="1463"/>
      <c r="DT734" s="6"/>
      <c r="DU734" s="1464">
        <f t="shared" si="25"/>
        <v>0</v>
      </c>
      <c r="DV734" s="1464"/>
      <c r="DW734" s="1464"/>
      <c r="DX734" s="1464"/>
      <c r="DY734" s="1464"/>
      <c r="DZ734" s="1464">
        <f t="shared" si="26"/>
        <v>0</v>
      </c>
      <c r="EA734" s="1464"/>
      <c r="EB734" s="1464"/>
      <c r="EC734" s="1464"/>
      <c r="ED734" s="1464"/>
      <c r="EE734" s="1464">
        <f t="shared" si="27"/>
        <v>0</v>
      </c>
      <c r="EF734" s="1464"/>
      <c r="EG734" s="1464"/>
      <c r="EH734" s="1464"/>
      <c r="EI734" s="1464"/>
      <c r="EJ734" s="1464">
        <f t="shared" si="28"/>
        <v>0</v>
      </c>
      <c r="EK734" s="1464"/>
      <c r="EL734" s="1464"/>
      <c r="EM734" s="1464"/>
      <c r="EN734" s="1464"/>
      <c r="EO734" s="1464">
        <f t="shared" si="29"/>
        <v>0</v>
      </c>
      <c r="EP734" s="1464"/>
      <c r="EQ734" s="1464"/>
      <c r="ER734" s="1464"/>
      <c r="ES734" s="1464"/>
      <c r="ET734" s="1464">
        <f t="shared" si="30"/>
        <v>0</v>
      </c>
      <c r="EU734" s="1464"/>
      <c r="EV734" s="1464"/>
      <c r="EW734" s="1464"/>
      <c r="EX734" s="1464"/>
      <c r="EZ734" s="1472" t="str">
        <f t="shared" si="31"/>
        <v/>
      </c>
      <c r="FA734" s="1479"/>
      <c r="FB734" s="1479"/>
      <c r="FC734" s="1479"/>
      <c r="FD734" s="1473"/>
      <c r="FE734" s="1472" t="str">
        <f t="shared" si="32"/>
        <v/>
      </c>
      <c r="FF734" s="1479"/>
      <c r="FG734" s="1479"/>
      <c r="FH734" s="1479"/>
      <c r="FI734" s="1473"/>
      <c r="FJ734" s="1472" t="str">
        <f t="shared" si="33"/>
        <v/>
      </c>
      <c r="FK734" s="1479"/>
      <c r="FL734" s="1479"/>
      <c r="FM734" s="1479"/>
      <c r="FN734" s="1473"/>
      <c r="FO734" s="1472" t="str">
        <f t="shared" si="34"/>
        <v/>
      </c>
      <c r="FP734" s="1479"/>
      <c r="FQ734" s="1479"/>
      <c r="FR734" s="1479"/>
      <c r="FS734" s="1473"/>
      <c r="FT734" s="1472" t="str">
        <f t="shared" si="35"/>
        <v/>
      </c>
      <c r="FU734" s="1479"/>
      <c r="FV734" s="1479"/>
      <c r="FW734" s="1479"/>
      <c r="FX734" s="1473"/>
      <c r="FY734" s="1472" t="str">
        <f t="shared" si="36"/>
        <v/>
      </c>
      <c r="FZ734" s="1479"/>
      <c r="GA734" s="1479"/>
      <c r="GB734" s="1479"/>
      <c r="GC734" s="1473"/>
    </row>
    <row r="735" spans="1:185" ht="12.95" customHeight="1">
      <c r="B735" s="1356"/>
      <c r="C735" s="1357"/>
      <c r="D735" s="1357"/>
      <c r="E735" s="1357"/>
      <c r="F735" s="1358"/>
      <c r="G735" s="1368"/>
      <c r="H735" s="1369"/>
      <c r="I735" s="1369"/>
      <c r="J735" s="1370"/>
      <c r="K735" s="1362"/>
      <c r="L735" s="1363"/>
      <c r="M735" s="1363"/>
      <c r="N735" s="1364"/>
      <c r="O735" s="1359"/>
      <c r="P735" s="1360"/>
      <c r="Q735" s="1360"/>
      <c r="R735" s="1360"/>
      <c r="S735" s="1361"/>
      <c r="T735" s="1359"/>
      <c r="U735" s="1360"/>
      <c r="V735" s="1360"/>
      <c r="W735" s="1361"/>
      <c r="X735" s="1371">
        <f t="shared" si="9"/>
        <v>0</v>
      </c>
      <c r="Y735" s="1372"/>
      <c r="Z735" s="1372"/>
      <c r="AA735" s="1372"/>
      <c r="AB735" s="1373"/>
      <c r="AC735" s="1378"/>
      <c r="AD735" s="1379"/>
      <c r="AE735" s="1379"/>
      <c r="AF735" s="1379"/>
      <c r="AG735" s="1380"/>
      <c r="AH735" s="1374" t="str">
        <f t="shared" si="37"/>
        <v/>
      </c>
      <c r="AI735" s="1375"/>
      <c r="AJ735" s="1376"/>
      <c r="AK735" s="1356" t="s">
        <v>591</v>
      </c>
      <c r="AL735" s="1357"/>
      <c r="AM735" s="1357"/>
      <c r="AN735" s="1357"/>
      <c r="AO735" s="1358"/>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72">
        <f t="shared" si="38"/>
        <v>0</v>
      </c>
      <c r="CH735" s="1473"/>
      <c r="CI735" s="1483">
        <f t="shared" si="39"/>
        <v>0</v>
      </c>
      <c r="CJ735" s="1484"/>
      <c r="CK735" s="1472">
        <f t="shared" si="17"/>
        <v>0</v>
      </c>
      <c r="CL735" s="1473"/>
      <c r="CM735" s="1483">
        <f t="shared" si="18"/>
        <v>0</v>
      </c>
      <c r="CN735" s="1484"/>
      <c r="CO735" s="3"/>
      <c r="CP735" s="1474">
        <f t="shared" si="19"/>
        <v>0</v>
      </c>
      <c r="CQ735" s="1475"/>
      <c r="CR735" s="1475"/>
      <c r="CS735" s="1475"/>
      <c r="CT735" s="1476"/>
      <c r="CU735" s="1463">
        <f t="shared" si="20"/>
        <v>0</v>
      </c>
      <c r="CV735" s="1463"/>
      <c r="CW735" s="1463"/>
      <c r="CX735" s="1463"/>
      <c r="CY735" s="1463"/>
      <c r="CZ735" s="1463">
        <f t="shared" si="21"/>
        <v>0</v>
      </c>
      <c r="DA735" s="1463"/>
      <c r="DB735" s="1463"/>
      <c r="DC735" s="1463"/>
      <c r="DD735" s="1463"/>
      <c r="DE735" s="1463">
        <f t="shared" si="22"/>
        <v>0</v>
      </c>
      <c r="DF735" s="1463"/>
      <c r="DG735" s="1463"/>
      <c r="DH735" s="1463"/>
      <c r="DI735" s="1463"/>
      <c r="DJ735" s="1463">
        <f t="shared" si="23"/>
        <v>0</v>
      </c>
      <c r="DK735" s="1463"/>
      <c r="DL735" s="1463"/>
      <c r="DM735" s="1463"/>
      <c r="DN735" s="1463"/>
      <c r="DO735" s="1463">
        <f t="shared" si="24"/>
        <v>0</v>
      </c>
      <c r="DP735" s="1463"/>
      <c r="DQ735" s="1463"/>
      <c r="DR735" s="1463"/>
      <c r="DS735" s="1463"/>
      <c r="DT735" s="6"/>
      <c r="DU735" s="1464">
        <f t="shared" si="25"/>
        <v>0</v>
      </c>
      <c r="DV735" s="1464"/>
      <c r="DW735" s="1464"/>
      <c r="DX735" s="1464"/>
      <c r="DY735" s="1464"/>
      <c r="DZ735" s="1464">
        <f t="shared" si="26"/>
        <v>0</v>
      </c>
      <c r="EA735" s="1464"/>
      <c r="EB735" s="1464"/>
      <c r="EC735" s="1464"/>
      <c r="ED735" s="1464"/>
      <c r="EE735" s="1464">
        <f t="shared" si="27"/>
        <v>0</v>
      </c>
      <c r="EF735" s="1464"/>
      <c r="EG735" s="1464"/>
      <c r="EH735" s="1464"/>
      <c r="EI735" s="1464"/>
      <c r="EJ735" s="1464">
        <f t="shared" si="28"/>
        <v>0</v>
      </c>
      <c r="EK735" s="1464"/>
      <c r="EL735" s="1464"/>
      <c r="EM735" s="1464"/>
      <c r="EN735" s="1464"/>
      <c r="EO735" s="1464">
        <f t="shared" si="29"/>
        <v>0</v>
      </c>
      <c r="EP735" s="1464"/>
      <c r="EQ735" s="1464"/>
      <c r="ER735" s="1464"/>
      <c r="ES735" s="1464"/>
      <c r="ET735" s="1464">
        <f t="shared" si="30"/>
        <v>0</v>
      </c>
      <c r="EU735" s="1464"/>
      <c r="EV735" s="1464"/>
      <c r="EW735" s="1464"/>
      <c r="EX735" s="1464"/>
      <c r="EZ735" s="1472" t="str">
        <f t="shared" si="31"/>
        <v/>
      </c>
      <c r="FA735" s="1479"/>
      <c r="FB735" s="1479"/>
      <c r="FC735" s="1479"/>
      <c r="FD735" s="1473"/>
      <c r="FE735" s="1472" t="str">
        <f t="shared" si="32"/>
        <v/>
      </c>
      <c r="FF735" s="1479"/>
      <c r="FG735" s="1479"/>
      <c r="FH735" s="1479"/>
      <c r="FI735" s="1473"/>
      <c r="FJ735" s="1472" t="str">
        <f t="shared" si="33"/>
        <v/>
      </c>
      <c r="FK735" s="1479"/>
      <c r="FL735" s="1479"/>
      <c r="FM735" s="1479"/>
      <c r="FN735" s="1473"/>
      <c r="FO735" s="1472" t="str">
        <f t="shared" si="34"/>
        <v/>
      </c>
      <c r="FP735" s="1479"/>
      <c r="FQ735" s="1479"/>
      <c r="FR735" s="1479"/>
      <c r="FS735" s="1473"/>
      <c r="FT735" s="1472" t="str">
        <f t="shared" si="35"/>
        <v/>
      </c>
      <c r="FU735" s="1479"/>
      <c r="FV735" s="1479"/>
      <c r="FW735" s="1479"/>
      <c r="FX735" s="1473"/>
      <c r="FY735" s="1472" t="str">
        <f t="shared" si="36"/>
        <v/>
      </c>
      <c r="FZ735" s="1479"/>
      <c r="GA735" s="1479"/>
      <c r="GB735" s="1479"/>
      <c r="GC735" s="1473"/>
    </row>
    <row r="736" spans="1:185" ht="12.95" customHeight="1">
      <c r="B736" s="1356"/>
      <c r="C736" s="1357"/>
      <c r="D736" s="1357"/>
      <c r="E736" s="1357"/>
      <c r="F736" s="1358"/>
      <c r="G736" s="1368"/>
      <c r="H736" s="1369"/>
      <c r="I736" s="1369"/>
      <c r="J736" s="1370"/>
      <c r="K736" s="1362"/>
      <c r="L736" s="1363"/>
      <c r="M736" s="1363"/>
      <c r="N736" s="1364"/>
      <c r="O736" s="1359"/>
      <c r="P736" s="1360"/>
      <c r="Q736" s="1360"/>
      <c r="R736" s="1360"/>
      <c r="S736" s="1361"/>
      <c r="T736" s="1359"/>
      <c r="U736" s="1360"/>
      <c r="V736" s="1360"/>
      <c r="W736" s="1361"/>
      <c r="X736" s="1371">
        <f t="shared" si="9"/>
        <v>0</v>
      </c>
      <c r="Y736" s="1372"/>
      <c r="Z736" s="1372"/>
      <c r="AA736" s="1372"/>
      <c r="AB736" s="1373"/>
      <c r="AC736" s="1378"/>
      <c r="AD736" s="1379"/>
      <c r="AE736" s="1379"/>
      <c r="AF736" s="1379"/>
      <c r="AG736" s="1380"/>
      <c r="AH736" s="1374" t="str">
        <f t="shared" si="37"/>
        <v/>
      </c>
      <c r="AI736" s="1375"/>
      <c r="AJ736" s="1376"/>
      <c r="AK736" s="1356" t="s">
        <v>591</v>
      </c>
      <c r="AL736" s="1357"/>
      <c r="AM736" s="1357"/>
      <c r="AN736" s="1357"/>
      <c r="AO736" s="1358"/>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72">
        <f t="shared" si="38"/>
        <v>0</v>
      </c>
      <c r="CH736" s="1473"/>
      <c r="CI736" s="1483">
        <f t="shared" si="39"/>
        <v>0</v>
      </c>
      <c r="CJ736" s="1484"/>
      <c r="CK736" s="1472">
        <f t="shared" si="17"/>
        <v>0</v>
      </c>
      <c r="CL736" s="1473"/>
      <c r="CM736" s="1483">
        <f t="shared" si="18"/>
        <v>0</v>
      </c>
      <c r="CN736" s="1484"/>
      <c r="CO736" s="3"/>
      <c r="CP736" s="1474">
        <f t="shared" si="19"/>
        <v>0</v>
      </c>
      <c r="CQ736" s="1475"/>
      <c r="CR736" s="1475"/>
      <c r="CS736" s="1475"/>
      <c r="CT736" s="1476"/>
      <c r="CU736" s="1463">
        <f t="shared" si="20"/>
        <v>0</v>
      </c>
      <c r="CV736" s="1463"/>
      <c r="CW736" s="1463"/>
      <c r="CX736" s="1463"/>
      <c r="CY736" s="1463"/>
      <c r="CZ736" s="1463">
        <f t="shared" si="21"/>
        <v>0</v>
      </c>
      <c r="DA736" s="1463"/>
      <c r="DB736" s="1463"/>
      <c r="DC736" s="1463"/>
      <c r="DD736" s="1463"/>
      <c r="DE736" s="1463">
        <f t="shared" si="22"/>
        <v>0</v>
      </c>
      <c r="DF736" s="1463"/>
      <c r="DG736" s="1463"/>
      <c r="DH736" s="1463"/>
      <c r="DI736" s="1463"/>
      <c r="DJ736" s="1463">
        <f t="shared" si="23"/>
        <v>0</v>
      </c>
      <c r="DK736" s="1463"/>
      <c r="DL736" s="1463"/>
      <c r="DM736" s="1463"/>
      <c r="DN736" s="1463"/>
      <c r="DO736" s="1463">
        <f t="shared" si="24"/>
        <v>0</v>
      </c>
      <c r="DP736" s="1463"/>
      <c r="DQ736" s="1463"/>
      <c r="DR736" s="1463"/>
      <c r="DS736" s="1463"/>
      <c r="DT736" s="6"/>
      <c r="DU736" s="1464">
        <f t="shared" si="25"/>
        <v>0</v>
      </c>
      <c r="DV736" s="1464"/>
      <c r="DW736" s="1464"/>
      <c r="DX736" s="1464"/>
      <c r="DY736" s="1464"/>
      <c r="DZ736" s="1464">
        <f t="shared" si="26"/>
        <v>0</v>
      </c>
      <c r="EA736" s="1464"/>
      <c r="EB736" s="1464"/>
      <c r="EC736" s="1464"/>
      <c r="ED736" s="1464"/>
      <c r="EE736" s="1464">
        <f t="shared" si="27"/>
        <v>0</v>
      </c>
      <c r="EF736" s="1464"/>
      <c r="EG736" s="1464"/>
      <c r="EH736" s="1464"/>
      <c r="EI736" s="1464"/>
      <c r="EJ736" s="1464">
        <f t="shared" si="28"/>
        <v>0</v>
      </c>
      <c r="EK736" s="1464"/>
      <c r="EL736" s="1464"/>
      <c r="EM736" s="1464"/>
      <c r="EN736" s="1464"/>
      <c r="EO736" s="1464">
        <f t="shared" si="29"/>
        <v>0</v>
      </c>
      <c r="EP736" s="1464"/>
      <c r="EQ736" s="1464"/>
      <c r="ER736" s="1464"/>
      <c r="ES736" s="1464"/>
      <c r="ET736" s="1464">
        <f t="shared" si="30"/>
        <v>0</v>
      </c>
      <c r="EU736" s="1464"/>
      <c r="EV736" s="1464"/>
      <c r="EW736" s="1464"/>
      <c r="EX736" s="1464"/>
      <c r="EZ736" s="1472" t="str">
        <f t="shared" si="31"/>
        <v/>
      </c>
      <c r="FA736" s="1479"/>
      <c r="FB736" s="1479"/>
      <c r="FC736" s="1479"/>
      <c r="FD736" s="1473"/>
      <c r="FE736" s="1472" t="str">
        <f t="shared" si="32"/>
        <v/>
      </c>
      <c r="FF736" s="1479"/>
      <c r="FG736" s="1479"/>
      <c r="FH736" s="1479"/>
      <c r="FI736" s="1473"/>
      <c r="FJ736" s="1472" t="str">
        <f t="shared" si="33"/>
        <v/>
      </c>
      <c r="FK736" s="1479"/>
      <c r="FL736" s="1479"/>
      <c r="FM736" s="1479"/>
      <c r="FN736" s="1473"/>
      <c r="FO736" s="1472" t="str">
        <f t="shared" si="34"/>
        <v/>
      </c>
      <c r="FP736" s="1479"/>
      <c r="FQ736" s="1479"/>
      <c r="FR736" s="1479"/>
      <c r="FS736" s="1473"/>
      <c r="FT736" s="1472" t="str">
        <f t="shared" si="35"/>
        <v/>
      </c>
      <c r="FU736" s="1479"/>
      <c r="FV736" s="1479"/>
      <c r="FW736" s="1479"/>
      <c r="FX736" s="1473"/>
      <c r="FY736" s="1472" t="str">
        <f t="shared" si="36"/>
        <v/>
      </c>
      <c r="FZ736" s="1479"/>
      <c r="GA736" s="1479"/>
      <c r="GB736" s="1479"/>
      <c r="GC736" s="1473"/>
    </row>
    <row r="737" spans="1:185" ht="12.95" customHeight="1">
      <c r="B737" s="1356"/>
      <c r="C737" s="1357"/>
      <c r="D737" s="1357"/>
      <c r="E737" s="1357"/>
      <c r="F737" s="1358"/>
      <c r="G737" s="1368"/>
      <c r="H737" s="1369"/>
      <c r="I737" s="1369"/>
      <c r="J737" s="1370"/>
      <c r="K737" s="1362"/>
      <c r="L737" s="1363"/>
      <c r="M737" s="1363"/>
      <c r="N737" s="1364"/>
      <c r="O737" s="1359"/>
      <c r="P737" s="1360"/>
      <c r="Q737" s="1360"/>
      <c r="R737" s="1360"/>
      <c r="S737" s="1361"/>
      <c r="T737" s="1359"/>
      <c r="U737" s="1360"/>
      <c r="V737" s="1360"/>
      <c r="W737" s="1361"/>
      <c r="X737" s="1371">
        <f t="shared" si="9"/>
        <v>0</v>
      </c>
      <c r="Y737" s="1372"/>
      <c r="Z737" s="1372"/>
      <c r="AA737" s="1372"/>
      <c r="AB737" s="1373"/>
      <c r="AC737" s="1378"/>
      <c r="AD737" s="1379"/>
      <c r="AE737" s="1379"/>
      <c r="AF737" s="1379"/>
      <c r="AG737" s="1380"/>
      <c r="AH737" s="1374" t="str">
        <f t="shared" si="37"/>
        <v/>
      </c>
      <c r="AI737" s="1375"/>
      <c r="AJ737" s="1376"/>
      <c r="AK737" s="1356" t="s">
        <v>591</v>
      </c>
      <c r="AL737" s="1357"/>
      <c r="AM737" s="1357"/>
      <c r="AN737" s="1357"/>
      <c r="AO737" s="1358"/>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72">
        <f t="shared" si="38"/>
        <v>0</v>
      </c>
      <c r="CH737" s="1473"/>
      <c r="CI737" s="1483">
        <f t="shared" si="39"/>
        <v>0</v>
      </c>
      <c r="CJ737" s="1484"/>
      <c r="CK737" s="1472">
        <f t="shared" si="17"/>
        <v>0</v>
      </c>
      <c r="CL737" s="1473"/>
      <c r="CM737" s="1483">
        <f t="shared" si="18"/>
        <v>0</v>
      </c>
      <c r="CN737" s="1484"/>
      <c r="CO737" s="3"/>
      <c r="CP737" s="1474">
        <f t="shared" si="19"/>
        <v>0</v>
      </c>
      <c r="CQ737" s="1475"/>
      <c r="CR737" s="1475"/>
      <c r="CS737" s="1475"/>
      <c r="CT737" s="1476"/>
      <c r="CU737" s="1463">
        <f t="shared" si="20"/>
        <v>0</v>
      </c>
      <c r="CV737" s="1463"/>
      <c r="CW737" s="1463"/>
      <c r="CX737" s="1463"/>
      <c r="CY737" s="1463"/>
      <c r="CZ737" s="1463">
        <f t="shared" si="21"/>
        <v>0</v>
      </c>
      <c r="DA737" s="1463"/>
      <c r="DB737" s="1463"/>
      <c r="DC737" s="1463"/>
      <c r="DD737" s="1463"/>
      <c r="DE737" s="1463">
        <f t="shared" si="22"/>
        <v>0</v>
      </c>
      <c r="DF737" s="1463"/>
      <c r="DG737" s="1463"/>
      <c r="DH737" s="1463"/>
      <c r="DI737" s="1463"/>
      <c r="DJ737" s="1463">
        <f t="shared" si="23"/>
        <v>0</v>
      </c>
      <c r="DK737" s="1463"/>
      <c r="DL737" s="1463"/>
      <c r="DM737" s="1463"/>
      <c r="DN737" s="1463"/>
      <c r="DO737" s="1463">
        <f t="shared" si="24"/>
        <v>0</v>
      </c>
      <c r="DP737" s="1463"/>
      <c r="DQ737" s="1463"/>
      <c r="DR737" s="1463"/>
      <c r="DS737" s="1463"/>
      <c r="DT737" s="6"/>
      <c r="DU737" s="1464">
        <f t="shared" si="25"/>
        <v>0</v>
      </c>
      <c r="DV737" s="1464"/>
      <c r="DW737" s="1464"/>
      <c r="DX737" s="1464"/>
      <c r="DY737" s="1464"/>
      <c r="DZ737" s="1464">
        <f t="shared" si="26"/>
        <v>0</v>
      </c>
      <c r="EA737" s="1464"/>
      <c r="EB737" s="1464"/>
      <c r="EC737" s="1464"/>
      <c r="ED737" s="1464"/>
      <c r="EE737" s="1464">
        <f t="shared" si="27"/>
        <v>0</v>
      </c>
      <c r="EF737" s="1464"/>
      <c r="EG737" s="1464"/>
      <c r="EH737" s="1464"/>
      <c r="EI737" s="1464"/>
      <c r="EJ737" s="1464">
        <f t="shared" si="28"/>
        <v>0</v>
      </c>
      <c r="EK737" s="1464"/>
      <c r="EL737" s="1464"/>
      <c r="EM737" s="1464"/>
      <c r="EN737" s="1464"/>
      <c r="EO737" s="1464">
        <f t="shared" si="29"/>
        <v>0</v>
      </c>
      <c r="EP737" s="1464"/>
      <c r="EQ737" s="1464"/>
      <c r="ER737" s="1464"/>
      <c r="ES737" s="1464"/>
      <c r="ET737" s="1464">
        <f t="shared" si="30"/>
        <v>0</v>
      </c>
      <c r="EU737" s="1464"/>
      <c r="EV737" s="1464"/>
      <c r="EW737" s="1464"/>
      <c r="EX737" s="1464"/>
      <c r="EZ737" s="1472" t="str">
        <f t="shared" si="31"/>
        <v/>
      </c>
      <c r="FA737" s="1479"/>
      <c r="FB737" s="1479"/>
      <c r="FC737" s="1479"/>
      <c r="FD737" s="1473"/>
      <c r="FE737" s="1472" t="str">
        <f t="shared" si="32"/>
        <v/>
      </c>
      <c r="FF737" s="1479"/>
      <c r="FG737" s="1479"/>
      <c r="FH737" s="1479"/>
      <c r="FI737" s="1473"/>
      <c r="FJ737" s="1472" t="str">
        <f t="shared" si="33"/>
        <v/>
      </c>
      <c r="FK737" s="1479"/>
      <c r="FL737" s="1479"/>
      <c r="FM737" s="1479"/>
      <c r="FN737" s="1473"/>
      <c r="FO737" s="1472" t="str">
        <f t="shared" si="34"/>
        <v/>
      </c>
      <c r="FP737" s="1479"/>
      <c r="FQ737" s="1479"/>
      <c r="FR737" s="1479"/>
      <c r="FS737" s="1473"/>
      <c r="FT737" s="1472" t="str">
        <f t="shared" si="35"/>
        <v/>
      </c>
      <c r="FU737" s="1479"/>
      <c r="FV737" s="1479"/>
      <c r="FW737" s="1479"/>
      <c r="FX737" s="1473"/>
      <c r="FY737" s="1472" t="str">
        <f t="shared" si="36"/>
        <v/>
      </c>
      <c r="FZ737" s="1479"/>
      <c r="GA737" s="1479"/>
      <c r="GB737" s="1479"/>
      <c r="GC737" s="1473"/>
    </row>
    <row r="738" spans="1:185" ht="12.95" customHeight="1">
      <c r="B738" s="1356"/>
      <c r="C738" s="1357"/>
      <c r="D738" s="1357"/>
      <c r="E738" s="1357"/>
      <c r="F738" s="1358"/>
      <c r="G738" s="1368"/>
      <c r="H738" s="1369"/>
      <c r="I738" s="1369"/>
      <c r="J738" s="1370"/>
      <c r="K738" s="1362"/>
      <c r="L738" s="1363"/>
      <c r="M738" s="1363"/>
      <c r="N738" s="1364"/>
      <c r="O738" s="1359"/>
      <c r="P738" s="1360"/>
      <c r="Q738" s="1360"/>
      <c r="R738" s="1360"/>
      <c r="S738" s="1361"/>
      <c r="T738" s="1359"/>
      <c r="U738" s="1360"/>
      <c r="V738" s="1360"/>
      <c r="W738" s="1361"/>
      <c r="X738" s="1371">
        <f t="shared" si="9"/>
        <v>0</v>
      </c>
      <c r="Y738" s="1372"/>
      <c r="Z738" s="1372"/>
      <c r="AA738" s="1372"/>
      <c r="AB738" s="1373"/>
      <c r="AC738" s="1378"/>
      <c r="AD738" s="1379"/>
      <c r="AE738" s="1379"/>
      <c r="AF738" s="1379"/>
      <c r="AG738" s="1380"/>
      <c r="AH738" s="1374" t="str">
        <f t="shared" si="37"/>
        <v/>
      </c>
      <c r="AI738" s="1375"/>
      <c r="AJ738" s="1376"/>
      <c r="AK738" s="1356" t="s">
        <v>591</v>
      </c>
      <c r="AL738" s="1357"/>
      <c r="AM738" s="1357"/>
      <c r="AN738" s="1357"/>
      <c r="AO738" s="1358"/>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72">
        <f t="shared" si="38"/>
        <v>0</v>
      </c>
      <c r="CH738" s="1473"/>
      <c r="CI738" s="1483">
        <f t="shared" si="39"/>
        <v>0</v>
      </c>
      <c r="CJ738" s="1484"/>
      <c r="CK738" s="1472">
        <f t="shared" si="17"/>
        <v>0</v>
      </c>
      <c r="CL738" s="1473"/>
      <c r="CM738" s="1483">
        <f t="shared" si="18"/>
        <v>0</v>
      </c>
      <c r="CN738" s="1484"/>
      <c r="CO738" s="3"/>
      <c r="CP738" s="1474">
        <f t="shared" si="19"/>
        <v>0</v>
      </c>
      <c r="CQ738" s="1475"/>
      <c r="CR738" s="1475"/>
      <c r="CS738" s="1475"/>
      <c r="CT738" s="1476"/>
      <c r="CU738" s="1463">
        <f t="shared" si="20"/>
        <v>0</v>
      </c>
      <c r="CV738" s="1463"/>
      <c r="CW738" s="1463"/>
      <c r="CX738" s="1463"/>
      <c r="CY738" s="1463"/>
      <c r="CZ738" s="1463">
        <f t="shared" si="21"/>
        <v>0</v>
      </c>
      <c r="DA738" s="1463"/>
      <c r="DB738" s="1463"/>
      <c r="DC738" s="1463"/>
      <c r="DD738" s="1463"/>
      <c r="DE738" s="1463">
        <f t="shared" si="22"/>
        <v>0</v>
      </c>
      <c r="DF738" s="1463"/>
      <c r="DG738" s="1463"/>
      <c r="DH738" s="1463"/>
      <c r="DI738" s="1463"/>
      <c r="DJ738" s="1463">
        <f t="shared" si="23"/>
        <v>0</v>
      </c>
      <c r="DK738" s="1463"/>
      <c r="DL738" s="1463"/>
      <c r="DM738" s="1463"/>
      <c r="DN738" s="1463"/>
      <c r="DO738" s="1463">
        <f t="shared" si="24"/>
        <v>0</v>
      </c>
      <c r="DP738" s="1463"/>
      <c r="DQ738" s="1463"/>
      <c r="DR738" s="1463"/>
      <c r="DS738" s="1463"/>
      <c r="DT738" s="6"/>
      <c r="DU738" s="1464">
        <f t="shared" si="25"/>
        <v>0</v>
      </c>
      <c r="DV738" s="1464"/>
      <c r="DW738" s="1464"/>
      <c r="DX738" s="1464"/>
      <c r="DY738" s="1464"/>
      <c r="DZ738" s="1464">
        <f t="shared" si="26"/>
        <v>0</v>
      </c>
      <c r="EA738" s="1464"/>
      <c r="EB738" s="1464"/>
      <c r="EC738" s="1464"/>
      <c r="ED738" s="1464"/>
      <c r="EE738" s="1464">
        <f t="shared" si="27"/>
        <v>0</v>
      </c>
      <c r="EF738" s="1464"/>
      <c r="EG738" s="1464"/>
      <c r="EH738" s="1464"/>
      <c r="EI738" s="1464"/>
      <c r="EJ738" s="1464">
        <f t="shared" si="28"/>
        <v>0</v>
      </c>
      <c r="EK738" s="1464"/>
      <c r="EL738" s="1464"/>
      <c r="EM738" s="1464"/>
      <c r="EN738" s="1464"/>
      <c r="EO738" s="1464">
        <f t="shared" si="29"/>
        <v>0</v>
      </c>
      <c r="EP738" s="1464"/>
      <c r="EQ738" s="1464"/>
      <c r="ER738" s="1464"/>
      <c r="ES738" s="1464"/>
      <c r="ET738" s="1464">
        <f t="shared" si="30"/>
        <v>0</v>
      </c>
      <c r="EU738" s="1464"/>
      <c r="EV738" s="1464"/>
      <c r="EW738" s="1464"/>
      <c r="EX738" s="1464"/>
      <c r="EZ738" s="1472" t="str">
        <f t="shared" si="31"/>
        <v/>
      </c>
      <c r="FA738" s="1479"/>
      <c r="FB738" s="1479"/>
      <c r="FC738" s="1479"/>
      <c r="FD738" s="1473"/>
      <c r="FE738" s="1472" t="str">
        <f t="shared" si="32"/>
        <v/>
      </c>
      <c r="FF738" s="1479"/>
      <c r="FG738" s="1479"/>
      <c r="FH738" s="1479"/>
      <c r="FI738" s="1473"/>
      <c r="FJ738" s="1472" t="str">
        <f t="shared" si="33"/>
        <v/>
      </c>
      <c r="FK738" s="1479"/>
      <c r="FL738" s="1479"/>
      <c r="FM738" s="1479"/>
      <c r="FN738" s="1473"/>
      <c r="FO738" s="1472" t="str">
        <f t="shared" si="34"/>
        <v/>
      </c>
      <c r="FP738" s="1479"/>
      <c r="FQ738" s="1479"/>
      <c r="FR738" s="1479"/>
      <c r="FS738" s="1473"/>
      <c r="FT738" s="1472" t="str">
        <f t="shared" si="35"/>
        <v/>
      </c>
      <c r="FU738" s="1479"/>
      <c r="FV738" s="1479"/>
      <c r="FW738" s="1479"/>
      <c r="FX738" s="1473"/>
      <c r="FY738" s="1472" t="str">
        <f t="shared" si="36"/>
        <v/>
      </c>
      <c r="FZ738" s="1479"/>
      <c r="GA738" s="1479"/>
      <c r="GB738" s="1479"/>
      <c r="GC738" s="1473"/>
    </row>
    <row r="739" spans="1:185" ht="12.95" customHeight="1">
      <c r="B739" s="1356"/>
      <c r="C739" s="1357"/>
      <c r="D739" s="1357"/>
      <c r="E739" s="1357"/>
      <c r="F739" s="1358"/>
      <c r="G739" s="1368"/>
      <c r="H739" s="1369"/>
      <c r="I739" s="1369"/>
      <c r="J739" s="1370"/>
      <c r="K739" s="1362"/>
      <c r="L739" s="1363"/>
      <c r="M739" s="1363"/>
      <c r="N739" s="1364"/>
      <c r="O739" s="1359"/>
      <c r="P739" s="1360"/>
      <c r="Q739" s="1360"/>
      <c r="R739" s="1360"/>
      <c r="S739" s="1361"/>
      <c r="T739" s="1359"/>
      <c r="U739" s="1360"/>
      <c r="V739" s="1360"/>
      <c r="W739" s="1361"/>
      <c r="X739" s="1371">
        <f t="shared" si="9"/>
        <v>0</v>
      </c>
      <c r="Y739" s="1372"/>
      <c r="Z739" s="1372"/>
      <c r="AA739" s="1372"/>
      <c r="AB739" s="1373"/>
      <c r="AC739" s="1378"/>
      <c r="AD739" s="1379"/>
      <c r="AE739" s="1379"/>
      <c r="AF739" s="1379"/>
      <c r="AG739" s="1380"/>
      <c r="AH739" s="1374" t="str">
        <f t="shared" si="37"/>
        <v/>
      </c>
      <c r="AI739" s="1375"/>
      <c r="AJ739" s="1376"/>
      <c r="AK739" s="1356" t="s">
        <v>591</v>
      </c>
      <c r="AL739" s="1357"/>
      <c r="AM739" s="1357"/>
      <c r="AN739" s="1357"/>
      <c r="AO739" s="1358"/>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72">
        <f t="shared" si="38"/>
        <v>0</v>
      </c>
      <c r="CH739" s="1473"/>
      <c r="CI739" s="1483">
        <f t="shared" si="39"/>
        <v>0</v>
      </c>
      <c r="CJ739" s="1484"/>
      <c r="CK739" s="1472">
        <f t="shared" si="17"/>
        <v>0</v>
      </c>
      <c r="CL739" s="1473"/>
      <c r="CM739" s="1483">
        <f t="shared" si="18"/>
        <v>0</v>
      </c>
      <c r="CN739" s="1484"/>
      <c r="CO739" s="3"/>
      <c r="CP739" s="1474">
        <f t="shared" si="19"/>
        <v>0</v>
      </c>
      <c r="CQ739" s="1475"/>
      <c r="CR739" s="1475"/>
      <c r="CS739" s="1475"/>
      <c r="CT739" s="1476"/>
      <c r="CU739" s="1463">
        <f t="shared" si="20"/>
        <v>0</v>
      </c>
      <c r="CV739" s="1463"/>
      <c r="CW739" s="1463"/>
      <c r="CX739" s="1463"/>
      <c r="CY739" s="1463"/>
      <c r="CZ739" s="1463">
        <f t="shared" si="21"/>
        <v>0</v>
      </c>
      <c r="DA739" s="1463"/>
      <c r="DB739" s="1463"/>
      <c r="DC739" s="1463"/>
      <c r="DD739" s="1463"/>
      <c r="DE739" s="1463">
        <f t="shared" si="22"/>
        <v>0</v>
      </c>
      <c r="DF739" s="1463"/>
      <c r="DG739" s="1463"/>
      <c r="DH739" s="1463"/>
      <c r="DI739" s="1463"/>
      <c r="DJ739" s="1463">
        <f t="shared" si="23"/>
        <v>0</v>
      </c>
      <c r="DK739" s="1463"/>
      <c r="DL739" s="1463"/>
      <c r="DM739" s="1463"/>
      <c r="DN739" s="1463"/>
      <c r="DO739" s="1463">
        <f t="shared" si="24"/>
        <v>0</v>
      </c>
      <c r="DP739" s="1463"/>
      <c r="DQ739" s="1463"/>
      <c r="DR739" s="1463"/>
      <c r="DS739" s="1463"/>
      <c r="DT739" s="6"/>
      <c r="DU739" s="1464">
        <f t="shared" si="25"/>
        <v>0</v>
      </c>
      <c r="DV739" s="1464"/>
      <c r="DW739" s="1464"/>
      <c r="DX739" s="1464"/>
      <c r="DY739" s="1464"/>
      <c r="DZ739" s="1464">
        <f t="shared" si="26"/>
        <v>0</v>
      </c>
      <c r="EA739" s="1464"/>
      <c r="EB739" s="1464"/>
      <c r="EC739" s="1464"/>
      <c r="ED739" s="1464"/>
      <c r="EE739" s="1464">
        <f t="shared" si="27"/>
        <v>0</v>
      </c>
      <c r="EF739" s="1464"/>
      <c r="EG739" s="1464"/>
      <c r="EH739" s="1464"/>
      <c r="EI739" s="1464"/>
      <c r="EJ739" s="1464">
        <f t="shared" si="28"/>
        <v>0</v>
      </c>
      <c r="EK739" s="1464"/>
      <c r="EL739" s="1464"/>
      <c r="EM739" s="1464"/>
      <c r="EN739" s="1464"/>
      <c r="EO739" s="1464">
        <f t="shared" si="29"/>
        <v>0</v>
      </c>
      <c r="EP739" s="1464"/>
      <c r="EQ739" s="1464"/>
      <c r="ER739" s="1464"/>
      <c r="ES739" s="1464"/>
      <c r="ET739" s="1464">
        <f t="shared" si="30"/>
        <v>0</v>
      </c>
      <c r="EU739" s="1464"/>
      <c r="EV739" s="1464"/>
      <c r="EW739" s="1464"/>
      <c r="EX739" s="1464"/>
      <c r="EZ739" s="1472" t="str">
        <f t="shared" si="31"/>
        <v/>
      </c>
      <c r="FA739" s="1479"/>
      <c r="FB739" s="1479"/>
      <c r="FC739" s="1479"/>
      <c r="FD739" s="1473"/>
      <c r="FE739" s="1472" t="str">
        <f t="shared" si="32"/>
        <v/>
      </c>
      <c r="FF739" s="1479"/>
      <c r="FG739" s="1479"/>
      <c r="FH739" s="1479"/>
      <c r="FI739" s="1473"/>
      <c r="FJ739" s="1472" t="str">
        <f t="shared" si="33"/>
        <v/>
      </c>
      <c r="FK739" s="1479"/>
      <c r="FL739" s="1479"/>
      <c r="FM739" s="1479"/>
      <c r="FN739" s="1473"/>
      <c r="FO739" s="1472" t="str">
        <f t="shared" si="34"/>
        <v/>
      </c>
      <c r="FP739" s="1479"/>
      <c r="FQ739" s="1479"/>
      <c r="FR739" s="1479"/>
      <c r="FS739" s="1473"/>
      <c r="FT739" s="1472" t="str">
        <f t="shared" si="35"/>
        <v/>
      </c>
      <c r="FU739" s="1479"/>
      <c r="FV739" s="1479"/>
      <c r="FW739" s="1479"/>
      <c r="FX739" s="1473"/>
      <c r="FY739" s="1472" t="str">
        <f t="shared" si="36"/>
        <v/>
      </c>
      <c r="FZ739" s="1479"/>
      <c r="GA739" s="1479"/>
      <c r="GB739" s="1479"/>
      <c r="GC739" s="1473"/>
    </row>
    <row r="740" spans="1:185" ht="12.95" customHeight="1">
      <c r="B740" s="1356"/>
      <c r="C740" s="1357"/>
      <c r="D740" s="1357"/>
      <c r="E740" s="1357"/>
      <c r="F740" s="1358"/>
      <c r="G740" s="1368"/>
      <c r="H740" s="1369"/>
      <c r="I740" s="1369"/>
      <c r="J740" s="1370"/>
      <c r="K740" s="1362"/>
      <c r="L740" s="1363"/>
      <c r="M740" s="1363"/>
      <c r="N740" s="1364"/>
      <c r="O740" s="1359"/>
      <c r="P740" s="1360"/>
      <c r="Q740" s="1360"/>
      <c r="R740" s="1360"/>
      <c r="S740" s="1361"/>
      <c r="T740" s="1359"/>
      <c r="U740" s="1360"/>
      <c r="V740" s="1360"/>
      <c r="W740" s="1361"/>
      <c r="X740" s="1371">
        <f t="shared" si="9"/>
        <v>0</v>
      </c>
      <c r="Y740" s="1372"/>
      <c r="Z740" s="1372"/>
      <c r="AA740" s="1372"/>
      <c r="AB740" s="1373"/>
      <c r="AC740" s="1378"/>
      <c r="AD740" s="1379"/>
      <c r="AE740" s="1379"/>
      <c r="AF740" s="1379"/>
      <c r="AG740" s="1380"/>
      <c r="AH740" s="1374" t="str">
        <f t="shared" si="37"/>
        <v/>
      </c>
      <c r="AI740" s="1375"/>
      <c r="AJ740" s="1376"/>
      <c r="AK740" s="1356" t="s">
        <v>591</v>
      </c>
      <c r="AL740" s="1357"/>
      <c r="AM740" s="1357"/>
      <c r="AN740" s="1357"/>
      <c r="AO740" s="1358"/>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72">
        <f t="shared" si="38"/>
        <v>0</v>
      </c>
      <c r="CH740" s="1473"/>
      <c r="CI740" s="1483">
        <f t="shared" si="39"/>
        <v>0</v>
      </c>
      <c r="CJ740" s="1484"/>
      <c r="CK740" s="1472">
        <f t="shared" si="17"/>
        <v>0</v>
      </c>
      <c r="CL740" s="1473"/>
      <c r="CM740" s="1483">
        <f t="shared" si="18"/>
        <v>0</v>
      </c>
      <c r="CN740" s="1484"/>
      <c r="CO740" s="3"/>
      <c r="CP740" s="1474">
        <f t="shared" si="19"/>
        <v>0</v>
      </c>
      <c r="CQ740" s="1475"/>
      <c r="CR740" s="1475"/>
      <c r="CS740" s="1475"/>
      <c r="CT740" s="1476"/>
      <c r="CU740" s="1463">
        <f t="shared" si="20"/>
        <v>0</v>
      </c>
      <c r="CV740" s="1463"/>
      <c r="CW740" s="1463"/>
      <c r="CX740" s="1463"/>
      <c r="CY740" s="1463"/>
      <c r="CZ740" s="1463">
        <f t="shared" si="21"/>
        <v>0</v>
      </c>
      <c r="DA740" s="1463"/>
      <c r="DB740" s="1463"/>
      <c r="DC740" s="1463"/>
      <c r="DD740" s="1463"/>
      <c r="DE740" s="1463">
        <f t="shared" si="22"/>
        <v>0</v>
      </c>
      <c r="DF740" s="1463"/>
      <c r="DG740" s="1463"/>
      <c r="DH740" s="1463"/>
      <c r="DI740" s="1463"/>
      <c r="DJ740" s="1463">
        <f t="shared" si="23"/>
        <v>0</v>
      </c>
      <c r="DK740" s="1463"/>
      <c r="DL740" s="1463"/>
      <c r="DM740" s="1463"/>
      <c r="DN740" s="1463"/>
      <c r="DO740" s="1463">
        <f t="shared" si="24"/>
        <v>0</v>
      </c>
      <c r="DP740" s="1463"/>
      <c r="DQ740" s="1463"/>
      <c r="DR740" s="1463"/>
      <c r="DS740" s="1463"/>
      <c r="DT740" s="6"/>
      <c r="DU740" s="1464">
        <f t="shared" si="25"/>
        <v>0</v>
      </c>
      <c r="DV740" s="1464"/>
      <c r="DW740" s="1464"/>
      <c r="DX740" s="1464"/>
      <c r="DY740" s="1464"/>
      <c r="DZ740" s="1464">
        <f t="shared" si="26"/>
        <v>0</v>
      </c>
      <c r="EA740" s="1464"/>
      <c r="EB740" s="1464"/>
      <c r="EC740" s="1464"/>
      <c r="ED740" s="1464"/>
      <c r="EE740" s="1464">
        <f t="shared" si="27"/>
        <v>0</v>
      </c>
      <c r="EF740" s="1464"/>
      <c r="EG740" s="1464"/>
      <c r="EH740" s="1464"/>
      <c r="EI740" s="1464"/>
      <c r="EJ740" s="1464">
        <f t="shared" si="28"/>
        <v>0</v>
      </c>
      <c r="EK740" s="1464"/>
      <c r="EL740" s="1464"/>
      <c r="EM740" s="1464"/>
      <c r="EN740" s="1464"/>
      <c r="EO740" s="1464">
        <f t="shared" si="29"/>
        <v>0</v>
      </c>
      <c r="EP740" s="1464"/>
      <c r="EQ740" s="1464"/>
      <c r="ER740" s="1464"/>
      <c r="ES740" s="1464"/>
      <c r="ET740" s="1464">
        <f t="shared" si="30"/>
        <v>0</v>
      </c>
      <c r="EU740" s="1464"/>
      <c r="EV740" s="1464"/>
      <c r="EW740" s="1464"/>
      <c r="EX740" s="1464"/>
      <c r="EZ740" s="1472" t="str">
        <f t="shared" si="31"/>
        <v/>
      </c>
      <c r="FA740" s="1479"/>
      <c r="FB740" s="1479"/>
      <c r="FC740" s="1479"/>
      <c r="FD740" s="1473"/>
      <c r="FE740" s="1472" t="str">
        <f t="shared" si="32"/>
        <v/>
      </c>
      <c r="FF740" s="1479"/>
      <c r="FG740" s="1479"/>
      <c r="FH740" s="1479"/>
      <c r="FI740" s="1473"/>
      <c r="FJ740" s="1472" t="str">
        <f t="shared" si="33"/>
        <v/>
      </c>
      <c r="FK740" s="1479"/>
      <c r="FL740" s="1479"/>
      <c r="FM740" s="1479"/>
      <c r="FN740" s="1473"/>
      <c r="FO740" s="1472" t="str">
        <f t="shared" si="34"/>
        <v/>
      </c>
      <c r="FP740" s="1479"/>
      <c r="FQ740" s="1479"/>
      <c r="FR740" s="1479"/>
      <c r="FS740" s="1473"/>
      <c r="FT740" s="1472" t="str">
        <f t="shared" si="35"/>
        <v/>
      </c>
      <c r="FU740" s="1479"/>
      <c r="FV740" s="1479"/>
      <c r="FW740" s="1479"/>
      <c r="FX740" s="1473"/>
      <c r="FY740" s="1472" t="str">
        <f t="shared" si="36"/>
        <v/>
      </c>
      <c r="FZ740" s="1479"/>
      <c r="GA740" s="1479"/>
      <c r="GB740" s="1479"/>
      <c r="GC740" s="1473"/>
    </row>
    <row r="741" spans="1:185" ht="12.95" customHeight="1">
      <c r="B741" s="1356"/>
      <c r="C741" s="1357"/>
      <c r="D741" s="1357"/>
      <c r="E741" s="1357"/>
      <c r="F741" s="1358"/>
      <c r="G741" s="1368"/>
      <c r="H741" s="1369"/>
      <c r="I741" s="1369"/>
      <c r="J741" s="1370"/>
      <c r="K741" s="1362"/>
      <c r="L741" s="1363"/>
      <c r="M741" s="1363"/>
      <c r="N741" s="1364"/>
      <c r="O741" s="1359"/>
      <c r="P741" s="1360"/>
      <c r="Q741" s="1360"/>
      <c r="R741" s="1360"/>
      <c r="S741" s="1361"/>
      <c r="T741" s="1359"/>
      <c r="U741" s="1360"/>
      <c r="V741" s="1360"/>
      <c r="W741" s="1361"/>
      <c r="X741" s="1371">
        <f t="shared" si="9"/>
        <v>0</v>
      </c>
      <c r="Y741" s="1372"/>
      <c r="Z741" s="1372"/>
      <c r="AA741" s="1372"/>
      <c r="AB741" s="1373"/>
      <c r="AC741" s="1378"/>
      <c r="AD741" s="1379"/>
      <c r="AE741" s="1379"/>
      <c r="AF741" s="1379"/>
      <c r="AG741" s="1380"/>
      <c r="AH741" s="1374" t="str">
        <f t="shared" si="37"/>
        <v/>
      </c>
      <c r="AI741" s="1375"/>
      <c r="AJ741" s="1376"/>
      <c r="AK741" s="1356" t="s">
        <v>591</v>
      </c>
      <c r="AL741" s="1357"/>
      <c r="AM741" s="1357"/>
      <c r="AN741" s="1357"/>
      <c r="AO741" s="1358"/>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72">
        <f t="shared" si="38"/>
        <v>0</v>
      </c>
      <c r="CH741" s="1473"/>
      <c r="CI741" s="1483">
        <f t="shared" si="39"/>
        <v>0</v>
      </c>
      <c r="CJ741" s="1484"/>
      <c r="CK741" s="1472">
        <f t="shared" si="17"/>
        <v>0</v>
      </c>
      <c r="CL741" s="1473"/>
      <c r="CM741" s="1483">
        <f t="shared" si="18"/>
        <v>0</v>
      </c>
      <c r="CN741" s="1484"/>
      <c r="CO741" s="3"/>
      <c r="CP741" s="1474">
        <f t="shared" si="19"/>
        <v>0</v>
      </c>
      <c r="CQ741" s="1475"/>
      <c r="CR741" s="1475"/>
      <c r="CS741" s="1475"/>
      <c r="CT741" s="1476"/>
      <c r="CU741" s="1463">
        <f t="shared" si="20"/>
        <v>0</v>
      </c>
      <c r="CV741" s="1463"/>
      <c r="CW741" s="1463"/>
      <c r="CX741" s="1463"/>
      <c r="CY741" s="1463"/>
      <c r="CZ741" s="1463">
        <f t="shared" si="21"/>
        <v>0</v>
      </c>
      <c r="DA741" s="1463"/>
      <c r="DB741" s="1463"/>
      <c r="DC741" s="1463"/>
      <c r="DD741" s="1463"/>
      <c r="DE741" s="1463">
        <f t="shared" si="22"/>
        <v>0</v>
      </c>
      <c r="DF741" s="1463"/>
      <c r="DG741" s="1463"/>
      <c r="DH741" s="1463"/>
      <c r="DI741" s="1463"/>
      <c r="DJ741" s="1463">
        <f t="shared" si="23"/>
        <v>0</v>
      </c>
      <c r="DK741" s="1463"/>
      <c r="DL741" s="1463"/>
      <c r="DM741" s="1463"/>
      <c r="DN741" s="1463"/>
      <c r="DO741" s="1463">
        <f t="shared" si="24"/>
        <v>0</v>
      </c>
      <c r="DP741" s="1463"/>
      <c r="DQ741" s="1463"/>
      <c r="DR741" s="1463"/>
      <c r="DS741" s="1463"/>
      <c r="DT741" s="6"/>
      <c r="DU741" s="1464">
        <f t="shared" si="25"/>
        <v>0</v>
      </c>
      <c r="DV741" s="1464"/>
      <c r="DW741" s="1464"/>
      <c r="DX741" s="1464"/>
      <c r="DY741" s="1464"/>
      <c r="DZ741" s="1464">
        <f t="shared" si="26"/>
        <v>0</v>
      </c>
      <c r="EA741" s="1464"/>
      <c r="EB741" s="1464"/>
      <c r="EC741" s="1464"/>
      <c r="ED741" s="1464"/>
      <c r="EE741" s="1464">
        <f t="shared" si="27"/>
        <v>0</v>
      </c>
      <c r="EF741" s="1464"/>
      <c r="EG741" s="1464"/>
      <c r="EH741" s="1464"/>
      <c r="EI741" s="1464"/>
      <c r="EJ741" s="1464">
        <f t="shared" si="28"/>
        <v>0</v>
      </c>
      <c r="EK741" s="1464"/>
      <c r="EL741" s="1464"/>
      <c r="EM741" s="1464"/>
      <c r="EN741" s="1464"/>
      <c r="EO741" s="1464">
        <f t="shared" si="29"/>
        <v>0</v>
      </c>
      <c r="EP741" s="1464"/>
      <c r="EQ741" s="1464"/>
      <c r="ER741" s="1464"/>
      <c r="ES741" s="1464"/>
      <c r="ET741" s="1464">
        <f t="shared" si="30"/>
        <v>0</v>
      </c>
      <c r="EU741" s="1464"/>
      <c r="EV741" s="1464"/>
      <c r="EW741" s="1464"/>
      <c r="EX741" s="1464"/>
      <c r="EZ741" s="1472" t="str">
        <f t="shared" si="31"/>
        <v/>
      </c>
      <c r="FA741" s="1479"/>
      <c r="FB741" s="1479"/>
      <c r="FC741" s="1479"/>
      <c r="FD741" s="1473"/>
      <c r="FE741" s="1472" t="str">
        <f t="shared" si="32"/>
        <v/>
      </c>
      <c r="FF741" s="1479"/>
      <c r="FG741" s="1479"/>
      <c r="FH741" s="1479"/>
      <c r="FI741" s="1473"/>
      <c r="FJ741" s="1472" t="str">
        <f t="shared" si="33"/>
        <v/>
      </c>
      <c r="FK741" s="1479"/>
      <c r="FL741" s="1479"/>
      <c r="FM741" s="1479"/>
      <c r="FN741" s="1473"/>
      <c r="FO741" s="1472" t="str">
        <f t="shared" si="34"/>
        <v/>
      </c>
      <c r="FP741" s="1479"/>
      <c r="FQ741" s="1479"/>
      <c r="FR741" s="1479"/>
      <c r="FS741" s="1473"/>
      <c r="FT741" s="1472" t="str">
        <f t="shared" si="35"/>
        <v/>
      </c>
      <c r="FU741" s="1479"/>
      <c r="FV741" s="1479"/>
      <c r="FW741" s="1479"/>
      <c r="FX741" s="1473"/>
      <c r="FY741" s="1472" t="str">
        <f t="shared" si="36"/>
        <v/>
      </c>
      <c r="FZ741" s="1479"/>
      <c r="GA741" s="1479"/>
      <c r="GB741" s="1479"/>
      <c r="GC741" s="1473"/>
    </row>
    <row r="742" spans="1:185" ht="12.95" customHeight="1">
      <c r="B742" s="1356"/>
      <c r="C742" s="1357"/>
      <c r="D742" s="1357"/>
      <c r="E742" s="1357"/>
      <c r="F742" s="1358"/>
      <c r="G742" s="1368"/>
      <c r="H742" s="1369"/>
      <c r="I742" s="1369"/>
      <c r="J742" s="1370"/>
      <c r="K742" s="1362"/>
      <c r="L742" s="1363"/>
      <c r="M742" s="1363"/>
      <c r="N742" s="1364"/>
      <c r="O742" s="1359"/>
      <c r="P742" s="1360"/>
      <c r="Q742" s="1360"/>
      <c r="R742" s="1360"/>
      <c r="S742" s="1361"/>
      <c r="T742" s="1359"/>
      <c r="U742" s="1360"/>
      <c r="V742" s="1360"/>
      <c r="W742" s="1361"/>
      <c r="X742" s="1371">
        <f t="shared" ref="X742:X751" si="40">O742+T742</f>
        <v>0</v>
      </c>
      <c r="Y742" s="1372"/>
      <c r="Z742" s="1372"/>
      <c r="AA742" s="1372"/>
      <c r="AB742" s="1373"/>
      <c r="AC742" s="1378"/>
      <c r="AD742" s="1379"/>
      <c r="AE742" s="1379"/>
      <c r="AF742" s="1379"/>
      <c r="AG742" s="1380"/>
      <c r="AH742" s="1374" t="str">
        <f t="shared" si="37"/>
        <v/>
      </c>
      <c r="AI742" s="1375"/>
      <c r="AJ742" s="1376"/>
      <c r="AK742" s="1356" t="s">
        <v>591</v>
      </c>
      <c r="AL742" s="1357"/>
      <c r="AM742" s="1357"/>
      <c r="AN742" s="1357"/>
      <c r="AO742" s="1358"/>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72">
        <f t="shared" si="38"/>
        <v>0</v>
      </c>
      <c r="CH742" s="1473"/>
      <c r="CI742" s="1483">
        <f t="shared" si="39"/>
        <v>0</v>
      </c>
      <c r="CJ742" s="1484"/>
      <c r="CK742" s="1472">
        <f t="shared" si="17"/>
        <v>0</v>
      </c>
      <c r="CL742" s="1473"/>
      <c r="CM742" s="1483">
        <f t="shared" si="18"/>
        <v>0</v>
      </c>
      <c r="CN742" s="1484"/>
      <c r="CO742" s="3"/>
      <c r="CP742" s="1474">
        <f t="shared" si="19"/>
        <v>0</v>
      </c>
      <c r="CQ742" s="1475"/>
      <c r="CR742" s="1475"/>
      <c r="CS742" s="1475"/>
      <c r="CT742" s="1476"/>
      <c r="CU742" s="1463">
        <f t="shared" si="20"/>
        <v>0</v>
      </c>
      <c r="CV742" s="1463"/>
      <c r="CW742" s="1463"/>
      <c r="CX742" s="1463"/>
      <c r="CY742" s="1463"/>
      <c r="CZ742" s="1463">
        <f t="shared" si="21"/>
        <v>0</v>
      </c>
      <c r="DA742" s="1463"/>
      <c r="DB742" s="1463"/>
      <c r="DC742" s="1463"/>
      <c r="DD742" s="1463"/>
      <c r="DE742" s="1463">
        <f t="shared" si="22"/>
        <v>0</v>
      </c>
      <c r="DF742" s="1463"/>
      <c r="DG742" s="1463"/>
      <c r="DH742" s="1463"/>
      <c r="DI742" s="1463"/>
      <c r="DJ742" s="1463">
        <f t="shared" si="23"/>
        <v>0</v>
      </c>
      <c r="DK742" s="1463"/>
      <c r="DL742" s="1463"/>
      <c r="DM742" s="1463"/>
      <c r="DN742" s="1463"/>
      <c r="DO742" s="1463">
        <f t="shared" si="24"/>
        <v>0</v>
      </c>
      <c r="DP742" s="1463"/>
      <c r="DQ742" s="1463"/>
      <c r="DR742" s="1463"/>
      <c r="DS742" s="1463"/>
      <c r="DT742" s="6"/>
      <c r="DU742" s="1464">
        <f t="shared" si="25"/>
        <v>0</v>
      </c>
      <c r="DV742" s="1464"/>
      <c r="DW742" s="1464"/>
      <c r="DX742" s="1464"/>
      <c r="DY742" s="1464"/>
      <c r="DZ742" s="1464">
        <f t="shared" si="26"/>
        <v>0</v>
      </c>
      <c r="EA742" s="1464"/>
      <c r="EB742" s="1464"/>
      <c r="EC742" s="1464"/>
      <c r="ED742" s="1464"/>
      <c r="EE742" s="1464">
        <f t="shared" si="27"/>
        <v>0</v>
      </c>
      <c r="EF742" s="1464"/>
      <c r="EG742" s="1464"/>
      <c r="EH742" s="1464"/>
      <c r="EI742" s="1464"/>
      <c r="EJ742" s="1464">
        <f t="shared" si="28"/>
        <v>0</v>
      </c>
      <c r="EK742" s="1464"/>
      <c r="EL742" s="1464"/>
      <c r="EM742" s="1464"/>
      <c r="EN742" s="1464"/>
      <c r="EO742" s="1464">
        <f t="shared" si="29"/>
        <v>0</v>
      </c>
      <c r="EP742" s="1464"/>
      <c r="EQ742" s="1464"/>
      <c r="ER742" s="1464"/>
      <c r="ES742" s="1464"/>
      <c r="ET742" s="1464">
        <f t="shared" si="30"/>
        <v>0</v>
      </c>
      <c r="EU742" s="1464"/>
      <c r="EV742" s="1464"/>
      <c r="EW742" s="1464"/>
      <c r="EX742" s="1464"/>
      <c r="EZ742" s="1472" t="str">
        <f t="shared" si="31"/>
        <v/>
      </c>
      <c r="FA742" s="1479"/>
      <c r="FB742" s="1479"/>
      <c r="FC742" s="1479"/>
      <c r="FD742" s="1473"/>
      <c r="FE742" s="1472" t="str">
        <f t="shared" si="32"/>
        <v/>
      </c>
      <c r="FF742" s="1479"/>
      <c r="FG742" s="1479"/>
      <c r="FH742" s="1479"/>
      <c r="FI742" s="1473"/>
      <c r="FJ742" s="1472" t="str">
        <f t="shared" si="33"/>
        <v/>
      </c>
      <c r="FK742" s="1479"/>
      <c r="FL742" s="1479"/>
      <c r="FM742" s="1479"/>
      <c r="FN742" s="1473"/>
      <c r="FO742" s="1472" t="str">
        <f t="shared" si="34"/>
        <v/>
      </c>
      <c r="FP742" s="1479"/>
      <c r="FQ742" s="1479"/>
      <c r="FR742" s="1479"/>
      <c r="FS742" s="1473"/>
      <c r="FT742" s="1472" t="str">
        <f t="shared" si="35"/>
        <v/>
      </c>
      <c r="FU742" s="1479"/>
      <c r="FV742" s="1479"/>
      <c r="FW742" s="1479"/>
      <c r="FX742" s="1473"/>
      <c r="FY742" s="1472" t="str">
        <f t="shared" si="36"/>
        <v/>
      </c>
      <c r="FZ742" s="1479"/>
      <c r="GA742" s="1479"/>
      <c r="GB742" s="1479"/>
      <c r="GC742" s="1473"/>
    </row>
    <row r="743" spans="1:185" s="3" customFormat="1" ht="12.95" customHeight="1">
      <c r="A743"/>
      <c r="B743" s="1356"/>
      <c r="C743" s="1357"/>
      <c r="D743" s="1357"/>
      <c r="E743" s="1357"/>
      <c r="F743" s="1358"/>
      <c r="G743" s="1368"/>
      <c r="H743" s="1369"/>
      <c r="I743" s="1369"/>
      <c r="J743" s="1370"/>
      <c r="K743" s="1362"/>
      <c r="L743" s="1363"/>
      <c r="M743" s="1363"/>
      <c r="N743" s="1364"/>
      <c r="O743" s="1359"/>
      <c r="P743" s="1360"/>
      <c r="Q743" s="1360"/>
      <c r="R743" s="1360"/>
      <c r="S743" s="1361"/>
      <c r="T743" s="1359"/>
      <c r="U743" s="1360"/>
      <c r="V743" s="1360"/>
      <c r="W743" s="1361"/>
      <c r="X743" s="1371">
        <f t="shared" si="40"/>
        <v>0</v>
      </c>
      <c r="Y743" s="1372"/>
      <c r="Z743" s="1372"/>
      <c r="AA743" s="1372"/>
      <c r="AB743" s="1373"/>
      <c r="AC743" s="1378"/>
      <c r="AD743" s="1379"/>
      <c r="AE743" s="1379"/>
      <c r="AF743" s="1379"/>
      <c r="AG743" s="1380"/>
      <c r="AH743" s="1374" t="str">
        <f t="shared" si="37"/>
        <v/>
      </c>
      <c r="AI743" s="1375"/>
      <c r="AJ743" s="1376"/>
      <c r="AK743" s="1356" t="s">
        <v>591</v>
      </c>
      <c r="AL743" s="1357"/>
      <c r="AM743" s="1357"/>
      <c r="AN743" s="1357"/>
      <c r="AO743" s="1358"/>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72">
        <f t="shared" si="38"/>
        <v>0</v>
      </c>
      <c r="CH743" s="1473"/>
      <c r="CI743" s="1483">
        <f t="shared" si="39"/>
        <v>0</v>
      </c>
      <c r="CJ743" s="1484"/>
      <c r="CK743" s="1472">
        <f t="shared" si="17"/>
        <v>0</v>
      </c>
      <c r="CL743" s="1473"/>
      <c r="CM743" s="1483">
        <f t="shared" si="18"/>
        <v>0</v>
      </c>
      <c r="CN743" s="1484"/>
      <c r="CP743" s="1474">
        <f t="shared" si="19"/>
        <v>0</v>
      </c>
      <c r="CQ743" s="1475"/>
      <c r="CR743" s="1475"/>
      <c r="CS743" s="1475"/>
      <c r="CT743" s="1476"/>
      <c r="CU743" s="1463">
        <f t="shared" si="20"/>
        <v>0</v>
      </c>
      <c r="CV743" s="1463"/>
      <c r="CW743" s="1463"/>
      <c r="CX743" s="1463"/>
      <c r="CY743" s="1463"/>
      <c r="CZ743" s="1463">
        <f t="shared" si="21"/>
        <v>0</v>
      </c>
      <c r="DA743" s="1463"/>
      <c r="DB743" s="1463"/>
      <c r="DC743" s="1463"/>
      <c r="DD743" s="1463"/>
      <c r="DE743" s="1463">
        <f t="shared" si="22"/>
        <v>0</v>
      </c>
      <c r="DF743" s="1463"/>
      <c r="DG743" s="1463"/>
      <c r="DH743" s="1463"/>
      <c r="DI743" s="1463"/>
      <c r="DJ743" s="1463">
        <f t="shared" si="23"/>
        <v>0</v>
      </c>
      <c r="DK743" s="1463"/>
      <c r="DL743" s="1463"/>
      <c r="DM743" s="1463"/>
      <c r="DN743" s="1463"/>
      <c r="DO743" s="1463">
        <f t="shared" si="24"/>
        <v>0</v>
      </c>
      <c r="DP743" s="1463"/>
      <c r="DQ743" s="1463"/>
      <c r="DR743" s="1463"/>
      <c r="DS743" s="1463"/>
      <c r="DT743" s="6"/>
      <c r="DU743" s="1464">
        <f t="shared" si="25"/>
        <v>0</v>
      </c>
      <c r="DV743" s="1464"/>
      <c r="DW743" s="1464"/>
      <c r="DX743" s="1464"/>
      <c r="DY743" s="1464"/>
      <c r="DZ743" s="1464">
        <f t="shared" si="26"/>
        <v>0</v>
      </c>
      <c r="EA743" s="1464"/>
      <c r="EB743" s="1464"/>
      <c r="EC743" s="1464"/>
      <c r="ED743" s="1464"/>
      <c r="EE743" s="1464">
        <f t="shared" si="27"/>
        <v>0</v>
      </c>
      <c r="EF743" s="1464"/>
      <c r="EG743" s="1464"/>
      <c r="EH743" s="1464"/>
      <c r="EI743" s="1464"/>
      <c r="EJ743" s="1464">
        <f t="shared" si="28"/>
        <v>0</v>
      </c>
      <c r="EK743" s="1464"/>
      <c r="EL743" s="1464"/>
      <c r="EM743" s="1464"/>
      <c r="EN743" s="1464"/>
      <c r="EO743" s="1464">
        <f t="shared" si="29"/>
        <v>0</v>
      </c>
      <c r="EP743" s="1464"/>
      <c r="EQ743" s="1464"/>
      <c r="ER743" s="1464"/>
      <c r="ES743" s="1464"/>
      <c r="ET743" s="1464">
        <f t="shared" si="30"/>
        <v>0</v>
      </c>
      <c r="EU743" s="1464"/>
      <c r="EV743" s="1464"/>
      <c r="EW743" s="1464"/>
      <c r="EX743" s="1464"/>
      <c r="EY743"/>
      <c r="EZ743" s="1472" t="str">
        <f t="shared" si="31"/>
        <v/>
      </c>
      <c r="FA743" s="1479"/>
      <c r="FB743" s="1479"/>
      <c r="FC743" s="1479"/>
      <c r="FD743" s="1473"/>
      <c r="FE743" s="1472" t="str">
        <f t="shared" si="32"/>
        <v/>
      </c>
      <c r="FF743" s="1479"/>
      <c r="FG743" s="1479"/>
      <c r="FH743" s="1479"/>
      <c r="FI743" s="1473"/>
      <c r="FJ743" s="1472" t="str">
        <f t="shared" si="33"/>
        <v/>
      </c>
      <c r="FK743" s="1479"/>
      <c r="FL743" s="1479"/>
      <c r="FM743" s="1479"/>
      <c r="FN743" s="1473"/>
      <c r="FO743" s="1472" t="str">
        <f t="shared" si="34"/>
        <v/>
      </c>
      <c r="FP743" s="1479"/>
      <c r="FQ743" s="1479"/>
      <c r="FR743" s="1479"/>
      <c r="FS743" s="1473"/>
      <c r="FT743" s="1472" t="str">
        <f t="shared" si="35"/>
        <v/>
      </c>
      <c r="FU743" s="1479"/>
      <c r="FV743" s="1479"/>
      <c r="FW743" s="1479"/>
      <c r="FX743" s="1473"/>
      <c r="FY743" s="1472" t="str">
        <f t="shared" si="36"/>
        <v/>
      </c>
      <c r="FZ743" s="1479"/>
      <c r="GA743" s="1479"/>
      <c r="GB743" s="1479"/>
      <c r="GC743" s="1473"/>
    </row>
    <row r="744" spans="1:185" ht="12.95" customHeight="1">
      <c r="B744" s="1356"/>
      <c r="C744" s="1357"/>
      <c r="D744" s="1357"/>
      <c r="E744" s="1357"/>
      <c r="F744" s="1358"/>
      <c r="G744" s="1368"/>
      <c r="H744" s="1369"/>
      <c r="I744" s="1369"/>
      <c r="J744" s="1370"/>
      <c r="K744" s="1362"/>
      <c r="L744" s="1363"/>
      <c r="M744" s="1363"/>
      <c r="N744" s="1364"/>
      <c r="O744" s="1359"/>
      <c r="P744" s="1360"/>
      <c r="Q744" s="1360"/>
      <c r="R744" s="1360"/>
      <c r="S744" s="1361"/>
      <c r="T744" s="1359"/>
      <c r="U744" s="1360"/>
      <c r="V744" s="1360"/>
      <c r="W744" s="1361"/>
      <c r="X744" s="1371">
        <f t="shared" si="40"/>
        <v>0</v>
      </c>
      <c r="Y744" s="1372"/>
      <c r="Z744" s="1372"/>
      <c r="AA744" s="1372"/>
      <c r="AB744" s="1373"/>
      <c r="AC744" s="1378"/>
      <c r="AD744" s="1379"/>
      <c r="AE744" s="1379"/>
      <c r="AF744" s="1379"/>
      <c r="AG744" s="1380"/>
      <c r="AH744" s="1374" t="str">
        <f t="shared" si="37"/>
        <v/>
      </c>
      <c r="AI744" s="1375"/>
      <c r="AJ744" s="1376"/>
      <c r="AK744" s="1356" t="s">
        <v>591</v>
      </c>
      <c r="AL744" s="1357"/>
      <c r="AM744" s="1357"/>
      <c r="AN744" s="1357"/>
      <c r="AO744" s="1358"/>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72">
        <f t="shared" si="38"/>
        <v>0</v>
      </c>
      <c r="CH744" s="1473"/>
      <c r="CI744" s="1483">
        <f t="shared" si="39"/>
        <v>0</v>
      </c>
      <c r="CJ744" s="1484"/>
      <c r="CK744" s="1472">
        <f t="shared" si="17"/>
        <v>0</v>
      </c>
      <c r="CL744" s="1473"/>
      <c r="CM744" s="1483">
        <f t="shared" si="18"/>
        <v>0</v>
      </c>
      <c r="CN744" s="1484"/>
      <c r="CO744" s="3"/>
      <c r="CP744" s="1474">
        <f t="shared" si="19"/>
        <v>0</v>
      </c>
      <c r="CQ744" s="1475"/>
      <c r="CR744" s="1475"/>
      <c r="CS744" s="1475"/>
      <c r="CT744" s="1476"/>
      <c r="CU744" s="1463">
        <f t="shared" si="20"/>
        <v>0</v>
      </c>
      <c r="CV744" s="1463"/>
      <c r="CW744" s="1463"/>
      <c r="CX744" s="1463"/>
      <c r="CY744" s="1463"/>
      <c r="CZ744" s="1463">
        <f t="shared" si="21"/>
        <v>0</v>
      </c>
      <c r="DA744" s="1463"/>
      <c r="DB744" s="1463"/>
      <c r="DC744" s="1463"/>
      <c r="DD744" s="1463"/>
      <c r="DE744" s="1463">
        <f t="shared" si="22"/>
        <v>0</v>
      </c>
      <c r="DF744" s="1463"/>
      <c r="DG744" s="1463"/>
      <c r="DH744" s="1463"/>
      <c r="DI744" s="1463"/>
      <c r="DJ744" s="1463">
        <f t="shared" si="23"/>
        <v>0</v>
      </c>
      <c r="DK744" s="1463"/>
      <c r="DL744" s="1463"/>
      <c r="DM744" s="1463"/>
      <c r="DN744" s="1463"/>
      <c r="DO744" s="1463">
        <f t="shared" si="24"/>
        <v>0</v>
      </c>
      <c r="DP744" s="1463"/>
      <c r="DQ744" s="1463"/>
      <c r="DR744" s="1463"/>
      <c r="DS744" s="1463"/>
      <c r="DT744" s="6"/>
      <c r="DU744" s="1464">
        <f t="shared" si="25"/>
        <v>0</v>
      </c>
      <c r="DV744" s="1464"/>
      <c r="DW744" s="1464"/>
      <c r="DX744" s="1464"/>
      <c r="DY744" s="1464"/>
      <c r="DZ744" s="1464">
        <f t="shared" si="26"/>
        <v>0</v>
      </c>
      <c r="EA744" s="1464"/>
      <c r="EB744" s="1464"/>
      <c r="EC744" s="1464"/>
      <c r="ED744" s="1464"/>
      <c r="EE744" s="1464">
        <f t="shared" si="27"/>
        <v>0</v>
      </c>
      <c r="EF744" s="1464"/>
      <c r="EG744" s="1464"/>
      <c r="EH744" s="1464"/>
      <c r="EI744" s="1464"/>
      <c r="EJ744" s="1464">
        <f t="shared" si="28"/>
        <v>0</v>
      </c>
      <c r="EK744" s="1464"/>
      <c r="EL744" s="1464"/>
      <c r="EM744" s="1464"/>
      <c r="EN744" s="1464"/>
      <c r="EO744" s="1464">
        <f t="shared" si="29"/>
        <v>0</v>
      </c>
      <c r="EP744" s="1464"/>
      <c r="EQ744" s="1464"/>
      <c r="ER744" s="1464"/>
      <c r="ES744" s="1464"/>
      <c r="ET744" s="1464">
        <f t="shared" si="30"/>
        <v>0</v>
      </c>
      <c r="EU744" s="1464"/>
      <c r="EV744" s="1464"/>
      <c r="EW744" s="1464"/>
      <c r="EX744" s="1464"/>
      <c r="EZ744" s="1472" t="str">
        <f t="shared" si="31"/>
        <v/>
      </c>
      <c r="FA744" s="1479"/>
      <c r="FB744" s="1479"/>
      <c r="FC744" s="1479"/>
      <c r="FD744" s="1473"/>
      <c r="FE744" s="1472" t="str">
        <f t="shared" si="32"/>
        <v/>
      </c>
      <c r="FF744" s="1479"/>
      <c r="FG744" s="1479"/>
      <c r="FH744" s="1479"/>
      <c r="FI744" s="1473"/>
      <c r="FJ744" s="1472" t="str">
        <f t="shared" si="33"/>
        <v/>
      </c>
      <c r="FK744" s="1479"/>
      <c r="FL744" s="1479"/>
      <c r="FM744" s="1479"/>
      <c r="FN744" s="1473"/>
      <c r="FO744" s="1472" t="str">
        <f t="shared" si="34"/>
        <v/>
      </c>
      <c r="FP744" s="1479"/>
      <c r="FQ744" s="1479"/>
      <c r="FR744" s="1479"/>
      <c r="FS744" s="1473"/>
      <c r="FT744" s="1472" t="str">
        <f t="shared" si="35"/>
        <v/>
      </c>
      <c r="FU744" s="1479"/>
      <c r="FV744" s="1479"/>
      <c r="FW744" s="1479"/>
      <c r="FX744" s="1473"/>
      <c r="FY744" s="1472" t="str">
        <f t="shared" si="36"/>
        <v/>
      </c>
      <c r="FZ744" s="1479"/>
      <c r="GA744" s="1479"/>
      <c r="GB744" s="1479"/>
      <c r="GC744" s="1473"/>
    </row>
    <row r="745" spans="1:185" ht="12.95" customHeight="1">
      <c r="B745" s="1356"/>
      <c r="C745" s="1357"/>
      <c r="D745" s="1357"/>
      <c r="E745" s="1357"/>
      <c r="F745" s="1358"/>
      <c r="G745" s="1368"/>
      <c r="H745" s="1369"/>
      <c r="I745" s="1369"/>
      <c r="J745" s="1370"/>
      <c r="K745" s="1362"/>
      <c r="L745" s="1363"/>
      <c r="M745" s="1363"/>
      <c r="N745" s="1364"/>
      <c r="O745" s="1359"/>
      <c r="P745" s="1360"/>
      <c r="Q745" s="1360"/>
      <c r="R745" s="1360"/>
      <c r="S745" s="1361"/>
      <c r="T745" s="1359"/>
      <c r="U745" s="1360"/>
      <c r="V745" s="1360"/>
      <c r="W745" s="1361"/>
      <c r="X745" s="1371">
        <f t="shared" si="40"/>
        <v>0</v>
      </c>
      <c r="Y745" s="1372"/>
      <c r="Z745" s="1372"/>
      <c r="AA745" s="1372"/>
      <c r="AB745" s="1373"/>
      <c r="AC745" s="1378"/>
      <c r="AD745" s="1379"/>
      <c r="AE745" s="1379"/>
      <c r="AF745" s="1379"/>
      <c r="AG745" s="1380"/>
      <c r="AH745" s="1374" t="str">
        <f t="shared" si="37"/>
        <v/>
      </c>
      <c r="AI745" s="1375"/>
      <c r="AJ745" s="1376"/>
      <c r="AK745" s="1356" t="s">
        <v>591</v>
      </c>
      <c r="AL745" s="1357"/>
      <c r="AM745" s="1357"/>
      <c r="AN745" s="1357"/>
      <c r="AO745" s="1358"/>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72">
        <f t="shared" si="38"/>
        <v>0</v>
      </c>
      <c r="CH745" s="1473"/>
      <c r="CI745" s="1483">
        <f t="shared" si="39"/>
        <v>0</v>
      </c>
      <c r="CJ745" s="1484"/>
      <c r="CK745" s="1472">
        <f t="shared" si="17"/>
        <v>0</v>
      </c>
      <c r="CL745" s="1473"/>
      <c r="CM745" s="1483">
        <f t="shared" si="18"/>
        <v>0</v>
      </c>
      <c r="CN745" s="1484"/>
      <c r="CO745" s="3"/>
      <c r="CP745" s="1474">
        <f t="shared" si="19"/>
        <v>0</v>
      </c>
      <c r="CQ745" s="1475"/>
      <c r="CR745" s="1475"/>
      <c r="CS745" s="1475"/>
      <c r="CT745" s="1476"/>
      <c r="CU745" s="1463">
        <f t="shared" si="20"/>
        <v>0</v>
      </c>
      <c r="CV745" s="1463"/>
      <c r="CW745" s="1463"/>
      <c r="CX745" s="1463"/>
      <c r="CY745" s="1463"/>
      <c r="CZ745" s="1463">
        <f t="shared" si="21"/>
        <v>0</v>
      </c>
      <c r="DA745" s="1463"/>
      <c r="DB745" s="1463"/>
      <c r="DC745" s="1463"/>
      <c r="DD745" s="1463"/>
      <c r="DE745" s="1463">
        <f t="shared" si="22"/>
        <v>0</v>
      </c>
      <c r="DF745" s="1463"/>
      <c r="DG745" s="1463"/>
      <c r="DH745" s="1463"/>
      <c r="DI745" s="1463"/>
      <c r="DJ745" s="1463">
        <f t="shared" si="23"/>
        <v>0</v>
      </c>
      <c r="DK745" s="1463"/>
      <c r="DL745" s="1463"/>
      <c r="DM745" s="1463"/>
      <c r="DN745" s="1463"/>
      <c r="DO745" s="1463">
        <f t="shared" si="24"/>
        <v>0</v>
      </c>
      <c r="DP745" s="1463"/>
      <c r="DQ745" s="1463"/>
      <c r="DR745" s="1463"/>
      <c r="DS745" s="1463"/>
      <c r="DT745" s="6"/>
      <c r="DU745" s="1464">
        <f t="shared" si="25"/>
        <v>0</v>
      </c>
      <c r="DV745" s="1464"/>
      <c r="DW745" s="1464"/>
      <c r="DX745" s="1464"/>
      <c r="DY745" s="1464"/>
      <c r="DZ745" s="1464">
        <f t="shared" si="26"/>
        <v>0</v>
      </c>
      <c r="EA745" s="1464"/>
      <c r="EB745" s="1464"/>
      <c r="EC745" s="1464"/>
      <c r="ED745" s="1464"/>
      <c r="EE745" s="1464">
        <f t="shared" si="27"/>
        <v>0</v>
      </c>
      <c r="EF745" s="1464"/>
      <c r="EG745" s="1464"/>
      <c r="EH745" s="1464"/>
      <c r="EI745" s="1464"/>
      <c r="EJ745" s="1464">
        <f t="shared" si="28"/>
        <v>0</v>
      </c>
      <c r="EK745" s="1464"/>
      <c r="EL745" s="1464"/>
      <c r="EM745" s="1464"/>
      <c r="EN745" s="1464"/>
      <c r="EO745" s="1464">
        <f t="shared" si="29"/>
        <v>0</v>
      </c>
      <c r="EP745" s="1464"/>
      <c r="EQ745" s="1464"/>
      <c r="ER745" s="1464"/>
      <c r="ES745" s="1464"/>
      <c r="ET745" s="1464">
        <f t="shared" si="30"/>
        <v>0</v>
      </c>
      <c r="EU745" s="1464"/>
      <c r="EV745" s="1464"/>
      <c r="EW745" s="1464"/>
      <c r="EX745" s="1464"/>
      <c r="EZ745" s="1472" t="str">
        <f t="shared" si="31"/>
        <v/>
      </c>
      <c r="FA745" s="1479"/>
      <c r="FB745" s="1479"/>
      <c r="FC745" s="1479"/>
      <c r="FD745" s="1473"/>
      <c r="FE745" s="1472" t="str">
        <f t="shared" si="32"/>
        <v/>
      </c>
      <c r="FF745" s="1479"/>
      <c r="FG745" s="1479"/>
      <c r="FH745" s="1479"/>
      <c r="FI745" s="1473"/>
      <c r="FJ745" s="1472" t="str">
        <f t="shared" si="33"/>
        <v/>
      </c>
      <c r="FK745" s="1479"/>
      <c r="FL745" s="1479"/>
      <c r="FM745" s="1479"/>
      <c r="FN745" s="1473"/>
      <c r="FO745" s="1472" t="str">
        <f t="shared" si="34"/>
        <v/>
      </c>
      <c r="FP745" s="1479"/>
      <c r="FQ745" s="1479"/>
      <c r="FR745" s="1479"/>
      <c r="FS745" s="1473"/>
      <c r="FT745" s="1472" t="str">
        <f t="shared" si="35"/>
        <v/>
      </c>
      <c r="FU745" s="1479"/>
      <c r="FV745" s="1479"/>
      <c r="FW745" s="1479"/>
      <c r="FX745" s="1473"/>
      <c r="FY745" s="1472" t="str">
        <f t="shared" si="36"/>
        <v/>
      </c>
      <c r="FZ745" s="1479"/>
      <c r="GA745" s="1479"/>
      <c r="GB745" s="1479"/>
      <c r="GC745" s="1473"/>
    </row>
    <row r="746" spans="1:185" ht="12.95" customHeight="1">
      <c r="B746" s="1356"/>
      <c r="C746" s="1357"/>
      <c r="D746" s="1357"/>
      <c r="E746" s="1357"/>
      <c r="F746" s="1358"/>
      <c r="G746" s="1368"/>
      <c r="H746" s="1369"/>
      <c r="I746" s="1369"/>
      <c r="J746" s="1370"/>
      <c r="K746" s="1362"/>
      <c r="L746" s="1363"/>
      <c r="M746" s="1363"/>
      <c r="N746" s="1364"/>
      <c r="O746" s="1359"/>
      <c r="P746" s="1360"/>
      <c r="Q746" s="1360"/>
      <c r="R746" s="1360"/>
      <c r="S746" s="1361"/>
      <c r="T746" s="1359"/>
      <c r="U746" s="1360"/>
      <c r="V746" s="1360"/>
      <c r="W746" s="1361"/>
      <c r="X746" s="1371">
        <f t="shared" si="40"/>
        <v>0</v>
      </c>
      <c r="Y746" s="1372"/>
      <c r="Z746" s="1372"/>
      <c r="AA746" s="1372"/>
      <c r="AB746" s="1373"/>
      <c r="AC746" s="1378"/>
      <c r="AD746" s="1379"/>
      <c r="AE746" s="1379"/>
      <c r="AF746" s="1379"/>
      <c r="AG746" s="1380"/>
      <c r="AH746" s="1374" t="str">
        <f t="shared" si="37"/>
        <v/>
      </c>
      <c r="AI746" s="1375"/>
      <c r="AJ746" s="1376"/>
      <c r="AK746" s="1356" t="s">
        <v>591</v>
      </c>
      <c r="AL746" s="1357"/>
      <c r="AM746" s="1357"/>
      <c r="AN746" s="1357"/>
      <c r="AO746" s="1358"/>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72">
        <f t="shared" si="38"/>
        <v>0</v>
      </c>
      <c r="CH746" s="1473"/>
      <c r="CI746" s="1483">
        <f t="shared" si="39"/>
        <v>0</v>
      </c>
      <c r="CJ746" s="1484"/>
      <c r="CK746" s="1472">
        <f t="shared" si="17"/>
        <v>0</v>
      </c>
      <c r="CL746" s="1473"/>
      <c r="CM746" s="1483">
        <f t="shared" si="18"/>
        <v>0</v>
      </c>
      <c r="CN746" s="1484"/>
      <c r="CO746" s="3"/>
      <c r="CP746" s="1474">
        <f t="shared" si="19"/>
        <v>0</v>
      </c>
      <c r="CQ746" s="1475"/>
      <c r="CR746" s="1475"/>
      <c r="CS746" s="1475"/>
      <c r="CT746" s="1476"/>
      <c r="CU746" s="1463">
        <f t="shared" si="20"/>
        <v>0</v>
      </c>
      <c r="CV746" s="1463"/>
      <c r="CW746" s="1463"/>
      <c r="CX746" s="1463"/>
      <c r="CY746" s="1463"/>
      <c r="CZ746" s="1463">
        <f t="shared" si="21"/>
        <v>0</v>
      </c>
      <c r="DA746" s="1463"/>
      <c r="DB746" s="1463"/>
      <c r="DC746" s="1463"/>
      <c r="DD746" s="1463"/>
      <c r="DE746" s="1463">
        <f t="shared" si="22"/>
        <v>0</v>
      </c>
      <c r="DF746" s="1463"/>
      <c r="DG746" s="1463"/>
      <c r="DH746" s="1463"/>
      <c r="DI746" s="1463"/>
      <c r="DJ746" s="1463">
        <f t="shared" si="23"/>
        <v>0</v>
      </c>
      <c r="DK746" s="1463"/>
      <c r="DL746" s="1463"/>
      <c r="DM746" s="1463"/>
      <c r="DN746" s="1463"/>
      <c r="DO746" s="1463">
        <f t="shared" si="24"/>
        <v>0</v>
      </c>
      <c r="DP746" s="1463"/>
      <c r="DQ746" s="1463"/>
      <c r="DR746" s="1463"/>
      <c r="DS746" s="1463"/>
      <c r="DT746" s="6"/>
      <c r="DU746" s="1464">
        <f t="shared" si="25"/>
        <v>0</v>
      </c>
      <c r="DV746" s="1464"/>
      <c r="DW746" s="1464"/>
      <c r="DX746" s="1464"/>
      <c r="DY746" s="1464"/>
      <c r="DZ746" s="1464">
        <f t="shared" si="26"/>
        <v>0</v>
      </c>
      <c r="EA746" s="1464"/>
      <c r="EB746" s="1464"/>
      <c r="EC746" s="1464"/>
      <c r="ED746" s="1464"/>
      <c r="EE746" s="1464">
        <f t="shared" si="27"/>
        <v>0</v>
      </c>
      <c r="EF746" s="1464"/>
      <c r="EG746" s="1464"/>
      <c r="EH746" s="1464"/>
      <c r="EI746" s="1464"/>
      <c r="EJ746" s="1464">
        <f t="shared" si="28"/>
        <v>0</v>
      </c>
      <c r="EK746" s="1464"/>
      <c r="EL746" s="1464"/>
      <c r="EM746" s="1464"/>
      <c r="EN746" s="1464"/>
      <c r="EO746" s="1464">
        <f t="shared" si="29"/>
        <v>0</v>
      </c>
      <c r="EP746" s="1464"/>
      <c r="EQ746" s="1464"/>
      <c r="ER746" s="1464"/>
      <c r="ES746" s="1464"/>
      <c r="ET746" s="1464">
        <f t="shared" si="30"/>
        <v>0</v>
      </c>
      <c r="EU746" s="1464"/>
      <c r="EV746" s="1464"/>
      <c r="EW746" s="1464"/>
      <c r="EX746" s="1464"/>
      <c r="EZ746" s="1472" t="str">
        <f t="shared" si="31"/>
        <v/>
      </c>
      <c r="FA746" s="1479"/>
      <c r="FB746" s="1479"/>
      <c r="FC746" s="1479"/>
      <c r="FD746" s="1473"/>
      <c r="FE746" s="1472" t="str">
        <f t="shared" si="32"/>
        <v/>
      </c>
      <c r="FF746" s="1479"/>
      <c r="FG746" s="1479"/>
      <c r="FH746" s="1479"/>
      <c r="FI746" s="1473"/>
      <c r="FJ746" s="1472" t="str">
        <f t="shared" si="33"/>
        <v/>
      </c>
      <c r="FK746" s="1479"/>
      <c r="FL746" s="1479"/>
      <c r="FM746" s="1479"/>
      <c r="FN746" s="1473"/>
      <c r="FO746" s="1472" t="str">
        <f t="shared" si="34"/>
        <v/>
      </c>
      <c r="FP746" s="1479"/>
      <c r="FQ746" s="1479"/>
      <c r="FR746" s="1479"/>
      <c r="FS746" s="1473"/>
      <c r="FT746" s="1472" t="str">
        <f t="shared" si="35"/>
        <v/>
      </c>
      <c r="FU746" s="1479"/>
      <c r="FV746" s="1479"/>
      <c r="FW746" s="1479"/>
      <c r="FX746" s="1473"/>
      <c r="FY746" s="1472" t="str">
        <f t="shared" si="36"/>
        <v/>
      </c>
      <c r="FZ746" s="1479"/>
      <c r="GA746" s="1479"/>
      <c r="GB746" s="1479"/>
      <c r="GC746" s="1473"/>
    </row>
    <row r="747" spans="1:185" ht="12.95" customHeight="1">
      <c r="B747" s="1356"/>
      <c r="C747" s="1357"/>
      <c r="D747" s="1357"/>
      <c r="E747" s="1357"/>
      <c r="F747" s="1358"/>
      <c r="G747" s="1368"/>
      <c r="H747" s="1369"/>
      <c r="I747" s="1369"/>
      <c r="J747" s="1370"/>
      <c r="K747" s="1362"/>
      <c r="L747" s="1363"/>
      <c r="M747" s="1363"/>
      <c r="N747" s="1364"/>
      <c r="O747" s="1359"/>
      <c r="P747" s="1360"/>
      <c r="Q747" s="1360"/>
      <c r="R747" s="1360"/>
      <c r="S747" s="1361"/>
      <c r="T747" s="1359"/>
      <c r="U747" s="1360"/>
      <c r="V747" s="1360"/>
      <c r="W747" s="1361"/>
      <c r="X747" s="1371">
        <f t="shared" si="40"/>
        <v>0</v>
      </c>
      <c r="Y747" s="1372"/>
      <c r="Z747" s="1372"/>
      <c r="AA747" s="1372"/>
      <c r="AB747" s="1373"/>
      <c r="AC747" s="1378"/>
      <c r="AD747" s="1379"/>
      <c r="AE747" s="1379"/>
      <c r="AF747" s="1379"/>
      <c r="AG747" s="1380"/>
      <c r="AH747" s="1374" t="str">
        <f t="shared" si="37"/>
        <v/>
      </c>
      <c r="AI747" s="1375"/>
      <c r="AJ747" s="1376"/>
      <c r="AK747" s="1356" t="s">
        <v>591</v>
      </c>
      <c r="AL747" s="1357"/>
      <c r="AM747" s="1357"/>
      <c r="AN747" s="1357"/>
      <c r="AO747" s="1358"/>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72">
        <f t="shared" si="38"/>
        <v>0</v>
      </c>
      <c r="CH747" s="1473"/>
      <c r="CI747" s="1483">
        <f t="shared" si="39"/>
        <v>0</v>
      </c>
      <c r="CJ747" s="1484"/>
      <c r="CK747" s="1472">
        <f t="shared" si="17"/>
        <v>0</v>
      </c>
      <c r="CL747" s="1473"/>
      <c r="CM747" s="1483">
        <f t="shared" si="18"/>
        <v>0</v>
      </c>
      <c r="CN747" s="1484"/>
      <c r="CO747" s="3"/>
      <c r="CP747" s="1474">
        <f t="shared" si="19"/>
        <v>0</v>
      </c>
      <c r="CQ747" s="1475"/>
      <c r="CR747" s="1475"/>
      <c r="CS747" s="1475"/>
      <c r="CT747" s="1476"/>
      <c r="CU747" s="1463">
        <f t="shared" si="20"/>
        <v>0</v>
      </c>
      <c r="CV747" s="1463"/>
      <c r="CW747" s="1463"/>
      <c r="CX747" s="1463"/>
      <c r="CY747" s="1463"/>
      <c r="CZ747" s="1463">
        <f t="shared" si="21"/>
        <v>0</v>
      </c>
      <c r="DA747" s="1463"/>
      <c r="DB747" s="1463"/>
      <c r="DC747" s="1463"/>
      <c r="DD747" s="1463"/>
      <c r="DE747" s="1463">
        <f t="shared" si="22"/>
        <v>0</v>
      </c>
      <c r="DF747" s="1463"/>
      <c r="DG747" s="1463"/>
      <c r="DH747" s="1463"/>
      <c r="DI747" s="1463"/>
      <c r="DJ747" s="1463">
        <f t="shared" si="23"/>
        <v>0</v>
      </c>
      <c r="DK747" s="1463"/>
      <c r="DL747" s="1463"/>
      <c r="DM747" s="1463"/>
      <c r="DN747" s="1463"/>
      <c r="DO747" s="1463">
        <f t="shared" si="24"/>
        <v>0</v>
      </c>
      <c r="DP747" s="1463"/>
      <c r="DQ747" s="1463"/>
      <c r="DR747" s="1463"/>
      <c r="DS747" s="1463"/>
      <c r="DT747" s="6"/>
      <c r="DU747" s="1464">
        <f t="shared" si="25"/>
        <v>0</v>
      </c>
      <c r="DV747" s="1464"/>
      <c r="DW747" s="1464"/>
      <c r="DX747" s="1464"/>
      <c r="DY747" s="1464"/>
      <c r="DZ747" s="1464">
        <f t="shared" si="26"/>
        <v>0</v>
      </c>
      <c r="EA747" s="1464"/>
      <c r="EB747" s="1464"/>
      <c r="EC747" s="1464"/>
      <c r="ED747" s="1464"/>
      <c r="EE747" s="1464">
        <f t="shared" si="27"/>
        <v>0</v>
      </c>
      <c r="EF747" s="1464"/>
      <c r="EG747" s="1464"/>
      <c r="EH747" s="1464"/>
      <c r="EI747" s="1464"/>
      <c r="EJ747" s="1464">
        <f t="shared" si="28"/>
        <v>0</v>
      </c>
      <c r="EK747" s="1464"/>
      <c r="EL747" s="1464"/>
      <c r="EM747" s="1464"/>
      <c r="EN747" s="1464"/>
      <c r="EO747" s="1464">
        <f t="shared" si="29"/>
        <v>0</v>
      </c>
      <c r="EP747" s="1464"/>
      <c r="EQ747" s="1464"/>
      <c r="ER747" s="1464"/>
      <c r="ES747" s="1464"/>
      <c r="ET747" s="1464">
        <f t="shared" si="30"/>
        <v>0</v>
      </c>
      <c r="EU747" s="1464"/>
      <c r="EV747" s="1464"/>
      <c r="EW747" s="1464"/>
      <c r="EX747" s="1464"/>
      <c r="EZ747" s="1472" t="str">
        <f t="shared" si="31"/>
        <v/>
      </c>
      <c r="FA747" s="1479"/>
      <c r="FB747" s="1479"/>
      <c r="FC747" s="1479"/>
      <c r="FD747" s="1473"/>
      <c r="FE747" s="1472" t="str">
        <f t="shared" si="32"/>
        <v/>
      </c>
      <c r="FF747" s="1479"/>
      <c r="FG747" s="1479"/>
      <c r="FH747" s="1479"/>
      <c r="FI747" s="1473"/>
      <c r="FJ747" s="1472" t="str">
        <f t="shared" si="33"/>
        <v/>
      </c>
      <c r="FK747" s="1479"/>
      <c r="FL747" s="1479"/>
      <c r="FM747" s="1479"/>
      <c r="FN747" s="1473"/>
      <c r="FO747" s="1472" t="str">
        <f t="shared" si="34"/>
        <v/>
      </c>
      <c r="FP747" s="1479"/>
      <c r="FQ747" s="1479"/>
      <c r="FR747" s="1479"/>
      <c r="FS747" s="1473"/>
      <c r="FT747" s="1472" t="str">
        <f t="shared" si="35"/>
        <v/>
      </c>
      <c r="FU747" s="1479"/>
      <c r="FV747" s="1479"/>
      <c r="FW747" s="1479"/>
      <c r="FX747" s="1473"/>
      <c r="FY747" s="1472" t="str">
        <f t="shared" si="36"/>
        <v/>
      </c>
      <c r="FZ747" s="1479"/>
      <c r="GA747" s="1479"/>
      <c r="GB747" s="1479"/>
      <c r="GC747" s="1473"/>
    </row>
    <row r="748" spans="1:185" s="3" customFormat="1" ht="12.95" customHeight="1">
      <c r="A748"/>
      <c r="B748" s="1356"/>
      <c r="C748" s="1357"/>
      <c r="D748" s="1357"/>
      <c r="E748" s="1357"/>
      <c r="F748" s="1358"/>
      <c r="G748" s="1368"/>
      <c r="H748" s="1369"/>
      <c r="I748" s="1369"/>
      <c r="J748" s="1370"/>
      <c r="K748" s="1362"/>
      <c r="L748" s="1363"/>
      <c r="M748" s="1363"/>
      <c r="N748" s="1364"/>
      <c r="O748" s="1359"/>
      <c r="P748" s="1360"/>
      <c r="Q748" s="1360"/>
      <c r="R748" s="1360"/>
      <c r="S748" s="1361"/>
      <c r="T748" s="1359"/>
      <c r="U748" s="1360"/>
      <c r="V748" s="1360"/>
      <c r="W748" s="1361"/>
      <c r="X748" s="1371">
        <f t="shared" si="40"/>
        <v>0</v>
      </c>
      <c r="Y748" s="1372"/>
      <c r="Z748" s="1372"/>
      <c r="AA748" s="1372"/>
      <c r="AB748" s="1373"/>
      <c r="AC748" s="1378"/>
      <c r="AD748" s="1379"/>
      <c r="AE748" s="1379"/>
      <c r="AF748" s="1379"/>
      <c r="AG748" s="1380"/>
      <c r="AH748" s="1374" t="str">
        <f t="shared" si="37"/>
        <v/>
      </c>
      <c r="AI748" s="1375"/>
      <c r="AJ748" s="1376"/>
      <c r="AK748" s="1356" t="s">
        <v>591</v>
      </c>
      <c r="AL748" s="1357"/>
      <c r="AM748" s="1357"/>
      <c r="AN748" s="1357"/>
      <c r="AO748" s="1358"/>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72">
        <f t="shared" si="38"/>
        <v>0</v>
      </c>
      <c r="CH748" s="1473"/>
      <c r="CI748" s="1483">
        <f t="shared" si="39"/>
        <v>0</v>
      </c>
      <c r="CJ748" s="1484"/>
      <c r="CK748" s="1472">
        <f t="shared" si="17"/>
        <v>0</v>
      </c>
      <c r="CL748" s="1473"/>
      <c r="CM748" s="1483">
        <f t="shared" si="18"/>
        <v>0</v>
      </c>
      <c r="CN748" s="1484"/>
      <c r="CP748" s="1474">
        <f t="shared" si="19"/>
        <v>0</v>
      </c>
      <c r="CQ748" s="1475"/>
      <c r="CR748" s="1475"/>
      <c r="CS748" s="1475"/>
      <c r="CT748" s="1476"/>
      <c r="CU748" s="1463">
        <f t="shared" si="20"/>
        <v>0</v>
      </c>
      <c r="CV748" s="1463"/>
      <c r="CW748" s="1463"/>
      <c r="CX748" s="1463"/>
      <c r="CY748" s="1463"/>
      <c r="CZ748" s="1463">
        <f t="shared" si="21"/>
        <v>0</v>
      </c>
      <c r="DA748" s="1463"/>
      <c r="DB748" s="1463"/>
      <c r="DC748" s="1463"/>
      <c r="DD748" s="1463"/>
      <c r="DE748" s="1463">
        <f t="shared" si="22"/>
        <v>0</v>
      </c>
      <c r="DF748" s="1463"/>
      <c r="DG748" s="1463"/>
      <c r="DH748" s="1463"/>
      <c r="DI748" s="1463"/>
      <c r="DJ748" s="1463">
        <f t="shared" si="23"/>
        <v>0</v>
      </c>
      <c r="DK748" s="1463"/>
      <c r="DL748" s="1463"/>
      <c r="DM748" s="1463"/>
      <c r="DN748" s="1463"/>
      <c r="DO748" s="1463">
        <f t="shared" si="24"/>
        <v>0</v>
      </c>
      <c r="DP748" s="1463"/>
      <c r="DQ748" s="1463"/>
      <c r="DR748" s="1463"/>
      <c r="DS748" s="1463"/>
      <c r="DT748" s="6"/>
      <c r="DU748" s="1464">
        <f t="shared" si="25"/>
        <v>0</v>
      </c>
      <c r="DV748" s="1464"/>
      <c r="DW748" s="1464"/>
      <c r="DX748" s="1464"/>
      <c r="DY748" s="1464"/>
      <c r="DZ748" s="1464">
        <f t="shared" si="26"/>
        <v>0</v>
      </c>
      <c r="EA748" s="1464"/>
      <c r="EB748" s="1464"/>
      <c r="EC748" s="1464"/>
      <c r="ED748" s="1464"/>
      <c r="EE748" s="1464">
        <f t="shared" si="27"/>
        <v>0</v>
      </c>
      <c r="EF748" s="1464"/>
      <c r="EG748" s="1464"/>
      <c r="EH748" s="1464"/>
      <c r="EI748" s="1464"/>
      <c r="EJ748" s="1464">
        <f t="shared" si="28"/>
        <v>0</v>
      </c>
      <c r="EK748" s="1464"/>
      <c r="EL748" s="1464"/>
      <c r="EM748" s="1464"/>
      <c r="EN748" s="1464"/>
      <c r="EO748" s="1464">
        <f t="shared" si="29"/>
        <v>0</v>
      </c>
      <c r="EP748" s="1464"/>
      <c r="EQ748" s="1464"/>
      <c r="ER748" s="1464"/>
      <c r="ES748" s="1464"/>
      <c r="ET748" s="1464">
        <f t="shared" si="30"/>
        <v>0</v>
      </c>
      <c r="EU748" s="1464"/>
      <c r="EV748" s="1464"/>
      <c r="EW748" s="1464"/>
      <c r="EX748" s="1464"/>
      <c r="EY748"/>
      <c r="EZ748" s="1472" t="str">
        <f t="shared" si="31"/>
        <v/>
      </c>
      <c r="FA748" s="1479"/>
      <c r="FB748" s="1479"/>
      <c r="FC748" s="1479"/>
      <c r="FD748" s="1473"/>
      <c r="FE748" s="1472" t="str">
        <f t="shared" si="32"/>
        <v/>
      </c>
      <c r="FF748" s="1479"/>
      <c r="FG748" s="1479"/>
      <c r="FH748" s="1479"/>
      <c r="FI748" s="1473"/>
      <c r="FJ748" s="1472" t="str">
        <f t="shared" si="33"/>
        <v/>
      </c>
      <c r="FK748" s="1479"/>
      <c r="FL748" s="1479"/>
      <c r="FM748" s="1479"/>
      <c r="FN748" s="1473"/>
      <c r="FO748" s="1472" t="str">
        <f t="shared" si="34"/>
        <v/>
      </c>
      <c r="FP748" s="1479"/>
      <c r="FQ748" s="1479"/>
      <c r="FR748" s="1479"/>
      <c r="FS748" s="1473"/>
      <c r="FT748" s="1472" t="str">
        <f t="shared" si="35"/>
        <v/>
      </c>
      <c r="FU748" s="1479"/>
      <c r="FV748" s="1479"/>
      <c r="FW748" s="1479"/>
      <c r="FX748" s="1473"/>
      <c r="FY748" s="1472" t="str">
        <f t="shared" si="36"/>
        <v/>
      </c>
      <c r="FZ748" s="1479"/>
      <c r="GA748" s="1479"/>
      <c r="GB748" s="1479"/>
      <c r="GC748" s="1473"/>
    </row>
    <row r="749" spans="1:185" s="3" customFormat="1" ht="12.95" customHeight="1">
      <c r="A749"/>
      <c r="B749" s="1356"/>
      <c r="C749" s="1357"/>
      <c r="D749" s="1357"/>
      <c r="E749" s="1357"/>
      <c r="F749" s="1358"/>
      <c r="G749" s="1368"/>
      <c r="H749" s="1369"/>
      <c r="I749" s="1369"/>
      <c r="J749" s="1370"/>
      <c r="K749" s="1362"/>
      <c r="L749" s="1363"/>
      <c r="M749" s="1363"/>
      <c r="N749" s="1364"/>
      <c r="O749" s="1359"/>
      <c r="P749" s="1360"/>
      <c r="Q749" s="1360"/>
      <c r="R749" s="1360"/>
      <c r="S749" s="1361"/>
      <c r="T749" s="1359"/>
      <c r="U749" s="1360"/>
      <c r="V749" s="1360"/>
      <c r="W749" s="1361"/>
      <c r="X749" s="1371">
        <f t="shared" si="40"/>
        <v>0</v>
      </c>
      <c r="Y749" s="1372"/>
      <c r="Z749" s="1372"/>
      <c r="AA749" s="1372"/>
      <c r="AB749" s="1373"/>
      <c r="AC749" s="1378"/>
      <c r="AD749" s="1379"/>
      <c r="AE749" s="1379"/>
      <c r="AF749" s="1379"/>
      <c r="AG749" s="1380"/>
      <c r="AH749" s="1374" t="str">
        <f t="shared" si="37"/>
        <v/>
      </c>
      <c r="AI749" s="1375"/>
      <c r="AJ749" s="1376"/>
      <c r="AK749" s="1356" t="s">
        <v>591</v>
      </c>
      <c r="AL749" s="1357"/>
      <c r="AM749" s="1357"/>
      <c r="AN749" s="1357"/>
      <c r="AO749" s="1358"/>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72">
        <f t="shared" si="38"/>
        <v>0</v>
      </c>
      <c r="CH749" s="1473"/>
      <c r="CI749" s="1483">
        <f t="shared" si="39"/>
        <v>0</v>
      </c>
      <c r="CJ749" s="1484"/>
      <c r="CK749" s="1472">
        <f t="shared" si="17"/>
        <v>0</v>
      </c>
      <c r="CL749" s="1473"/>
      <c r="CM749" s="1483">
        <f t="shared" si="18"/>
        <v>0</v>
      </c>
      <c r="CN749" s="1484"/>
      <c r="CP749" s="1474">
        <f t="shared" si="19"/>
        <v>0</v>
      </c>
      <c r="CQ749" s="1475"/>
      <c r="CR749" s="1475"/>
      <c r="CS749" s="1475"/>
      <c r="CT749" s="1476"/>
      <c r="CU749" s="1463">
        <f t="shared" si="20"/>
        <v>0</v>
      </c>
      <c r="CV749" s="1463"/>
      <c r="CW749" s="1463"/>
      <c r="CX749" s="1463"/>
      <c r="CY749" s="1463"/>
      <c r="CZ749" s="1463">
        <f t="shared" si="21"/>
        <v>0</v>
      </c>
      <c r="DA749" s="1463"/>
      <c r="DB749" s="1463"/>
      <c r="DC749" s="1463"/>
      <c r="DD749" s="1463"/>
      <c r="DE749" s="1463">
        <f t="shared" si="22"/>
        <v>0</v>
      </c>
      <c r="DF749" s="1463"/>
      <c r="DG749" s="1463"/>
      <c r="DH749" s="1463"/>
      <c r="DI749" s="1463"/>
      <c r="DJ749" s="1463">
        <f t="shared" si="23"/>
        <v>0</v>
      </c>
      <c r="DK749" s="1463"/>
      <c r="DL749" s="1463"/>
      <c r="DM749" s="1463"/>
      <c r="DN749" s="1463"/>
      <c r="DO749" s="1463">
        <f t="shared" si="24"/>
        <v>0</v>
      </c>
      <c r="DP749" s="1463"/>
      <c r="DQ749" s="1463"/>
      <c r="DR749" s="1463"/>
      <c r="DS749" s="1463"/>
      <c r="DT749" s="6"/>
      <c r="DU749" s="1464">
        <f t="shared" si="25"/>
        <v>0</v>
      </c>
      <c r="DV749" s="1464"/>
      <c r="DW749" s="1464"/>
      <c r="DX749" s="1464"/>
      <c r="DY749" s="1464"/>
      <c r="DZ749" s="1464">
        <f t="shared" si="26"/>
        <v>0</v>
      </c>
      <c r="EA749" s="1464"/>
      <c r="EB749" s="1464"/>
      <c r="EC749" s="1464"/>
      <c r="ED749" s="1464"/>
      <c r="EE749" s="1464">
        <f t="shared" si="27"/>
        <v>0</v>
      </c>
      <c r="EF749" s="1464"/>
      <c r="EG749" s="1464"/>
      <c r="EH749" s="1464"/>
      <c r="EI749" s="1464"/>
      <c r="EJ749" s="1464">
        <f t="shared" si="28"/>
        <v>0</v>
      </c>
      <c r="EK749" s="1464"/>
      <c r="EL749" s="1464"/>
      <c r="EM749" s="1464"/>
      <c r="EN749" s="1464"/>
      <c r="EO749" s="1464">
        <f t="shared" si="29"/>
        <v>0</v>
      </c>
      <c r="EP749" s="1464"/>
      <c r="EQ749" s="1464"/>
      <c r="ER749" s="1464"/>
      <c r="ES749" s="1464"/>
      <c r="ET749" s="1464">
        <f t="shared" si="30"/>
        <v>0</v>
      </c>
      <c r="EU749" s="1464"/>
      <c r="EV749" s="1464"/>
      <c r="EW749" s="1464"/>
      <c r="EX749" s="1464"/>
      <c r="EY749"/>
      <c r="EZ749" s="1472" t="str">
        <f t="shared" si="31"/>
        <v/>
      </c>
      <c r="FA749" s="1479"/>
      <c r="FB749" s="1479"/>
      <c r="FC749" s="1479"/>
      <c r="FD749" s="1473"/>
      <c r="FE749" s="1472" t="str">
        <f t="shared" si="32"/>
        <v/>
      </c>
      <c r="FF749" s="1479"/>
      <c r="FG749" s="1479"/>
      <c r="FH749" s="1479"/>
      <c r="FI749" s="1473"/>
      <c r="FJ749" s="1472" t="str">
        <f t="shared" si="33"/>
        <v/>
      </c>
      <c r="FK749" s="1479"/>
      <c r="FL749" s="1479"/>
      <c r="FM749" s="1479"/>
      <c r="FN749" s="1473"/>
      <c r="FO749" s="1472" t="str">
        <f t="shared" si="34"/>
        <v/>
      </c>
      <c r="FP749" s="1479"/>
      <c r="FQ749" s="1479"/>
      <c r="FR749" s="1479"/>
      <c r="FS749" s="1473"/>
      <c r="FT749" s="1472" t="str">
        <f t="shared" si="35"/>
        <v/>
      </c>
      <c r="FU749" s="1479"/>
      <c r="FV749" s="1479"/>
      <c r="FW749" s="1479"/>
      <c r="FX749" s="1473"/>
      <c r="FY749" s="1472" t="str">
        <f t="shared" si="36"/>
        <v/>
      </c>
      <c r="FZ749" s="1479"/>
      <c r="GA749" s="1479"/>
      <c r="GB749" s="1479"/>
      <c r="GC749" s="1473"/>
    </row>
    <row r="750" spans="1:185" s="3" customFormat="1" ht="12.95" customHeight="1">
      <c r="A750"/>
      <c r="B750" s="1356"/>
      <c r="C750" s="1357"/>
      <c r="D750" s="1357"/>
      <c r="E750" s="1357"/>
      <c r="F750" s="1358"/>
      <c r="G750" s="1368"/>
      <c r="H750" s="1369"/>
      <c r="I750" s="1369"/>
      <c r="J750" s="1370"/>
      <c r="K750" s="1362"/>
      <c r="L750" s="1363"/>
      <c r="M750" s="1363"/>
      <c r="N750" s="1364"/>
      <c r="O750" s="1359"/>
      <c r="P750" s="1360"/>
      <c r="Q750" s="1360"/>
      <c r="R750" s="1360"/>
      <c r="S750" s="1361"/>
      <c r="T750" s="1359"/>
      <c r="U750" s="1360"/>
      <c r="V750" s="1360"/>
      <c r="W750" s="1361"/>
      <c r="X750" s="1371">
        <f t="shared" si="40"/>
        <v>0</v>
      </c>
      <c r="Y750" s="1372"/>
      <c r="Z750" s="1372"/>
      <c r="AA750" s="1372"/>
      <c r="AB750" s="1373"/>
      <c r="AC750" s="1378"/>
      <c r="AD750" s="1379"/>
      <c r="AE750" s="1379"/>
      <c r="AF750" s="1379"/>
      <c r="AG750" s="1380"/>
      <c r="AH750" s="1374" t="str">
        <f t="shared" si="37"/>
        <v/>
      </c>
      <c r="AI750" s="1375"/>
      <c r="AJ750" s="1376"/>
      <c r="AK750" s="1356" t="s">
        <v>591</v>
      </c>
      <c r="AL750" s="1357"/>
      <c r="AM750" s="1357"/>
      <c r="AN750" s="1357"/>
      <c r="AO750" s="1358"/>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72">
        <f t="shared" si="38"/>
        <v>0</v>
      </c>
      <c r="CH750" s="1473"/>
      <c r="CI750" s="1483">
        <f t="shared" si="39"/>
        <v>0</v>
      </c>
      <c r="CJ750" s="1484"/>
      <c r="CK750" s="1472">
        <f t="shared" si="17"/>
        <v>0</v>
      </c>
      <c r="CL750" s="1473"/>
      <c r="CM750" s="1483">
        <f t="shared" si="18"/>
        <v>0</v>
      </c>
      <c r="CN750" s="1484"/>
      <c r="CP750" s="1474">
        <f t="shared" si="19"/>
        <v>0</v>
      </c>
      <c r="CQ750" s="1475"/>
      <c r="CR750" s="1475"/>
      <c r="CS750" s="1475"/>
      <c r="CT750" s="1476"/>
      <c r="CU750" s="1463">
        <f t="shared" si="20"/>
        <v>0</v>
      </c>
      <c r="CV750" s="1463"/>
      <c r="CW750" s="1463"/>
      <c r="CX750" s="1463"/>
      <c r="CY750" s="1463"/>
      <c r="CZ750" s="1463">
        <f t="shared" si="21"/>
        <v>0</v>
      </c>
      <c r="DA750" s="1463"/>
      <c r="DB750" s="1463"/>
      <c r="DC750" s="1463"/>
      <c r="DD750" s="1463"/>
      <c r="DE750" s="1463">
        <f t="shared" si="22"/>
        <v>0</v>
      </c>
      <c r="DF750" s="1463"/>
      <c r="DG750" s="1463"/>
      <c r="DH750" s="1463"/>
      <c r="DI750" s="1463"/>
      <c r="DJ750" s="1463">
        <f t="shared" si="23"/>
        <v>0</v>
      </c>
      <c r="DK750" s="1463"/>
      <c r="DL750" s="1463"/>
      <c r="DM750" s="1463"/>
      <c r="DN750" s="1463"/>
      <c r="DO750" s="1463">
        <f t="shared" si="24"/>
        <v>0</v>
      </c>
      <c r="DP750" s="1463"/>
      <c r="DQ750" s="1463"/>
      <c r="DR750" s="1463"/>
      <c r="DS750" s="1463"/>
      <c r="DT750" s="6"/>
      <c r="DU750" s="1464">
        <f t="shared" si="25"/>
        <v>0</v>
      </c>
      <c r="DV750" s="1464"/>
      <c r="DW750" s="1464"/>
      <c r="DX750" s="1464"/>
      <c r="DY750" s="1464"/>
      <c r="DZ750" s="1464">
        <f t="shared" si="26"/>
        <v>0</v>
      </c>
      <c r="EA750" s="1464"/>
      <c r="EB750" s="1464"/>
      <c r="EC750" s="1464"/>
      <c r="ED750" s="1464"/>
      <c r="EE750" s="1464">
        <f t="shared" si="27"/>
        <v>0</v>
      </c>
      <c r="EF750" s="1464"/>
      <c r="EG750" s="1464"/>
      <c r="EH750" s="1464"/>
      <c r="EI750" s="1464"/>
      <c r="EJ750" s="1464">
        <f t="shared" si="28"/>
        <v>0</v>
      </c>
      <c r="EK750" s="1464"/>
      <c r="EL750" s="1464"/>
      <c r="EM750" s="1464"/>
      <c r="EN750" s="1464"/>
      <c r="EO750" s="1464">
        <f t="shared" si="29"/>
        <v>0</v>
      </c>
      <c r="EP750" s="1464"/>
      <c r="EQ750" s="1464"/>
      <c r="ER750" s="1464"/>
      <c r="ES750" s="1464"/>
      <c r="ET750" s="1464">
        <f t="shared" si="30"/>
        <v>0</v>
      </c>
      <c r="EU750" s="1464"/>
      <c r="EV750" s="1464"/>
      <c r="EW750" s="1464"/>
      <c r="EX750" s="1464"/>
      <c r="EY750"/>
      <c r="EZ750" s="1472" t="str">
        <f t="shared" si="31"/>
        <v/>
      </c>
      <c r="FA750" s="1479"/>
      <c r="FB750" s="1479"/>
      <c r="FC750" s="1479"/>
      <c r="FD750" s="1473"/>
      <c r="FE750" s="1472" t="str">
        <f t="shared" si="32"/>
        <v/>
      </c>
      <c r="FF750" s="1479"/>
      <c r="FG750" s="1479"/>
      <c r="FH750" s="1479"/>
      <c r="FI750" s="1473"/>
      <c r="FJ750" s="1472" t="str">
        <f t="shared" si="33"/>
        <v/>
      </c>
      <c r="FK750" s="1479"/>
      <c r="FL750" s="1479"/>
      <c r="FM750" s="1479"/>
      <c r="FN750" s="1473"/>
      <c r="FO750" s="1472" t="str">
        <f t="shared" si="34"/>
        <v/>
      </c>
      <c r="FP750" s="1479"/>
      <c r="FQ750" s="1479"/>
      <c r="FR750" s="1479"/>
      <c r="FS750" s="1473"/>
      <c r="FT750" s="1472" t="str">
        <f t="shared" si="35"/>
        <v/>
      </c>
      <c r="FU750" s="1479"/>
      <c r="FV750" s="1479"/>
      <c r="FW750" s="1479"/>
      <c r="FX750" s="1473"/>
      <c r="FY750" s="1472" t="str">
        <f t="shared" si="36"/>
        <v/>
      </c>
      <c r="FZ750" s="1479"/>
      <c r="GA750" s="1479"/>
      <c r="GB750" s="1479"/>
      <c r="GC750" s="1473"/>
    </row>
    <row r="751" spans="1:185" s="3" customFormat="1" ht="12.95" customHeight="1">
      <c r="A751"/>
      <c r="B751" s="1356"/>
      <c r="C751" s="1357"/>
      <c r="D751" s="1357"/>
      <c r="E751" s="1357"/>
      <c r="F751" s="1358"/>
      <c r="G751" s="1368"/>
      <c r="H751" s="1369"/>
      <c r="I751" s="1369"/>
      <c r="J751" s="1370"/>
      <c r="K751" s="1362"/>
      <c r="L751" s="1363"/>
      <c r="M751" s="1363"/>
      <c r="N751" s="1364"/>
      <c r="O751" s="1359"/>
      <c r="P751" s="1360"/>
      <c r="Q751" s="1360"/>
      <c r="R751" s="1360"/>
      <c r="S751" s="1361"/>
      <c r="T751" s="1359"/>
      <c r="U751" s="1360"/>
      <c r="V751" s="1360"/>
      <c r="W751" s="1361"/>
      <c r="X751" s="1371">
        <f t="shared" si="40"/>
        <v>0</v>
      </c>
      <c r="Y751" s="1372"/>
      <c r="Z751" s="1372"/>
      <c r="AA751" s="1372"/>
      <c r="AB751" s="1373"/>
      <c r="AC751" s="1378"/>
      <c r="AD751" s="1379"/>
      <c r="AE751" s="1379"/>
      <c r="AF751" s="1379"/>
      <c r="AG751" s="1380"/>
      <c r="AH751" s="1374" t="str">
        <f t="shared" si="37"/>
        <v/>
      </c>
      <c r="AI751" s="1375"/>
      <c r="AJ751" s="1376"/>
      <c r="AK751" s="1356" t="s">
        <v>591</v>
      </c>
      <c r="AL751" s="1357"/>
      <c r="AM751" s="1357"/>
      <c r="AN751" s="1357"/>
      <c r="AO751" s="1358"/>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72">
        <f t="shared" si="38"/>
        <v>0</v>
      </c>
      <c r="CH751" s="1473"/>
      <c r="CI751" s="1483">
        <f t="shared" si="39"/>
        <v>0</v>
      </c>
      <c r="CJ751" s="1484"/>
      <c r="CK751" s="1472">
        <f t="shared" si="17"/>
        <v>0</v>
      </c>
      <c r="CL751" s="1473"/>
      <c r="CM751" s="1483">
        <f t="shared" si="18"/>
        <v>0</v>
      </c>
      <c r="CN751" s="1484"/>
      <c r="CP751" s="1474">
        <f t="shared" si="19"/>
        <v>0</v>
      </c>
      <c r="CQ751" s="1475"/>
      <c r="CR751" s="1475"/>
      <c r="CS751" s="1475"/>
      <c r="CT751" s="1476"/>
      <c r="CU751" s="1463">
        <f t="shared" si="20"/>
        <v>0</v>
      </c>
      <c r="CV751" s="1463"/>
      <c r="CW751" s="1463"/>
      <c r="CX751" s="1463"/>
      <c r="CY751" s="1463"/>
      <c r="CZ751" s="1463">
        <f t="shared" si="21"/>
        <v>0</v>
      </c>
      <c r="DA751" s="1463"/>
      <c r="DB751" s="1463"/>
      <c r="DC751" s="1463"/>
      <c r="DD751" s="1463"/>
      <c r="DE751" s="1463">
        <f t="shared" si="22"/>
        <v>0</v>
      </c>
      <c r="DF751" s="1463"/>
      <c r="DG751" s="1463"/>
      <c r="DH751" s="1463"/>
      <c r="DI751" s="1463"/>
      <c r="DJ751" s="1463">
        <f t="shared" si="23"/>
        <v>0</v>
      </c>
      <c r="DK751" s="1463"/>
      <c r="DL751" s="1463"/>
      <c r="DM751" s="1463"/>
      <c r="DN751" s="1463"/>
      <c r="DO751" s="1463">
        <f t="shared" si="24"/>
        <v>0</v>
      </c>
      <c r="DP751" s="1463"/>
      <c r="DQ751" s="1463"/>
      <c r="DR751" s="1463"/>
      <c r="DS751" s="1463"/>
      <c r="DT751" s="6"/>
      <c r="DU751" s="1464">
        <f t="shared" si="25"/>
        <v>0</v>
      </c>
      <c r="DV751" s="1464"/>
      <c r="DW751" s="1464"/>
      <c r="DX751" s="1464"/>
      <c r="DY751" s="1464"/>
      <c r="DZ751" s="1464">
        <f t="shared" si="26"/>
        <v>0</v>
      </c>
      <c r="EA751" s="1464"/>
      <c r="EB751" s="1464"/>
      <c r="EC751" s="1464"/>
      <c r="ED751" s="1464"/>
      <c r="EE751" s="1464">
        <f t="shared" si="27"/>
        <v>0</v>
      </c>
      <c r="EF751" s="1464"/>
      <c r="EG751" s="1464"/>
      <c r="EH751" s="1464"/>
      <c r="EI751" s="1464"/>
      <c r="EJ751" s="1464">
        <f t="shared" si="28"/>
        <v>0</v>
      </c>
      <c r="EK751" s="1464"/>
      <c r="EL751" s="1464"/>
      <c r="EM751" s="1464"/>
      <c r="EN751" s="1464"/>
      <c r="EO751" s="1464">
        <f t="shared" si="29"/>
        <v>0</v>
      </c>
      <c r="EP751" s="1464"/>
      <c r="EQ751" s="1464"/>
      <c r="ER751" s="1464"/>
      <c r="ES751" s="1464"/>
      <c r="ET751" s="1464">
        <f t="shared" si="30"/>
        <v>0</v>
      </c>
      <c r="EU751" s="1464"/>
      <c r="EV751" s="1464"/>
      <c r="EW751" s="1464"/>
      <c r="EX751" s="1464"/>
      <c r="EY751"/>
      <c r="EZ751" s="1472" t="str">
        <f t="shared" si="31"/>
        <v/>
      </c>
      <c r="FA751" s="1479"/>
      <c r="FB751" s="1479"/>
      <c r="FC751" s="1479"/>
      <c r="FD751" s="1473"/>
      <c r="FE751" s="1472" t="str">
        <f t="shared" si="32"/>
        <v/>
      </c>
      <c r="FF751" s="1479"/>
      <c r="FG751" s="1479"/>
      <c r="FH751" s="1479"/>
      <c r="FI751" s="1473"/>
      <c r="FJ751" s="1472" t="str">
        <f t="shared" si="33"/>
        <v/>
      </c>
      <c r="FK751" s="1479"/>
      <c r="FL751" s="1479"/>
      <c r="FM751" s="1479"/>
      <c r="FN751" s="1473"/>
      <c r="FO751" s="1472" t="str">
        <f t="shared" si="34"/>
        <v/>
      </c>
      <c r="FP751" s="1479"/>
      <c r="FQ751" s="1479"/>
      <c r="FR751" s="1479"/>
      <c r="FS751" s="1473"/>
      <c r="FT751" s="1472" t="str">
        <f t="shared" si="35"/>
        <v/>
      </c>
      <c r="FU751" s="1479"/>
      <c r="FV751" s="1479"/>
      <c r="FW751" s="1479"/>
      <c r="FX751" s="1473"/>
      <c r="FY751" s="1472" t="str">
        <f t="shared" si="36"/>
        <v/>
      </c>
      <c r="FZ751" s="1479"/>
      <c r="GA751" s="1479"/>
      <c r="GB751" s="1479"/>
      <c r="GC751" s="1473"/>
    </row>
    <row r="752" spans="1:185" s="3" customFormat="1" ht="12.95" customHeight="1">
      <c r="A752"/>
      <c r="B752" s="1356"/>
      <c r="C752" s="1357"/>
      <c r="D752" s="1357"/>
      <c r="E752" s="1357"/>
      <c r="F752" s="1358"/>
      <c r="G752" s="1368"/>
      <c r="H752" s="1369"/>
      <c r="I752" s="1369"/>
      <c r="J752" s="1370"/>
      <c r="K752" s="1362"/>
      <c r="L752" s="1363"/>
      <c r="M752" s="1363"/>
      <c r="N752" s="1364"/>
      <c r="O752" s="1359"/>
      <c r="P752" s="1360"/>
      <c r="Q752" s="1360"/>
      <c r="R752" s="1360"/>
      <c r="S752" s="1361"/>
      <c r="T752" s="1359"/>
      <c r="U752" s="1360"/>
      <c r="V752" s="1360"/>
      <c r="W752" s="1361"/>
      <c r="X752" s="1371">
        <f>O752+T752</f>
        <v>0</v>
      </c>
      <c r="Y752" s="1372"/>
      <c r="Z752" s="1372"/>
      <c r="AA752" s="1372"/>
      <c r="AB752" s="1373"/>
      <c r="AC752" s="1378"/>
      <c r="AD752" s="1379"/>
      <c r="AE752" s="1379"/>
      <c r="AF752" s="1379"/>
      <c r="AG752" s="1380"/>
      <c r="AH752" s="1374" t="str">
        <f t="shared" si="37"/>
        <v/>
      </c>
      <c r="AI752" s="1375"/>
      <c r="AJ752" s="1376"/>
      <c r="AK752" s="1356" t="s">
        <v>591</v>
      </c>
      <c r="AL752" s="1357"/>
      <c r="AM752" s="1357"/>
      <c r="AN752" s="1357"/>
      <c r="AO752" s="1358"/>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72">
        <f t="shared" si="38"/>
        <v>0</v>
      </c>
      <c r="CH752" s="1473"/>
      <c r="CI752" s="1483">
        <f t="shared" si="39"/>
        <v>0</v>
      </c>
      <c r="CJ752" s="1484"/>
      <c r="CK752" s="1472">
        <f t="shared" si="17"/>
        <v>0</v>
      </c>
      <c r="CL752" s="1473"/>
      <c r="CM752" s="1483">
        <f t="shared" si="18"/>
        <v>0</v>
      </c>
      <c r="CN752" s="1484"/>
      <c r="CP752" s="1474">
        <f t="shared" si="19"/>
        <v>0</v>
      </c>
      <c r="CQ752" s="1475"/>
      <c r="CR752" s="1475"/>
      <c r="CS752" s="1475"/>
      <c r="CT752" s="1476"/>
      <c r="CU752" s="1463">
        <f t="shared" si="20"/>
        <v>0</v>
      </c>
      <c r="CV752" s="1463"/>
      <c r="CW752" s="1463"/>
      <c r="CX752" s="1463"/>
      <c r="CY752" s="1463"/>
      <c r="CZ752" s="1463">
        <f t="shared" si="21"/>
        <v>0</v>
      </c>
      <c r="DA752" s="1463"/>
      <c r="DB752" s="1463"/>
      <c r="DC752" s="1463"/>
      <c r="DD752" s="1463"/>
      <c r="DE752" s="1463">
        <f t="shared" si="22"/>
        <v>0</v>
      </c>
      <c r="DF752" s="1463"/>
      <c r="DG752" s="1463"/>
      <c r="DH752" s="1463"/>
      <c r="DI752" s="1463"/>
      <c r="DJ752" s="1463">
        <f t="shared" si="23"/>
        <v>0</v>
      </c>
      <c r="DK752" s="1463"/>
      <c r="DL752" s="1463"/>
      <c r="DM752" s="1463"/>
      <c r="DN752" s="1463"/>
      <c r="DO752" s="1463">
        <f t="shared" si="24"/>
        <v>0</v>
      </c>
      <c r="DP752" s="1463"/>
      <c r="DQ752" s="1463"/>
      <c r="DR752" s="1463"/>
      <c r="DS752" s="1463"/>
      <c r="DT752" s="6"/>
      <c r="DU752" s="1464">
        <f t="shared" si="25"/>
        <v>0</v>
      </c>
      <c r="DV752" s="1464"/>
      <c r="DW752" s="1464"/>
      <c r="DX752" s="1464"/>
      <c r="DY752" s="1464"/>
      <c r="DZ752" s="1464">
        <f t="shared" si="26"/>
        <v>0</v>
      </c>
      <c r="EA752" s="1464"/>
      <c r="EB752" s="1464"/>
      <c r="EC752" s="1464"/>
      <c r="ED752" s="1464"/>
      <c r="EE752" s="1464">
        <f t="shared" si="27"/>
        <v>0</v>
      </c>
      <c r="EF752" s="1464"/>
      <c r="EG752" s="1464"/>
      <c r="EH752" s="1464"/>
      <c r="EI752" s="1464"/>
      <c r="EJ752" s="1464">
        <f t="shared" si="28"/>
        <v>0</v>
      </c>
      <c r="EK752" s="1464"/>
      <c r="EL752" s="1464"/>
      <c r="EM752" s="1464"/>
      <c r="EN752" s="1464"/>
      <c r="EO752" s="1464">
        <f t="shared" si="29"/>
        <v>0</v>
      </c>
      <c r="EP752" s="1464"/>
      <c r="EQ752" s="1464"/>
      <c r="ER752" s="1464"/>
      <c r="ES752" s="1464"/>
      <c r="ET752" s="1464">
        <f t="shared" si="30"/>
        <v>0</v>
      </c>
      <c r="EU752" s="1464"/>
      <c r="EV752" s="1464"/>
      <c r="EW752" s="1464"/>
      <c r="EX752" s="1464"/>
      <c r="EY752"/>
      <c r="EZ752" s="1472" t="str">
        <f t="shared" si="31"/>
        <v/>
      </c>
      <c r="FA752" s="1479"/>
      <c r="FB752" s="1479"/>
      <c r="FC752" s="1479"/>
      <c r="FD752" s="1473"/>
      <c r="FE752" s="1472" t="str">
        <f t="shared" si="32"/>
        <v/>
      </c>
      <c r="FF752" s="1479"/>
      <c r="FG752" s="1479"/>
      <c r="FH752" s="1479"/>
      <c r="FI752" s="1473"/>
      <c r="FJ752" s="1472" t="str">
        <f t="shared" si="33"/>
        <v/>
      </c>
      <c r="FK752" s="1479"/>
      <c r="FL752" s="1479"/>
      <c r="FM752" s="1479"/>
      <c r="FN752" s="1473"/>
      <c r="FO752" s="1472" t="str">
        <f t="shared" si="34"/>
        <v/>
      </c>
      <c r="FP752" s="1479"/>
      <c r="FQ752" s="1479"/>
      <c r="FR752" s="1479"/>
      <c r="FS752" s="1473"/>
      <c r="FT752" s="1472" t="str">
        <f t="shared" si="35"/>
        <v/>
      </c>
      <c r="FU752" s="1479"/>
      <c r="FV752" s="1479"/>
      <c r="FW752" s="1479"/>
      <c r="FX752" s="1473"/>
      <c r="FY752" s="1472" t="str">
        <f t="shared" si="36"/>
        <v/>
      </c>
      <c r="FZ752" s="1479"/>
      <c r="GA752" s="1479"/>
      <c r="GB752" s="1479"/>
      <c r="GC752" s="1473"/>
    </row>
    <row r="753" spans="1:185" s="3" customFormat="1" ht="12.95" customHeight="1">
      <c r="A753"/>
      <c r="B753" s="1469" t="s">
        <v>125</v>
      </c>
      <c r="C753" s="1470"/>
      <c r="D753" s="1470"/>
      <c r="E753" s="1470"/>
      <c r="F753" s="1471"/>
      <c r="G753" s="1635">
        <f>SUM(G718:G752)</f>
        <v>71</v>
      </c>
      <c r="H753" s="1636"/>
      <c r="I753" s="1636"/>
      <c r="J753" s="1637"/>
      <c r="K753" s="902" t="s">
        <v>124</v>
      </c>
      <c r="L753" s="5"/>
      <c r="M753" s="5"/>
      <c r="N753" s="46"/>
      <c r="O753" s="1371">
        <f>SUMPRODUCT(G718:G752,O718:O752)</f>
        <v>121369.37</v>
      </c>
      <c r="P753" s="1372"/>
      <c r="Q753" s="1372"/>
      <c r="R753" s="1372"/>
      <c r="S753" s="1373"/>
      <c r="T753"/>
      <c r="U753"/>
      <c r="V753"/>
      <c r="W753"/>
      <c r="X753" s="904" t="s">
        <v>900</v>
      </c>
      <c r="Y753" s="903"/>
      <c r="Z753" s="903"/>
      <c r="AA753" s="903"/>
      <c r="AB753" s="905"/>
      <c r="AC753" s="1618">
        <f>BH753</f>
        <v>0.55352112676056331</v>
      </c>
      <c r="AD753" s="1619"/>
      <c r="AE753" s="1619"/>
      <c r="AF753" s="1619"/>
      <c r="AG753" s="1620"/>
      <c r="AH753" s="1618">
        <f>IFERROR(BU753,"")</f>
        <v>0.48316484041779689</v>
      </c>
      <c r="AI753" s="1619"/>
      <c r="AJ753" s="1620"/>
      <c r="AK753"/>
      <c r="AL753"/>
      <c r="AM753"/>
      <c r="AN753"/>
      <c r="AO753"/>
      <c r="AP753" s="205"/>
      <c r="AQ753" s="205"/>
      <c r="AR753" s="205"/>
      <c r="AS753" s="205"/>
      <c r="AT753"/>
      <c r="AU753"/>
      <c r="AV753"/>
      <c r="AW753"/>
      <c r="AX753"/>
      <c r="AY753"/>
      <c r="AZ753" s="34"/>
      <c r="BA753" s="34"/>
      <c r="BB753" s="34"/>
      <c r="BC753" s="34"/>
      <c r="BE753" s="290" t="s">
        <v>899</v>
      </c>
      <c r="BF753" s="299">
        <f>SUM(BF718:BF752)</f>
        <v>71</v>
      </c>
      <c r="BG753" s="300">
        <f>SUM(BG718:BG752)</f>
        <v>1</v>
      </c>
      <c r="BH753" s="300">
        <f>SUM(BH718:BH752)</f>
        <v>0.55352112676056331</v>
      </c>
      <c r="BI753"/>
      <c r="BJ753"/>
      <c r="BK753"/>
      <c r="BL753"/>
      <c r="BO753"/>
      <c r="BP753"/>
      <c r="BQ753"/>
      <c r="BR753"/>
      <c r="BS753" s="859">
        <f>SUM(BS718:BS752)</f>
        <v>71</v>
      </c>
      <c r="BT753" s="300">
        <f>SUM(BT718:BT752)</f>
        <v>1</v>
      </c>
      <c r="BU753" s="300">
        <f>SUM(BU718:BU752)</f>
        <v>0.48316484041779689</v>
      </c>
      <c r="CI753" s="1472">
        <f>SUM(CI718:CJ752)</f>
        <v>9</v>
      </c>
      <c r="CJ753" s="1473"/>
      <c r="CM753" s="1472">
        <f>SUM(CM718:CN752)</f>
        <v>8</v>
      </c>
      <c r="CN753" s="1473"/>
      <c r="CP753" s="1472">
        <f>SUM(CP718:CT752)</f>
        <v>0</v>
      </c>
      <c r="CQ753" s="1479"/>
      <c r="CR753" s="1479"/>
      <c r="CS753" s="1479"/>
      <c r="CT753" s="1473"/>
      <c r="CU753" s="1477">
        <f>SUM(CU718:CY752)</f>
        <v>6</v>
      </c>
      <c r="CV753" s="1477"/>
      <c r="CW753" s="1477"/>
      <c r="CX753" s="1477"/>
      <c r="CY753" s="1477"/>
      <c r="CZ753" s="1477">
        <f>SUM(CZ718:DD752)</f>
        <v>28</v>
      </c>
      <c r="DA753" s="1477"/>
      <c r="DB753" s="1477"/>
      <c r="DC753" s="1477"/>
      <c r="DD753" s="1477"/>
      <c r="DE753" s="1477">
        <f>SUM(DE718:DI752)</f>
        <v>37</v>
      </c>
      <c r="DF753" s="1477"/>
      <c r="DG753" s="1477"/>
      <c r="DH753" s="1477"/>
      <c r="DI753" s="1477"/>
      <c r="DJ753" s="1477">
        <f>SUM(DJ718:DN752)</f>
        <v>0</v>
      </c>
      <c r="DK753" s="1477"/>
      <c r="DL753" s="1477"/>
      <c r="DM753" s="1477"/>
      <c r="DN753" s="1477"/>
      <c r="DO753" s="1477">
        <f>SUM(DO718:DS752)</f>
        <v>0</v>
      </c>
      <c r="DP753" s="1477"/>
      <c r="DQ753" s="1477"/>
      <c r="DR753" s="1477"/>
      <c r="DS753" s="1477"/>
      <c r="DT753" s="354"/>
      <c r="DU753" s="1477">
        <f>SUM(DU718:DY752)</f>
        <v>0</v>
      </c>
      <c r="DV753" s="1477"/>
      <c r="DW753" s="1477"/>
      <c r="DX753" s="1477"/>
      <c r="DY753" s="1477"/>
      <c r="DZ753" s="1477">
        <f>SUM(DZ718:ED752)</f>
        <v>1</v>
      </c>
      <c r="EA753" s="1477"/>
      <c r="EB753" s="1477"/>
      <c r="EC753" s="1477"/>
      <c r="ED753" s="1477"/>
      <c r="EE753" s="1477">
        <f>SUM(EE718:EI752)</f>
        <v>2</v>
      </c>
      <c r="EF753" s="1477"/>
      <c r="EG753" s="1477"/>
      <c r="EH753" s="1477"/>
      <c r="EI753" s="1477"/>
      <c r="EJ753" s="1477">
        <f>SUM(EJ718:EN752)</f>
        <v>5</v>
      </c>
      <c r="EK753" s="1477"/>
      <c r="EL753" s="1477"/>
      <c r="EM753" s="1477"/>
      <c r="EN753" s="1477"/>
      <c r="EO753" s="1477">
        <f>SUM(EO718:ES752)</f>
        <v>0</v>
      </c>
      <c r="EP753" s="1477"/>
      <c r="EQ753" s="1477"/>
      <c r="ER753" s="1477"/>
      <c r="ES753" s="1477"/>
      <c r="ET753" s="1477">
        <f>SUM(ET718:EX752)</f>
        <v>0</v>
      </c>
      <c r="EU753" s="1477"/>
      <c r="EV753" s="1477"/>
      <c r="EW753" s="1477"/>
      <c r="EX753" s="1477"/>
      <c r="EY753"/>
      <c r="EZ753" s="1477">
        <f>SUM(EZ718:FD752)</f>
        <v>0</v>
      </c>
      <c r="FA753" s="1477"/>
      <c r="FB753" s="1477"/>
      <c r="FC753" s="1477"/>
      <c r="FD753" s="1477"/>
      <c r="FE753" s="1477">
        <f>SUM(FE718:FI752)</f>
        <v>3463</v>
      </c>
      <c r="FF753" s="1477"/>
      <c r="FG753" s="1477"/>
      <c r="FH753" s="1477"/>
      <c r="FI753" s="1477"/>
      <c r="FJ753" s="1477">
        <f>SUM(FJ718:FN752)</f>
        <v>3979.25</v>
      </c>
      <c r="FK753" s="1477"/>
      <c r="FL753" s="1477"/>
      <c r="FM753" s="1477"/>
      <c r="FN753" s="1477"/>
      <c r="FO753" s="1477">
        <f>SUM(FO718:FS752)</f>
        <v>4610.53</v>
      </c>
      <c r="FP753" s="1477"/>
      <c r="FQ753" s="1477"/>
      <c r="FR753" s="1477"/>
      <c r="FS753" s="1477"/>
      <c r="FT753" s="1477">
        <f>SUM(FT718:FX752)</f>
        <v>0</v>
      </c>
      <c r="FU753" s="1477"/>
      <c r="FV753" s="1477"/>
      <c r="FW753" s="1477"/>
      <c r="FX753" s="1477"/>
      <c r="FY753" s="1477">
        <f>SUM(FY718:GC752)</f>
        <v>0</v>
      </c>
      <c r="FZ753" s="1477"/>
      <c r="GA753" s="1477"/>
      <c r="GB753" s="1477"/>
      <c r="GC753" s="1477"/>
    </row>
    <row r="754" spans="1:185" s="3" customFormat="1" ht="12.95" customHeight="1">
      <c r="A754"/>
      <c r="B754" s="1634" t="s">
        <v>1892</v>
      </c>
      <c r="C754" s="1634"/>
      <c r="D754" s="1634"/>
      <c r="E754" s="1634"/>
      <c r="F754" s="1634"/>
      <c r="G754" s="1634"/>
      <c r="H754" s="1634"/>
      <c r="I754" s="1634"/>
      <c r="J754" s="1634"/>
      <c r="K754" s="1634"/>
      <c r="L754" s="1634"/>
      <c r="M754" s="1634"/>
      <c r="N754" s="1634"/>
      <c r="O754" s="1634"/>
      <c r="P754" s="1634"/>
      <c r="Q754" s="1634"/>
      <c r="R754" s="1634"/>
      <c r="S754" s="1634"/>
      <c r="T754" s="1634"/>
      <c r="U754" s="1634"/>
      <c r="V754" s="1634"/>
      <c r="W754" s="1634"/>
      <c r="X754" s="1634"/>
      <c r="Y754" s="1634"/>
      <c r="Z754" s="1634"/>
      <c r="AA754" s="1634"/>
      <c r="AB754" s="1634"/>
      <c r="AC754" s="1634"/>
      <c r="AD754" s="1634"/>
      <c r="AE754" s="1634"/>
      <c r="AF754" s="1634"/>
      <c r="AG754" s="1634"/>
      <c r="AH754" s="1634"/>
      <c r="AI754"/>
      <c r="AJ754"/>
      <c r="AK754"/>
      <c r="AT754"/>
      <c r="AU754"/>
      <c r="AV754"/>
      <c r="AW754"/>
      <c r="AX754"/>
      <c r="AY754"/>
      <c r="CD754"/>
      <c r="DN754" s="56" t="s">
        <v>1859</v>
      </c>
      <c r="DO754" s="1472">
        <f>CP753+CU753+CZ753+DE753+DJ753+DO753</f>
        <v>71</v>
      </c>
      <c r="DP754" s="1479"/>
      <c r="DQ754" s="1479"/>
      <c r="DR754" s="1479"/>
      <c r="DS754" s="147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34"/>
      <c r="C755" s="1634"/>
      <c r="D755" s="1634"/>
      <c r="E755" s="1634"/>
      <c r="F755" s="1634"/>
      <c r="G755" s="1634"/>
      <c r="H755" s="1634"/>
      <c r="I755" s="1634"/>
      <c r="J755" s="1634"/>
      <c r="K755" s="1634"/>
      <c r="L755" s="1634"/>
      <c r="M755" s="1634"/>
      <c r="N755" s="1634"/>
      <c r="O755" s="1634"/>
      <c r="P755" s="1634"/>
      <c r="Q755" s="1634"/>
      <c r="R755" s="1634"/>
      <c r="S755" s="1634"/>
      <c r="T755" s="1634"/>
      <c r="U755" s="1634"/>
      <c r="V755" s="1634"/>
      <c r="W755" s="1634"/>
      <c r="X755" s="1634"/>
      <c r="Y755" s="1634"/>
      <c r="Z755" s="1634"/>
      <c r="AA755" s="1634"/>
      <c r="AB755" s="1634"/>
      <c r="AC755" s="1634"/>
      <c r="AD755" s="1634"/>
      <c r="AE755" s="1634"/>
      <c r="AF755" s="1634"/>
      <c r="AG755" s="1634"/>
      <c r="AH755" s="163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v>
      </c>
      <c r="CZ755" s="3"/>
      <c r="DA755" s="3"/>
      <c r="DB755" s="3"/>
      <c r="DC755" s="3"/>
      <c r="DD755" s="861">
        <f>CZ753*2</f>
        <v>56</v>
      </c>
      <c r="DE755" s="3"/>
      <c r="DF755" s="3"/>
      <c r="DG755" s="3"/>
      <c r="DH755" s="3"/>
      <c r="DI755" s="861">
        <f>DE753*3</f>
        <v>111</v>
      </c>
      <c r="DJ755" s="3"/>
      <c r="DK755" s="3"/>
      <c r="DL755" s="3"/>
      <c r="DM755" s="3"/>
      <c r="DN755" s="861">
        <f>DJ753*4</f>
        <v>0</v>
      </c>
      <c r="DO755" s="3"/>
      <c r="DP755" s="3"/>
      <c r="DQ755" s="3"/>
      <c r="DR755" s="3"/>
      <c r="DS755" s="861">
        <f>DO753*5</f>
        <v>0</v>
      </c>
      <c r="DU755" s="861">
        <f>CT755+CY755+DD755+DI755+DN755+DS755</f>
        <v>173</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77">
        <f>DU755</f>
        <v>173</v>
      </c>
      <c r="P756" s="1477"/>
      <c r="Q756" s="1477"/>
      <c r="R756" s="1477"/>
      <c r="S756" s="969"/>
      <c r="T756" s="969"/>
      <c r="U756" s="118" t="s">
        <v>1891</v>
      </c>
      <c r="V756" s="1032"/>
      <c r="W756" s="1032"/>
      <c r="X756" s="1032"/>
      <c r="Y756" s="1033"/>
      <c r="Z756" s="1033"/>
      <c r="AA756" s="1033"/>
      <c r="AB756" s="1033"/>
      <c r="AC756" s="1032"/>
      <c r="AD756" s="1032"/>
      <c r="AE756" s="1032"/>
      <c r="AF756" s="1032"/>
      <c r="AG756" s="1641"/>
      <c r="AH756" s="1641"/>
      <c r="AI756" s="1641"/>
      <c r="AJ756" s="164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404" t="str">
        <f>IF(G753&lt;&gt;AG440,"! Total Low-Income Units in the Unit Mix Table above does not match the number of Total Low-Income Units on row #"&amp;TEXT(ROW(D440),"#"),"")</f>
        <v/>
      </c>
      <c r="D757" s="1404"/>
      <c r="E757" s="1404"/>
      <c r="F757" s="1404"/>
      <c r="G757" s="1404"/>
      <c r="H757" s="1404"/>
      <c r="I757" s="1404"/>
      <c r="J757" s="1404"/>
      <c r="K757" s="1404"/>
      <c r="L757" s="1404"/>
      <c r="M757" s="1404"/>
      <c r="N757" s="1404"/>
      <c r="O757" s="1404"/>
      <c r="P757" s="1404"/>
      <c r="Q757" s="1404"/>
      <c r="R757" s="1404"/>
      <c r="S757" s="1404"/>
      <c r="T757" s="1404"/>
      <c r="U757" s="1404"/>
      <c r="V757" s="1404"/>
      <c r="W757" s="1404"/>
      <c r="X757" s="1404"/>
      <c r="Y757" s="1404"/>
      <c r="Z757" s="1404"/>
      <c r="AA757" s="1404"/>
      <c r="AB757" s="1404"/>
      <c r="AC757" s="1404"/>
      <c r="AD757" s="1404"/>
      <c r="AE757" s="1404"/>
      <c r="AF757" s="1404"/>
      <c r="AG757" s="1404"/>
      <c r="AH757" s="1404"/>
      <c r="AI757" s="1404"/>
      <c r="AJ757" s="1404"/>
      <c r="AK757" s="1404"/>
      <c r="AL757" s="1404"/>
      <c r="AM757" s="140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404"/>
      <c r="D758" s="1404"/>
      <c r="E758" s="1404"/>
      <c r="F758" s="1404"/>
      <c r="G758" s="1404"/>
      <c r="H758" s="1404"/>
      <c r="I758" s="1404"/>
      <c r="J758" s="1404"/>
      <c r="K758" s="1404"/>
      <c r="L758" s="1404"/>
      <c r="M758" s="1404"/>
      <c r="N758" s="1404"/>
      <c r="O758" s="1404"/>
      <c r="P758" s="1404"/>
      <c r="Q758" s="1404"/>
      <c r="R758" s="1404"/>
      <c r="S758" s="1404"/>
      <c r="T758" s="1404"/>
      <c r="U758" s="1404"/>
      <c r="V758" s="1404"/>
      <c r="W758" s="1404"/>
      <c r="X758" s="1404"/>
      <c r="Y758" s="1404"/>
      <c r="Z758" s="1404"/>
      <c r="AA758" s="1404"/>
      <c r="AB758" s="1404"/>
      <c r="AC758" s="1404"/>
      <c r="AD758" s="1404"/>
      <c r="AE758" s="1404"/>
      <c r="AF758" s="1404"/>
      <c r="AG758" s="1404"/>
      <c r="AH758" s="1404"/>
      <c r="AI758" s="1404"/>
      <c r="AJ758" s="1404"/>
      <c r="AK758" s="1404"/>
      <c r="AL758" s="1404"/>
      <c r="AM758" s="140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8" t="s">
        <v>591</v>
      </c>
      <c r="AE759" s="1638"/>
      <c r="AF759" s="163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2088</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2089</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81" t="s">
        <v>389</v>
      </c>
      <c r="K769" s="1382"/>
      <c r="L769" s="1382"/>
      <c r="M769" s="1382"/>
      <c r="N769" s="1383"/>
      <c r="O769" s="1633" t="s">
        <v>285</v>
      </c>
      <c r="P769" s="1633"/>
      <c r="Q769" s="1633"/>
      <c r="R769" s="1633"/>
      <c r="S769" s="1633"/>
      <c r="T769" s="1730" t="s">
        <v>1678</v>
      </c>
      <c r="U769" s="1731"/>
      <c r="V769" s="1731"/>
      <c r="W769" s="1732"/>
      <c r="X769" s="1381" t="s">
        <v>447</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84"/>
      <c r="K770" s="1385"/>
      <c r="L770" s="1385"/>
      <c r="M770" s="1385"/>
      <c r="N770" s="1386"/>
      <c r="O770" s="1633"/>
      <c r="P770" s="1633"/>
      <c r="Q770" s="1633"/>
      <c r="R770" s="1633"/>
      <c r="S770" s="1633"/>
      <c r="T770" s="1733"/>
      <c r="U770" s="1734"/>
      <c r="V770" s="1734"/>
      <c r="W770" s="1735"/>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84"/>
      <c r="K771" s="1385"/>
      <c r="L771" s="1385"/>
      <c r="M771" s="1385"/>
      <c r="N771" s="1386"/>
      <c r="O771" s="1633"/>
      <c r="P771" s="1633"/>
      <c r="Q771" s="1633"/>
      <c r="R771" s="1633"/>
      <c r="S771" s="1633"/>
      <c r="T771" s="1733"/>
      <c r="U771" s="1734"/>
      <c r="V771" s="1734"/>
      <c r="W771" s="1735"/>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87"/>
      <c r="K772" s="1388"/>
      <c r="L772" s="1388"/>
      <c r="M772" s="1388"/>
      <c r="N772" s="1389"/>
      <c r="O772" s="1633"/>
      <c r="P772" s="1633"/>
      <c r="Q772" s="1633"/>
      <c r="R772" s="1633"/>
      <c r="S772" s="1633"/>
      <c r="T772" s="1736"/>
      <c r="U772" s="1737"/>
      <c r="V772" s="1737"/>
      <c r="W772" s="1738"/>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164</v>
      </c>
      <c r="K773" s="1357"/>
      <c r="L773" s="1357"/>
      <c r="M773" s="1357"/>
      <c r="N773" s="1358"/>
      <c r="O773" s="1627">
        <v>1</v>
      </c>
      <c r="P773" s="1627"/>
      <c r="Q773" s="1627"/>
      <c r="R773" s="1627"/>
      <c r="S773" s="1627"/>
      <c r="T773" s="1362">
        <v>1280</v>
      </c>
      <c r="U773" s="1363"/>
      <c r="V773" s="1363"/>
      <c r="W773" s="1364"/>
      <c r="X773" s="1359"/>
      <c r="Y773" s="1360"/>
      <c r="Z773" s="1360"/>
      <c r="AA773" s="1360"/>
      <c r="AB773" s="1361"/>
      <c r="AC773" s="1371">
        <f>X773*O773</f>
        <v>0</v>
      </c>
      <c r="AD773" s="1372"/>
      <c r="AE773" s="1372"/>
      <c r="AF773" s="1372"/>
      <c r="AG773" s="137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4">
        <f>IF(J773="SRO/Studio",O773,0)</f>
        <v>0</v>
      </c>
      <c r="CQ773" s="1475"/>
      <c r="CR773" s="1475"/>
      <c r="CS773" s="1475"/>
      <c r="CT773" s="1476"/>
      <c r="CU773" s="1463">
        <f>IF(J773="1 Bedroom",O773,0)</f>
        <v>0</v>
      </c>
      <c r="CV773" s="1463"/>
      <c r="CW773" s="1463"/>
      <c r="CX773" s="1463"/>
      <c r="CY773" s="1463"/>
      <c r="CZ773" s="1463">
        <f>IF(J773="2 Bedrooms",O773,0)</f>
        <v>0</v>
      </c>
      <c r="DA773" s="1463"/>
      <c r="DB773" s="1463"/>
      <c r="DC773" s="1463"/>
      <c r="DD773" s="1463"/>
      <c r="DE773" s="1463">
        <f>IF(J773="3 Bedrooms",O773,0)</f>
        <v>1</v>
      </c>
      <c r="DF773" s="1463"/>
      <c r="DG773" s="1463"/>
      <c r="DH773" s="1463"/>
      <c r="DI773" s="1463"/>
      <c r="DJ773" s="1463">
        <f>IF(J773="4 Bedrooms",O773,0)</f>
        <v>0</v>
      </c>
      <c r="DK773" s="1463"/>
      <c r="DL773" s="1463"/>
      <c r="DM773" s="1463"/>
      <c r="DN773" s="1463"/>
      <c r="DO773" s="1463">
        <f>IF(J773="5 Bedrooms",O773,0)</f>
        <v>0</v>
      </c>
      <c r="DP773" s="1463"/>
      <c r="DQ773" s="1463"/>
      <c r="DR773" s="1463"/>
      <c r="DS773" s="1463"/>
      <c r="DT773" s="6"/>
      <c r="DU773" s="3"/>
      <c r="DV773" s="3"/>
    </row>
    <row r="774" spans="1:126" ht="12.95" customHeight="1">
      <c r="J774" s="1356"/>
      <c r="K774" s="1357"/>
      <c r="L774" s="1357"/>
      <c r="M774" s="1357"/>
      <c r="N774" s="1358"/>
      <c r="O774" s="1627"/>
      <c r="P774" s="1627"/>
      <c r="Q774" s="1627"/>
      <c r="R774" s="1627"/>
      <c r="S774" s="1627"/>
      <c r="T774" s="1362"/>
      <c r="U774" s="1363"/>
      <c r="V774" s="1363"/>
      <c r="W774" s="1364"/>
      <c r="X774" s="1359"/>
      <c r="Y774" s="1360"/>
      <c r="Z774" s="1360"/>
      <c r="AA774" s="1360"/>
      <c r="AB774" s="1361"/>
      <c r="AC774" s="1371">
        <f>X774*O774</f>
        <v>0</v>
      </c>
      <c r="AD774" s="1372"/>
      <c r="AE774" s="1372"/>
      <c r="AF774" s="1372"/>
      <c r="AG774" s="137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4">
        <f>IF(J774="SRO/Studio",O774,0)</f>
        <v>0</v>
      </c>
      <c r="CQ774" s="1475"/>
      <c r="CR774" s="1475"/>
      <c r="CS774" s="1475"/>
      <c r="CT774" s="1476"/>
      <c r="CU774" s="1463">
        <f>IF(J774="1 Bedroom",O774,0)</f>
        <v>0</v>
      </c>
      <c r="CV774" s="1463"/>
      <c r="CW774" s="1463"/>
      <c r="CX774" s="1463"/>
      <c r="CY774" s="1463"/>
      <c r="CZ774" s="1463">
        <f>IF(J774="2 Bedrooms",O774,0)</f>
        <v>0</v>
      </c>
      <c r="DA774" s="1463"/>
      <c r="DB774" s="1463"/>
      <c r="DC774" s="1463"/>
      <c r="DD774" s="1463"/>
      <c r="DE774" s="1463">
        <f>IF(J774="3 Bedrooms",O774,0)</f>
        <v>0</v>
      </c>
      <c r="DF774" s="1463"/>
      <c r="DG774" s="1463"/>
      <c r="DH774" s="1463"/>
      <c r="DI774" s="1463"/>
      <c r="DJ774" s="1463">
        <f>IF(J774="4 Bedrooms",O774,0)</f>
        <v>0</v>
      </c>
      <c r="DK774" s="1463"/>
      <c r="DL774" s="1463"/>
      <c r="DM774" s="1463"/>
      <c r="DN774" s="1463"/>
      <c r="DO774" s="1463">
        <f>IF(J774="5 Bedrooms",O774,0)</f>
        <v>0</v>
      </c>
      <c r="DP774" s="1463"/>
      <c r="DQ774" s="1463"/>
      <c r="DR774" s="1463"/>
      <c r="DS774" s="1463"/>
      <c r="DT774" s="6"/>
      <c r="DU774" s="3"/>
      <c r="DV774" s="3"/>
    </row>
    <row r="775" spans="1:126" ht="12.95" customHeight="1">
      <c r="J775" s="1356"/>
      <c r="K775" s="1357"/>
      <c r="L775" s="1357"/>
      <c r="M775" s="1357"/>
      <c r="N775" s="1358"/>
      <c r="O775" s="1627"/>
      <c r="P775" s="1627"/>
      <c r="Q775" s="1627"/>
      <c r="R775" s="1627"/>
      <c r="S775" s="1627"/>
      <c r="T775" s="1362"/>
      <c r="U775" s="1363"/>
      <c r="V775" s="1363"/>
      <c r="W775" s="1364"/>
      <c r="X775" s="1359"/>
      <c r="Y775" s="1360"/>
      <c r="Z775" s="1360"/>
      <c r="AA775" s="1360"/>
      <c r="AB775" s="1361"/>
      <c r="AC775" s="1371">
        <f>X775*O775</f>
        <v>0</v>
      </c>
      <c r="AD775" s="1372"/>
      <c r="AE775" s="1372"/>
      <c r="AF775" s="1372"/>
      <c r="AG775" s="137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4">
        <f>IF(J775="SRO/Studio",O775,0)</f>
        <v>0</v>
      </c>
      <c r="CQ775" s="1475"/>
      <c r="CR775" s="1475"/>
      <c r="CS775" s="1475"/>
      <c r="CT775" s="1476"/>
      <c r="CU775" s="1463">
        <f>IF(J775="1 Bedroom",O775,0)</f>
        <v>0</v>
      </c>
      <c r="CV775" s="1463"/>
      <c r="CW775" s="1463"/>
      <c r="CX775" s="1463"/>
      <c r="CY775" s="1463"/>
      <c r="CZ775" s="1463">
        <f>IF(J775="2 Bedrooms",O775,0)</f>
        <v>0</v>
      </c>
      <c r="DA775" s="1463"/>
      <c r="DB775" s="1463"/>
      <c r="DC775" s="1463"/>
      <c r="DD775" s="1463"/>
      <c r="DE775" s="1463">
        <f>IF(J775="3 Bedrooms",O775,0)</f>
        <v>0</v>
      </c>
      <c r="DF775" s="1463"/>
      <c r="DG775" s="1463"/>
      <c r="DH775" s="1463"/>
      <c r="DI775" s="1463"/>
      <c r="DJ775" s="1463">
        <f>IF(J775="4 Bedrooms",O775,0)</f>
        <v>0</v>
      </c>
      <c r="DK775" s="1463"/>
      <c r="DL775" s="1463"/>
      <c r="DM775" s="1463"/>
      <c r="DN775" s="1463"/>
      <c r="DO775" s="1463">
        <f>IF(J775="5 Bedrooms",O775,0)</f>
        <v>0</v>
      </c>
      <c r="DP775" s="1463"/>
      <c r="DQ775" s="1463"/>
      <c r="DR775" s="1463"/>
      <c r="DS775" s="1463"/>
      <c r="DT775" s="1012"/>
    </row>
    <row r="776" spans="1:126" ht="12.95" customHeight="1">
      <c r="J776" s="1356"/>
      <c r="K776" s="1357"/>
      <c r="L776" s="1357"/>
      <c r="M776" s="1357"/>
      <c r="N776" s="1358"/>
      <c r="O776" s="1627"/>
      <c r="P776" s="1627"/>
      <c r="Q776" s="1627"/>
      <c r="R776" s="1627"/>
      <c r="S776" s="1627"/>
      <c r="T776" s="1362"/>
      <c r="U776" s="1363"/>
      <c r="V776" s="1363"/>
      <c r="W776" s="1364"/>
      <c r="X776" s="1359"/>
      <c r="Y776" s="1360"/>
      <c r="Z776" s="1360"/>
      <c r="AA776" s="1360"/>
      <c r="AB776" s="1361"/>
      <c r="AC776" s="1371">
        <f>X776*O776</f>
        <v>0</v>
      </c>
      <c r="AD776" s="1372"/>
      <c r="AE776" s="1372"/>
      <c r="AF776" s="1372"/>
      <c r="AG776" s="137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4">
        <f>IF(J776="SRO/Studio",O776,0)</f>
        <v>0</v>
      </c>
      <c r="CQ776" s="1475"/>
      <c r="CR776" s="1475"/>
      <c r="CS776" s="1475"/>
      <c r="CT776" s="1476"/>
      <c r="CU776" s="1463">
        <f>IF(J776="1 Bedroom",O776,0)</f>
        <v>0</v>
      </c>
      <c r="CV776" s="1463"/>
      <c r="CW776" s="1463"/>
      <c r="CX776" s="1463"/>
      <c r="CY776" s="1463"/>
      <c r="CZ776" s="1463">
        <f>IF(J776="2 Bedrooms",O776,0)</f>
        <v>0</v>
      </c>
      <c r="DA776" s="1463"/>
      <c r="DB776" s="1463"/>
      <c r="DC776" s="1463"/>
      <c r="DD776" s="1463"/>
      <c r="DE776" s="1463">
        <f>IF(J776="3 Bedrooms",O776,0)</f>
        <v>0</v>
      </c>
      <c r="DF776" s="1463"/>
      <c r="DG776" s="1463"/>
      <c r="DH776" s="1463"/>
      <c r="DI776" s="1463"/>
      <c r="DJ776" s="1463">
        <f>IF(J776="4 Bedrooms",O776,0)</f>
        <v>0</v>
      </c>
      <c r="DK776" s="1463"/>
      <c r="DL776" s="1463"/>
      <c r="DM776" s="1463"/>
      <c r="DN776" s="1463"/>
      <c r="DO776" s="1463">
        <f>IF(J776="5 Bedrooms",O776,0)</f>
        <v>0</v>
      </c>
      <c r="DP776" s="1463"/>
      <c r="DQ776" s="1463"/>
      <c r="DR776" s="1463"/>
      <c r="DS776" s="1463"/>
    </row>
    <row r="777" spans="1:126" ht="12.95" customHeight="1">
      <c r="J777" s="1469" t="s">
        <v>125</v>
      </c>
      <c r="K777" s="1470"/>
      <c r="L777" s="1470"/>
      <c r="M777" s="1470"/>
      <c r="N777" s="1471"/>
      <c r="O777" s="1483">
        <f>SUM(O773:S776)</f>
        <v>1</v>
      </c>
      <c r="P777" s="1488"/>
      <c r="Q777" s="1488"/>
      <c r="R777" s="1488"/>
      <c r="S777" s="1484"/>
      <c r="X777" s="1469" t="s">
        <v>124</v>
      </c>
      <c r="Y777" s="1470"/>
      <c r="Z777" s="1470"/>
      <c r="AA777" s="1470"/>
      <c r="AB777" s="1471"/>
      <c r="AC777" s="1371">
        <f>SUM(AC773:AG776)</f>
        <v>0</v>
      </c>
      <c r="AD777" s="1372"/>
      <c r="AE777" s="1372"/>
      <c r="AF777" s="1372"/>
      <c r="AG777" s="137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3">
        <f>SUM(CP773:CT776)</f>
        <v>0</v>
      </c>
      <c r="CQ777" s="1488"/>
      <c r="CR777" s="1488"/>
      <c r="CS777" s="1488"/>
      <c r="CT777" s="1484"/>
      <c r="CU777" s="1489">
        <f>SUM(CU773:CY776)</f>
        <v>0</v>
      </c>
      <c r="CV777" s="1490"/>
      <c r="CW777" s="1490"/>
      <c r="CX777" s="1490"/>
      <c r="CY777" s="1491"/>
      <c r="CZ777" s="1489">
        <f>SUM(CZ773:DD776)</f>
        <v>0</v>
      </c>
      <c r="DA777" s="1490"/>
      <c r="DB777" s="1490"/>
      <c r="DC777" s="1490"/>
      <c r="DD777" s="1491"/>
      <c r="DE777" s="1489">
        <f>SUM(DE773:DI776)</f>
        <v>1</v>
      </c>
      <c r="DF777" s="1490"/>
      <c r="DG777" s="1490"/>
      <c r="DH777" s="1490"/>
      <c r="DI777" s="1491"/>
      <c r="DJ777" s="1489">
        <f>SUM(DJ773:DN776)</f>
        <v>0</v>
      </c>
      <c r="DK777" s="1490"/>
      <c r="DL777" s="1490"/>
      <c r="DM777" s="1490"/>
      <c r="DN777" s="1491"/>
      <c r="DO777" s="1489">
        <f>SUM(DO773:DS776)</f>
        <v>0</v>
      </c>
      <c r="DP777" s="1490"/>
      <c r="DQ777" s="1490"/>
      <c r="DR777" s="1490"/>
      <c r="DS777" s="1491"/>
      <c r="DU777" s="861">
        <f>CP777+CU777+CZ777+DE777+DJ777+DO777</f>
        <v>1</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1860</v>
      </c>
    </row>
    <row r="779" spans="1:126" ht="12.95" customHeight="1">
      <c r="B779" s="56"/>
      <c r="C779" s="56"/>
      <c r="D779" s="56"/>
      <c r="E779" s="56"/>
      <c r="F779" s="56"/>
      <c r="G779" s="6"/>
      <c r="H779" s="6"/>
      <c r="I779" s="6"/>
      <c r="J779" s="1677" t="s">
        <v>669</v>
      </c>
      <c r="K779" s="1677"/>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81" t="s">
        <v>389</v>
      </c>
      <c r="K783" s="1382"/>
      <c r="L783" s="1382"/>
      <c r="M783" s="1382"/>
      <c r="N783" s="1383"/>
      <c r="O783" s="1633" t="s">
        <v>285</v>
      </c>
      <c r="P783" s="1633"/>
      <c r="Q783" s="1633"/>
      <c r="R783" s="1633"/>
      <c r="S783" s="1633"/>
      <c r="T783" s="1730" t="s">
        <v>1678</v>
      </c>
      <c r="U783" s="1731"/>
      <c r="V783" s="1731"/>
      <c r="W783" s="1732"/>
      <c r="X783" s="1381" t="s">
        <v>447</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84"/>
      <c r="K784" s="1385"/>
      <c r="L784" s="1385"/>
      <c r="M784" s="1385"/>
      <c r="N784" s="1386"/>
      <c r="O784" s="1633"/>
      <c r="P784" s="1633"/>
      <c r="Q784" s="1633"/>
      <c r="R784" s="1633"/>
      <c r="S784" s="1633"/>
      <c r="T784" s="1733"/>
      <c r="U784" s="1734"/>
      <c r="V784" s="1734"/>
      <c r="W784" s="1735"/>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84"/>
      <c r="K785" s="1385"/>
      <c r="L785" s="1385"/>
      <c r="M785" s="1385"/>
      <c r="N785" s="1386"/>
      <c r="O785" s="1633"/>
      <c r="P785" s="1633"/>
      <c r="Q785" s="1633"/>
      <c r="R785" s="1633"/>
      <c r="S785" s="1633"/>
      <c r="T785" s="1733"/>
      <c r="U785" s="1734"/>
      <c r="V785" s="1734"/>
      <c r="W785" s="1735"/>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87"/>
      <c r="K786" s="1388"/>
      <c r="L786" s="1388"/>
      <c r="M786" s="1388"/>
      <c r="N786" s="1389"/>
      <c r="O786" s="1633"/>
      <c r="P786" s="1633"/>
      <c r="Q786" s="1633"/>
      <c r="R786" s="1633"/>
      <c r="S786" s="1633"/>
      <c r="T786" s="1736"/>
      <c r="U786" s="1737"/>
      <c r="V786" s="1737"/>
      <c r="W786" s="1738"/>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627"/>
      <c r="P787" s="1627"/>
      <c r="Q787" s="1627"/>
      <c r="R787" s="1627"/>
      <c r="S787" s="1627"/>
      <c r="T787" s="1362"/>
      <c r="U787" s="1363"/>
      <c r="V787" s="1363"/>
      <c r="W787" s="1364"/>
      <c r="X787" s="1359"/>
      <c r="Y787" s="1360"/>
      <c r="Z787" s="1360"/>
      <c r="AA787" s="1360"/>
      <c r="AB787" s="1361"/>
      <c r="AC787" s="1371">
        <f t="shared" ref="AC787:AC796" si="41">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4">
        <f t="shared" ref="CP787:CP796" si="42">IF(J787="SRO/Studio",O787,0)</f>
        <v>0</v>
      </c>
      <c r="CQ787" s="1475"/>
      <c r="CR787" s="1475"/>
      <c r="CS787" s="1475"/>
      <c r="CT787" s="1476"/>
      <c r="CU787" s="1474">
        <f t="shared" ref="CU787:CU796" si="43">IF(J787="1 Bedroom",O787,0)</f>
        <v>0</v>
      </c>
      <c r="CV787" s="1475"/>
      <c r="CW787" s="1475"/>
      <c r="CX787" s="1475"/>
      <c r="CY787" s="1476"/>
      <c r="CZ787" s="1474">
        <f t="shared" ref="CZ787:CZ796" si="44">IF(J787="2 Bedrooms",O787,0)</f>
        <v>0</v>
      </c>
      <c r="DA787" s="1475"/>
      <c r="DB787" s="1475"/>
      <c r="DC787" s="1475"/>
      <c r="DD787" s="1476"/>
      <c r="DE787" s="1474">
        <f t="shared" ref="DE787:DE796" si="45">IF(J787="3 Bedrooms",O787,0)</f>
        <v>0</v>
      </c>
      <c r="DF787" s="1475"/>
      <c r="DG787" s="1475"/>
      <c r="DH787" s="1475"/>
      <c r="DI787" s="1476"/>
      <c r="DJ787" s="1474">
        <f t="shared" ref="DJ787:DJ796" si="46">IF(J787="4 Bedrooms",O787,0)</f>
        <v>0</v>
      </c>
      <c r="DK787" s="1475"/>
      <c r="DL787" s="1475"/>
      <c r="DM787" s="1475"/>
      <c r="DN787" s="1476"/>
      <c r="DO787" s="1474">
        <f t="shared" ref="DO787:DO796" si="47">IF(J787="5 Bedrooms",O787,0)</f>
        <v>0</v>
      </c>
      <c r="DP787" s="1475"/>
      <c r="DQ787" s="1475"/>
      <c r="DR787" s="1475"/>
      <c r="DS787" s="1476"/>
      <c r="DT787" s="6"/>
      <c r="DU787" s="1474">
        <f t="shared" ref="DU787:DU796" si="48">IF(AND(CP787&gt;=1,AH787&gt;=0.1,AH787&lt;=1),O787,0)</f>
        <v>0</v>
      </c>
      <c r="DV787" s="1475"/>
      <c r="DW787" s="1475"/>
      <c r="DX787" s="1475"/>
      <c r="DY787" s="1476"/>
      <c r="DZ787" s="1474">
        <f t="shared" ref="DZ787:DZ796" si="49">IF(AND(CU787&gt;=1,AH787&gt;=0.1,AH787&lt;=1),O787,0)</f>
        <v>0</v>
      </c>
      <c r="EA787" s="1475"/>
      <c r="EB787" s="1475"/>
      <c r="EC787" s="1475"/>
      <c r="ED787" s="1476"/>
      <c r="EE787" s="1474">
        <f t="shared" ref="EE787:EE796" si="50">IF(AND(CZ787&gt;=1,AH787&gt;=0.1,AH787&lt;=1),O787,0)</f>
        <v>0</v>
      </c>
      <c r="EF787" s="1475"/>
      <c r="EG787" s="1475"/>
      <c r="EH787" s="1475"/>
      <c r="EI787" s="1476"/>
      <c r="EJ787" s="1474">
        <f t="shared" ref="EJ787:EJ796" si="51">IF(AND(DE787&gt;=1,AH787&gt;=0.1,AH787&lt;=1),O787,0)</f>
        <v>0</v>
      </c>
      <c r="EK787" s="1475"/>
      <c r="EL787" s="1475"/>
      <c r="EM787" s="1475"/>
      <c r="EN787" s="1476"/>
      <c r="EO787" s="1474">
        <f t="shared" ref="EO787:EO796" si="52">IF(AND(DJ787&gt;=1,AH787&gt;=0.1,AH787&lt;=1),O787,0)</f>
        <v>0</v>
      </c>
      <c r="EP787" s="1475"/>
      <c r="EQ787" s="1475"/>
      <c r="ER787" s="1475"/>
      <c r="ES787" s="1476"/>
      <c r="ET787" s="1474">
        <f t="shared" ref="ET787:ET796" si="53">IF(AND(DO787&gt;=1,AH787&gt;=0.1,AH787&lt;=1),O787,0)</f>
        <v>0</v>
      </c>
      <c r="EU787" s="1475"/>
      <c r="EV787" s="1475"/>
      <c r="EW787" s="1475"/>
      <c r="EX787" s="1476"/>
    </row>
    <row r="788" spans="1:154" s="14" customFormat="1" ht="12.95" customHeight="1">
      <c r="A788"/>
      <c r="B788"/>
      <c r="C788"/>
      <c r="D788"/>
      <c r="E788"/>
      <c r="F788"/>
      <c r="G788"/>
      <c r="H788"/>
      <c r="I788"/>
      <c r="J788" s="1356"/>
      <c r="K788" s="1357"/>
      <c r="L788" s="1357"/>
      <c r="M788" s="1357"/>
      <c r="N788" s="1358"/>
      <c r="O788" s="1627"/>
      <c r="P788" s="1627"/>
      <c r="Q788" s="1627"/>
      <c r="R788" s="1627"/>
      <c r="S788" s="1627"/>
      <c r="T788" s="1362"/>
      <c r="U788" s="1363"/>
      <c r="V788" s="1363"/>
      <c r="W788" s="1364"/>
      <c r="X788" s="1359"/>
      <c r="Y788" s="1360"/>
      <c r="Z788" s="1360"/>
      <c r="AA788" s="1360"/>
      <c r="AB788" s="1361"/>
      <c r="AC788" s="1371">
        <f t="shared" si="41"/>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4">
        <f t="shared" si="42"/>
        <v>0</v>
      </c>
      <c r="CQ788" s="1475"/>
      <c r="CR788" s="1475"/>
      <c r="CS788" s="1475"/>
      <c r="CT788" s="1476"/>
      <c r="CU788" s="1474">
        <f t="shared" si="43"/>
        <v>0</v>
      </c>
      <c r="CV788" s="1475"/>
      <c r="CW788" s="1475"/>
      <c r="CX788" s="1475"/>
      <c r="CY788" s="1476"/>
      <c r="CZ788" s="1474">
        <f t="shared" si="44"/>
        <v>0</v>
      </c>
      <c r="DA788" s="1475"/>
      <c r="DB788" s="1475"/>
      <c r="DC788" s="1475"/>
      <c r="DD788" s="1476"/>
      <c r="DE788" s="1474">
        <f t="shared" si="45"/>
        <v>0</v>
      </c>
      <c r="DF788" s="1475"/>
      <c r="DG788" s="1475"/>
      <c r="DH788" s="1475"/>
      <c r="DI788" s="1476"/>
      <c r="DJ788" s="1474">
        <f t="shared" si="46"/>
        <v>0</v>
      </c>
      <c r="DK788" s="1475"/>
      <c r="DL788" s="1475"/>
      <c r="DM788" s="1475"/>
      <c r="DN788" s="1476"/>
      <c r="DO788" s="1474">
        <f t="shared" si="47"/>
        <v>0</v>
      </c>
      <c r="DP788" s="1475"/>
      <c r="DQ788" s="1475"/>
      <c r="DR788" s="1475"/>
      <c r="DS788" s="1476"/>
      <c r="DT788" s="6"/>
      <c r="DU788" s="1474">
        <f t="shared" si="48"/>
        <v>0</v>
      </c>
      <c r="DV788" s="1475"/>
      <c r="DW788" s="1475"/>
      <c r="DX788" s="1475"/>
      <c r="DY788" s="1476"/>
      <c r="DZ788" s="1474">
        <f t="shared" si="49"/>
        <v>0</v>
      </c>
      <c r="EA788" s="1475"/>
      <c r="EB788" s="1475"/>
      <c r="EC788" s="1475"/>
      <c r="ED788" s="1476"/>
      <c r="EE788" s="1474">
        <f t="shared" si="50"/>
        <v>0</v>
      </c>
      <c r="EF788" s="1475"/>
      <c r="EG788" s="1475"/>
      <c r="EH788" s="1475"/>
      <c r="EI788" s="1476"/>
      <c r="EJ788" s="1474">
        <f t="shared" si="51"/>
        <v>0</v>
      </c>
      <c r="EK788" s="1475"/>
      <c r="EL788" s="1475"/>
      <c r="EM788" s="1475"/>
      <c r="EN788" s="1476"/>
      <c r="EO788" s="1474">
        <f t="shared" si="52"/>
        <v>0</v>
      </c>
      <c r="EP788" s="1475"/>
      <c r="EQ788" s="1475"/>
      <c r="ER788" s="1475"/>
      <c r="ES788" s="1476"/>
      <c r="ET788" s="1474">
        <f t="shared" si="53"/>
        <v>0</v>
      </c>
      <c r="EU788" s="1475"/>
      <c r="EV788" s="1475"/>
      <c r="EW788" s="1475"/>
      <c r="EX788" s="1476"/>
    </row>
    <row r="789" spans="1:154" s="14" customFormat="1" ht="12.95" customHeight="1">
      <c r="A789"/>
      <c r="B789"/>
      <c r="C789"/>
      <c r="D789"/>
      <c r="E789"/>
      <c r="F789"/>
      <c r="G789"/>
      <c r="H789"/>
      <c r="I789"/>
      <c r="J789" s="1356"/>
      <c r="K789" s="1357"/>
      <c r="L789" s="1357"/>
      <c r="M789" s="1357"/>
      <c r="N789" s="1358"/>
      <c r="O789" s="1627"/>
      <c r="P789" s="1627"/>
      <c r="Q789" s="1627"/>
      <c r="R789" s="1627"/>
      <c r="S789" s="1627"/>
      <c r="T789" s="1362"/>
      <c r="U789" s="1363"/>
      <c r="V789" s="1363"/>
      <c r="W789" s="1364"/>
      <c r="X789" s="1359"/>
      <c r="Y789" s="1360"/>
      <c r="Z789" s="1360"/>
      <c r="AA789" s="1360"/>
      <c r="AB789" s="1361"/>
      <c r="AC789" s="1371">
        <f t="shared" si="41"/>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4">
        <f t="shared" si="42"/>
        <v>0</v>
      </c>
      <c r="CQ789" s="1475"/>
      <c r="CR789" s="1475"/>
      <c r="CS789" s="1475"/>
      <c r="CT789" s="1476"/>
      <c r="CU789" s="1474">
        <f t="shared" si="43"/>
        <v>0</v>
      </c>
      <c r="CV789" s="1475"/>
      <c r="CW789" s="1475"/>
      <c r="CX789" s="1475"/>
      <c r="CY789" s="1476"/>
      <c r="CZ789" s="1474">
        <f t="shared" si="44"/>
        <v>0</v>
      </c>
      <c r="DA789" s="1475"/>
      <c r="DB789" s="1475"/>
      <c r="DC789" s="1475"/>
      <c r="DD789" s="1476"/>
      <c r="DE789" s="1474">
        <f t="shared" si="45"/>
        <v>0</v>
      </c>
      <c r="DF789" s="1475"/>
      <c r="DG789" s="1475"/>
      <c r="DH789" s="1475"/>
      <c r="DI789" s="1476"/>
      <c r="DJ789" s="1474">
        <f t="shared" si="46"/>
        <v>0</v>
      </c>
      <c r="DK789" s="1475"/>
      <c r="DL789" s="1475"/>
      <c r="DM789" s="1475"/>
      <c r="DN789" s="1476"/>
      <c r="DO789" s="1474">
        <f t="shared" si="47"/>
        <v>0</v>
      </c>
      <c r="DP789" s="1475"/>
      <c r="DQ789" s="1475"/>
      <c r="DR789" s="1475"/>
      <c r="DS789" s="1476"/>
      <c r="DT789" s="6"/>
      <c r="DU789" s="1474">
        <f t="shared" si="48"/>
        <v>0</v>
      </c>
      <c r="DV789" s="1475"/>
      <c r="DW789" s="1475"/>
      <c r="DX789" s="1475"/>
      <c r="DY789" s="1476"/>
      <c r="DZ789" s="1474">
        <f t="shared" si="49"/>
        <v>0</v>
      </c>
      <c r="EA789" s="1475"/>
      <c r="EB789" s="1475"/>
      <c r="EC789" s="1475"/>
      <c r="ED789" s="1476"/>
      <c r="EE789" s="1474">
        <f t="shared" si="50"/>
        <v>0</v>
      </c>
      <c r="EF789" s="1475"/>
      <c r="EG789" s="1475"/>
      <c r="EH789" s="1475"/>
      <c r="EI789" s="1476"/>
      <c r="EJ789" s="1474">
        <f t="shared" si="51"/>
        <v>0</v>
      </c>
      <c r="EK789" s="1475"/>
      <c r="EL789" s="1475"/>
      <c r="EM789" s="1475"/>
      <c r="EN789" s="1476"/>
      <c r="EO789" s="1474">
        <f t="shared" si="52"/>
        <v>0</v>
      </c>
      <c r="EP789" s="1475"/>
      <c r="EQ789" s="1475"/>
      <c r="ER789" s="1475"/>
      <c r="ES789" s="1476"/>
      <c r="ET789" s="1474">
        <f t="shared" si="53"/>
        <v>0</v>
      </c>
      <c r="EU789" s="1475"/>
      <c r="EV789" s="1475"/>
      <c r="EW789" s="1475"/>
      <c r="EX789" s="1476"/>
    </row>
    <row r="790" spans="1:154" s="14" customFormat="1" ht="12.95" customHeight="1">
      <c r="A790"/>
      <c r="B790"/>
      <c r="C790"/>
      <c r="D790"/>
      <c r="E790"/>
      <c r="F790"/>
      <c r="G790"/>
      <c r="H790"/>
      <c r="I790"/>
      <c r="J790" s="1356"/>
      <c r="K790" s="1357"/>
      <c r="L790" s="1357"/>
      <c r="M790" s="1357"/>
      <c r="N790" s="1358"/>
      <c r="O790" s="1627"/>
      <c r="P790" s="1627"/>
      <c r="Q790" s="1627"/>
      <c r="R790" s="1627"/>
      <c r="S790" s="1627"/>
      <c r="T790" s="1362"/>
      <c r="U790" s="1363"/>
      <c r="V790" s="1363"/>
      <c r="W790" s="1364"/>
      <c r="X790" s="1359"/>
      <c r="Y790" s="1360"/>
      <c r="Z790" s="1360"/>
      <c r="AA790" s="1360"/>
      <c r="AB790" s="1361"/>
      <c r="AC790" s="1371">
        <f t="shared" si="41"/>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4">
        <f t="shared" si="42"/>
        <v>0</v>
      </c>
      <c r="CQ790" s="1475"/>
      <c r="CR790" s="1475"/>
      <c r="CS790" s="1475"/>
      <c r="CT790" s="1476"/>
      <c r="CU790" s="1474">
        <f t="shared" si="43"/>
        <v>0</v>
      </c>
      <c r="CV790" s="1475"/>
      <c r="CW790" s="1475"/>
      <c r="CX790" s="1475"/>
      <c r="CY790" s="1476"/>
      <c r="CZ790" s="1474">
        <f t="shared" si="44"/>
        <v>0</v>
      </c>
      <c r="DA790" s="1475"/>
      <c r="DB790" s="1475"/>
      <c r="DC790" s="1475"/>
      <c r="DD790" s="1476"/>
      <c r="DE790" s="1474">
        <f t="shared" si="45"/>
        <v>0</v>
      </c>
      <c r="DF790" s="1475"/>
      <c r="DG790" s="1475"/>
      <c r="DH790" s="1475"/>
      <c r="DI790" s="1476"/>
      <c r="DJ790" s="1474">
        <f t="shared" si="46"/>
        <v>0</v>
      </c>
      <c r="DK790" s="1475"/>
      <c r="DL790" s="1475"/>
      <c r="DM790" s="1475"/>
      <c r="DN790" s="1476"/>
      <c r="DO790" s="1474">
        <f t="shared" si="47"/>
        <v>0</v>
      </c>
      <c r="DP790" s="1475"/>
      <c r="DQ790" s="1475"/>
      <c r="DR790" s="1475"/>
      <c r="DS790" s="1476"/>
      <c r="DT790" s="6"/>
      <c r="DU790" s="1474">
        <f t="shared" si="48"/>
        <v>0</v>
      </c>
      <c r="DV790" s="1475"/>
      <c r="DW790" s="1475"/>
      <c r="DX790" s="1475"/>
      <c r="DY790" s="1476"/>
      <c r="DZ790" s="1474">
        <f t="shared" si="49"/>
        <v>0</v>
      </c>
      <c r="EA790" s="1475"/>
      <c r="EB790" s="1475"/>
      <c r="EC790" s="1475"/>
      <c r="ED790" s="1476"/>
      <c r="EE790" s="1474">
        <f t="shared" si="50"/>
        <v>0</v>
      </c>
      <c r="EF790" s="1475"/>
      <c r="EG790" s="1475"/>
      <c r="EH790" s="1475"/>
      <c r="EI790" s="1476"/>
      <c r="EJ790" s="1474">
        <f t="shared" si="51"/>
        <v>0</v>
      </c>
      <c r="EK790" s="1475"/>
      <c r="EL790" s="1475"/>
      <c r="EM790" s="1475"/>
      <c r="EN790" s="1476"/>
      <c r="EO790" s="1474">
        <f t="shared" si="52"/>
        <v>0</v>
      </c>
      <c r="EP790" s="1475"/>
      <c r="EQ790" s="1475"/>
      <c r="ER790" s="1475"/>
      <c r="ES790" s="1476"/>
      <c r="ET790" s="1474">
        <f t="shared" si="53"/>
        <v>0</v>
      </c>
      <c r="EU790" s="1475"/>
      <c r="EV790" s="1475"/>
      <c r="EW790" s="1475"/>
      <c r="EX790" s="1476"/>
    </row>
    <row r="791" spans="1:154" s="14" customFormat="1" ht="12.95" customHeight="1">
      <c r="A791"/>
      <c r="B791"/>
      <c r="C791"/>
      <c r="D791"/>
      <c r="E791"/>
      <c r="F791"/>
      <c r="G791"/>
      <c r="H791"/>
      <c r="I791"/>
      <c r="J791" s="1356"/>
      <c r="K791" s="1357"/>
      <c r="L791" s="1357"/>
      <c r="M791" s="1357"/>
      <c r="N791" s="1358"/>
      <c r="O791" s="1627"/>
      <c r="P791" s="1627"/>
      <c r="Q791" s="1627"/>
      <c r="R791" s="1627"/>
      <c r="S791" s="1627"/>
      <c r="T791" s="1362"/>
      <c r="U791" s="1363"/>
      <c r="V791" s="1363"/>
      <c r="W791" s="1364"/>
      <c r="X791" s="1359"/>
      <c r="Y791" s="1360"/>
      <c r="Z791" s="1360"/>
      <c r="AA791" s="1360"/>
      <c r="AB791" s="1361"/>
      <c r="AC791" s="1371">
        <f t="shared" si="41"/>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4">
        <f t="shared" si="42"/>
        <v>0</v>
      </c>
      <c r="CQ791" s="1475"/>
      <c r="CR791" s="1475"/>
      <c r="CS791" s="1475"/>
      <c r="CT791" s="1476"/>
      <c r="CU791" s="1474">
        <f t="shared" si="43"/>
        <v>0</v>
      </c>
      <c r="CV791" s="1475"/>
      <c r="CW791" s="1475"/>
      <c r="CX791" s="1475"/>
      <c r="CY791" s="1476"/>
      <c r="CZ791" s="1474">
        <f t="shared" si="44"/>
        <v>0</v>
      </c>
      <c r="DA791" s="1475"/>
      <c r="DB791" s="1475"/>
      <c r="DC791" s="1475"/>
      <c r="DD791" s="1476"/>
      <c r="DE791" s="1474">
        <f t="shared" si="45"/>
        <v>0</v>
      </c>
      <c r="DF791" s="1475"/>
      <c r="DG791" s="1475"/>
      <c r="DH791" s="1475"/>
      <c r="DI791" s="1476"/>
      <c r="DJ791" s="1474">
        <f t="shared" si="46"/>
        <v>0</v>
      </c>
      <c r="DK791" s="1475"/>
      <c r="DL791" s="1475"/>
      <c r="DM791" s="1475"/>
      <c r="DN791" s="1476"/>
      <c r="DO791" s="1474">
        <f t="shared" si="47"/>
        <v>0</v>
      </c>
      <c r="DP791" s="1475"/>
      <c r="DQ791" s="1475"/>
      <c r="DR791" s="1475"/>
      <c r="DS791" s="1476"/>
      <c r="DT791" s="6"/>
      <c r="DU791" s="1474">
        <f t="shared" si="48"/>
        <v>0</v>
      </c>
      <c r="DV791" s="1475"/>
      <c r="DW791" s="1475"/>
      <c r="DX791" s="1475"/>
      <c r="DY791" s="1476"/>
      <c r="DZ791" s="1474">
        <f t="shared" si="49"/>
        <v>0</v>
      </c>
      <c r="EA791" s="1475"/>
      <c r="EB791" s="1475"/>
      <c r="EC791" s="1475"/>
      <c r="ED791" s="1476"/>
      <c r="EE791" s="1474">
        <f t="shared" si="50"/>
        <v>0</v>
      </c>
      <c r="EF791" s="1475"/>
      <c r="EG791" s="1475"/>
      <c r="EH791" s="1475"/>
      <c r="EI791" s="1476"/>
      <c r="EJ791" s="1474">
        <f t="shared" si="51"/>
        <v>0</v>
      </c>
      <c r="EK791" s="1475"/>
      <c r="EL791" s="1475"/>
      <c r="EM791" s="1475"/>
      <c r="EN791" s="1476"/>
      <c r="EO791" s="1474">
        <f t="shared" si="52"/>
        <v>0</v>
      </c>
      <c r="EP791" s="1475"/>
      <c r="EQ791" s="1475"/>
      <c r="ER791" s="1475"/>
      <c r="ES791" s="1476"/>
      <c r="ET791" s="1474">
        <f t="shared" si="53"/>
        <v>0</v>
      </c>
      <c r="EU791" s="1475"/>
      <c r="EV791" s="1475"/>
      <c r="EW791" s="1475"/>
      <c r="EX791" s="1476"/>
    </row>
    <row r="792" spans="1:154" s="14" customFormat="1" ht="12.95" customHeight="1">
      <c r="A792"/>
      <c r="B792"/>
      <c r="C792"/>
      <c r="D792"/>
      <c r="E792"/>
      <c r="F792"/>
      <c r="G792"/>
      <c r="H792"/>
      <c r="I792"/>
      <c r="J792" s="1356"/>
      <c r="K792" s="1357"/>
      <c r="L792" s="1357"/>
      <c r="M792" s="1357"/>
      <c r="N792" s="1358"/>
      <c r="O792" s="1627"/>
      <c r="P792" s="1627"/>
      <c r="Q792" s="1627"/>
      <c r="R792" s="1627"/>
      <c r="S792" s="1627"/>
      <c r="T792" s="1362"/>
      <c r="U792" s="1363"/>
      <c r="V792" s="1363"/>
      <c r="W792" s="1364"/>
      <c r="X792" s="1359"/>
      <c r="Y792" s="1360"/>
      <c r="Z792" s="1360"/>
      <c r="AA792" s="1360"/>
      <c r="AB792" s="1361"/>
      <c r="AC792" s="1371">
        <f t="shared" si="41"/>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4">
        <f t="shared" si="42"/>
        <v>0</v>
      </c>
      <c r="CQ792" s="1475"/>
      <c r="CR792" s="1475"/>
      <c r="CS792" s="1475"/>
      <c r="CT792" s="1476"/>
      <c r="CU792" s="1474">
        <f t="shared" si="43"/>
        <v>0</v>
      </c>
      <c r="CV792" s="1475"/>
      <c r="CW792" s="1475"/>
      <c r="CX792" s="1475"/>
      <c r="CY792" s="1476"/>
      <c r="CZ792" s="1474">
        <f t="shared" si="44"/>
        <v>0</v>
      </c>
      <c r="DA792" s="1475"/>
      <c r="DB792" s="1475"/>
      <c r="DC792" s="1475"/>
      <c r="DD792" s="1476"/>
      <c r="DE792" s="1474">
        <f t="shared" si="45"/>
        <v>0</v>
      </c>
      <c r="DF792" s="1475"/>
      <c r="DG792" s="1475"/>
      <c r="DH792" s="1475"/>
      <c r="DI792" s="1476"/>
      <c r="DJ792" s="1474">
        <f t="shared" si="46"/>
        <v>0</v>
      </c>
      <c r="DK792" s="1475"/>
      <c r="DL792" s="1475"/>
      <c r="DM792" s="1475"/>
      <c r="DN792" s="1476"/>
      <c r="DO792" s="1474">
        <f t="shared" si="47"/>
        <v>0</v>
      </c>
      <c r="DP792" s="1475"/>
      <c r="DQ792" s="1475"/>
      <c r="DR792" s="1475"/>
      <c r="DS792" s="1476"/>
      <c r="DT792" s="6"/>
      <c r="DU792" s="1474">
        <f t="shared" si="48"/>
        <v>0</v>
      </c>
      <c r="DV792" s="1475"/>
      <c r="DW792" s="1475"/>
      <c r="DX792" s="1475"/>
      <c r="DY792" s="1476"/>
      <c r="DZ792" s="1474">
        <f t="shared" si="49"/>
        <v>0</v>
      </c>
      <c r="EA792" s="1475"/>
      <c r="EB792" s="1475"/>
      <c r="EC792" s="1475"/>
      <c r="ED792" s="1476"/>
      <c r="EE792" s="1474">
        <f t="shared" si="50"/>
        <v>0</v>
      </c>
      <c r="EF792" s="1475"/>
      <c r="EG792" s="1475"/>
      <c r="EH792" s="1475"/>
      <c r="EI792" s="1476"/>
      <c r="EJ792" s="1474">
        <f t="shared" si="51"/>
        <v>0</v>
      </c>
      <c r="EK792" s="1475"/>
      <c r="EL792" s="1475"/>
      <c r="EM792" s="1475"/>
      <c r="EN792" s="1476"/>
      <c r="EO792" s="1474">
        <f t="shared" si="52"/>
        <v>0</v>
      </c>
      <c r="EP792" s="1475"/>
      <c r="EQ792" s="1475"/>
      <c r="ER792" s="1475"/>
      <c r="ES792" s="1476"/>
      <c r="ET792" s="1474">
        <f t="shared" si="53"/>
        <v>0</v>
      </c>
      <c r="EU792" s="1475"/>
      <c r="EV792" s="1475"/>
      <c r="EW792" s="1475"/>
      <c r="EX792" s="1476"/>
    </row>
    <row r="793" spans="1:154" s="14" customFormat="1" ht="12.95" customHeight="1">
      <c r="A793"/>
      <c r="B793"/>
      <c r="C793"/>
      <c r="D793"/>
      <c r="E793"/>
      <c r="F793"/>
      <c r="G793"/>
      <c r="H793"/>
      <c r="I793"/>
      <c r="J793" s="1356"/>
      <c r="K793" s="1357"/>
      <c r="L793" s="1357"/>
      <c r="M793" s="1357"/>
      <c r="N793" s="1358"/>
      <c r="O793" s="1627"/>
      <c r="P793" s="1627"/>
      <c r="Q793" s="1627"/>
      <c r="R793" s="1627"/>
      <c r="S793" s="1627"/>
      <c r="T793" s="1362"/>
      <c r="U793" s="1363"/>
      <c r="V793" s="1363"/>
      <c r="W793" s="1364"/>
      <c r="X793" s="1359"/>
      <c r="Y793" s="1360"/>
      <c r="Z793" s="1360"/>
      <c r="AA793" s="1360"/>
      <c r="AB793" s="1361"/>
      <c r="AC793" s="1371">
        <f t="shared" si="41"/>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4">
        <f t="shared" si="42"/>
        <v>0</v>
      </c>
      <c r="CQ793" s="1475"/>
      <c r="CR793" s="1475"/>
      <c r="CS793" s="1475"/>
      <c r="CT793" s="1476"/>
      <c r="CU793" s="1474">
        <f t="shared" si="43"/>
        <v>0</v>
      </c>
      <c r="CV793" s="1475"/>
      <c r="CW793" s="1475"/>
      <c r="CX793" s="1475"/>
      <c r="CY793" s="1476"/>
      <c r="CZ793" s="1474">
        <f t="shared" si="44"/>
        <v>0</v>
      </c>
      <c r="DA793" s="1475"/>
      <c r="DB793" s="1475"/>
      <c r="DC793" s="1475"/>
      <c r="DD793" s="1476"/>
      <c r="DE793" s="1474">
        <f t="shared" si="45"/>
        <v>0</v>
      </c>
      <c r="DF793" s="1475"/>
      <c r="DG793" s="1475"/>
      <c r="DH793" s="1475"/>
      <c r="DI793" s="1476"/>
      <c r="DJ793" s="1474">
        <f t="shared" si="46"/>
        <v>0</v>
      </c>
      <c r="DK793" s="1475"/>
      <c r="DL793" s="1475"/>
      <c r="DM793" s="1475"/>
      <c r="DN793" s="1476"/>
      <c r="DO793" s="1474">
        <f t="shared" si="47"/>
        <v>0</v>
      </c>
      <c r="DP793" s="1475"/>
      <c r="DQ793" s="1475"/>
      <c r="DR793" s="1475"/>
      <c r="DS793" s="1476"/>
      <c r="DT793" s="6"/>
      <c r="DU793" s="1474">
        <f t="shared" si="48"/>
        <v>0</v>
      </c>
      <c r="DV793" s="1475"/>
      <c r="DW793" s="1475"/>
      <c r="DX793" s="1475"/>
      <c r="DY793" s="1476"/>
      <c r="DZ793" s="1474">
        <f t="shared" si="49"/>
        <v>0</v>
      </c>
      <c r="EA793" s="1475"/>
      <c r="EB793" s="1475"/>
      <c r="EC793" s="1475"/>
      <c r="ED793" s="1476"/>
      <c r="EE793" s="1474">
        <f t="shared" si="50"/>
        <v>0</v>
      </c>
      <c r="EF793" s="1475"/>
      <c r="EG793" s="1475"/>
      <c r="EH793" s="1475"/>
      <c r="EI793" s="1476"/>
      <c r="EJ793" s="1474">
        <f t="shared" si="51"/>
        <v>0</v>
      </c>
      <c r="EK793" s="1475"/>
      <c r="EL793" s="1475"/>
      <c r="EM793" s="1475"/>
      <c r="EN793" s="1476"/>
      <c r="EO793" s="1474">
        <f t="shared" si="52"/>
        <v>0</v>
      </c>
      <c r="EP793" s="1475"/>
      <c r="EQ793" s="1475"/>
      <c r="ER793" s="1475"/>
      <c r="ES793" s="1476"/>
      <c r="ET793" s="1474">
        <f t="shared" si="53"/>
        <v>0</v>
      </c>
      <c r="EU793" s="1475"/>
      <c r="EV793" s="1475"/>
      <c r="EW793" s="1475"/>
      <c r="EX793" s="1476"/>
    </row>
    <row r="794" spans="1:154" s="14" customFormat="1" ht="12.95" customHeight="1">
      <c r="A794"/>
      <c r="B794"/>
      <c r="C794"/>
      <c r="D794"/>
      <c r="E794"/>
      <c r="F794"/>
      <c r="G794"/>
      <c r="H794"/>
      <c r="I794"/>
      <c r="J794" s="1356"/>
      <c r="K794" s="1357"/>
      <c r="L794" s="1357"/>
      <c r="M794" s="1357"/>
      <c r="N794" s="1358"/>
      <c r="O794" s="1627"/>
      <c r="P794" s="1627"/>
      <c r="Q794" s="1627"/>
      <c r="R794" s="1627"/>
      <c r="S794" s="1627"/>
      <c r="T794" s="1362"/>
      <c r="U794" s="1363"/>
      <c r="V794" s="1363"/>
      <c r="W794" s="1364"/>
      <c r="X794" s="1359"/>
      <c r="Y794" s="1360"/>
      <c r="Z794" s="1360"/>
      <c r="AA794" s="1360"/>
      <c r="AB794" s="1361"/>
      <c r="AC794" s="1371">
        <f t="shared" si="41"/>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4">
        <f t="shared" si="42"/>
        <v>0</v>
      </c>
      <c r="CQ794" s="1475"/>
      <c r="CR794" s="1475"/>
      <c r="CS794" s="1475"/>
      <c r="CT794" s="1476"/>
      <c r="CU794" s="1474">
        <f t="shared" si="43"/>
        <v>0</v>
      </c>
      <c r="CV794" s="1475"/>
      <c r="CW794" s="1475"/>
      <c r="CX794" s="1475"/>
      <c r="CY794" s="1476"/>
      <c r="CZ794" s="1474">
        <f t="shared" si="44"/>
        <v>0</v>
      </c>
      <c r="DA794" s="1475"/>
      <c r="DB794" s="1475"/>
      <c r="DC794" s="1475"/>
      <c r="DD794" s="1476"/>
      <c r="DE794" s="1474">
        <f t="shared" si="45"/>
        <v>0</v>
      </c>
      <c r="DF794" s="1475"/>
      <c r="DG794" s="1475"/>
      <c r="DH794" s="1475"/>
      <c r="DI794" s="1476"/>
      <c r="DJ794" s="1474">
        <f t="shared" si="46"/>
        <v>0</v>
      </c>
      <c r="DK794" s="1475"/>
      <c r="DL794" s="1475"/>
      <c r="DM794" s="1475"/>
      <c r="DN794" s="1476"/>
      <c r="DO794" s="1474">
        <f t="shared" si="47"/>
        <v>0</v>
      </c>
      <c r="DP794" s="1475"/>
      <c r="DQ794" s="1475"/>
      <c r="DR794" s="1475"/>
      <c r="DS794" s="1476"/>
      <c r="DT794" s="6"/>
      <c r="DU794" s="1474">
        <f t="shared" si="48"/>
        <v>0</v>
      </c>
      <c r="DV794" s="1475"/>
      <c r="DW794" s="1475"/>
      <c r="DX794" s="1475"/>
      <c r="DY794" s="1476"/>
      <c r="DZ794" s="1474">
        <f t="shared" si="49"/>
        <v>0</v>
      </c>
      <c r="EA794" s="1475"/>
      <c r="EB794" s="1475"/>
      <c r="EC794" s="1475"/>
      <c r="ED794" s="1476"/>
      <c r="EE794" s="1474">
        <f t="shared" si="50"/>
        <v>0</v>
      </c>
      <c r="EF794" s="1475"/>
      <c r="EG794" s="1475"/>
      <c r="EH794" s="1475"/>
      <c r="EI794" s="1476"/>
      <c r="EJ794" s="1474">
        <f t="shared" si="51"/>
        <v>0</v>
      </c>
      <c r="EK794" s="1475"/>
      <c r="EL794" s="1475"/>
      <c r="EM794" s="1475"/>
      <c r="EN794" s="1476"/>
      <c r="EO794" s="1474">
        <f t="shared" si="52"/>
        <v>0</v>
      </c>
      <c r="EP794" s="1475"/>
      <c r="EQ794" s="1475"/>
      <c r="ER794" s="1475"/>
      <c r="ES794" s="1476"/>
      <c r="ET794" s="1474">
        <f t="shared" si="53"/>
        <v>0</v>
      </c>
      <c r="EU794" s="1475"/>
      <c r="EV794" s="1475"/>
      <c r="EW794" s="1475"/>
      <c r="EX794" s="1476"/>
    </row>
    <row r="795" spans="1:154" s="14" customFormat="1" ht="12.95" customHeight="1">
      <c r="A795"/>
      <c r="B795"/>
      <c r="C795"/>
      <c r="D795"/>
      <c r="E795"/>
      <c r="F795"/>
      <c r="G795"/>
      <c r="H795"/>
      <c r="I795"/>
      <c r="J795" s="1356"/>
      <c r="K795" s="1357"/>
      <c r="L795" s="1357"/>
      <c r="M795" s="1357"/>
      <c r="N795" s="1358"/>
      <c r="O795" s="1627"/>
      <c r="P795" s="1627"/>
      <c r="Q795" s="1627"/>
      <c r="R795" s="1627"/>
      <c r="S795" s="1627"/>
      <c r="T795" s="1362"/>
      <c r="U795" s="1363"/>
      <c r="V795" s="1363"/>
      <c r="W795" s="1364"/>
      <c r="X795" s="1359"/>
      <c r="Y795" s="1360"/>
      <c r="Z795" s="1360"/>
      <c r="AA795" s="1360"/>
      <c r="AB795" s="1361"/>
      <c r="AC795" s="1371">
        <f t="shared" si="41"/>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4">
        <f t="shared" si="42"/>
        <v>0</v>
      </c>
      <c r="CQ795" s="1475"/>
      <c r="CR795" s="1475"/>
      <c r="CS795" s="1475"/>
      <c r="CT795" s="1476"/>
      <c r="CU795" s="1474">
        <f t="shared" si="43"/>
        <v>0</v>
      </c>
      <c r="CV795" s="1475"/>
      <c r="CW795" s="1475"/>
      <c r="CX795" s="1475"/>
      <c r="CY795" s="1476"/>
      <c r="CZ795" s="1474">
        <f t="shared" si="44"/>
        <v>0</v>
      </c>
      <c r="DA795" s="1475"/>
      <c r="DB795" s="1475"/>
      <c r="DC795" s="1475"/>
      <c r="DD795" s="1476"/>
      <c r="DE795" s="1474">
        <f t="shared" si="45"/>
        <v>0</v>
      </c>
      <c r="DF795" s="1475"/>
      <c r="DG795" s="1475"/>
      <c r="DH795" s="1475"/>
      <c r="DI795" s="1476"/>
      <c r="DJ795" s="1474">
        <f t="shared" si="46"/>
        <v>0</v>
      </c>
      <c r="DK795" s="1475"/>
      <c r="DL795" s="1475"/>
      <c r="DM795" s="1475"/>
      <c r="DN795" s="1476"/>
      <c r="DO795" s="1474">
        <f t="shared" si="47"/>
        <v>0</v>
      </c>
      <c r="DP795" s="1475"/>
      <c r="DQ795" s="1475"/>
      <c r="DR795" s="1475"/>
      <c r="DS795" s="1476"/>
      <c r="DT795" s="6"/>
      <c r="DU795" s="1474">
        <f t="shared" si="48"/>
        <v>0</v>
      </c>
      <c r="DV795" s="1475"/>
      <c r="DW795" s="1475"/>
      <c r="DX795" s="1475"/>
      <c r="DY795" s="1476"/>
      <c r="DZ795" s="1474">
        <f t="shared" si="49"/>
        <v>0</v>
      </c>
      <c r="EA795" s="1475"/>
      <c r="EB795" s="1475"/>
      <c r="EC795" s="1475"/>
      <c r="ED795" s="1476"/>
      <c r="EE795" s="1474">
        <f t="shared" si="50"/>
        <v>0</v>
      </c>
      <c r="EF795" s="1475"/>
      <c r="EG795" s="1475"/>
      <c r="EH795" s="1475"/>
      <c r="EI795" s="1476"/>
      <c r="EJ795" s="1474">
        <f t="shared" si="51"/>
        <v>0</v>
      </c>
      <c r="EK795" s="1475"/>
      <c r="EL795" s="1475"/>
      <c r="EM795" s="1475"/>
      <c r="EN795" s="1476"/>
      <c r="EO795" s="1474">
        <f t="shared" si="52"/>
        <v>0</v>
      </c>
      <c r="EP795" s="1475"/>
      <c r="EQ795" s="1475"/>
      <c r="ER795" s="1475"/>
      <c r="ES795" s="1476"/>
      <c r="ET795" s="1474">
        <f t="shared" si="53"/>
        <v>0</v>
      </c>
      <c r="EU795" s="1475"/>
      <c r="EV795" s="1475"/>
      <c r="EW795" s="1475"/>
      <c r="EX795" s="1476"/>
    </row>
    <row r="796" spans="1:154" s="4" customFormat="1" ht="12.95" customHeight="1">
      <c r="A796"/>
      <c r="B796"/>
      <c r="C796"/>
      <c r="D796"/>
      <c r="E796"/>
      <c r="F796"/>
      <c r="G796"/>
      <c r="H796"/>
      <c r="I796"/>
      <c r="J796" s="1356"/>
      <c r="K796" s="1357"/>
      <c r="L796" s="1357"/>
      <c r="M796" s="1357"/>
      <c r="N796" s="1358"/>
      <c r="O796" s="1627"/>
      <c r="P796" s="1627"/>
      <c r="Q796" s="1627"/>
      <c r="R796" s="1627"/>
      <c r="S796" s="1627"/>
      <c r="T796" s="1362"/>
      <c r="U796" s="1363"/>
      <c r="V796" s="1363"/>
      <c r="W796" s="1364"/>
      <c r="X796" s="1359"/>
      <c r="Y796" s="1360"/>
      <c r="Z796" s="1360"/>
      <c r="AA796" s="1360"/>
      <c r="AB796" s="1361"/>
      <c r="AC796" s="1371">
        <f t="shared" si="41"/>
        <v>0</v>
      </c>
      <c r="AD796" s="1372"/>
      <c r="AE796" s="1372"/>
      <c r="AF796" s="1372"/>
      <c r="AG796" s="1373"/>
      <c r="AH796"/>
      <c r="AI796"/>
      <c r="AJ796"/>
      <c r="AK796"/>
      <c r="AL796"/>
      <c r="AM796"/>
      <c r="AN796"/>
      <c r="AO796"/>
      <c r="AP796"/>
      <c r="AQ796"/>
      <c r="AR796"/>
      <c r="AS796"/>
      <c r="AT796"/>
      <c r="AU796"/>
      <c r="AV796"/>
      <c r="AW796"/>
      <c r="AX796"/>
      <c r="AY796"/>
      <c r="AZ796" s="3"/>
      <c r="CP796" s="1474">
        <f t="shared" si="42"/>
        <v>0</v>
      </c>
      <c r="CQ796" s="1475"/>
      <c r="CR796" s="1475"/>
      <c r="CS796" s="1475"/>
      <c r="CT796" s="1476"/>
      <c r="CU796" s="1474">
        <f t="shared" si="43"/>
        <v>0</v>
      </c>
      <c r="CV796" s="1475"/>
      <c r="CW796" s="1475"/>
      <c r="CX796" s="1475"/>
      <c r="CY796" s="1476"/>
      <c r="CZ796" s="1474">
        <f t="shared" si="44"/>
        <v>0</v>
      </c>
      <c r="DA796" s="1475"/>
      <c r="DB796" s="1475"/>
      <c r="DC796" s="1475"/>
      <c r="DD796" s="1476"/>
      <c r="DE796" s="1474">
        <f t="shared" si="45"/>
        <v>0</v>
      </c>
      <c r="DF796" s="1475"/>
      <c r="DG796" s="1475"/>
      <c r="DH796" s="1475"/>
      <c r="DI796" s="1476"/>
      <c r="DJ796" s="1474">
        <f t="shared" si="46"/>
        <v>0</v>
      </c>
      <c r="DK796" s="1475"/>
      <c r="DL796" s="1475"/>
      <c r="DM796" s="1475"/>
      <c r="DN796" s="1476"/>
      <c r="DO796" s="1474">
        <f t="shared" si="47"/>
        <v>0</v>
      </c>
      <c r="DP796" s="1475"/>
      <c r="DQ796" s="1475"/>
      <c r="DR796" s="1475"/>
      <c r="DS796" s="1476"/>
      <c r="DT796" s="6"/>
      <c r="DU796" s="1474">
        <f t="shared" si="48"/>
        <v>0</v>
      </c>
      <c r="DV796" s="1475"/>
      <c r="DW796" s="1475"/>
      <c r="DX796" s="1475"/>
      <c r="DY796" s="1476"/>
      <c r="DZ796" s="1474">
        <f t="shared" si="49"/>
        <v>0</v>
      </c>
      <c r="EA796" s="1475"/>
      <c r="EB796" s="1475"/>
      <c r="EC796" s="1475"/>
      <c r="ED796" s="1476"/>
      <c r="EE796" s="1474">
        <f t="shared" si="50"/>
        <v>0</v>
      </c>
      <c r="EF796" s="1475"/>
      <c r="EG796" s="1475"/>
      <c r="EH796" s="1475"/>
      <c r="EI796" s="1476"/>
      <c r="EJ796" s="1474">
        <f t="shared" si="51"/>
        <v>0</v>
      </c>
      <c r="EK796" s="1475"/>
      <c r="EL796" s="1475"/>
      <c r="EM796" s="1475"/>
      <c r="EN796" s="1476"/>
      <c r="EO796" s="1474">
        <f t="shared" si="52"/>
        <v>0</v>
      </c>
      <c r="EP796" s="1475"/>
      <c r="EQ796" s="1475"/>
      <c r="ER796" s="1475"/>
      <c r="ES796" s="1476"/>
      <c r="ET796" s="1474">
        <f t="shared" si="53"/>
        <v>0</v>
      </c>
      <c r="EU796" s="1475"/>
      <c r="EV796" s="1475"/>
      <c r="EW796" s="1475"/>
      <c r="EX796" s="1476"/>
    </row>
    <row r="797" spans="1:154" s="4" customFormat="1" ht="12.95" customHeight="1">
      <c r="A797"/>
      <c r="B797"/>
      <c r="C797"/>
      <c r="D797"/>
      <c r="E797"/>
      <c r="F797"/>
      <c r="G797"/>
      <c r="H797"/>
      <c r="I797"/>
      <c r="J797" s="1469" t="s">
        <v>125</v>
      </c>
      <c r="K797" s="1470"/>
      <c r="L797" s="1470"/>
      <c r="M797" s="1470"/>
      <c r="N797" s="1471"/>
      <c r="O797" s="1740">
        <f>SUM(O787:S796)</f>
        <v>0</v>
      </c>
      <c r="P797" s="1740"/>
      <c r="Q797" s="1740"/>
      <c r="R797" s="1740"/>
      <c r="S797" s="1740"/>
      <c r="T797"/>
      <c r="U797"/>
      <c r="V797"/>
      <c r="W797"/>
      <c r="X797" s="902" t="s">
        <v>124</v>
      </c>
      <c r="Y797" s="11"/>
      <c r="Z797" s="11"/>
      <c r="AA797" s="11"/>
      <c r="AB797" s="909"/>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CP797" s="1483">
        <f>SUM(CP787:CT796)</f>
        <v>0</v>
      </c>
      <c r="CQ797" s="1488"/>
      <c r="CR797" s="1488"/>
      <c r="CS797" s="1488"/>
      <c r="CT797" s="1484"/>
      <c r="CU797" s="1489">
        <f>SUM(CU787:CY796)</f>
        <v>0</v>
      </c>
      <c r="CV797" s="1490"/>
      <c r="CW797" s="1490"/>
      <c r="CX797" s="1490"/>
      <c r="CY797" s="1491"/>
      <c r="CZ797" s="1489">
        <f>SUM(CZ787:DD796)</f>
        <v>0</v>
      </c>
      <c r="DA797" s="1490"/>
      <c r="DB797" s="1490"/>
      <c r="DC797" s="1490"/>
      <c r="DD797" s="1491"/>
      <c r="DE797" s="1489">
        <f>SUM(DE787:DI796)</f>
        <v>0</v>
      </c>
      <c r="DF797" s="1490"/>
      <c r="DG797" s="1490"/>
      <c r="DH797" s="1490"/>
      <c r="DI797" s="1491"/>
      <c r="DJ797" s="1489">
        <f>SUM(DJ787:DN796)</f>
        <v>0</v>
      </c>
      <c r="DK797" s="1490"/>
      <c r="DL797" s="1490"/>
      <c r="DM797" s="1490"/>
      <c r="DN797" s="1491"/>
      <c r="DO797" s="1489">
        <f>SUM(DO787:DS796)</f>
        <v>0</v>
      </c>
      <c r="DP797" s="1490"/>
      <c r="DQ797" s="1490"/>
      <c r="DR797" s="1490"/>
      <c r="DS797" s="1491"/>
      <c r="DT797" s="1012"/>
      <c r="DU797" s="1483">
        <f>SUM(DU787:DY796)</f>
        <v>0</v>
      </c>
      <c r="DV797" s="1488"/>
      <c r="DW797" s="1488"/>
      <c r="DX797" s="1488"/>
      <c r="DY797" s="1484"/>
      <c r="DZ797" s="1483">
        <f>SUM(DZ787:ED796)</f>
        <v>0</v>
      </c>
      <c r="EA797" s="1488"/>
      <c r="EB797" s="1488"/>
      <c r="EC797" s="1488"/>
      <c r="ED797" s="1484"/>
      <c r="EE797" s="1483">
        <f>SUM(EE787:EI796)</f>
        <v>0</v>
      </c>
      <c r="EF797" s="1488"/>
      <c r="EG797" s="1488"/>
      <c r="EH797" s="1488"/>
      <c r="EI797" s="1484"/>
      <c r="EJ797" s="1483">
        <f>SUM(EJ787:EN796)</f>
        <v>0</v>
      </c>
      <c r="EK797" s="1488"/>
      <c r="EL797" s="1488"/>
      <c r="EM797" s="1488"/>
      <c r="EN797" s="1484"/>
      <c r="EO797" s="1483">
        <f>SUM(EO787:ES796)</f>
        <v>0</v>
      </c>
      <c r="EP797" s="1488"/>
      <c r="EQ797" s="1488"/>
      <c r="ER797" s="1488"/>
      <c r="ES797" s="1484"/>
      <c r="ET797" s="1483">
        <f>SUM(ET787:EX796)</f>
        <v>0</v>
      </c>
      <c r="EU797" s="1488"/>
      <c r="EV797" s="1488"/>
      <c r="EW797" s="1488"/>
      <c r="EX797" s="1484"/>
    </row>
    <row r="798" spans="1:154" s="4" customFormat="1" ht="12.95" customHeight="1">
      <c r="A798"/>
      <c r="B798"/>
      <c r="C798" s="1743" t="str">
        <f>IF(O797&lt;&gt;AG438,"! Total market rate units in the Unit Mix Table above does not match the number of  market rate units on row #"&amp;TEXT(ROW(D438),"#"),"")</f>
        <v/>
      </c>
      <c r="D798" s="1743"/>
      <c r="E798" s="1743"/>
      <c r="F798" s="1743"/>
      <c r="G798" s="1743"/>
      <c r="H798" s="1743"/>
      <c r="I798" s="1743"/>
      <c r="J798" s="1743"/>
      <c r="K798" s="1743"/>
      <c r="L798" s="1743"/>
      <c r="M798" s="1743"/>
      <c r="N798" s="1743"/>
      <c r="O798" s="1743"/>
      <c r="P798" s="1743"/>
      <c r="Q798" s="1743"/>
      <c r="R798" s="1743"/>
      <c r="S798" s="1743"/>
      <c r="T798" s="1743"/>
      <c r="U798" s="1743"/>
      <c r="V798" s="1743"/>
      <c r="W798" s="1743"/>
      <c r="X798" s="1743"/>
      <c r="Y798" s="1743"/>
      <c r="Z798" s="1743"/>
      <c r="AA798" s="1743"/>
      <c r="AB798" s="1743"/>
      <c r="AC798" s="1743"/>
      <c r="AD798" s="1743"/>
      <c r="AE798" s="1743"/>
      <c r="AF798" s="1743"/>
      <c r="AG798" s="1743"/>
      <c r="AH798" s="1743"/>
      <c r="AI798" s="1743"/>
      <c r="AJ798" s="1743"/>
      <c r="AK798" s="1743"/>
      <c r="AL798" s="1743"/>
      <c r="AM798" s="1743"/>
      <c r="AN798" s="174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3"/>
      <c r="D799" s="1743"/>
      <c r="E799" s="1743"/>
      <c r="F799" s="1743"/>
      <c r="G799" s="1743"/>
      <c r="H799" s="1743"/>
      <c r="I799" s="1743"/>
      <c r="J799" s="1743"/>
      <c r="K799" s="1743"/>
      <c r="L799" s="1743"/>
      <c r="M799" s="1743"/>
      <c r="N799" s="1743"/>
      <c r="O799" s="1743"/>
      <c r="P799" s="1743"/>
      <c r="Q799" s="1743"/>
      <c r="R799" s="1743"/>
      <c r="S799" s="1743"/>
      <c r="T799" s="1743"/>
      <c r="U799" s="1743"/>
      <c r="V799" s="1743"/>
      <c r="W799" s="1743"/>
      <c r="X799" s="1743"/>
      <c r="Y799" s="1743"/>
      <c r="Z799" s="1743"/>
      <c r="AA799" s="1743"/>
      <c r="AB799" s="1743"/>
      <c r="AC799" s="1743"/>
      <c r="AD799" s="1743"/>
      <c r="AE799" s="1743"/>
      <c r="AF799" s="1743"/>
      <c r="AG799" s="1743"/>
      <c r="AH799" s="1743"/>
      <c r="AI799" s="1743"/>
      <c r="AJ799" s="1743"/>
      <c r="AK799" s="1743"/>
      <c r="AL799" s="1743"/>
      <c r="AM799" s="1743"/>
      <c r="AN799" s="174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65">
        <f>SUM(DU797:EX797)</f>
        <v>0</v>
      </c>
      <c r="EU799" s="1866"/>
      <c r="EV799" s="1866"/>
      <c r="EW799" s="1866"/>
      <c r="EX799" s="186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4">
        <f>O753+AC777+AC797</f>
        <v>121369.37</v>
      </c>
      <c r="Z800" s="1714"/>
      <c r="AA800" s="1714"/>
      <c r="AB800" s="1714"/>
      <c r="AC800" s="171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4">
        <f>(O753+AC777+AC797)*12</f>
        <v>1456432.44</v>
      </c>
      <c r="Z801" s="1714"/>
      <c r="AA801" s="1714"/>
      <c r="AB801" s="1714"/>
      <c r="AC801" s="171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9">
        <f>CP753+CP777+CP797</f>
        <v>0</v>
      </c>
      <c r="CQ802" s="1490"/>
      <c r="CR802" s="1490"/>
      <c r="CS802" s="1490"/>
      <c r="CT802" s="1491"/>
      <c r="CU802" s="1489">
        <f>CU753+CU777+CU797</f>
        <v>6</v>
      </c>
      <c r="CV802" s="1490"/>
      <c r="CW802" s="1490"/>
      <c r="CX802" s="1490"/>
      <c r="CY802" s="1491"/>
      <c r="CZ802" s="1489">
        <f>CZ753+CZ777+CZ797</f>
        <v>28</v>
      </c>
      <c r="DA802" s="1490"/>
      <c r="DB802" s="1490"/>
      <c r="DC802" s="1490"/>
      <c r="DD802" s="1491"/>
      <c r="DE802" s="1489">
        <f>DE753+DE777+DE797</f>
        <v>38</v>
      </c>
      <c r="DF802" s="1490"/>
      <c r="DG802" s="1490"/>
      <c r="DH802" s="1490"/>
      <c r="DI802" s="1491"/>
      <c r="DJ802" s="1489">
        <f>DJ753+DJ777+DJ797</f>
        <v>0</v>
      </c>
      <c r="DK802" s="1490"/>
      <c r="DL802" s="1490"/>
      <c r="DM802" s="1490"/>
      <c r="DN802" s="1491"/>
      <c r="DO802" s="1472">
        <f>DO797+DO777+DO753</f>
        <v>0</v>
      </c>
      <c r="DP802" s="1479"/>
      <c r="DQ802" s="1479"/>
      <c r="DR802" s="1479"/>
      <c r="DS802" s="1473"/>
      <c r="DT802" s="3"/>
      <c r="DU802" s="861">
        <f>DU755+DU800</f>
        <v>173</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74"/>
      <c r="AA806" s="1575"/>
      <c r="AB806" s="1575"/>
      <c r="AC806" s="1575"/>
      <c r="AD806" s="1575"/>
      <c r="AE806" s="157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2"/>
      <c r="AA807" s="1575"/>
      <c r="AB807" s="1575"/>
      <c r="AC807" s="1575"/>
      <c r="AD807" s="1575"/>
      <c r="AE807" s="157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9"/>
      <c r="AA808" s="1548"/>
      <c r="AB808" s="1548"/>
      <c r="AC808" s="1548"/>
      <c r="AD808" s="1548"/>
      <c r="AE808" s="154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0">
        <v>7776</v>
      </c>
      <c r="AA813" s="1481"/>
      <c r="AB813" s="1481"/>
      <c r="AC813" s="1481"/>
      <c r="AD813" s="1481"/>
      <c r="AE813" s="14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0"/>
      <c r="AA814" s="1481"/>
      <c r="AB814" s="1481"/>
      <c r="AC814" s="1481"/>
      <c r="AD814" s="1481"/>
      <c r="AE814" s="14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0"/>
      <c r="AA815" s="1481"/>
      <c r="AB815" s="1481"/>
      <c r="AC815" s="1481"/>
      <c r="AD815" s="1481"/>
      <c r="AE815" s="14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07" t="s">
        <v>334</v>
      </c>
      <c r="Q816" s="1608"/>
      <c r="R816" s="1608"/>
      <c r="S816" s="1608"/>
      <c r="T816" s="1608"/>
      <c r="U816" s="1608"/>
      <c r="V816" s="1608"/>
      <c r="W816" s="1608"/>
      <c r="X816" s="1608"/>
      <c r="Y816" s="1609"/>
      <c r="Z816" s="1480"/>
      <c r="AA816" s="1481"/>
      <c r="AB816" s="1481"/>
      <c r="AC816" s="1481"/>
      <c r="AD816" s="1481"/>
      <c r="AE816" s="14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7776</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9">
        <f>Z817+Y801+Z809</f>
        <v>1464208.44</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99" t="s">
        <v>126</v>
      </c>
      <c r="N823" s="1599"/>
      <c r="O823" s="1599"/>
      <c r="P823" s="1667"/>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741" t="s">
        <v>335</v>
      </c>
      <c r="AH823" s="1741"/>
      <c r="AI823" s="1741"/>
      <c r="AJ823" s="174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03"/>
      <c r="N824" s="1603"/>
      <c r="O824" s="1603"/>
      <c r="P824" s="1614"/>
      <c r="Q824" s="1628"/>
      <c r="R824" s="1628"/>
      <c r="S824" s="1628"/>
      <c r="T824" s="1628"/>
      <c r="U824" s="1628"/>
      <c r="V824" s="1628"/>
      <c r="W824" s="1628"/>
      <c r="X824" s="1628"/>
      <c r="Y824" s="1628"/>
      <c r="Z824" s="1628"/>
      <c r="AA824" s="1628"/>
      <c r="AB824" s="1628"/>
      <c r="AC824" s="1628"/>
      <c r="AD824" s="1628"/>
      <c r="AE824" s="1628"/>
      <c r="AF824" s="1628"/>
      <c r="AG824" s="1741"/>
      <c r="AH824" s="1741"/>
      <c r="AI824" s="1741"/>
      <c r="AJ824" s="174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62" t="s">
        <v>40</v>
      </c>
      <c r="D825" s="1377"/>
      <c r="E825" s="1377"/>
      <c r="F825" s="1377"/>
      <c r="G825" s="1377"/>
      <c r="H825" s="1377"/>
      <c r="I825" s="48"/>
      <c r="J825" s="48"/>
      <c r="K825" s="48"/>
      <c r="L825" s="49"/>
      <c r="M825" s="1656"/>
      <c r="N825" s="1656"/>
      <c r="O825" s="1656"/>
      <c r="P825" s="1656"/>
      <c r="Q825" s="1656">
        <v>36</v>
      </c>
      <c r="R825" s="1656"/>
      <c r="S825" s="1656"/>
      <c r="T825" s="1656"/>
      <c r="U825" s="1656">
        <v>43</v>
      </c>
      <c r="V825" s="1656"/>
      <c r="W825" s="1656"/>
      <c r="X825" s="1656"/>
      <c r="Y825" s="1656">
        <v>48</v>
      </c>
      <c r="Z825" s="1656"/>
      <c r="AA825" s="1656"/>
      <c r="AB825" s="1656"/>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9" t="s">
        <v>41</v>
      </c>
      <c r="D826" s="1640"/>
      <c r="E826" s="1640"/>
      <c r="F826" s="1640"/>
      <c r="G826" s="1640"/>
      <c r="H826" s="1640"/>
      <c r="I826" s="5"/>
      <c r="J826" s="5"/>
      <c r="K826" s="5"/>
      <c r="L826" s="46"/>
      <c r="M826" s="1656"/>
      <c r="N826" s="1656"/>
      <c r="O826" s="1656"/>
      <c r="P826" s="1656"/>
      <c r="Q826" s="1656"/>
      <c r="R826" s="1656"/>
      <c r="S826" s="1656"/>
      <c r="T826" s="1656"/>
      <c r="U826" s="1656"/>
      <c r="V826" s="1656"/>
      <c r="W826" s="1656"/>
      <c r="X826" s="1656"/>
      <c r="Y826" s="1656"/>
      <c r="Z826" s="1656"/>
      <c r="AA826" s="1656"/>
      <c r="AB826" s="1656"/>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9" t="s">
        <v>42</v>
      </c>
      <c r="D827" s="1640"/>
      <c r="E827" s="1640"/>
      <c r="F827" s="1640"/>
      <c r="G827" s="1640"/>
      <c r="H827" s="1640"/>
      <c r="I827" s="60"/>
      <c r="J827" s="60"/>
      <c r="K827" s="60"/>
      <c r="L827" s="61"/>
      <c r="M827" s="1656"/>
      <c r="N827" s="1656"/>
      <c r="O827" s="1656"/>
      <c r="P827" s="1656"/>
      <c r="Q827" s="1656">
        <v>12</v>
      </c>
      <c r="R827" s="1656"/>
      <c r="S827" s="1656"/>
      <c r="T827" s="1656"/>
      <c r="U827" s="1656">
        <v>18</v>
      </c>
      <c r="V827" s="1656"/>
      <c r="W827" s="1656"/>
      <c r="X827" s="1656"/>
      <c r="Y827" s="1656">
        <v>23</v>
      </c>
      <c r="Z827" s="1656"/>
      <c r="AA827" s="1656"/>
      <c r="AB827" s="1656"/>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9" t="s">
        <v>762</v>
      </c>
      <c r="D828" s="1640"/>
      <c r="E828" s="1640"/>
      <c r="F828" s="1640"/>
      <c r="G828" s="1640"/>
      <c r="H828" s="1640"/>
      <c r="I828" s="60"/>
      <c r="J828" s="60"/>
      <c r="K828" s="60"/>
      <c r="L828" s="61"/>
      <c r="M828" s="1656"/>
      <c r="N828" s="1656"/>
      <c r="O828" s="1656"/>
      <c r="P828" s="1656"/>
      <c r="Q828" s="1656"/>
      <c r="R828" s="1656"/>
      <c r="S828" s="1656"/>
      <c r="T828" s="1656"/>
      <c r="U828" s="1656"/>
      <c r="V828" s="1656"/>
      <c r="W828" s="1656"/>
      <c r="X828" s="1656"/>
      <c r="Y828" s="1656"/>
      <c r="Z828" s="1656"/>
      <c r="AA828" s="1656"/>
      <c r="AB828" s="1656"/>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9" t="s">
        <v>459</v>
      </c>
      <c r="D829" s="1640"/>
      <c r="E829" s="1640"/>
      <c r="F829" s="1640"/>
      <c r="G829" s="1640"/>
      <c r="H829" s="1640"/>
      <c r="I829" s="60"/>
      <c r="J829" s="60"/>
      <c r="K829" s="60"/>
      <c r="L829" s="61"/>
      <c r="M829" s="1656"/>
      <c r="N829" s="1656"/>
      <c r="O829" s="1656"/>
      <c r="P829" s="1656"/>
      <c r="Q829" s="1656">
        <v>40</v>
      </c>
      <c r="R829" s="1656"/>
      <c r="S829" s="1656"/>
      <c r="T829" s="1656"/>
      <c r="U829" s="1656">
        <v>58</v>
      </c>
      <c r="V829" s="1656"/>
      <c r="W829" s="1656"/>
      <c r="X829" s="1656"/>
      <c r="Y829" s="1656">
        <v>77</v>
      </c>
      <c r="Z829" s="1656"/>
      <c r="AA829" s="1656"/>
      <c r="AB829" s="1656"/>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6" t="s">
        <v>783</v>
      </c>
      <c r="D830" s="1640"/>
      <c r="E830" s="1640"/>
      <c r="F830" s="1640"/>
      <c r="G830" s="1640"/>
      <c r="H830" s="1640"/>
      <c r="I830" s="60"/>
      <c r="J830" s="60"/>
      <c r="K830" s="60"/>
      <c r="L830" s="61"/>
      <c r="M830" s="1656"/>
      <c r="N830" s="1656"/>
      <c r="O830" s="1656"/>
      <c r="P830" s="1656"/>
      <c r="Q830" s="1656"/>
      <c r="R830" s="1656"/>
      <c r="S830" s="1656"/>
      <c r="T830" s="1656"/>
      <c r="U830" s="1656"/>
      <c r="V830" s="1656"/>
      <c r="W830" s="1656"/>
      <c r="X830" s="1656"/>
      <c r="Y830" s="1656"/>
      <c r="Z830" s="1656"/>
      <c r="AA830" s="1656"/>
      <c r="AB830" s="1656"/>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07" t="s">
        <v>2694</v>
      </c>
      <c r="G831" s="1608"/>
      <c r="H831" s="1608"/>
      <c r="I831" s="1608"/>
      <c r="J831" s="1608"/>
      <c r="K831" s="1608"/>
      <c r="L831" s="1608"/>
      <c r="M831" s="1656"/>
      <c r="N831" s="1656"/>
      <c r="O831" s="1656"/>
      <c r="P831" s="1656"/>
      <c r="Q831" s="1656">
        <v>9</v>
      </c>
      <c r="R831" s="1656"/>
      <c r="S831" s="1656"/>
      <c r="T831" s="1656"/>
      <c r="U831" s="1656">
        <v>12</v>
      </c>
      <c r="V831" s="1656"/>
      <c r="W831" s="1656"/>
      <c r="X831" s="1656"/>
      <c r="Y831" s="1656">
        <v>15</v>
      </c>
      <c r="Z831" s="1656"/>
      <c r="AA831" s="1656"/>
      <c r="AB831" s="1656"/>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69" t="s">
        <v>124</v>
      </c>
      <c r="D832" s="1470"/>
      <c r="E832" s="1470"/>
      <c r="F832" s="1470"/>
      <c r="G832" s="1470"/>
      <c r="H832" s="1470"/>
      <c r="I832" s="1470"/>
      <c r="J832" s="1470"/>
      <c r="K832" s="1470"/>
      <c r="L832" s="1471"/>
      <c r="M832" s="1650">
        <f>SUM(M825:P831)</f>
        <v>0</v>
      </c>
      <c r="N832" s="1650"/>
      <c r="O832" s="1650"/>
      <c r="P832" s="1650"/>
      <c r="Q832" s="1650">
        <f>SUM(Q825:T831)</f>
        <v>97</v>
      </c>
      <c r="R832" s="1650"/>
      <c r="S832" s="1650"/>
      <c r="T832" s="1650"/>
      <c r="U832" s="1650">
        <f>SUM(U825:X831)</f>
        <v>131</v>
      </c>
      <c r="V832" s="1650"/>
      <c r="W832" s="1650"/>
      <c r="X832" s="1650"/>
      <c r="Y832" s="1650">
        <f>SUM(Y825:AB831)</f>
        <v>163</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7" t="s">
        <v>2720</v>
      </c>
      <c r="D837" s="1718"/>
      <c r="E837" s="1718"/>
      <c r="F837" s="1718"/>
      <c r="G837" s="1718"/>
      <c r="H837" s="1718"/>
      <c r="I837" s="1718"/>
      <c r="J837" s="1718"/>
      <c r="K837" s="1718"/>
      <c r="L837" s="1718"/>
      <c r="M837" s="1718"/>
      <c r="N837" s="1718"/>
      <c r="O837" s="1718"/>
      <c r="P837" s="1718"/>
      <c r="Q837" s="1718"/>
      <c r="R837" s="1718"/>
      <c r="S837" s="1718"/>
      <c r="T837" s="1718"/>
      <c r="U837" s="1718"/>
      <c r="V837" s="1718"/>
      <c r="W837" s="1718"/>
      <c r="X837" s="1718"/>
      <c r="Y837" s="1718"/>
      <c r="Z837" s="1718"/>
      <c r="AA837" s="1718"/>
      <c r="AB837" s="1718"/>
      <c r="AC837" s="1718"/>
      <c r="AD837" s="1718"/>
      <c r="AE837" s="1718"/>
      <c r="AF837" s="1718"/>
      <c r="AG837" s="1718"/>
      <c r="AH837" s="1718"/>
      <c r="AI837" s="1718"/>
      <c r="AJ837" s="171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c r="BJ841" s="1674"/>
      <c r="BK841" s="1674"/>
      <c r="BL841" s="167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98">
        <v>690</v>
      </c>
      <c r="X842" s="1498"/>
      <c r="Y842" s="1498"/>
      <c r="Z842" s="1498"/>
      <c r="AA842" s="1498"/>
      <c r="AB842" s="1498"/>
      <c r="AC842" s="149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98">
        <v>5518</v>
      </c>
      <c r="X843" s="1498"/>
      <c r="Y843" s="1498"/>
      <c r="Z843" s="1498"/>
      <c r="AA843" s="1498"/>
      <c r="AB843" s="1498"/>
      <c r="AC843" s="149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98">
        <v>22837</v>
      </c>
      <c r="X844" s="1498"/>
      <c r="Y844" s="1498"/>
      <c r="Z844" s="1498"/>
      <c r="AA844" s="1498"/>
      <c r="AB844" s="1498"/>
      <c r="AC844" s="1498"/>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98">
        <v>17808</v>
      </c>
      <c r="X845" s="1498"/>
      <c r="Y845" s="1498"/>
      <c r="Z845" s="1498"/>
      <c r="AA845" s="1498"/>
      <c r="AB845" s="1498"/>
      <c r="AC845" s="1498"/>
      <c r="AZ845" s="30"/>
      <c r="BA845" s="30"/>
      <c r="BB845" s="14"/>
      <c r="BC845" s="14"/>
      <c r="BD845" s="14"/>
      <c r="BE845" s="14"/>
      <c r="BF845" s="14"/>
      <c r="BG845" s="14"/>
      <c r="BH845" s="14"/>
      <c r="BI845" s="14"/>
      <c r="BJ845" s="14"/>
      <c r="BK845" s="14"/>
      <c r="BL845" s="14"/>
    </row>
    <row r="846" spans="1:64" ht="12.95" customHeight="1">
      <c r="J846" s="45" t="s">
        <v>170</v>
      </c>
      <c r="K846" s="5"/>
      <c r="L846" s="5"/>
      <c r="M846" s="1607" t="s">
        <v>2695</v>
      </c>
      <c r="N846" s="1608"/>
      <c r="O846" s="1608"/>
      <c r="P846" s="1608"/>
      <c r="Q846" s="1608"/>
      <c r="R846" s="1608"/>
      <c r="S846" s="1608"/>
      <c r="T846" s="1608"/>
      <c r="U846" s="1608"/>
      <c r="V846" s="1609"/>
      <c r="W846" s="1498">
        <v>57520</v>
      </c>
      <c r="X846" s="1498"/>
      <c r="Y846" s="1498"/>
      <c r="Z846" s="1498"/>
      <c r="AA846" s="1498"/>
      <c r="AB846" s="1498"/>
      <c r="AC846" s="149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29">
        <f>SUM(W842:W846)</f>
        <v>104373</v>
      </c>
      <c r="X847" s="1630"/>
      <c r="Y847" s="1630"/>
      <c r="Z847" s="1630"/>
      <c r="AA847" s="1630"/>
      <c r="AB847" s="1630"/>
      <c r="AC847" s="163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2"/>
      <c r="BH848" s="1642"/>
      <c r="BI848" s="1642"/>
      <c r="BJ848" s="1642"/>
      <c r="BK848" s="1642"/>
      <c r="BL848" s="1642"/>
    </row>
    <row r="849" spans="3:55" ht="12.95" customHeight="1">
      <c r="C849" s="2" t="s">
        <v>344</v>
      </c>
      <c r="J849" s="1469" t="s">
        <v>345</v>
      </c>
      <c r="K849" s="1470"/>
      <c r="L849" s="1470"/>
      <c r="M849" s="1470"/>
      <c r="N849" s="1470"/>
      <c r="O849" s="1470"/>
      <c r="P849" s="1470"/>
      <c r="Q849" s="1470"/>
      <c r="R849" s="1470"/>
      <c r="S849" s="1470"/>
      <c r="T849" s="1470"/>
      <c r="U849" s="1470"/>
      <c r="V849" s="1471"/>
      <c r="W849" s="1480">
        <v>69117</v>
      </c>
      <c r="X849" s="1481"/>
      <c r="Y849" s="1481"/>
      <c r="Z849" s="1481"/>
      <c r="AA849" s="1481"/>
      <c r="AB849" s="1481"/>
      <c r="AC849" s="1482"/>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65"/>
      <c r="X851" s="1665"/>
      <c r="Y851" s="1665"/>
      <c r="Z851" s="1665"/>
      <c r="AA851" s="1665"/>
      <c r="AB851" s="1665"/>
      <c r="AC851" s="1665"/>
      <c r="AZ851" s="1729"/>
      <c r="BA851" s="1729"/>
      <c r="BB851" s="14"/>
      <c r="BC851" s="14"/>
    </row>
    <row r="852" spans="3:55" ht="12.95" customHeight="1">
      <c r="J852" s="45" t="s">
        <v>351</v>
      </c>
      <c r="K852" s="5"/>
      <c r="L852" s="5"/>
      <c r="M852" s="5"/>
      <c r="N852" s="5"/>
      <c r="O852" s="5"/>
      <c r="P852" s="5"/>
      <c r="Q852" s="5"/>
      <c r="R852" s="5"/>
      <c r="S852" s="5"/>
      <c r="T852" s="5"/>
      <c r="U852" s="5"/>
      <c r="V852" s="46"/>
      <c r="W852" s="1665">
        <v>29747</v>
      </c>
      <c r="X852" s="1665"/>
      <c r="Y852" s="1665"/>
      <c r="Z852" s="1665"/>
      <c r="AA852" s="1665"/>
      <c r="AB852" s="1665"/>
      <c r="AC852" s="1665"/>
      <c r="AZ852" s="30"/>
      <c r="BA852" s="30"/>
      <c r="BB852" s="14"/>
      <c r="BC852" s="14"/>
    </row>
    <row r="853" spans="3:55" ht="12.95" customHeight="1">
      <c r="J853" s="45" t="s">
        <v>459</v>
      </c>
      <c r="K853" s="5"/>
      <c r="L853" s="5"/>
      <c r="M853" s="5"/>
      <c r="N853" s="5"/>
      <c r="O853" s="5"/>
      <c r="P853" s="5"/>
      <c r="Q853" s="5"/>
      <c r="R853" s="5"/>
      <c r="S853" s="5"/>
      <c r="T853" s="5"/>
      <c r="U853" s="5"/>
      <c r="V853" s="46"/>
      <c r="W853" s="1665">
        <v>15209</v>
      </c>
      <c r="X853" s="1665"/>
      <c r="Y853" s="1665"/>
      <c r="Z853" s="1665"/>
      <c r="AA853" s="1665"/>
      <c r="AB853" s="1665"/>
      <c r="AC853" s="1665"/>
      <c r="AZ853" s="30"/>
      <c r="BA853" s="30"/>
      <c r="BB853" s="14"/>
      <c r="BC853" s="14"/>
    </row>
    <row r="854" spans="3:55" ht="12.95" customHeight="1">
      <c r="J854" s="62" t="s">
        <v>620</v>
      </c>
      <c r="K854" s="5"/>
      <c r="L854" s="5"/>
      <c r="M854" s="5"/>
      <c r="N854" s="5"/>
      <c r="O854" s="5"/>
      <c r="P854" s="5"/>
      <c r="Q854" s="5"/>
      <c r="R854" s="5"/>
      <c r="S854" s="5"/>
      <c r="T854" s="5"/>
      <c r="U854" s="5"/>
      <c r="V854" s="46"/>
      <c r="W854" s="1665">
        <v>114754</v>
      </c>
      <c r="X854" s="1665"/>
      <c r="Y854" s="1665"/>
      <c r="Z854" s="1665"/>
      <c r="AA854" s="1665"/>
      <c r="AB854" s="1665"/>
      <c r="AC854" s="1665"/>
      <c r="AZ854" s="34"/>
      <c r="BA854" s="34"/>
      <c r="BB854" s="34"/>
      <c r="BC854" s="34"/>
    </row>
    <row r="855" spans="3:55" ht="12.95" customHeight="1">
      <c r="J855" s="63"/>
      <c r="K855" s="48"/>
      <c r="L855" s="48"/>
      <c r="M855" s="48"/>
      <c r="N855" s="48"/>
      <c r="O855" s="48"/>
      <c r="P855" s="48"/>
      <c r="Q855" s="48"/>
      <c r="R855" s="48"/>
      <c r="S855" s="48"/>
      <c r="T855" s="48"/>
      <c r="U855" s="48"/>
      <c r="V855" s="54" t="s">
        <v>272</v>
      </c>
      <c r="W855" s="1716">
        <f>SUM(W851:W854)</f>
        <v>159710</v>
      </c>
      <c r="X855" s="1716"/>
      <c r="Y855" s="1716"/>
      <c r="Z855" s="1716"/>
      <c r="AA855" s="1716"/>
      <c r="AB855" s="1716"/>
      <c r="AC855" s="1716"/>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44">
        <v>52518</v>
      </c>
      <c r="X857" s="1645"/>
      <c r="Y857" s="1645"/>
      <c r="Z857" s="1645"/>
      <c r="AA857" s="1645"/>
      <c r="AB857" s="1645"/>
      <c r="AC857" s="1646"/>
      <c r="AD857" s="528"/>
      <c r="AZ857" s="34"/>
      <c r="BA857" s="34"/>
      <c r="BB857" s="34"/>
      <c r="BC857" s="34"/>
    </row>
    <row r="858" spans="3:55" ht="12.95" customHeight="1">
      <c r="C858" s="2" t="s">
        <v>347</v>
      </c>
      <c r="J858" s="121" t="s">
        <v>1654</v>
      </c>
      <c r="K858" s="5"/>
      <c r="L858" s="5"/>
      <c r="M858" s="5"/>
      <c r="N858" s="5"/>
      <c r="O858" s="5"/>
      <c r="P858" s="5"/>
      <c r="Q858" s="5"/>
      <c r="R858" s="5"/>
      <c r="S858" s="5"/>
      <c r="T858" s="1720">
        <v>1</v>
      </c>
      <c r="U858" s="1708"/>
      <c r="V858" s="172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44">
        <v>51523</v>
      </c>
      <c r="X859" s="1645"/>
      <c r="Y859" s="1645"/>
      <c r="Z859" s="1645"/>
      <c r="AA859" s="1645"/>
      <c r="AB859" s="1645"/>
      <c r="AC859" s="1646"/>
      <c r="AD859" s="533"/>
      <c r="AZ859" s="34"/>
      <c r="BA859" s="34"/>
      <c r="BB859" s="34"/>
      <c r="BC859" s="34"/>
    </row>
    <row r="860" spans="3:55" ht="12.95" customHeight="1">
      <c r="C860" s="2"/>
      <c r="J860" s="121" t="s">
        <v>1655</v>
      </c>
      <c r="K860" s="5"/>
      <c r="L860" s="5"/>
      <c r="M860" s="5"/>
      <c r="N860" s="5"/>
      <c r="O860" s="5"/>
      <c r="P860" s="5"/>
      <c r="Q860" s="5"/>
      <c r="R860" s="5"/>
      <c r="S860" s="5"/>
      <c r="T860" s="1720">
        <v>1</v>
      </c>
      <c r="U860" s="1708"/>
      <c r="V860" s="1721"/>
      <c r="W860" s="874"/>
      <c r="X860" s="875"/>
      <c r="Y860" s="875"/>
      <c r="Z860" s="875"/>
      <c r="AA860" s="875"/>
      <c r="AB860" s="875"/>
      <c r="AC860" s="876"/>
      <c r="AD860" s="533"/>
      <c r="AZ860" s="34"/>
      <c r="BA860" s="34"/>
      <c r="BB860" s="34"/>
      <c r="BC860" s="34"/>
    </row>
    <row r="861" spans="3:55" ht="12.95" customHeight="1">
      <c r="J861" s="45" t="s">
        <v>170</v>
      </c>
      <c r="K861" s="5"/>
      <c r="L861" s="5"/>
      <c r="M861" s="1607" t="s">
        <v>2732</v>
      </c>
      <c r="N861" s="1608"/>
      <c r="O861" s="1608"/>
      <c r="P861" s="1608"/>
      <c r="Q861" s="1608"/>
      <c r="R861" s="1608"/>
      <c r="S861" s="1608"/>
      <c r="T861" s="1608"/>
      <c r="U861" s="1608"/>
      <c r="V861" s="1609"/>
      <c r="W861" s="1644">
        <v>39132</v>
      </c>
      <c r="X861" s="1645"/>
      <c r="Y861" s="1645"/>
      <c r="Z861" s="1645"/>
      <c r="AA861" s="1645"/>
      <c r="AB861" s="1645"/>
      <c r="AC861" s="1646"/>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22">
        <f>SUM(W857:W861)</f>
        <v>143173</v>
      </c>
      <c r="X862" s="1723"/>
      <c r="Y862" s="1723"/>
      <c r="Z862" s="1723"/>
      <c r="AA862" s="1723"/>
      <c r="AB862" s="1723"/>
      <c r="AC862" s="172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4">
        <v>65894</v>
      </c>
      <c r="X863" s="1645"/>
      <c r="Y863" s="1645"/>
      <c r="Z863" s="1645"/>
      <c r="AA863" s="1645"/>
      <c r="AB863" s="1645"/>
      <c r="AC863" s="1646"/>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98">
        <v>20531</v>
      </c>
      <c r="X865" s="1498"/>
      <c r="Y865" s="1498"/>
      <c r="Z865" s="1498"/>
      <c r="AA865" s="1498"/>
      <c r="AB865" s="1498"/>
      <c r="AC865" s="1498"/>
      <c r="AU865" s="14"/>
      <c r="AZ865" s="34"/>
      <c r="BA865" s="34"/>
      <c r="BB865" s="34"/>
      <c r="BC865" s="34"/>
    </row>
    <row r="866" spans="3:55" ht="12.95" customHeight="1">
      <c r="J866" s="45" t="s">
        <v>522</v>
      </c>
      <c r="K866" s="5"/>
      <c r="L866" s="5"/>
      <c r="M866" s="5"/>
      <c r="N866" s="5"/>
      <c r="O866" s="5"/>
      <c r="P866" s="5"/>
      <c r="Q866" s="5"/>
      <c r="R866" s="5"/>
      <c r="S866" s="5"/>
      <c r="T866" s="5"/>
      <c r="U866" s="5"/>
      <c r="V866" s="46"/>
      <c r="W866" s="1498">
        <v>18000</v>
      </c>
      <c r="X866" s="1498"/>
      <c r="Y866" s="1498"/>
      <c r="Z866" s="1498"/>
      <c r="AA866" s="1498"/>
      <c r="AB866" s="1498"/>
      <c r="AC866" s="1498"/>
      <c r="AU866" s="4"/>
      <c r="AZ866" s="34"/>
      <c r="BA866" s="34"/>
      <c r="BB866" s="34"/>
      <c r="BC866" s="34"/>
    </row>
    <row r="867" spans="3:55" ht="12.95" customHeight="1">
      <c r="J867" s="45" t="s">
        <v>521</v>
      </c>
      <c r="K867" s="5"/>
      <c r="L867" s="5"/>
      <c r="M867" s="5"/>
      <c r="N867" s="5"/>
      <c r="O867" s="5"/>
      <c r="P867" s="5"/>
      <c r="Q867" s="5"/>
      <c r="R867" s="5"/>
      <c r="S867" s="5"/>
      <c r="T867" s="5"/>
      <c r="U867" s="5"/>
      <c r="V867" s="46"/>
      <c r="W867" s="1498">
        <v>61331</v>
      </c>
      <c r="X867" s="1498"/>
      <c r="Y867" s="1498"/>
      <c r="Z867" s="1498"/>
      <c r="AA867" s="1498"/>
      <c r="AB867" s="1498"/>
      <c r="AC867" s="1498"/>
      <c r="AU867" s="4"/>
      <c r="AZ867" s="34"/>
      <c r="BA867" s="34"/>
      <c r="BB867" s="34"/>
      <c r="BC867" s="34"/>
    </row>
    <row r="868" spans="3:55" ht="12.95" customHeight="1">
      <c r="J868" s="45" t="s">
        <v>520</v>
      </c>
      <c r="K868" s="5"/>
      <c r="L868" s="5"/>
      <c r="M868" s="5"/>
      <c r="N868" s="5"/>
      <c r="O868" s="5"/>
      <c r="P868" s="5"/>
      <c r="Q868" s="5"/>
      <c r="R868" s="5"/>
      <c r="S868" s="5"/>
      <c r="T868" s="5"/>
      <c r="U868" s="5"/>
      <c r="V868" s="46"/>
      <c r="W868" s="1498">
        <v>2144</v>
      </c>
      <c r="X868" s="1498"/>
      <c r="Y868" s="1498"/>
      <c r="Z868" s="1498"/>
      <c r="AA868" s="1498"/>
      <c r="AB868" s="1498"/>
      <c r="AC868" s="1498"/>
      <c r="AU868" s="4"/>
      <c r="AZ868" s="34"/>
      <c r="BA868" s="34"/>
      <c r="BB868" s="34"/>
      <c r="BC868" s="34"/>
    </row>
    <row r="869" spans="3:55" ht="12.95" customHeight="1">
      <c r="J869" s="45" t="s">
        <v>519</v>
      </c>
      <c r="K869" s="5"/>
      <c r="L869" s="5"/>
      <c r="M869" s="5"/>
      <c r="N869" s="5"/>
      <c r="O869" s="5"/>
      <c r="P869" s="5"/>
      <c r="Q869" s="5"/>
      <c r="R869" s="5"/>
      <c r="S869" s="5"/>
      <c r="T869" s="5"/>
      <c r="U869" s="5"/>
      <c r="V869" s="46"/>
      <c r="W869" s="1498">
        <v>24975</v>
      </c>
      <c r="X869" s="1498"/>
      <c r="Y869" s="1498"/>
      <c r="Z869" s="1498"/>
      <c r="AA869" s="1498"/>
      <c r="AB869" s="1498"/>
      <c r="AC869" s="1498"/>
      <c r="AU869" s="4"/>
      <c r="AZ869" s="34"/>
      <c r="BA869" s="34"/>
      <c r="BB869" s="34"/>
      <c r="BC869" s="34"/>
    </row>
    <row r="870" spans="3:55" ht="12.95" customHeight="1">
      <c r="J870" s="45" t="s">
        <v>518</v>
      </c>
      <c r="K870" s="5"/>
      <c r="L870" s="5"/>
      <c r="M870" s="5"/>
      <c r="N870" s="5"/>
      <c r="O870" s="5"/>
      <c r="P870" s="5"/>
      <c r="Q870" s="5"/>
      <c r="R870" s="5"/>
      <c r="S870" s="5"/>
      <c r="T870" s="5"/>
      <c r="U870" s="5"/>
      <c r="V870" s="46"/>
      <c r="W870" s="1498"/>
      <c r="X870" s="1498"/>
      <c r="Y870" s="1498"/>
      <c r="Z870" s="1498"/>
      <c r="AA870" s="1498"/>
      <c r="AB870" s="1498"/>
      <c r="AC870" s="1498"/>
      <c r="AU870" s="4"/>
      <c r="AZ870" s="34"/>
      <c r="BA870" s="34"/>
      <c r="BB870" s="34"/>
      <c r="BC870" s="34"/>
    </row>
    <row r="871" spans="3:55" ht="12.95" customHeight="1">
      <c r="J871" s="45" t="s">
        <v>170</v>
      </c>
      <c r="K871" s="5"/>
      <c r="L871" s="5"/>
      <c r="M871" s="1607" t="s">
        <v>2733</v>
      </c>
      <c r="N871" s="1608"/>
      <c r="O871" s="1608"/>
      <c r="P871" s="1608"/>
      <c r="Q871" s="1608"/>
      <c r="R871" s="1608"/>
      <c r="S871" s="1608"/>
      <c r="T871" s="1608"/>
      <c r="U871" s="1608"/>
      <c r="V871" s="1609"/>
      <c r="W871" s="1498">
        <v>59516</v>
      </c>
      <c r="X871" s="1498"/>
      <c r="Y871" s="1498"/>
      <c r="Z871" s="1498"/>
      <c r="AA871" s="1498"/>
      <c r="AB871" s="1498"/>
      <c r="AC871" s="1498"/>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14">
        <f>SUM(W865:W871)</f>
        <v>186497</v>
      </c>
      <c r="X872" s="1714"/>
      <c r="Y872" s="1714"/>
      <c r="Z872" s="1714"/>
      <c r="AA872" s="1714"/>
      <c r="AB872" s="1714"/>
      <c r="AC872" s="171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607"/>
      <c r="N874" s="1608"/>
      <c r="O874" s="1608"/>
      <c r="P874" s="1608"/>
      <c r="Q874" s="1608"/>
      <c r="R874" s="1608"/>
      <c r="S874" s="1608"/>
      <c r="T874" s="1608"/>
      <c r="U874" s="1608"/>
      <c r="V874" s="1609"/>
      <c r="W874" s="1480"/>
      <c r="X874" s="1481"/>
      <c r="Y874" s="1481"/>
      <c r="Z874" s="1481"/>
      <c r="AA874" s="1481"/>
      <c r="AB874" s="1481"/>
      <c r="AC874" s="1482"/>
      <c r="AD874" s="533"/>
      <c r="AV874" s="14"/>
      <c r="AW874" s="14"/>
      <c r="AX874" s="14"/>
      <c r="AY874" s="14"/>
      <c r="AZ874" s="34"/>
      <c r="BA874" s="34"/>
      <c r="BB874" s="34"/>
      <c r="BC874" s="34"/>
    </row>
    <row r="875" spans="3:55" ht="12.95" customHeight="1">
      <c r="C875" s="2" t="s">
        <v>1243</v>
      </c>
      <c r="J875" s="45" t="s">
        <v>170</v>
      </c>
      <c r="K875" s="5"/>
      <c r="L875" s="5"/>
      <c r="M875" s="1607" t="s">
        <v>2696</v>
      </c>
      <c r="N875" s="1608"/>
      <c r="O875" s="1608"/>
      <c r="P875" s="1608"/>
      <c r="Q875" s="1608"/>
      <c r="R875" s="1608"/>
      <c r="S875" s="1608"/>
      <c r="T875" s="1608"/>
      <c r="U875" s="1608"/>
      <c r="V875" s="1609"/>
      <c r="W875" s="1480">
        <v>100</v>
      </c>
      <c r="X875" s="1481"/>
      <c r="Y875" s="1481"/>
      <c r="Z875" s="1481"/>
      <c r="AA875" s="1481"/>
      <c r="AB875" s="1481"/>
      <c r="AC875" s="1482"/>
      <c r="AD875" s="533"/>
      <c r="AV875" s="14"/>
      <c r="AW875" s="14"/>
      <c r="AX875" s="14"/>
      <c r="AY875" s="14"/>
      <c r="AZ875" s="34"/>
      <c r="BA875" s="34"/>
      <c r="BB875" s="34"/>
      <c r="BC875" s="34"/>
    </row>
    <row r="876" spans="3:55" ht="12.95" customHeight="1">
      <c r="J876" s="45" t="s">
        <v>170</v>
      </c>
      <c r="K876" s="5"/>
      <c r="L876" s="5"/>
      <c r="M876" s="1607"/>
      <c r="N876" s="1608"/>
      <c r="O876" s="1608"/>
      <c r="P876" s="1608"/>
      <c r="Q876" s="1608"/>
      <c r="R876" s="1608"/>
      <c r="S876" s="1608"/>
      <c r="T876" s="1608"/>
      <c r="U876" s="1608"/>
      <c r="V876" s="1609"/>
      <c r="W876" s="1480"/>
      <c r="X876" s="1481"/>
      <c r="Y876" s="1481"/>
      <c r="Z876" s="1481"/>
      <c r="AA876" s="1481"/>
      <c r="AB876" s="1481"/>
      <c r="AC876" s="1482"/>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07" t="s">
        <v>334</v>
      </c>
      <c r="N877" s="1608"/>
      <c r="O877" s="1608"/>
      <c r="P877" s="1608"/>
      <c r="Q877" s="1608"/>
      <c r="R877" s="1608"/>
      <c r="S877" s="1608"/>
      <c r="T877" s="1608"/>
      <c r="U877" s="1608"/>
      <c r="V877" s="1609"/>
      <c r="W877" s="1480"/>
      <c r="X877" s="1481"/>
      <c r="Y877" s="1481"/>
      <c r="Z877" s="1481"/>
      <c r="AA877" s="1481"/>
      <c r="AB877" s="1481"/>
      <c r="AC877" s="1482"/>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07" t="s">
        <v>334</v>
      </c>
      <c r="N878" s="1608"/>
      <c r="O878" s="1608"/>
      <c r="P878" s="1608"/>
      <c r="Q878" s="1608"/>
      <c r="R878" s="1608"/>
      <c r="S878" s="1608"/>
      <c r="T878" s="1608"/>
      <c r="U878" s="1608"/>
      <c r="V878" s="1609"/>
      <c r="W878" s="1480"/>
      <c r="X878" s="1481"/>
      <c r="Y878" s="1481"/>
      <c r="Z878" s="1481"/>
      <c r="AA878" s="1481"/>
      <c r="AB878" s="1481"/>
      <c r="AC878" s="1482"/>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29">
        <f>SUM(W874:W878)</f>
        <v>100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30">
        <f>W847+W855+W862+W863+W872+W879+W849</f>
        <v>728864</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5">
        <f>O797+O777+G753</f>
        <v>72</v>
      </c>
      <c r="AD884" s="1725"/>
      <c r="AE884" s="1725"/>
      <c r="AF884" s="1725"/>
      <c r="AG884" s="1725"/>
      <c r="AH884" s="1726"/>
      <c r="AL884" s="4"/>
      <c r="AM884" s="4"/>
      <c r="AN884" s="4"/>
      <c r="AO884" s="4"/>
      <c r="AP884" s="4"/>
      <c r="AQ884" s="4"/>
      <c r="AR884" s="4"/>
      <c r="AS884" s="4"/>
      <c r="AT884" s="4"/>
      <c r="AZ884" s="34"/>
      <c r="BA884" s="34"/>
      <c r="BB884" s="34"/>
      <c r="BC884" s="34"/>
    </row>
    <row r="885" spans="3:55" ht="12.95" customHeight="1">
      <c r="C885" s="41"/>
      <c r="D885" s="42"/>
      <c r="E885" s="1660" t="s">
        <v>32</v>
      </c>
      <c r="F885" s="1660"/>
      <c r="G885" s="1660"/>
      <c r="H885" s="1660"/>
      <c r="I885" s="1660"/>
      <c r="J885" s="1660"/>
      <c r="K885" s="1660"/>
      <c r="L885" s="1660"/>
      <c r="M885" s="1660"/>
      <c r="N885" s="1660"/>
      <c r="O885" s="1660"/>
      <c r="P885" s="1660"/>
      <c r="Q885" s="1660"/>
      <c r="R885" s="1660"/>
      <c r="S885" s="1660"/>
      <c r="T885" s="1660"/>
      <c r="U885" s="1660"/>
      <c r="V885" s="1660"/>
      <c r="W885" s="1660"/>
      <c r="X885" s="1660"/>
      <c r="Y885" s="1660"/>
      <c r="Z885" s="1660"/>
      <c r="AA885" s="1660"/>
      <c r="AB885" s="1661"/>
      <c r="AC885" s="1714">
        <f>IF(ISERROR((ROUNDDOWN(AC883/AC884,0))),0,(ROUNDDOWN(AC883/AC884,0)))</f>
        <v>10123</v>
      </c>
      <c r="AD885" s="1714"/>
      <c r="AE885" s="1714"/>
      <c r="AF885" s="1714"/>
      <c r="AG885" s="1714"/>
      <c r="AH885" s="171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7"/>
      <c r="AD886" s="1728"/>
      <c r="AE886" s="1728"/>
      <c r="AF886" s="1728"/>
      <c r="AG886" s="1728"/>
      <c r="AH886" s="172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82"/>
      <c r="AD887" s="1498"/>
      <c r="AE887" s="1498"/>
      <c r="AF887" s="1498"/>
      <c r="AG887" s="1498"/>
      <c r="AH887" s="149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81">
        <v>85000</v>
      </c>
      <c r="AD888" s="1481"/>
      <c r="AE888" s="1481"/>
      <c r="AF888" s="1481"/>
      <c r="AG888" s="1481"/>
      <c r="AH888" s="1482"/>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1">
        <v>28584</v>
      </c>
      <c r="AD889" s="1481"/>
      <c r="AE889" s="1481"/>
      <c r="AF889" s="1481"/>
      <c r="AG889" s="1481"/>
      <c r="AH889" s="1482"/>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1">
        <v>13963</v>
      </c>
      <c r="AD891" s="1481"/>
      <c r="AE891" s="1481"/>
      <c r="AF891" s="1481"/>
      <c r="AG891" s="1481"/>
      <c r="AH891" s="1482"/>
      <c r="AZ891" s="34"/>
      <c r="BA891" s="34"/>
      <c r="BB891" s="34"/>
      <c r="BC891" s="34"/>
    </row>
    <row r="892" spans="3:55" ht="12.95" hidden="1" customHeight="1">
      <c r="C892" s="1469" t="s">
        <v>2231</v>
      </c>
      <c r="D892" s="1470"/>
      <c r="E892" s="1470"/>
      <c r="F892" s="1470"/>
      <c r="G892" s="1470"/>
      <c r="H892" s="1470"/>
      <c r="I892" s="1470"/>
      <c r="J892" s="1470"/>
      <c r="K892" s="1470"/>
      <c r="L892" s="1470"/>
      <c r="M892" s="1470"/>
      <c r="N892" s="1470"/>
      <c r="O892" s="1470"/>
      <c r="P892" s="1470"/>
      <c r="Q892" s="1470"/>
      <c r="R892" s="1470"/>
      <c r="S892" s="1470"/>
      <c r="T892" s="1470"/>
      <c r="U892" s="1470"/>
      <c r="V892" s="1470"/>
      <c r="W892" s="1470"/>
      <c r="X892" s="1470"/>
      <c r="Y892" s="1470"/>
      <c r="Z892" s="1470"/>
      <c r="AA892" s="1470"/>
      <c r="AB892" s="1471"/>
      <c r="AC892" s="1481"/>
      <c r="AD892" s="1481"/>
      <c r="AE892" s="1481"/>
      <c r="AF892" s="1481"/>
      <c r="AG892" s="1481"/>
      <c r="AH892" s="1482"/>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81"/>
      <c r="AD893" s="1481"/>
      <c r="AE893" s="1481"/>
      <c r="AF893" s="1481"/>
      <c r="AG893" s="1481"/>
      <c r="AH893" s="1482"/>
      <c r="AZ893" s="34"/>
      <c r="BA893" s="34"/>
      <c r="BB893" s="34"/>
      <c r="BC893" s="34"/>
    </row>
    <row r="894" spans="3:55" ht="12.95" customHeight="1">
      <c r="C894" s="1647" t="s">
        <v>2762</v>
      </c>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498">
        <v>6000</v>
      </c>
      <c r="AD894" s="1498"/>
      <c r="AE894" s="1498"/>
      <c r="AF894" s="1498"/>
      <c r="AG894" s="1498"/>
      <c r="AH894" s="1498"/>
      <c r="AZ894" s="34"/>
      <c r="BA894" s="34"/>
      <c r="BB894" s="34"/>
      <c r="BC894" s="34"/>
    </row>
    <row r="895" spans="3:55" ht="12.95" customHeight="1">
      <c r="C895" s="1647"/>
      <c r="D895" s="1648"/>
      <c r="E895" s="1648"/>
      <c r="F895" s="1648"/>
      <c r="G895" s="1648"/>
      <c r="H895" s="1648"/>
      <c r="I895" s="1648"/>
      <c r="J895" s="1648"/>
      <c r="K895" s="1648"/>
      <c r="L895" s="1648"/>
      <c r="M895" s="1648"/>
      <c r="N895" s="1648"/>
      <c r="O895" s="1648"/>
      <c r="P895" s="1648"/>
      <c r="Q895" s="1648"/>
      <c r="R895" s="1648"/>
      <c r="S895" s="1648"/>
      <c r="T895" s="1648"/>
      <c r="U895" s="1648"/>
      <c r="V895" s="1648"/>
      <c r="W895" s="1648"/>
      <c r="X895" s="1648"/>
      <c r="Y895" s="1648"/>
      <c r="Z895" s="1648"/>
      <c r="AA895" s="1648"/>
      <c r="AB895" s="1649"/>
      <c r="AC895" s="1498"/>
      <c r="AD895" s="1498"/>
      <c r="AE895" s="1498"/>
      <c r="AF895" s="1498"/>
      <c r="AG895" s="1498"/>
      <c r="AH895" s="149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0"/>
      <c r="AA899" s="1481"/>
      <c r="AB899" s="1481"/>
      <c r="AC899" s="1481"/>
      <c r="AD899" s="1481"/>
      <c r="AE899" s="1482"/>
      <c r="AF899" s="533"/>
      <c r="AZ899" s="34"/>
      <c r="BB899" s="30"/>
      <c r="BC899" s="816"/>
      <c r="BD899" s="1643"/>
      <c r="BE899" s="1643"/>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0"/>
      <c r="AA900" s="1481"/>
      <c r="AB900" s="1481"/>
      <c r="AC900" s="1481"/>
      <c r="AD900" s="1481"/>
      <c r="AE900" s="1482"/>
      <c r="AZ900" s="34"/>
      <c r="BB900" s="30"/>
      <c r="BC900" s="816"/>
      <c r="BD900" s="1643"/>
      <c r="BE900" s="1643"/>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0"/>
      <c r="AA901" s="1481"/>
      <c r="AB901" s="1481"/>
      <c r="AC901" s="1481"/>
      <c r="AD901" s="1481"/>
      <c r="AE901" s="1482"/>
      <c r="AZ901" s="34"/>
      <c r="BB901" s="30"/>
      <c r="BC901" s="816"/>
      <c r="BD901" s="1642"/>
      <c r="BE901" s="1642"/>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29">
        <f>Z899-(Z900+Z901)</f>
        <v>0</v>
      </c>
      <c r="AA902" s="1630"/>
      <c r="AB902" s="1630"/>
      <c r="AC902" s="1630"/>
      <c r="AD902" s="1630"/>
      <c r="AE902" s="1631"/>
      <c r="AZ902" s="34"/>
      <c r="BB902" s="30"/>
      <c r="BC902" s="816"/>
      <c r="BD902" s="1642"/>
      <c r="BE902" s="1642"/>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2"/>
      <c r="BE903" s="1642"/>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3"/>
      <c r="BE904" s="1642"/>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5"/>
      <c r="BE905" s="1715"/>
      <c r="BF905" s="171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4"/>
      <c r="BE906" s="1674"/>
      <c r="BF906" s="1674"/>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2"/>
      <c r="BE907" s="1642"/>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3"/>
      <c r="BE908" s="1642"/>
      <c r="BF908" s="14"/>
    </row>
    <row r="909" spans="1:58" ht="12.95" customHeight="1">
      <c r="AZ909" s="34"/>
      <c r="BB909" s="30"/>
      <c r="BC909" s="816"/>
    </row>
    <row r="910" spans="1:58" ht="12.95" customHeight="1">
      <c r="A910" s="1441" t="s">
        <v>96</v>
      </c>
      <c r="B910" s="1441"/>
      <c r="C910" s="1441"/>
      <c r="D910" s="1441"/>
      <c r="E910" s="1441"/>
      <c r="F910" s="1441"/>
      <c r="G910" s="1441"/>
      <c r="H910" s="1441"/>
      <c r="I910" s="1441"/>
      <c r="J910" s="1441"/>
      <c r="K910" s="1441"/>
      <c r="L910" s="1441"/>
      <c r="M910" s="1441"/>
      <c r="N910" s="1441"/>
      <c r="O910" s="1441"/>
      <c r="P910" s="1441"/>
      <c r="Q910" s="1441"/>
      <c r="R910" s="1441"/>
      <c r="S910" s="1441"/>
      <c r="T910" s="1441"/>
      <c r="U910" s="1441"/>
      <c r="V910" s="1441"/>
      <c r="W910" s="1441"/>
      <c r="X910" s="1441"/>
      <c r="Y910" s="1441"/>
      <c r="Z910" s="1441"/>
      <c r="AA910" s="1441"/>
      <c r="AB910" s="1441"/>
      <c r="AC910" s="1441"/>
      <c r="AD910" s="1441"/>
      <c r="AE910" s="1441"/>
      <c r="AF910" s="1441"/>
      <c r="AG910" s="1441"/>
      <c r="AH910" s="1441"/>
      <c r="AI910" s="1441"/>
      <c r="AJ910" s="1441"/>
      <c r="AK910" s="1441"/>
      <c r="AL910" s="1441"/>
      <c r="AM910" s="1441"/>
      <c r="AN910" s="1441"/>
      <c r="AO910" s="1441"/>
      <c r="AP910" s="1441"/>
      <c r="AQ910" s="1441"/>
      <c r="AR910" s="1441"/>
      <c r="AS910" s="1441"/>
      <c r="AT910" s="1441"/>
      <c r="AZ910" s="34"/>
      <c r="BA910" s="34"/>
      <c r="BB910" s="30"/>
      <c r="BC910" s="30"/>
      <c r="BD910" s="1643"/>
      <c r="BE910" s="1642"/>
      <c r="BF910" s="911"/>
    </row>
    <row r="911" spans="1:58" ht="12.95" customHeight="1">
      <c r="A911" s="1441"/>
      <c r="B911" s="1441"/>
      <c r="C911" s="1441"/>
      <c r="D911" s="1441"/>
      <c r="E911" s="1441"/>
      <c r="F911" s="1441"/>
      <c r="G911" s="1441"/>
      <c r="H911" s="1441"/>
      <c r="I911" s="1441"/>
      <c r="J911" s="1441"/>
      <c r="K911" s="1441"/>
      <c r="L911" s="1441"/>
      <c r="M911" s="1441"/>
      <c r="N911" s="1441"/>
      <c r="O911" s="1441"/>
      <c r="P911" s="1441"/>
      <c r="Q911" s="1441"/>
      <c r="R911" s="1441"/>
      <c r="S911" s="1441"/>
      <c r="T911" s="1441"/>
      <c r="U911" s="1441"/>
      <c r="V911" s="1441"/>
      <c r="W911" s="1441"/>
      <c r="X911" s="1441"/>
      <c r="Y911" s="1441"/>
      <c r="Z911" s="1441"/>
      <c r="AA911" s="1441"/>
      <c r="AB911" s="1441"/>
      <c r="AC911" s="1441"/>
      <c r="AD911" s="1441"/>
      <c r="AE911" s="1441"/>
      <c r="AF911" s="1441"/>
      <c r="AG911" s="1441"/>
      <c r="AH911" s="1441"/>
      <c r="AI911" s="1441"/>
      <c r="AJ911" s="1441"/>
      <c r="AK911" s="1441"/>
      <c r="AL911" s="1441"/>
      <c r="AM911" s="1441"/>
      <c r="AN911" s="1441"/>
      <c r="AO911" s="1441"/>
      <c r="AP911" s="1441"/>
      <c r="AQ911" s="1441"/>
      <c r="AR911" s="1441"/>
      <c r="AS911" s="1441"/>
      <c r="AT911" s="144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62" t="s">
        <v>792</v>
      </c>
      <c r="G915" s="1663"/>
      <c r="H915" s="1663"/>
      <c r="I915" s="1663"/>
      <c r="J915" s="1663"/>
      <c r="K915" s="1663"/>
      <c r="L915" s="1663"/>
      <c r="M915" s="1663"/>
      <c r="N915" s="1663"/>
      <c r="O915" s="1663"/>
      <c r="P915" s="1663"/>
      <c r="Q915" s="1663"/>
      <c r="R915" s="1663"/>
      <c r="S915" s="1663"/>
      <c r="T915" s="1664"/>
      <c r="U915" s="1598" t="s">
        <v>31</v>
      </c>
      <c r="V915" s="1599"/>
      <c r="W915" s="1599"/>
      <c r="X915" s="1599"/>
      <c r="Y915" s="1599"/>
      <c r="Z915" s="1599"/>
      <c r="AA915" s="43"/>
      <c r="AB915" s="105"/>
      <c r="AC915" s="105"/>
      <c r="AD915" s="105"/>
      <c r="AE915" s="105"/>
      <c r="AF915" s="106"/>
      <c r="AZ915" s="34"/>
      <c r="BA915" s="34"/>
      <c r="BB915" s="34"/>
      <c r="BC915" s="34"/>
    </row>
    <row r="916" spans="1:58" ht="12.95" customHeight="1">
      <c r="B916" s="2"/>
      <c r="F916" s="1600" t="s">
        <v>818</v>
      </c>
      <c r="G916" s="1601"/>
      <c r="H916" s="1601"/>
      <c r="I916" s="1601"/>
      <c r="J916" s="1601"/>
      <c r="K916" s="1601"/>
      <c r="L916" s="1601"/>
      <c r="M916" s="1601"/>
      <c r="N916" s="1601"/>
      <c r="O916" s="1601"/>
      <c r="P916" s="1601"/>
      <c r="Q916" s="1601"/>
      <c r="R916" s="1601"/>
      <c r="S916" s="1601"/>
      <c r="T916" s="1613"/>
      <c r="U916" s="1600"/>
      <c r="V916" s="1601"/>
      <c r="W916" s="1601"/>
      <c r="X916" s="1601"/>
      <c r="Y916" s="1601"/>
      <c r="Z916" s="1601"/>
      <c r="AA916" s="44"/>
      <c r="AB916" s="4"/>
      <c r="AC916" s="4"/>
      <c r="AD916" s="4"/>
      <c r="AE916" s="4"/>
      <c r="AF916" s="107"/>
      <c r="AZ916" s="34"/>
      <c r="BA916" s="34"/>
      <c r="BB916" s="34"/>
      <c r="BC916" s="34"/>
    </row>
    <row r="917" spans="1:58" ht="12.95" customHeight="1">
      <c r="B917" s="2"/>
      <c r="F917" s="1602"/>
      <c r="G917" s="1603"/>
      <c r="H917" s="1603"/>
      <c r="I917" s="1603"/>
      <c r="J917" s="1603"/>
      <c r="K917" s="1603"/>
      <c r="L917" s="1603"/>
      <c r="M917" s="1603"/>
      <c r="N917" s="1603"/>
      <c r="O917" s="1603"/>
      <c r="P917" s="1603"/>
      <c r="Q917" s="1603"/>
      <c r="R917" s="1603"/>
      <c r="S917" s="1603"/>
      <c r="T917" s="1614"/>
      <c r="U917" s="1602"/>
      <c r="V917" s="1603"/>
      <c r="W917" s="1603"/>
      <c r="X917" s="1603"/>
      <c r="Y917" s="1603"/>
      <c r="Z917" s="1603"/>
      <c r="AA917" s="108"/>
      <c r="AB917" s="1651" t="s">
        <v>391</v>
      </c>
      <c r="AC917" s="1651"/>
      <c r="AD917" s="1651"/>
      <c r="AE917" s="165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20" t="s">
        <v>545</v>
      </c>
      <c r="V918" s="1421"/>
      <c r="W918" s="1421"/>
      <c r="X918" s="1421"/>
      <c r="Y918" s="1421"/>
      <c r="Z918" s="1422"/>
      <c r="AA918" s="1426">
        <f>AM554</f>
        <v>9812428</v>
      </c>
      <c r="AB918" s="1427"/>
      <c r="AC918" s="1427"/>
      <c r="AD918" s="1427"/>
      <c r="AE918" s="1427"/>
      <c r="AF918" s="142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20" t="s">
        <v>545</v>
      </c>
      <c r="V919" s="1421"/>
      <c r="W919" s="1421"/>
      <c r="X919" s="1421"/>
      <c r="Y919" s="1421"/>
      <c r="Z919" s="1422"/>
      <c r="AA919" s="1426">
        <v>1162288</v>
      </c>
      <c r="AB919" s="1427"/>
      <c r="AC919" s="1427"/>
      <c r="AD919" s="1427"/>
      <c r="AE919" s="1427"/>
      <c r="AF919" s="142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20" t="s">
        <v>591</v>
      </c>
      <c r="V920" s="1421"/>
      <c r="W920" s="1421"/>
      <c r="X920" s="1421"/>
      <c r="Y920" s="1421"/>
      <c r="Z920" s="1422"/>
      <c r="AA920" s="1426"/>
      <c r="AB920" s="1427"/>
      <c r="AC920" s="1427"/>
      <c r="AD920" s="1427"/>
      <c r="AE920" s="1427"/>
      <c r="AF920" s="142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20" t="s">
        <v>591</v>
      </c>
      <c r="V921" s="1421"/>
      <c r="W921" s="1421"/>
      <c r="X921" s="1421"/>
      <c r="Y921" s="1421"/>
      <c r="Z921" s="1422"/>
      <c r="AA921" s="1426"/>
      <c r="AB921" s="1427"/>
      <c r="AC921" s="1427"/>
      <c r="AD921" s="1427"/>
      <c r="AE921" s="1427"/>
      <c r="AF921" s="142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20" t="s">
        <v>591</v>
      </c>
      <c r="V922" s="1421"/>
      <c r="W922" s="1421"/>
      <c r="X922" s="1421"/>
      <c r="Y922" s="1421"/>
      <c r="Z922" s="1422"/>
      <c r="AA922" s="1426"/>
      <c r="AB922" s="1427"/>
      <c r="AC922" s="1427"/>
      <c r="AD922" s="1427"/>
      <c r="AE922" s="1427"/>
      <c r="AF922" s="142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20" t="s">
        <v>591</v>
      </c>
      <c r="V923" s="1421"/>
      <c r="W923" s="1421"/>
      <c r="X923" s="1421"/>
      <c r="Y923" s="1421"/>
      <c r="Z923" s="1422"/>
      <c r="AA923" s="1426"/>
      <c r="AB923" s="1427"/>
      <c r="AC923" s="1427"/>
      <c r="AD923" s="1427"/>
      <c r="AE923" s="1427"/>
      <c r="AF923" s="142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20" t="s">
        <v>591</v>
      </c>
      <c r="V924" s="1421"/>
      <c r="W924" s="1421"/>
      <c r="X924" s="1421"/>
      <c r="Y924" s="1421"/>
      <c r="Z924" s="1422"/>
      <c r="AA924" s="1426"/>
      <c r="AB924" s="1427"/>
      <c r="AC924" s="1427"/>
      <c r="AD924" s="1427"/>
      <c r="AE924" s="1427"/>
      <c r="AF924" s="142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20" t="s">
        <v>591</v>
      </c>
      <c r="V925" s="1421"/>
      <c r="W925" s="1421"/>
      <c r="X925" s="1421"/>
      <c r="Y925" s="1421"/>
      <c r="Z925" s="1422"/>
      <c r="AA925" s="1426"/>
      <c r="AB925" s="1427"/>
      <c r="AC925" s="1427"/>
      <c r="AD925" s="1427"/>
      <c r="AE925" s="1427"/>
      <c r="AF925" s="1428"/>
      <c r="AZ925" s="34"/>
      <c r="BA925" s="34"/>
      <c r="BB925" s="34"/>
      <c r="BC925" s="34"/>
    </row>
    <row r="926" spans="1:58" ht="12.95" customHeight="1">
      <c r="F926" s="1615" t="s">
        <v>2191</v>
      </c>
      <c r="G926" s="1616"/>
      <c r="H926" s="1616"/>
      <c r="I926" s="1616"/>
      <c r="J926" s="1616"/>
      <c r="K926" s="1616"/>
      <c r="L926" s="1616"/>
      <c r="M926" s="1616"/>
      <c r="N926" s="1616"/>
      <c r="O926" s="1616"/>
      <c r="P926" s="1616"/>
      <c r="Q926" s="1616"/>
      <c r="R926" s="1616"/>
      <c r="S926" s="1616"/>
      <c r="T926" s="1617"/>
      <c r="U926" s="1420" t="s">
        <v>591</v>
      </c>
      <c r="V926" s="1421"/>
      <c r="W926" s="1421"/>
      <c r="X926" s="1421"/>
      <c r="Y926" s="1421"/>
      <c r="Z926" s="1422"/>
      <c r="AA926" s="1426"/>
      <c r="AB926" s="1427"/>
      <c r="AC926" s="1427"/>
      <c r="AD926" s="1427"/>
      <c r="AE926" s="1427"/>
      <c r="AF926" s="1428"/>
      <c r="AZ926" s="34"/>
      <c r="BA926" s="34"/>
      <c r="BB926" s="34"/>
      <c r="BC926" s="34"/>
    </row>
    <row r="927" spans="1:58" ht="12.95" customHeight="1">
      <c r="F927" s="1615" t="s">
        <v>679</v>
      </c>
      <c r="G927" s="1616"/>
      <c r="H927" s="1616"/>
      <c r="I927" s="1616"/>
      <c r="J927" s="1616"/>
      <c r="K927" s="1616"/>
      <c r="L927" s="1616"/>
      <c r="M927" s="1616"/>
      <c r="N927" s="1616"/>
      <c r="O927" s="1616"/>
      <c r="P927" s="1616"/>
      <c r="Q927" s="1616"/>
      <c r="R927" s="1616"/>
      <c r="S927" s="1616"/>
      <c r="T927" s="1617"/>
      <c r="U927" s="1420" t="s">
        <v>591</v>
      </c>
      <c r="V927" s="1421"/>
      <c r="W927" s="1421"/>
      <c r="X927" s="1421"/>
      <c r="Y927" s="1421"/>
      <c r="Z927" s="1422"/>
      <c r="AA927" s="1426"/>
      <c r="AB927" s="1427"/>
      <c r="AC927" s="1427"/>
      <c r="AD927" s="1427"/>
      <c r="AE927" s="1427"/>
      <c r="AF927" s="1428"/>
      <c r="AU927" s="2"/>
      <c r="AZ927" s="34"/>
      <c r="BA927" s="34"/>
      <c r="BB927" s="34"/>
      <c r="BC927" s="34"/>
    </row>
    <row r="928" spans="1:58" ht="12.95" customHeight="1">
      <c r="F928" s="1615" t="s">
        <v>2192</v>
      </c>
      <c r="G928" s="1616"/>
      <c r="H928" s="1616"/>
      <c r="I928" s="1616"/>
      <c r="J928" s="1616"/>
      <c r="K928" s="1616"/>
      <c r="L928" s="1616"/>
      <c r="M928" s="1616"/>
      <c r="N928" s="1616"/>
      <c r="O928" s="1616"/>
      <c r="P928" s="1616"/>
      <c r="Q928" s="1616"/>
      <c r="R928" s="1616"/>
      <c r="S928" s="1616"/>
      <c r="T928" s="1617"/>
      <c r="U928" s="1420" t="s">
        <v>591</v>
      </c>
      <c r="V928" s="1421"/>
      <c r="W928" s="1421"/>
      <c r="X928" s="1421"/>
      <c r="Y928" s="1421"/>
      <c r="Z928" s="1422"/>
      <c r="AA928" s="1426"/>
      <c r="AB928" s="1427"/>
      <c r="AC928" s="1427"/>
      <c r="AD928" s="1427"/>
      <c r="AE928" s="1427"/>
      <c r="AF928" s="1428"/>
      <c r="AU928" s="2"/>
      <c r="AZ928" s="34"/>
      <c r="BA928" s="34"/>
      <c r="BB928" s="34"/>
      <c r="BC928" s="34"/>
    </row>
    <row r="929" spans="6:55" ht="12.95" customHeight="1">
      <c r="F929" s="1615" t="s">
        <v>2193</v>
      </c>
      <c r="G929" s="1616"/>
      <c r="H929" s="1616"/>
      <c r="I929" s="1616"/>
      <c r="J929" s="1616"/>
      <c r="K929" s="1616"/>
      <c r="L929" s="1616"/>
      <c r="M929" s="1616"/>
      <c r="N929" s="1616"/>
      <c r="O929" s="1616"/>
      <c r="P929" s="1616"/>
      <c r="Q929" s="1616"/>
      <c r="R929" s="1616"/>
      <c r="S929" s="1616"/>
      <c r="T929" s="1617"/>
      <c r="U929" s="1420" t="s">
        <v>591</v>
      </c>
      <c r="V929" s="1421"/>
      <c r="W929" s="1421"/>
      <c r="X929" s="1421"/>
      <c r="Y929" s="1421"/>
      <c r="Z929" s="1422"/>
      <c r="AA929" s="1426"/>
      <c r="AB929" s="1427"/>
      <c r="AC929" s="1427"/>
      <c r="AD929" s="1427"/>
      <c r="AE929" s="1427"/>
      <c r="AF929" s="1428"/>
      <c r="AU929" s="2"/>
      <c r="AZ929" s="34"/>
      <c r="BA929" s="34"/>
      <c r="BB929" s="34"/>
      <c r="BC929" s="34"/>
    </row>
    <row r="930" spans="6:55" ht="12.95" customHeight="1">
      <c r="F930" s="1615" t="s">
        <v>2194</v>
      </c>
      <c r="G930" s="1616"/>
      <c r="H930" s="1616"/>
      <c r="I930" s="1616"/>
      <c r="J930" s="1616"/>
      <c r="K930" s="1616"/>
      <c r="L930" s="1616"/>
      <c r="M930" s="1616"/>
      <c r="N930" s="1616"/>
      <c r="O930" s="1616"/>
      <c r="P930" s="1616"/>
      <c r="Q930" s="1616"/>
      <c r="R930" s="1616"/>
      <c r="S930" s="1616"/>
      <c r="T930" s="1617"/>
      <c r="U930" s="1420" t="s">
        <v>591</v>
      </c>
      <c r="V930" s="1421"/>
      <c r="W930" s="1421"/>
      <c r="X930" s="1421"/>
      <c r="Y930" s="1421"/>
      <c r="Z930" s="1422"/>
      <c r="AA930" s="1426"/>
      <c r="AB930" s="1427"/>
      <c r="AC930" s="1427"/>
      <c r="AD930" s="1427"/>
      <c r="AE930" s="1427"/>
      <c r="AF930" s="1428"/>
      <c r="AU930" s="2"/>
      <c r="AZ930" s="34"/>
      <c r="BA930" s="34"/>
      <c r="BB930" s="34"/>
      <c r="BC930" s="34"/>
    </row>
    <row r="931" spans="6:55" ht="12.95" customHeight="1">
      <c r="F931" s="1615" t="s">
        <v>2195</v>
      </c>
      <c r="G931" s="1616"/>
      <c r="H931" s="1616"/>
      <c r="I931" s="1616"/>
      <c r="J931" s="1616"/>
      <c r="K931" s="1616"/>
      <c r="L931" s="1616"/>
      <c r="M931" s="1616"/>
      <c r="N931" s="1616"/>
      <c r="O931" s="1616"/>
      <c r="P931" s="1616"/>
      <c r="Q931" s="1616"/>
      <c r="R931" s="1616"/>
      <c r="S931" s="1616"/>
      <c r="T931" s="1617"/>
      <c r="U931" s="1420" t="s">
        <v>591</v>
      </c>
      <c r="V931" s="1421"/>
      <c r="W931" s="1421"/>
      <c r="X931" s="1421"/>
      <c r="Y931" s="1421"/>
      <c r="Z931" s="1422"/>
      <c r="AA931" s="1426"/>
      <c r="AB931" s="1427"/>
      <c r="AC931" s="1427"/>
      <c r="AD931" s="1427"/>
      <c r="AE931" s="1427"/>
      <c r="AF931" s="1428"/>
      <c r="AU931" s="2"/>
      <c r="AZ931" s="34"/>
      <c r="BA931" s="34"/>
      <c r="BB931" s="34"/>
      <c r="BC931" s="34"/>
    </row>
    <row r="932" spans="6:55" ht="12.95" customHeight="1">
      <c r="F932" s="1615" t="s">
        <v>2196</v>
      </c>
      <c r="G932" s="1616"/>
      <c r="H932" s="1616"/>
      <c r="I932" s="1616"/>
      <c r="J932" s="1616"/>
      <c r="K932" s="1616"/>
      <c r="L932" s="1616"/>
      <c r="M932" s="1616"/>
      <c r="N932" s="1616"/>
      <c r="O932" s="1616"/>
      <c r="P932" s="1616"/>
      <c r="Q932" s="1616"/>
      <c r="R932" s="1616"/>
      <c r="S932" s="1616"/>
      <c r="T932" s="1617"/>
      <c r="U932" s="1420" t="s">
        <v>591</v>
      </c>
      <c r="V932" s="1421"/>
      <c r="W932" s="1421"/>
      <c r="X932" s="1421"/>
      <c r="Y932" s="1421"/>
      <c r="Z932" s="1422"/>
      <c r="AA932" s="1426"/>
      <c r="AB932" s="1427"/>
      <c r="AC932" s="1427"/>
      <c r="AD932" s="1427"/>
      <c r="AE932" s="1427"/>
      <c r="AF932" s="1428"/>
      <c r="AZ932" s="30"/>
      <c r="BA932" s="30"/>
    </row>
    <row r="933" spans="6:55" ht="12.95" customHeight="1">
      <c r="F933" s="178" t="s">
        <v>676</v>
      </c>
      <c r="G933" s="5"/>
      <c r="H933" s="5"/>
      <c r="I933" s="5"/>
      <c r="J933" s="5"/>
      <c r="K933" s="5"/>
      <c r="L933" s="5"/>
      <c r="M933" s="5"/>
      <c r="N933" s="5"/>
      <c r="O933" s="5"/>
      <c r="P933" s="5"/>
      <c r="Q933" s="5"/>
      <c r="R933" s="5"/>
      <c r="S933" s="5"/>
      <c r="T933" s="46"/>
      <c r="U933" s="1420" t="s">
        <v>591</v>
      </c>
      <c r="V933" s="1421"/>
      <c r="W933" s="1421"/>
      <c r="X933" s="1421"/>
      <c r="Y933" s="1421"/>
      <c r="Z933" s="1422"/>
      <c r="AA933" s="1426"/>
      <c r="AB933" s="1427"/>
      <c r="AC933" s="1427"/>
      <c r="AD933" s="1427"/>
      <c r="AE933" s="1427"/>
      <c r="AF933" s="1428"/>
    </row>
    <row r="934" spans="6:55" ht="12.95" customHeight="1">
      <c r="F934" s="121" t="s">
        <v>1276</v>
      </c>
      <c r="G934" s="5"/>
      <c r="H934" s="5"/>
      <c r="I934" s="5"/>
      <c r="J934" s="5"/>
      <c r="K934" s="5"/>
      <c r="L934" s="5"/>
      <c r="M934" s="5"/>
      <c r="N934" s="5"/>
      <c r="O934" s="5"/>
      <c r="P934" s="5"/>
      <c r="Q934" s="5"/>
      <c r="R934" s="5"/>
      <c r="S934" s="5"/>
      <c r="T934" s="46"/>
      <c r="U934" s="1420" t="s">
        <v>591</v>
      </c>
      <c r="V934" s="1421"/>
      <c r="W934" s="1421"/>
      <c r="X934" s="1421"/>
      <c r="Y934" s="1421"/>
      <c r="Z934" s="1422"/>
      <c r="AA934" s="1426"/>
      <c r="AB934" s="1427"/>
      <c r="AC934" s="1427"/>
      <c r="AD934" s="1427"/>
      <c r="AE934" s="1427"/>
      <c r="AF934" s="1428"/>
      <c r="AZ934" s="30"/>
      <c r="BA934" s="14"/>
    </row>
    <row r="935" spans="6:55" ht="12.95" customHeight="1">
      <c r="F935" s="66" t="s">
        <v>802</v>
      </c>
      <c r="G935" s="5"/>
      <c r="H935" s="5"/>
      <c r="I935" s="5"/>
      <c r="J935" s="5"/>
      <c r="K935" s="5"/>
      <c r="L935" s="5"/>
      <c r="M935" s="5"/>
      <c r="N935" s="5"/>
      <c r="O935" s="5"/>
      <c r="P935" s="5"/>
      <c r="Q935" s="5"/>
      <c r="R935" s="5"/>
      <c r="S935" s="5"/>
      <c r="T935" s="46"/>
      <c r="U935" s="1420" t="s">
        <v>591</v>
      </c>
      <c r="V935" s="1421"/>
      <c r="W935" s="1421"/>
      <c r="X935" s="1421"/>
      <c r="Y935" s="1421"/>
      <c r="Z935" s="1422"/>
      <c r="AA935" s="1426"/>
      <c r="AB935" s="1427"/>
      <c r="AC935" s="1427"/>
      <c r="AD935" s="1427"/>
      <c r="AE935" s="1427"/>
      <c r="AF935" s="1428"/>
      <c r="AZ935" s="30"/>
      <c r="BA935" s="14"/>
    </row>
    <row r="936" spans="6:55" ht="12.95" customHeight="1">
      <c r="F936" s="1653" t="s">
        <v>2200</v>
      </c>
      <c r="G936" s="1654"/>
      <c r="H936" s="1654"/>
      <c r="I936" s="1654"/>
      <c r="J936" s="1654"/>
      <c r="K936" s="1654"/>
      <c r="L936" s="1654"/>
      <c r="M936" s="1654"/>
      <c r="N936" s="1654"/>
      <c r="O936" s="1654"/>
      <c r="P936" s="1654"/>
      <c r="Q936" s="1654"/>
      <c r="R936" s="1654"/>
      <c r="S936" s="1654"/>
      <c r="T936" s="1655"/>
      <c r="U936" s="1420" t="s">
        <v>591</v>
      </c>
      <c r="V936" s="1421"/>
      <c r="W936" s="1421"/>
      <c r="X936" s="1421"/>
      <c r="Y936" s="1421"/>
      <c r="Z936" s="1422"/>
      <c r="AA936" s="1426"/>
      <c r="AB936" s="1427"/>
      <c r="AC936" s="1427"/>
      <c r="AD936" s="1427"/>
      <c r="AE936" s="1427"/>
      <c r="AF936" s="1428"/>
      <c r="AZ936" s="30"/>
      <c r="BA936" s="14"/>
    </row>
    <row r="937" spans="6:55" ht="12.95" customHeight="1">
      <c r="F937" s="1653" t="s">
        <v>2201</v>
      </c>
      <c r="G937" s="1654"/>
      <c r="H937" s="1654"/>
      <c r="I937" s="1654"/>
      <c r="J937" s="1654"/>
      <c r="K937" s="1654"/>
      <c r="L937" s="1654"/>
      <c r="M937" s="1654"/>
      <c r="N937" s="1654"/>
      <c r="O937" s="1654"/>
      <c r="P937" s="1654"/>
      <c r="Q937" s="1654"/>
      <c r="R937" s="1654"/>
      <c r="S937" s="1654"/>
      <c r="T937" s="1655"/>
      <c r="U937" s="1420" t="s">
        <v>591</v>
      </c>
      <c r="V937" s="1421"/>
      <c r="W937" s="1421"/>
      <c r="X937" s="1421"/>
      <c r="Y937" s="1421"/>
      <c r="Z937" s="1422"/>
      <c r="AA937" s="1426"/>
      <c r="AB937" s="1427"/>
      <c r="AC937" s="1427"/>
      <c r="AD937" s="1427"/>
      <c r="AE937" s="1427"/>
      <c r="AF937" s="1428"/>
      <c r="AZ937" s="30"/>
      <c r="BA937" s="30"/>
    </row>
    <row r="938" spans="6:55" ht="12.95" customHeight="1">
      <c r="F938" s="1615" t="s">
        <v>2197</v>
      </c>
      <c r="G938" s="1616"/>
      <c r="H938" s="1616"/>
      <c r="I938" s="1616"/>
      <c r="J938" s="1616"/>
      <c r="K938" s="1616"/>
      <c r="L938" s="1616"/>
      <c r="M938" s="1616"/>
      <c r="N938" s="1616"/>
      <c r="O938" s="1616"/>
      <c r="P938" s="1616"/>
      <c r="Q938" s="1616"/>
      <c r="R938" s="1616"/>
      <c r="S938" s="1616"/>
      <c r="T938" s="1617"/>
      <c r="U938" s="1420" t="s">
        <v>591</v>
      </c>
      <c r="V938" s="1421"/>
      <c r="W938" s="1421"/>
      <c r="X938" s="1421"/>
      <c r="Y938" s="1421"/>
      <c r="Z938" s="1422"/>
      <c r="AA938" s="1426"/>
      <c r="AB938" s="1427"/>
      <c r="AC938" s="1427"/>
      <c r="AD938" s="1427"/>
      <c r="AE938" s="1427"/>
      <c r="AF938" s="1428"/>
      <c r="AZ938" s="30"/>
      <c r="BA938" s="30"/>
    </row>
    <row r="939" spans="6:55" ht="12.95" customHeight="1">
      <c r="F939" s="1615" t="s">
        <v>2198</v>
      </c>
      <c r="G939" s="1616"/>
      <c r="H939" s="1616"/>
      <c r="I939" s="1616"/>
      <c r="J939" s="1616"/>
      <c r="K939" s="1616"/>
      <c r="L939" s="1616"/>
      <c r="M939" s="1616"/>
      <c r="N939" s="1616"/>
      <c r="O939" s="1616"/>
      <c r="P939" s="1616"/>
      <c r="Q939" s="1616"/>
      <c r="R939" s="1616"/>
      <c r="S939" s="1616"/>
      <c r="T939" s="1617"/>
      <c r="U939" s="1420" t="s">
        <v>591</v>
      </c>
      <c r="V939" s="1421"/>
      <c r="W939" s="1421"/>
      <c r="X939" s="1421"/>
      <c r="Y939" s="1421"/>
      <c r="Z939" s="1422"/>
      <c r="AA939" s="1426"/>
      <c r="AB939" s="1427"/>
      <c r="AC939" s="1427"/>
      <c r="AD939" s="1427"/>
      <c r="AE939" s="1427"/>
      <c r="AF939" s="1428"/>
      <c r="AZ939" s="30"/>
      <c r="BA939" s="30"/>
    </row>
    <row r="940" spans="6:55" ht="12.95" customHeight="1">
      <c r="F940" s="1615" t="s">
        <v>2199</v>
      </c>
      <c r="G940" s="1616"/>
      <c r="H940" s="1616"/>
      <c r="I940" s="1616"/>
      <c r="J940" s="1616"/>
      <c r="K940" s="1616"/>
      <c r="L940" s="1616"/>
      <c r="M940" s="1616"/>
      <c r="N940" s="1616"/>
      <c r="O940" s="1616"/>
      <c r="P940" s="1616"/>
      <c r="Q940" s="1616"/>
      <c r="R940" s="1616"/>
      <c r="S940" s="1616"/>
      <c r="T940" s="1617"/>
      <c r="U940" s="1420" t="s">
        <v>591</v>
      </c>
      <c r="V940" s="1421"/>
      <c r="W940" s="1421"/>
      <c r="X940" s="1421"/>
      <c r="Y940" s="1421"/>
      <c r="Z940" s="1422"/>
      <c r="AA940" s="1426"/>
      <c r="AB940" s="1427"/>
      <c r="AC940" s="1427"/>
      <c r="AD940" s="1427"/>
      <c r="AE940" s="1427"/>
      <c r="AF940" s="142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20" t="s">
        <v>591</v>
      </c>
      <c r="V941" s="1421"/>
      <c r="W941" s="1421"/>
      <c r="X941" s="1421"/>
      <c r="Y941" s="1421"/>
      <c r="Z941" s="1422"/>
      <c r="AA941" s="1426"/>
      <c r="AB941" s="1427"/>
      <c r="AC941" s="1427"/>
      <c r="AD941" s="1427"/>
      <c r="AE941" s="1427"/>
      <c r="AF941" s="1428"/>
      <c r="AZ941" s="34"/>
      <c r="BA941" s="34"/>
      <c r="BB941" s="14"/>
      <c r="BC941" s="14"/>
    </row>
    <row r="942" spans="6:55" ht="12.95" customHeight="1">
      <c r="F942" s="1653" t="s">
        <v>2202</v>
      </c>
      <c r="G942" s="1654"/>
      <c r="H942" s="1654"/>
      <c r="I942" s="1654"/>
      <c r="J942" s="1654"/>
      <c r="K942" s="1654"/>
      <c r="L942" s="1654"/>
      <c r="M942" s="1654"/>
      <c r="N942" s="1654"/>
      <c r="O942" s="1654"/>
      <c r="P942" s="1654"/>
      <c r="Q942" s="1654"/>
      <c r="R942" s="1654"/>
      <c r="S942" s="1654"/>
      <c r="T942" s="1655"/>
      <c r="U942" s="1420" t="s">
        <v>591</v>
      </c>
      <c r="V942" s="1421"/>
      <c r="W942" s="1421"/>
      <c r="X942" s="1421"/>
      <c r="Y942" s="1421"/>
      <c r="Z942" s="1422"/>
      <c r="AA942" s="1426"/>
      <c r="AB942" s="1427"/>
      <c r="AC942" s="1427"/>
      <c r="AD942" s="1427"/>
      <c r="AE942" s="1427"/>
      <c r="AF942" s="142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20" t="s">
        <v>591</v>
      </c>
      <c r="V943" s="1421"/>
      <c r="W943" s="1421"/>
      <c r="X943" s="1421"/>
      <c r="Y943" s="1421"/>
      <c r="Z943" s="1422"/>
      <c r="AA943" s="1426"/>
      <c r="AB943" s="1427"/>
      <c r="AC943" s="1427"/>
      <c r="AD943" s="1427"/>
      <c r="AE943" s="1427"/>
      <c r="AF943" s="1428"/>
      <c r="AZ943" s="34"/>
      <c r="BA943" s="34"/>
      <c r="BB943" s="34"/>
      <c r="BC943" s="34"/>
    </row>
    <row r="944" spans="6:55" ht="12.95" customHeight="1">
      <c r="F944" s="1653" t="s">
        <v>2203</v>
      </c>
      <c r="G944" s="1654"/>
      <c r="H944" s="1654"/>
      <c r="I944" s="1654"/>
      <c r="J944" s="1654"/>
      <c r="K944" s="1654"/>
      <c r="L944" s="1654"/>
      <c r="M944" s="1654"/>
      <c r="N944" s="1654"/>
      <c r="O944" s="1654"/>
      <c r="P944" s="1654"/>
      <c r="Q944" s="1654"/>
      <c r="R944" s="1654"/>
      <c r="S944" s="1654"/>
      <c r="T944" s="1655"/>
      <c r="U944" s="1420" t="s">
        <v>591</v>
      </c>
      <c r="V944" s="1421"/>
      <c r="W944" s="1421"/>
      <c r="X944" s="1421"/>
      <c r="Y944" s="1421"/>
      <c r="Z944" s="1422"/>
      <c r="AA944" s="1426"/>
      <c r="AB944" s="1427"/>
      <c r="AC944" s="1427"/>
      <c r="AD944" s="1427"/>
      <c r="AE944" s="1427"/>
      <c r="AF944" s="1428"/>
      <c r="AZ944" s="34"/>
      <c r="BA944" s="34"/>
      <c r="BB944" s="34"/>
      <c r="BC944" s="34"/>
    </row>
    <row r="945" spans="1:55" ht="12.95" customHeight="1">
      <c r="F945" s="45" t="s">
        <v>806</v>
      </c>
      <c r="G945" s="5"/>
      <c r="H945" s="5"/>
      <c r="I945" s="5"/>
      <c r="J945" s="5"/>
      <c r="K945" s="5"/>
      <c r="L945" s="5"/>
      <c r="M945" s="5"/>
      <c r="N945" s="5"/>
      <c r="O945" s="5"/>
      <c r="P945" s="1420" t="s">
        <v>669</v>
      </c>
      <c r="Q945" s="1421"/>
      <c r="R945" s="1421"/>
      <c r="S945" s="1421"/>
      <c r="T945" s="1422"/>
      <c r="U945" s="1420" t="s">
        <v>591</v>
      </c>
      <c r="V945" s="1421"/>
      <c r="W945" s="1421"/>
      <c r="X945" s="1421"/>
      <c r="Y945" s="1421"/>
      <c r="Z945" s="1422"/>
      <c r="AA945" s="1426"/>
      <c r="AB945" s="1427"/>
      <c r="AC945" s="1427"/>
      <c r="AD945" s="1427"/>
      <c r="AE945" s="1427"/>
      <c r="AF945" s="1428"/>
      <c r="AZ945" s="34"/>
      <c r="BA945" s="34"/>
      <c r="BB945" s="34"/>
      <c r="BC945" s="34"/>
    </row>
    <row r="946" spans="1:55" ht="12.95" customHeight="1">
      <c r="F946" s="1615" t="s">
        <v>2190</v>
      </c>
      <c r="G946" s="1616"/>
      <c r="H946" s="1617"/>
      <c r="I946" s="1607" t="s">
        <v>334</v>
      </c>
      <c r="J946" s="1608"/>
      <c r="K946" s="1608"/>
      <c r="L946" s="1608"/>
      <c r="M946" s="1608"/>
      <c r="N946" s="1608"/>
      <c r="O946" s="1608"/>
      <c r="P946" s="1608"/>
      <c r="Q946" s="1608"/>
      <c r="R946" s="1608"/>
      <c r="S946" s="1608"/>
      <c r="T946" s="1609"/>
      <c r="U946" s="1420" t="s">
        <v>591</v>
      </c>
      <c r="V946" s="1421"/>
      <c r="W946" s="1421"/>
      <c r="X946" s="1421"/>
      <c r="Y946" s="1421"/>
      <c r="Z946" s="1422"/>
      <c r="AA946" s="1426"/>
      <c r="AB946" s="1427"/>
      <c r="AC946" s="1427"/>
      <c r="AD946" s="1427"/>
      <c r="AE946" s="1427"/>
      <c r="AF946" s="1428"/>
      <c r="AZ946" s="34"/>
      <c r="BA946" s="34"/>
      <c r="BB946" s="34"/>
      <c r="BC946" s="34"/>
    </row>
    <row r="947" spans="1:55" ht="12.95" customHeight="1">
      <c r="F947" s="45" t="s">
        <v>86</v>
      </c>
      <c r="G947" s="48"/>
      <c r="H947" s="48"/>
      <c r="I947" s="1607" t="s">
        <v>334</v>
      </c>
      <c r="J947" s="1608"/>
      <c r="K947" s="1608"/>
      <c r="L947" s="1608"/>
      <c r="M947" s="1608"/>
      <c r="N947" s="1608"/>
      <c r="O947" s="1608"/>
      <c r="P947" s="1608"/>
      <c r="Q947" s="1608"/>
      <c r="R947" s="1608"/>
      <c r="S947" s="1608"/>
      <c r="T947" s="1609"/>
      <c r="U947" s="1420" t="s">
        <v>591</v>
      </c>
      <c r="V947" s="1421"/>
      <c r="W947" s="1421"/>
      <c r="X947" s="1421"/>
      <c r="Y947" s="1421"/>
      <c r="Z947" s="1422"/>
      <c r="AA947" s="1426"/>
      <c r="AB947" s="1427"/>
      <c r="AC947" s="1427"/>
      <c r="AD947" s="1427"/>
      <c r="AE947" s="1427"/>
      <c r="AF947" s="1428"/>
      <c r="AZ947" s="34"/>
      <c r="BA947" s="34"/>
      <c r="BB947" s="34"/>
      <c r="BC947" s="34"/>
    </row>
    <row r="948" spans="1:55" ht="12.95" customHeight="1">
      <c r="F948" s="45" t="s">
        <v>10</v>
      </c>
      <c r="G948" s="48"/>
      <c r="H948" s="48"/>
      <c r="I948" s="1607" t="s">
        <v>2726</v>
      </c>
      <c r="J948" s="1551"/>
      <c r="K948" s="1551"/>
      <c r="L948" s="1551"/>
      <c r="M948" s="1551"/>
      <c r="N948" s="1551"/>
      <c r="O948" s="1551"/>
      <c r="P948" s="1551"/>
      <c r="Q948" s="1551"/>
      <c r="R948" s="1551"/>
      <c r="S948" s="1551"/>
      <c r="T948" s="1552"/>
      <c r="U948" s="1420" t="s">
        <v>545</v>
      </c>
      <c r="V948" s="1421"/>
      <c r="W948" s="1421"/>
      <c r="X948" s="1421"/>
      <c r="Y948" s="1421"/>
      <c r="Z948" s="1422"/>
      <c r="AA948" s="1426">
        <v>7099708</v>
      </c>
      <c r="AB948" s="1427"/>
      <c r="AC948" s="1427"/>
      <c r="AD948" s="1427"/>
      <c r="AE948" s="1427"/>
      <c r="AF948" s="1428"/>
      <c r="AV948" s="2"/>
      <c r="AW948" s="2"/>
      <c r="AX948" s="2"/>
      <c r="AY948" s="2"/>
      <c r="AZ948" s="34"/>
      <c r="BA948" s="34"/>
      <c r="BB948" s="34"/>
      <c r="BC948" s="34"/>
    </row>
    <row r="949" spans="1:55" ht="12.95" customHeight="1">
      <c r="F949" s="47" t="s">
        <v>170</v>
      </c>
      <c r="G949" s="48"/>
      <c r="H949" s="48"/>
      <c r="I949" s="1607" t="s">
        <v>2734</v>
      </c>
      <c r="J949" s="1551"/>
      <c r="K949" s="1551"/>
      <c r="L949" s="1551"/>
      <c r="M949" s="1551"/>
      <c r="N949" s="1551"/>
      <c r="O949" s="1551"/>
      <c r="P949" s="1551"/>
      <c r="Q949" s="1551"/>
      <c r="R949" s="1551"/>
      <c r="S949" s="1551"/>
      <c r="T949" s="1552"/>
      <c r="U949" s="1420" t="s">
        <v>545</v>
      </c>
      <c r="V949" s="1421"/>
      <c r="W949" s="1421"/>
      <c r="X949" s="1421"/>
      <c r="Y949" s="1421"/>
      <c r="Z949" s="1422"/>
      <c r="AA949" s="1426">
        <v>141214</v>
      </c>
      <c r="AB949" s="1427"/>
      <c r="AC949" s="1427"/>
      <c r="AD949" s="1427"/>
      <c r="AE949" s="1427"/>
      <c r="AF949" s="1428"/>
      <c r="AU949" s="2"/>
      <c r="AZ949" s="34"/>
      <c r="BA949" s="34"/>
      <c r="BB949" s="34"/>
      <c r="BC949" s="34"/>
    </row>
    <row r="950" spans="1:55" ht="12.95" customHeight="1">
      <c r="F950" s="47" t="s">
        <v>170</v>
      </c>
      <c r="G950" s="48"/>
      <c r="H950" s="48"/>
      <c r="I950" s="1550" t="s">
        <v>334</v>
      </c>
      <c r="J950" s="1551"/>
      <c r="K950" s="1551"/>
      <c r="L950" s="1551"/>
      <c r="M950" s="1551"/>
      <c r="N950" s="1551"/>
      <c r="O950" s="1551"/>
      <c r="P950" s="1551"/>
      <c r="Q950" s="1551"/>
      <c r="R950" s="1551"/>
      <c r="S950" s="1551"/>
      <c r="T950" s="1552"/>
      <c r="U950" s="1420" t="s">
        <v>591</v>
      </c>
      <c r="V950" s="1421"/>
      <c r="W950" s="1421"/>
      <c r="X950" s="1421"/>
      <c r="Y950" s="1421"/>
      <c r="Z950" s="1422"/>
      <c r="AA950" s="1426"/>
      <c r="AB950" s="1427"/>
      <c r="AC950" s="1427"/>
      <c r="AD950" s="1427"/>
      <c r="AE950" s="1427"/>
      <c r="AF950" s="142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47"/>
      <c r="N955" s="1548"/>
      <c r="O955" s="1548"/>
      <c r="P955" s="1548"/>
      <c r="Q955" s="1548"/>
      <c r="R955" s="1548"/>
      <c r="S955" s="1549"/>
      <c r="U955" s="66" t="s">
        <v>11</v>
      </c>
      <c r="V955" s="5"/>
      <c r="W955" s="5"/>
      <c r="X955" s="5"/>
      <c r="Y955" s="5"/>
      <c r="Z955" s="5"/>
      <c r="AA955" s="5"/>
      <c r="AB955" s="5"/>
      <c r="AC955" s="5"/>
      <c r="AD955" s="46"/>
      <c r="AE955" s="1547"/>
      <c r="AF955" s="1548"/>
      <c r="AG955" s="1548"/>
      <c r="AH955" s="1548"/>
      <c r="AI955" s="1548"/>
      <c r="AJ955" s="1548"/>
      <c r="AK955" s="1549"/>
      <c r="AZ955" s="34"/>
      <c r="BA955" s="34"/>
      <c r="BB955" s="34"/>
      <c r="BC955" s="34"/>
    </row>
    <row r="956" spans="1:55" ht="12.95" customHeight="1">
      <c r="C956" s="66" t="s">
        <v>12</v>
      </c>
      <c r="D956" s="5"/>
      <c r="E956" s="5"/>
      <c r="F956" s="5"/>
      <c r="G956" s="5"/>
      <c r="H956" s="5"/>
      <c r="I956" s="5"/>
      <c r="J956" s="5"/>
      <c r="K956" s="5"/>
      <c r="L956" s="46"/>
      <c r="M956" s="1559"/>
      <c r="N956" s="1560"/>
      <c r="O956" s="1560"/>
      <c r="P956" s="1560"/>
      <c r="Q956" s="1560"/>
      <c r="R956" s="1560"/>
      <c r="S956" s="1561"/>
      <c r="U956" s="66" t="s">
        <v>12</v>
      </c>
      <c r="V956" s="5"/>
      <c r="W956" s="5"/>
      <c r="X956" s="5"/>
      <c r="Y956" s="5"/>
      <c r="Z956" s="5"/>
      <c r="AA956" s="5"/>
      <c r="AB956" s="5"/>
      <c r="AC956" s="5"/>
      <c r="AD956" s="46"/>
      <c r="AE956" s="1559"/>
      <c r="AF956" s="1560"/>
      <c r="AG956" s="1560"/>
      <c r="AH956" s="1560"/>
      <c r="AI956" s="1560"/>
      <c r="AJ956" s="1560"/>
      <c r="AK956" s="1561"/>
      <c r="AZ956" s="34"/>
      <c r="BA956" s="34"/>
      <c r="BB956" s="34"/>
      <c r="BC956" s="34"/>
    </row>
    <row r="957" spans="1:55" ht="12.95" customHeight="1">
      <c r="C957" s="66" t="s">
        <v>880</v>
      </c>
      <c r="D957" s="5"/>
      <c r="E957" s="5"/>
      <c r="J957" s="1567" t="s">
        <v>307</v>
      </c>
      <c r="K957" s="1568"/>
      <c r="L957" s="1568"/>
      <c r="M957" s="1568"/>
      <c r="N957" s="1568"/>
      <c r="O957" s="1568"/>
      <c r="P957" s="1568"/>
      <c r="Q957" s="1568"/>
      <c r="R957" s="1568"/>
      <c r="S957" s="1569"/>
      <c r="U957" s="66" t="s">
        <v>880</v>
      </c>
      <c r="V957" s="5"/>
      <c r="W957" s="5"/>
      <c r="AB957" s="1567" t="s">
        <v>307</v>
      </c>
      <c r="AC957" s="1568"/>
      <c r="AD957" s="1568"/>
      <c r="AE957" s="1568"/>
      <c r="AF957" s="1568"/>
      <c r="AG957" s="1568"/>
      <c r="AH957" s="1568"/>
      <c r="AI957" s="1568"/>
      <c r="AJ957" s="1568"/>
      <c r="AK957" s="1569"/>
      <c r="AZ957" s="34"/>
      <c r="BA957" s="34"/>
      <c r="BB957" s="34"/>
      <c r="BC957" s="34"/>
    </row>
    <row r="958" spans="1:55" ht="12.95" customHeight="1">
      <c r="C958" s="66" t="s">
        <v>13</v>
      </c>
      <c r="D958" s="5"/>
      <c r="E958" s="5"/>
      <c r="F958" s="5"/>
      <c r="G958" s="5"/>
      <c r="H958" s="5"/>
      <c r="I958" s="5"/>
      <c r="J958" s="5"/>
      <c r="K958" s="5"/>
      <c r="L958" s="46"/>
      <c r="M958" s="1652"/>
      <c r="N958" s="1611"/>
      <c r="O958" s="1611"/>
      <c r="P958" s="1611"/>
      <c r="Q958" s="1611"/>
      <c r="R958" s="1611"/>
      <c r="S958" s="1612"/>
      <c r="U958" s="66" t="s">
        <v>13</v>
      </c>
      <c r="V958" s="5"/>
      <c r="W958" s="5"/>
      <c r="X958" s="5"/>
      <c r="Y958" s="5"/>
      <c r="Z958" s="5"/>
      <c r="AA958" s="5"/>
      <c r="AB958" s="5"/>
      <c r="AC958" s="5"/>
      <c r="AD958" s="46"/>
      <c r="AE958" s="1610"/>
      <c r="AF958" s="1611"/>
      <c r="AG958" s="1611"/>
      <c r="AH958" s="1611"/>
      <c r="AI958" s="1611"/>
      <c r="AJ958" s="1611"/>
      <c r="AK958" s="1612"/>
      <c r="AZ958" s="34"/>
      <c r="BA958" s="34"/>
      <c r="BB958" s="34"/>
      <c r="BC958" s="34"/>
    </row>
    <row r="959" spans="1:55" ht="12.95" customHeight="1">
      <c r="C959" s="66" t="s">
        <v>14</v>
      </c>
      <c r="D959" s="5"/>
      <c r="E959" s="5"/>
      <c r="F959" s="5"/>
      <c r="G959" s="5"/>
      <c r="H959" s="5"/>
      <c r="I959" s="5"/>
      <c r="J959" s="5"/>
      <c r="K959" s="5"/>
      <c r="L959" s="46"/>
      <c r="M959" s="1574"/>
      <c r="N959" s="1575"/>
      <c r="O959" s="1575"/>
      <c r="P959" s="1575"/>
      <c r="Q959" s="1575"/>
      <c r="R959" s="1575"/>
      <c r="S959" s="1576"/>
      <c r="U959" s="66" t="s">
        <v>14</v>
      </c>
      <c r="V959" s="5"/>
      <c r="W959" s="5"/>
      <c r="X959" s="5"/>
      <c r="Y959" s="5"/>
      <c r="Z959" s="5"/>
      <c r="AA959" s="5"/>
      <c r="AB959" s="5"/>
      <c r="AC959" s="5"/>
      <c r="AD959" s="46"/>
      <c r="AE959" s="1574"/>
      <c r="AF959" s="1575"/>
      <c r="AG959" s="1575"/>
      <c r="AH959" s="1575"/>
      <c r="AI959" s="1575"/>
      <c r="AJ959" s="1575"/>
      <c r="AK959" s="1576"/>
      <c r="AV959" s="2"/>
      <c r="AW959" s="2"/>
      <c r="AX959" s="2"/>
      <c r="AY959" s="2"/>
      <c r="AZ959" s="34"/>
      <c r="BA959" s="34"/>
      <c r="BB959" s="34"/>
      <c r="BC959" s="34"/>
    </row>
    <row r="960" spans="1:55" ht="12.95" customHeight="1">
      <c r="C960" s="66" t="s">
        <v>15</v>
      </c>
      <c r="D960" s="5"/>
      <c r="E960" s="5"/>
      <c r="F960" s="5"/>
      <c r="G960" s="5"/>
      <c r="H960" s="5"/>
      <c r="I960" s="5"/>
      <c r="J960" s="5"/>
      <c r="K960" s="5"/>
      <c r="L960" s="46"/>
      <c r="M960" s="1426"/>
      <c r="N960" s="1427"/>
      <c r="O960" s="1427"/>
      <c r="P960" s="1427"/>
      <c r="Q960" s="1427"/>
      <c r="R960" s="1427"/>
      <c r="S960" s="1428"/>
      <c r="U960" s="66" t="s">
        <v>15</v>
      </c>
      <c r="V960" s="5"/>
      <c r="W960" s="5"/>
      <c r="X960" s="5"/>
      <c r="Y960" s="5"/>
      <c r="Z960" s="5"/>
      <c r="AA960" s="5"/>
      <c r="AB960" s="5"/>
      <c r="AC960" s="5"/>
      <c r="AD960" s="46"/>
      <c r="AE960" s="1426"/>
      <c r="AF960" s="1427"/>
      <c r="AG960" s="1427"/>
      <c r="AH960" s="1427"/>
      <c r="AI960" s="1427"/>
      <c r="AJ960" s="1427"/>
      <c r="AK960" s="1428"/>
      <c r="AV960" s="2"/>
      <c r="AW960" s="2"/>
      <c r="AX960" s="2"/>
      <c r="AY960" s="2"/>
      <c r="AZ960" s="34"/>
      <c r="BA960" s="34"/>
      <c r="BB960" s="34"/>
      <c r="BC960" s="34"/>
    </row>
    <row r="961" spans="1:64" ht="12.95" customHeight="1">
      <c r="C961" s="66" t="s">
        <v>16</v>
      </c>
      <c r="D961" s="5"/>
      <c r="E961" s="5"/>
      <c r="F961" s="5"/>
      <c r="G961" s="5"/>
      <c r="H961" s="5"/>
      <c r="I961" s="5"/>
      <c r="J961" s="5"/>
      <c r="K961" s="5"/>
      <c r="L961" s="46"/>
      <c r="M961" s="1426"/>
      <c r="N961" s="1427"/>
      <c r="O961" s="1427"/>
      <c r="P961" s="1427"/>
      <c r="Q961" s="1427"/>
      <c r="R961" s="1427"/>
      <c r="S961" s="1428"/>
      <c r="U961" s="66" t="s">
        <v>16</v>
      </c>
      <c r="V961" s="5"/>
      <c r="W961" s="5"/>
      <c r="X961" s="5"/>
      <c r="Y961" s="5"/>
      <c r="Z961" s="5"/>
      <c r="AA961" s="5"/>
      <c r="AB961" s="5"/>
      <c r="AC961" s="5"/>
      <c r="AD961" s="46"/>
      <c r="AE961" s="1426"/>
      <c r="AF961" s="1427"/>
      <c r="AG961" s="1427"/>
      <c r="AH961" s="1427"/>
      <c r="AI961" s="1427"/>
      <c r="AJ961" s="1427"/>
      <c r="AK961" s="1428"/>
      <c r="AV961" s="2"/>
      <c r="AW961" s="2"/>
      <c r="AX961" s="2"/>
      <c r="AY961" s="2"/>
      <c r="AZ961" s="34"/>
      <c r="BB961" s="34"/>
      <c r="BC961" s="34"/>
    </row>
    <row r="962" spans="1:64" ht="12.95" customHeight="1">
      <c r="C962" s="121" t="s">
        <v>1660</v>
      </c>
      <c r="D962" s="5"/>
      <c r="E962" s="5"/>
      <c r="F962" s="5"/>
      <c r="G962" s="5"/>
      <c r="H962" s="5"/>
      <c r="I962" s="5"/>
      <c r="J962" s="5"/>
      <c r="K962" s="5"/>
      <c r="L962" s="46"/>
      <c r="M962" s="1423"/>
      <c r="N962" s="1424"/>
      <c r="O962" s="1424"/>
      <c r="P962" s="1424"/>
      <c r="Q962" s="1424"/>
      <c r="R962" s="1424"/>
      <c r="S962" s="1425"/>
      <c r="U962" s="121" t="s">
        <v>1660</v>
      </c>
      <c r="V962" s="5"/>
      <c r="W962" s="5"/>
      <c r="X962" s="5"/>
      <c r="Y962" s="5"/>
      <c r="Z962" s="5"/>
      <c r="AA962" s="5"/>
      <c r="AB962" s="5"/>
      <c r="AC962" s="5"/>
      <c r="AD962" s="46"/>
      <c r="AE962" s="1423"/>
      <c r="AF962" s="1424"/>
      <c r="AG962" s="1424"/>
      <c r="AH962" s="1424"/>
      <c r="AI962" s="1424"/>
      <c r="AJ962" s="1424"/>
      <c r="AK962" s="142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44"/>
      <c r="N967" s="1545"/>
      <c r="O967" s="1545"/>
      <c r="P967" s="1545"/>
      <c r="Q967" s="1545"/>
      <c r="R967" s="1545"/>
      <c r="S967" s="1546"/>
      <c r="T967" s="66" t="s">
        <v>790</v>
      </c>
      <c r="U967" s="5"/>
      <c r="V967" s="5"/>
      <c r="W967" s="5"/>
      <c r="X967" s="5"/>
      <c r="Y967" s="5"/>
      <c r="Z967" s="46"/>
      <c r="AA967" s="1544"/>
      <c r="AB967" s="1545"/>
      <c r="AC967" s="1545"/>
      <c r="AD967" s="1545"/>
      <c r="AE967" s="1545"/>
      <c r="AF967" s="1545"/>
      <c r="AG967" s="154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44"/>
      <c r="N968" s="1545"/>
      <c r="O968" s="1545"/>
      <c r="P968" s="1545"/>
      <c r="Q968" s="1545"/>
      <c r="R968" s="1545"/>
      <c r="S968" s="1546"/>
      <c r="T968" s="66" t="s">
        <v>789</v>
      </c>
      <c r="U968" s="5"/>
      <c r="V968" s="5"/>
      <c r="W968" s="5"/>
      <c r="X968" s="5"/>
      <c r="Y968" s="5"/>
      <c r="Z968" s="46"/>
      <c r="AA968" s="1544"/>
      <c r="AB968" s="1545"/>
      <c r="AC968" s="1545"/>
      <c r="AD968" s="1545"/>
      <c r="AE968" s="1545"/>
      <c r="AF968" s="1545"/>
      <c r="AG968" s="15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57" t="s">
        <v>591</v>
      </c>
      <c r="N969" s="1658"/>
      <c r="O969" s="1658"/>
      <c r="P969" s="1658"/>
      <c r="Q969" s="1658"/>
      <c r="R969" s="1658"/>
      <c r="S969" s="1659"/>
      <c r="T969" s="45" t="s">
        <v>337</v>
      </c>
      <c r="U969" s="5"/>
      <c r="V969" s="5"/>
      <c r="W969" s="5"/>
      <c r="X969" s="5"/>
      <c r="Y969" s="5"/>
      <c r="Z969" s="46"/>
      <c r="AA969" s="1544"/>
      <c r="AB969" s="1545"/>
      <c r="AC969" s="1545"/>
      <c r="AD969" s="1545"/>
      <c r="AE969" s="1545"/>
      <c r="AF969" s="1545"/>
      <c r="AG969" s="15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44"/>
      <c r="N970" s="1545"/>
      <c r="O970" s="1545"/>
      <c r="P970" s="1545"/>
      <c r="Q970" s="1545"/>
      <c r="R970" s="1545"/>
      <c r="S970" s="1546"/>
      <c r="T970" s="45" t="s">
        <v>338</v>
      </c>
      <c r="U970" s="5"/>
      <c r="V970" s="5"/>
      <c r="W970" s="5"/>
      <c r="X970" s="5"/>
      <c r="Y970" s="5"/>
      <c r="Z970" s="46"/>
      <c r="AA970" s="1544"/>
      <c r="AB970" s="1545"/>
      <c r="AC970" s="1545"/>
      <c r="AD970" s="1545"/>
      <c r="AE970" s="1545"/>
      <c r="AF970" s="1545"/>
      <c r="AG970" s="15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44"/>
      <c r="N971" s="1545"/>
      <c r="O971" s="1545"/>
      <c r="P971" s="1545"/>
      <c r="Q971" s="1545"/>
      <c r="R971" s="1545"/>
      <c r="S971" s="1546"/>
      <c r="T971" s="45" t="s">
        <v>376</v>
      </c>
      <c r="U971" s="5"/>
      <c r="V971" s="5"/>
      <c r="W971" s="5"/>
      <c r="X971" s="5"/>
      <c r="Y971" s="5"/>
      <c r="Z971" s="46"/>
      <c r="AA971" s="1544"/>
      <c r="AB971" s="1545"/>
      <c r="AC971" s="1545"/>
      <c r="AD971" s="1545"/>
      <c r="AE971" s="1545"/>
      <c r="AF971" s="1545"/>
      <c r="AG971" s="154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67" t="s">
        <v>307</v>
      </c>
      <c r="N972" s="1568"/>
      <c r="O972" s="1568"/>
      <c r="P972" s="1568"/>
      <c r="Q972" s="1568"/>
      <c r="R972" s="1568"/>
      <c r="S972" s="1569"/>
      <c r="T972" s="1571"/>
      <c r="U972" s="1572"/>
      <c r="V972" s="1572"/>
      <c r="W972" s="1572"/>
      <c r="X972" s="1572"/>
      <c r="Y972" s="1572"/>
      <c r="Z972" s="1573"/>
      <c r="AA972" s="1544"/>
      <c r="AB972" s="1545"/>
      <c r="AC972" s="1545"/>
      <c r="AD972" s="1545"/>
      <c r="AE972" s="1545"/>
      <c r="AF972" s="1545"/>
      <c r="AG972" s="15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44"/>
      <c r="N973" s="1545"/>
      <c r="O973" s="1545"/>
      <c r="P973" s="1545"/>
      <c r="Q973" s="1545"/>
      <c r="R973" s="1545"/>
      <c r="S973" s="1546"/>
      <c r="T973" s="1571"/>
      <c r="U973" s="1572"/>
      <c r="V973" s="1572"/>
      <c r="W973" s="1572"/>
      <c r="X973" s="1572"/>
      <c r="Y973" s="1572"/>
      <c r="Z973" s="1573"/>
      <c r="AA973" s="1544"/>
      <c r="AB973" s="1545"/>
      <c r="AC973" s="1545"/>
      <c r="AD973" s="1545"/>
      <c r="AE973" s="1545"/>
      <c r="AF973" s="1545"/>
      <c r="AG973" s="154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91" t="s">
        <v>669</v>
      </c>
      <c r="P974" s="1592"/>
      <c r="Q974" s="92"/>
      <c r="R974" s="92"/>
      <c r="S974" s="93"/>
      <c r="T974" s="41" t="s">
        <v>170</v>
      </c>
      <c r="U974" s="42"/>
      <c r="V974" s="42"/>
      <c r="W974" s="1577" t="s">
        <v>334</v>
      </c>
      <c r="X974" s="1578"/>
      <c r="Y974" s="1578"/>
      <c r="Z974" s="1578"/>
      <c r="AA974" s="1578"/>
      <c r="AB974" s="1578"/>
      <c r="AC974" s="1578"/>
      <c r="AD974" s="1578"/>
      <c r="AE974" s="1578"/>
      <c r="AF974" s="1578"/>
      <c r="AG974" s="1579"/>
      <c r="AU974" s="68"/>
      <c r="AV974" s="95"/>
      <c r="AW974" s="95"/>
      <c r="AX974" s="95"/>
      <c r="AY974" s="95"/>
      <c r="AZ974" s="34"/>
      <c r="BB974" s="34"/>
      <c r="BC974" s="34"/>
      <c r="BD974" s="34"/>
      <c r="BE974" s="34"/>
      <c r="BF974" s="34"/>
      <c r="BG974" s="34"/>
      <c r="BH974" s="34"/>
      <c r="BI974" s="34"/>
      <c r="BJ974" s="34"/>
      <c r="BK974" s="34"/>
      <c r="BL974" s="34"/>
    </row>
    <row r="975" spans="1:64" ht="12.95" customHeight="1">
      <c r="F975" s="1562" t="s">
        <v>33</v>
      </c>
      <c r="G975" s="1377"/>
      <c r="H975" s="1377"/>
      <c r="I975" s="1377"/>
      <c r="J975" s="1377"/>
      <c r="K975" s="1377"/>
      <c r="L975" s="1377"/>
      <c r="M975" s="1544"/>
      <c r="N975" s="1545"/>
      <c r="O975" s="1545"/>
      <c r="P975" s="1545"/>
      <c r="Q975" s="1545"/>
      <c r="R975" s="1545"/>
      <c r="S975" s="1546"/>
      <c r="T975" s="47"/>
      <c r="U975" s="48"/>
      <c r="V975" s="48"/>
      <c r="W975" s="48"/>
      <c r="X975" s="48"/>
      <c r="Y975" s="48"/>
      <c r="Z975" s="124" t="s">
        <v>134</v>
      </c>
      <c r="AA975" s="1604"/>
      <c r="AB975" s="1605"/>
      <c r="AC975" s="1605"/>
      <c r="AD975" s="1605"/>
      <c r="AE975" s="1605"/>
      <c r="AF975" s="1605"/>
      <c r="AG975" s="160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2"/>
      <c r="BH976" s="1642"/>
      <c r="BI976" s="1642"/>
      <c r="BJ976" s="1642"/>
      <c r="BK976" s="1642"/>
      <c r="BL976" s="1642"/>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41" t="s">
        <v>548</v>
      </c>
      <c r="B979" s="1441"/>
      <c r="C979" s="1441"/>
      <c r="D979" s="1441"/>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1"/>
      <c r="AF979" s="1441"/>
      <c r="AG979" s="1441"/>
      <c r="AH979" s="1441"/>
      <c r="AI979" s="1441"/>
      <c r="AJ979" s="1441"/>
      <c r="AK979" s="1441"/>
      <c r="AL979" s="1441"/>
      <c r="AM979" s="1441"/>
      <c r="AN979" s="1441"/>
      <c r="AO979" s="1441"/>
      <c r="AP979" s="1441"/>
      <c r="AQ979" s="1441"/>
      <c r="AR979" s="1441"/>
      <c r="AS979" s="1441"/>
      <c r="AT979" s="1441"/>
      <c r="AU979" s="68"/>
      <c r="AV979" s="68"/>
      <c r="AW979" s="68"/>
      <c r="AX979" s="68"/>
      <c r="AY979" s="68"/>
      <c r="AZ979" s="14"/>
      <c r="BA979" s="14"/>
      <c r="BB979" s="912"/>
      <c r="BC979" s="912"/>
    </row>
    <row r="980" spans="1:64" ht="12.95" customHeight="1">
      <c r="A980" s="1441"/>
      <c r="B980" s="1441"/>
      <c r="C980" s="1441"/>
      <c r="D980" s="1441"/>
      <c r="E980" s="1441"/>
      <c r="F980" s="1441"/>
      <c r="G980" s="1441"/>
      <c r="H980" s="1441"/>
      <c r="I980" s="1441"/>
      <c r="J980" s="1441"/>
      <c r="K980" s="1441"/>
      <c r="L980" s="1441"/>
      <c r="M980" s="1441"/>
      <c r="N980" s="1441"/>
      <c r="O980" s="1441"/>
      <c r="P980" s="1441"/>
      <c r="Q980" s="1441"/>
      <c r="R980" s="1441"/>
      <c r="S980" s="1441"/>
      <c r="T980" s="1441"/>
      <c r="U980" s="1441"/>
      <c r="V980" s="1441"/>
      <c r="W980" s="1441"/>
      <c r="X980" s="1441"/>
      <c r="Y980" s="1441"/>
      <c r="Z980" s="1441"/>
      <c r="AA980" s="1441"/>
      <c r="AB980" s="1441"/>
      <c r="AC980" s="1441"/>
      <c r="AD980" s="1441"/>
      <c r="AE980" s="1441"/>
      <c r="AF980" s="1441"/>
      <c r="AG980" s="1441"/>
      <c r="AH980" s="1441"/>
      <c r="AI980" s="1441"/>
      <c r="AJ980" s="1441"/>
      <c r="AK980" s="1441"/>
      <c r="AL980" s="1441"/>
      <c r="AM980" s="1441"/>
      <c r="AN980" s="1441"/>
      <c r="AO980" s="1441"/>
      <c r="AP980" s="1441"/>
      <c r="AQ980" s="1441"/>
      <c r="AR980" s="1441"/>
      <c r="AS980" s="1441"/>
      <c r="AT980" s="1441"/>
      <c r="AU980" s="68"/>
      <c r="AV980" s="68"/>
      <c r="AW980" s="68"/>
      <c r="AX980" s="68"/>
      <c r="AY980" s="68"/>
      <c r="AZ980" s="30"/>
      <c r="BA980" s="14"/>
      <c r="BB980" s="14"/>
      <c r="BC980" s="14"/>
    </row>
    <row r="981" spans="1:64" ht="12.95" customHeight="1">
      <c r="A981" s="1441"/>
      <c r="B981" s="1441"/>
      <c r="C981" s="1441"/>
      <c r="D981" s="1441"/>
      <c r="E981" s="1441"/>
      <c r="F981" s="1441"/>
      <c r="G981" s="1441"/>
      <c r="H981" s="1441"/>
      <c r="I981" s="1441"/>
      <c r="J981" s="1441"/>
      <c r="K981" s="1441"/>
      <c r="L981" s="1441"/>
      <c r="M981" s="1441"/>
      <c r="N981" s="1441"/>
      <c r="O981" s="1441"/>
      <c r="P981" s="1441"/>
      <c r="Q981" s="1441"/>
      <c r="R981" s="1441"/>
      <c r="S981" s="1441"/>
      <c r="T981" s="1441"/>
      <c r="U981" s="1441"/>
      <c r="V981" s="1441"/>
      <c r="W981" s="1441"/>
      <c r="X981" s="1441"/>
      <c r="Y981" s="1441"/>
      <c r="Z981" s="1441"/>
      <c r="AA981" s="1441"/>
      <c r="AB981" s="1441"/>
      <c r="AC981" s="1441"/>
      <c r="AD981" s="1441"/>
      <c r="AE981" s="1441"/>
      <c r="AF981" s="1441"/>
      <c r="AG981" s="1441"/>
      <c r="AH981" s="1441"/>
      <c r="AI981" s="1441"/>
      <c r="AJ981" s="1441"/>
      <c r="AK981" s="1441"/>
      <c r="AL981" s="1441"/>
      <c r="AM981" s="1441"/>
      <c r="AN981" s="1441"/>
      <c r="AO981" s="1441"/>
      <c r="AP981" s="1441"/>
      <c r="AQ981" s="1441"/>
      <c r="AR981" s="1441"/>
      <c r="AS981" s="1441"/>
      <c r="AT981" s="144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63" t="s">
        <v>638</v>
      </c>
      <c r="E985" s="1564"/>
      <c r="F985" s="1564"/>
      <c r="G985" s="1564"/>
      <c r="H985" s="1564"/>
      <c r="I985" s="1564"/>
      <c r="J985" s="1564"/>
      <c r="K985" s="1564"/>
      <c r="L985" s="1564"/>
      <c r="M985" s="1564"/>
      <c r="N985" s="1564"/>
      <c r="O985" s="1564"/>
      <c r="P985" s="1564"/>
      <c r="Q985" s="1565"/>
      <c r="R985" s="1563" t="s">
        <v>639</v>
      </c>
      <c r="S985" s="1564"/>
      <c r="T985" s="1564"/>
      <c r="U985" s="1564"/>
      <c r="V985" s="1564"/>
      <c r="W985" s="1564"/>
      <c r="X985" s="1564"/>
      <c r="Y985" s="1564"/>
      <c r="Z985" s="1564"/>
      <c r="AA985" s="1565"/>
      <c r="AB985" s="1563" t="s">
        <v>640</v>
      </c>
      <c r="AC985" s="1564"/>
      <c r="AD985" s="1564"/>
      <c r="AE985" s="1564"/>
      <c r="AF985" s="1564"/>
      <c r="AG985" s="1564"/>
      <c r="AH985" s="1564"/>
      <c r="AI985" s="1565"/>
      <c r="AJ985" s="1563" t="s">
        <v>641</v>
      </c>
      <c r="AK985" s="1564"/>
      <c r="AL985" s="1564"/>
      <c r="AM985" s="1564"/>
      <c r="AN985" s="1564"/>
      <c r="AO985" s="1564"/>
      <c r="AP985" s="1564"/>
      <c r="AQ985" s="1565"/>
      <c r="AR985" s="68"/>
      <c r="AS985" s="68"/>
      <c r="AT985" s="68"/>
      <c r="AU985" s="68"/>
      <c r="AV985" s="68"/>
      <c r="AW985" s="68"/>
      <c r="AX985" s="68"/>
      <c r="AY985" s="68"/>
      <c r="AZ985" s="30"/>
      <c r="BB985" s="14"/>
      <c r="BC985" s="14"/>
    </row>
    <row r="986" spans="1:64" ht="12.95" customHeight="1">
      <c r="A986" s="14"/>
      <c r="B986" s="73"/>
      <c r="C986" s="929"/>
      <c r="D986" s="1405" t="s">
        <v>633</v>
      </c>
      <c r="E986" s="1406"/>
      <c r="F986" s="1406"/>
      <c r="G986" s="1406"/>
      <c r="H986" s="1406"/>
      <c r="I986" s="1406"/>
      <c r="J986" s="1406"/>
      <c r="K986" s="1406"/>
      <c r="L986" s="1406"/>
      <c r="M986" s="1406"/>
      <c r="N986" s="1406"/>
      <c r="O986" s="1406"/>
      <c r="P986" s="1406"/>
      <c r="Q986" s="1407"/>
      <c r="R986" s="1566">
        <f>IF(ISNA(IF($CU$122="4%",(INDEX($CS$160:$CW$217,MATCH($DG$122,$CR$160:$CR$217,0),MATCH(D986,$CS$159:$CW$159,0))),(INDEX($CZ$160:$DD$217,MATCH($DG$122,$CY$160:$CY$217,0),MATCH(D986,$CZ$159:$DD$159,0))))),0,IF($CU$122="4%",(INDEX($CS$160:$CW$217,MATCH($DG$122,$CR$160:$CR$217,0),MATCH(D986,$CS$159:$CW$159,0))),(INDEX($CZ$160:$DD$217,MATCH($DG$122,$CY$160:$CY$217,0),MATCH(D986,$CZ$159:$DD$159,0)))))</f>
        <v>473390</v>
      </c>
      <c r="S986" s="1566"/>
      <c r="T986" s="1566"/>
      <c r="U986" s="1566"/>
      <c r="V986" s="1566"/>
      <c r="W986" s="1566"/>
      <c r="X986" s="1566"/>
      <c r="Y986" s="1566"/>
      <c r="Z986" s="1566"/>
      <c r="AA986" s="1566"/>
      <c r="AB986" s="1408">
        <f>CP802</f>
        <v>0</v>
      </c>
      <c r="AC986" s="1409"/>
      <c r="AD986" s="1409"/>
      <c r="AE986" s="1409"/>
      <c r="AF986" s="1409"/>
      <c r="AG986" s="1409"/>
      <c r="AH986" s="1409"/>
      <c r="AI986" s="1410"/>
      <c r="AJ986" s="1502">
        <f>IF(ISERROR((R986*AB986)),0,(R986*AB986))</f>
        <v>0</v>
      </c>
      <c r="AK986" s="1503"/>
      <c r="AL986" s="1503"/>
      <c r="AM986" s="1503"/>
      <c r="AN986" s="1503"/>
      <c r="AO986" s="1503"/>
      <c r="AP986" s="1503"/>
      <c r="AQ986" s="1504"/>
      <c r="AR986" s="68"/>
      <c r="AS986" s="68"/>
      <c r="AT986" s="68"/>
      <c r="AU986" s="68"/>
      <c r="AV986" s="68"/>
      <c r="AW986" s="68"/>
      <c r="AX986" s="68"/>
      <c r="AY986" s="68"/>
      <c r="AZ986" s="30"/>
      <c r="BB986" s="14"/>
      <c r="BC986" s="14"/>
    </row>
    <row r="987" spans="1:64" ht="12.95" customHeight="1">
      <c r="A987" s="14"/>
      <c r="B987" s="73"/>
      <c r="C987" s="83"/>
      <c r="D987" s="1405" t="s">
        <v>325</v>
      </c>
      <c r="E987" s="1406"/>
      <c r="F987" s="1406"/>
      <c r="G987" s="1406"/>
      <c r="H987" s="1406"/>
      <c r="I987" s="1406"/>
      <c r="J987" s="1406"/>
      <c r="K987" s="1406"/>
      <c r="L987" s="1406"/>
      <c r="M987" s="1406"/>
      <c r="N987" s="1406"/>
      <c r="O987" s="1406"/>
      <c r="P987" s="1406"/>
      <c r="Q987" s="1407"/>
      <c r="R987" s="1566">
        <f>IF(ISNA(IF($CU$122="4%",(INDEX($CS$160:$CW$217,MATCH($DG$122,$CR$160:$CR$217,0),MATCH(D987,$CS$159:$CW$159,0))),(INDEX($CZ$160:$DD$217,MATCH($DG$122,$CY$160:$CY$217,0),MATCH(D987,$CZ$159:$DD$159,0))))),0,IF($CU$122="4%",(INDEX($CS$160:$CW$217,MATCH($DG$122,$CR$160:$CR$217,0),MATCH(D987,$CS$159:$CW$159,0))),(INDEX($CZ$160:$DD$217,MATCH($DG$122,$CY$160:$CY$217,0),MATCH(D987,$CZ$159:$DD$159,0)))))</f>
        <v>545814</v>
      </c>
      <c r="S987" s="1566"/>
      <c r="T987" s="1566"/>
      <c r="U987" s="1566"/>
      <c r="V987" s="1566"/>
      <c r="W987" s="1566"/>
      <c r="X987" s="1566"/>
      <c r="Y987" s="1566"/>
      <c r="Z987" s="1566"/>
      <c r="AA987" s="1566"/>
      <c r="AB987" s="1408">
        <f>CU802</f>
        <v>6</v>
      </c>
      <c r="AC987" s="1409"/>
      <c r="AD987" s="1409"/>
      <c r="AE987" s="1409"/>
      <c r="AF987" s="1409"/>
      <c r="AG987" s="1409"/>
      <c r="AH987" s="1409"/>
      <c r="AI987" s="1410"/>
      <c r="AJ987" s="1502">
        <f>IF(ISERROR((R987*AB987)),0,(R987*AB987))</f>
        <v>3274884</v>
      </c>
      <c r="AK987" s="1503"/>
      <c r="AL987" s="1503"/>
      <c r="AM987" s="1503"/>
      <c r="AN987" s="1503"/>
      <c r="AO987" s="1503"/>
      <c r="AP987" s="1503"/>
      <c r="AQ987" s="1504"/>
      <c r="AR987" s="68"/>
      <c r="AS987" s="68"/>
      <c r="AT987" s="68"/>
      <c r="AU987" s="68"/>
      <c r="AV987" s="68"/>
      <c r="AW987" s="68"/>
      <c r="AX987" s="68"/>
      <c r="AY987" s="68"/>
      <c r="AZ987" s="30"/>
      <c r="BB987" s="14"/>
      <c r="BC987" s="14"/>
    </row>
    <row r="988" spans="1:64" ht="12.95" customHeight="1">
      <c r="A988" s="14"/>
      <c r="B988" s="73"/>
      <c r="C988" s="83"/>
      <c r="D988" s="1405" t="s">
        <v>163</v>
      </c>
      <c r="E988" s="1406"/>
      <c r="F988" s="1406"/>
      <c r="G988" s="1406"/>
      <c r="H988" s="1406"/>
      <c r="I988" s="1406"/>
      <c r="J988" s="1406"/>
      <c r="K988" s="1406"/>
      <c r="L988" s="1406"/>
      <c r="M988" s="1406"/>
      <c r="N988" s="1406"/>
      <c r="O988" s="1406"/>
      <c r="P988" s="1406"/>
      <c r="Q988" s="1407"/>
      <c r="R988" s="1566">
        <f>IF(ISNA(IF($CU$122="4%",(INDEX($CS$160:$CW$217,MATCH($DG$122,$CR$160:$CR$217,0),MATCH(D988,$CS$159:$CW$159,0))),(INDEX($CZ$160:$DD$217,MATCH($DG$122,$CY$160:$CY$217,0),MATCH(D988,$CZ$159:$DD$159,0))))),0,IF($CU$122="4%",(INDEX($CS$160:$CW$217,MATCH($DG$122,$CR$160:$CR$217,0),MATCH(D988,$CS$159:$CW$159,0))),(INDEX($CZ$160:$DD$217,MATCH($DG$122,$CY$160:$CY$217,0),MATCH(D988,$CZ$159:$DD$159,0)))))</f>
        <v>658400</v>
      </c>
      <c r="S988" s="1566"/>
      <c r="T988" s="1566"/>
      <c r="U988" s="1566"/>
      <c r="V988" s="1566"/>
      <c r="W988" s="1566"/>
      <c r="X988" s="1566"/>
      <c r="Y988" s="1566"/>
      <c r="Z988" s="1566"/>
      <c r="AA988" s="1566"/>
      <c r="AB988" s="1408">
        <f>CZ802</f>
        <v>28</v>
      </c>
      <c r="AC988" s="1409"/>
      <c r="AD988" s="1409"/>
      <c r="AE988" s="1409"/>
      <c r="AF988" s="1409"/>
      <c r="AG988" s="1409"/>
      <c r="AH988" s="1409"/>
      <c r="AI988" s="1410"/>
      <c r="AJ988" s="1502">
        <f>IF(ISERROR((R988*AB988)),0,(R988*AB988))</f>
        <v>18435200</v>
      </c>
      <c r="AK988" s="1503"/>
      <c r="AL988" s="1503"/>
      <c r="AM988" s="1503"/>
      <c r="AN988" s="1503"/>
      <c r="AO988" s="1503"/>
      <c r="AP988" s="1503"/>
      <c r="AQ988" s="1504"/>
      <c r="AR988" s="68"/>
      <c r="AS988" s="68"/>
      <c r="AT988" s="68"/>
      <c r="AU988" s="68"/>
      <c r="AV988" s="68"/>
      <c r="AW988" s="68"/>
      <c r="AX988" s="68"/>
      <c r="AY988" s="68"/>
      <c r="AZ988" s="30"/>
      <c r="BB988" s="14"/>
      <c r="BC988" s="14"/>
    </row>
    <row r="989" spans="1:64" ht="12.95" customHeight="1">
      <c r="A989" s="14"/>
      <c r="B989" s="73"/>
      <c r="C989" s="83"/>
      <c r="D989" s="1405" t="s">
        <v>164</v>
      </c>
      <c r="E989" s="1406"/>
      <c r="F989" s="1406"/>
      <c r="G989" s="1406"/>
      <c r="H989" s="1406"/>
      <c r="I989" s="1406"/>
      <c r="J989" s="1406"/>
      <c r="K989" s="1406"/>
      <c r="L989" s="1406"/>
      <c r="M989" s="1406"/>
      <c r="N989" s="1406"/>
      <c r="O989" s="1406"/>
      <c r="P989" s="1406"/>
      <c r="Q989" s="1407"/>
      <c r="R989" s="1566">
        <f>IF(ISNA(IF($CU$122="4%",(INDEX($CS$160:$CW$217,MATCH($DG$122,$CR$160:$CR$217,0),MATCH(D989,$CS$159:$CW$159,0))),(INDEX($CZ$160:$DD$217,MATCH($DG$122,$CY$160:$CY$217,0),MATCH(D989,$CZ$159:$DD$159,0))))),0,IF($CU$122="4%",(INDEX($CS$160:$CW$217,MATCH($DG$122,$CR$160:$CR$217,0),MATCH(D989,$CS$159:$CW$159,0))),(INDEX($CZ$160:$DD$217,MATCH($DG$122,$CY$160:$CY$217,0),MATCH(D989,$CZ$159:$DD$159,0)))))</f>
        <v>842752</v>
      </c>
      <c r="S989" s="1566"/>
      <c r="T989" s="1566"/>
      <c r="U989" s="1566"/>
      <c r="V989" s="1566"/>
      <c r="W989" s="1566"/>
      <c r="X989" s="1566"/>
      <c r="Y989" s="1566"/>
      <c r="Z989" s="1566"/>
      <c r="AA989" s="1566"/>
      <c r="AB989" s="1408">
        <f>DE802</f>
        <v>38</v>
      </c>
      <c r="AC989" s="1409"/>
      <c r="AD989" s="1409"/>
      <c r="AE989" s="1409"/>
      <c r="AF989" s="1409"/>
      <c r="AG989" s="1409"/>
      <c r="AH989" s="1409"/>
      <c r="AI989" s="1410"/>
      <c r="AJ989" s="1502">
        <f>IF(ISERROR((R989*AB989)),0,(R989*AB989))</f>
        <v>32024576</v>
      </c>
      <c r="AK989" s="1503"/>
      <c r="AL989" s="1503"/>
      <c r="AM989" s="1503"/>
      <c r="AN989" s="1503"/>
      <c r="AO989" s="1503"/>
      <c r="AP989" s="1503"/>
      <c r="AQ989" s="1504"/>
      <c r="AR989" s="68"/>
      <c r="AS989" s="68"/>
      <c r="AT989" s="68"/>
      <c r="AU989" s="68"/>
      <c r="AV989" s="68"/>
      <c r="AW989" s="68"/>
      <c r="AX989" s="68"/>
      <c r="AY989" s="68"/>
      <c r="AZ989" s="30"/>
      <c r="BA989" s="34"/>
      <c r="BB989" s="14"/>
      <c r="BC989" s="14"/>
    </row>
    <row r="990" spans="1:64" ht="12.95" customHeight="1">
      <c r="A990" s="14"/>
      <c r="B990" s="47"/>
      <c r="C990" s="78"/>
      <c r="D990" s="1405" t="s">
        <v>460</v>
      </c>
      <c r="E990" s="1406"/>
      <c r="F990" s="1406"/>
      <c r="G990" s="1406"/>
      <c r="H990" s="1406"/>
      <c r="I990" s="1406"/>
      <c r="J990" s="1406"/>
      <c r="K990" s="1406"/>
      <c r="L990" s="1406"/>
      <c r="M990" s="1406"/>
      <c r="N990" s="1406"/>
      <c r="O990" s="1406"/>
      <c r="P990" s="1406"/>
      <c r="Q990" s="1407"/>
      <c r="R990" s="1566">
        <f>IF(ISNA(IF($CU$122="4%",(INDEX($CS$160:$CW$217,MATCH($DG$122,$CR$160:$CR$217,0),MATCH(D990,$CS$159:$CW$159,0))),(INDEX($CZ$160:$DD$217,MATCH($DG$122,$CY$160:$CY$217,0),MATCH(D990,$CZ$159:$DD$159,0))))),0,IF($CU$122="4%",(INDEX($CS$160:$CW$217,MATCH($DG$122,$CR$160:$CR$217,0),MATCH(D990,$CS$159:$CW$159,0))),(INDEX($CZ$160:$DD$217,MATCH($DG$122,$CY$160:$CY$217,0),MATCH(D990,$CZ$159:$DD$159,0)))))</f>
        <v>938878</v>
      </c>
      <c r="S990" s="1566"/>
      <c r="T990" s="1566"/>
      <c r="U990" s="1566"/>
      <c r="V990" s="1566"/>
      <c r="W990" s="1566"/>
      <c r="X990" s="1566"/>
      <c r="Y990" s="1566"/>
      <c r="Z990" s="1566"/>
      <c r="AA990" s="1566"/>
      <c r="AB990" s="1408">
        <f>DO802+DJ802</f>
        <v>0</v>
      </c>
      <c r="AC990" s="1409"/>
      <c r="AD990" s="1409"/>
      <c r="AE990" s="1409"/>
      <c r="AF990" s="1409"/>
      <c r="AG990" s="1409"/>
      <c r="AH990" s="1409"/>
      <c r="AI990" s="1410"/>
      <c r="AJ990" s="1502">
        <f>IF(ISERROR((R990*AB990)),0,(R990*AB990))</f>
        <v>0</v>
      </c>
      <c r="AK990" s="1503"/>
      <c r="AL990" s="1503"/>
      <c r="AM990" s="1503"/>
      <c r="AN990" s="1503"/>
      <c r="AO990" s="1503"/>
      <c r="AP990" s="1503"/>
      <c r="AQ990" s="1504"/>
      <c r="AR990" s="68"/>
      <c r="AS990" s="68"/>
      <c r="AT990" s="68"/>
      <c r="AU990" s="68"/>
      <c r="AV990" s="68"/>
      <c r="AW990" s="68"/>
      <c r="AX990" s="68"/>
      <c r="AY990" s="68"/>
      <c r="AZ990" s="30"/>
      <c r="BB990" s="14"/>
      <c r="BC990" s="14"/>
    </row>
    <row r="991" spans="1:64" ht="12.95" customHeight="1">
      <c r="A991" s="14"/>
      <c r="B991" s="1621" t="s">
        <v>791</v>
      </c>
      <c r="C991" s="1622"/>
      <c r="D991" s="1622"/>
      <c r="E991" s="1622"/>
      <c r="F991" s="1622"/>
      <c r="G991" s="1622"/>
      <c r="H991" s="1622"/>
      <c r="I991" s="1622"/>
      <c r="J991" s="1622"/>
      <c r="K991" s="1622"/>
      <c r="L991" s="1622"/>
      <c r="M991" s="1622"/>
      <c r="N991" s="1622"/>
      <c r="O991" s="1622"/>
      <c r="P991" s="1622"/>
      <c r="Q991" s="1622"/>
      <c r="R991" s="1622"/>
      <c r="S991" s="1622"/>
      <c r="T991" s="1622"/>
      <c r="U991" s="1622"/>
      <c r="V991" s="1622"/>
      <c r="W991" s="1622"/>
      <c r="X991" s="1622"/>
      <c r="Y991" s="1622"/>
      <c r="Z991" s="1622"/>
      <c r="AA991" s="1623"/>
      <c r="AB991" s="1408">
        <f>SUM(AB986:AI990)</f>
        <v>72</v>
      </c>
      <c r="AC991" s="1409"/>
      <c r="AD991" s="1409"/>
      <c r="AE991" s="1409"/>
      <c r="AF991" s="1409"/>
      <c r="AG991" s="1409"/>
      <c r="AH991" s="1409"/>
      <c r="AI991" s="1410"/>
      <c r="AJ991" s="1502"/>
      <c r="AK991" s="1503"/>
      <c r="AL991" s="1503"/>
      <c r="AM991" s="1503"/>
      <c r="AN991" s="1503"/>
      <c r="AO991" s="1503"/>
      <c r="AP991" s="1503"/>
      <c r="AQ991" s="1504"/>
      <c r="AR991" s="68"/>
      <c r="AS991" s="68"/>
      <c r="AT991" s="68"/>
      <c r="AU991" s="68"/>
      <c r="AV991" s="68"/>
      <c r="AW991" s="68"/>
      <c r="AX991" s="68"/>
      <c r="AY991" s="68"/>
      <c r="AZ991" s="34"/>
      <c r="BA991" s="34"/>
      <c r="BB991" s="14"/>
      <c r="BC991" s="14"/>
    </row>
    <row r="992" spans="1:64" ht="12.95" customHeight="1">
      <c r="A992" s="14"/>
      <c r="B992" s="1588" t="s">
        <v>512</v>
      </c>
      <c r="C992" s="1589"/>
      <c r="D992" s="1589"/>
      <c r="E992" s="1589"/>
      <c r="F992" s="1589"/>
      <c r="G992" s="1589"/>
      <c r="H992" s="1589"/>
      <c r="I992" s="1589"/>
      <c r="J992" s="1589"/>
      <c r="K992" s="1589"/>
      <c r="L992" s="1589"/>
      <c r="M992" s="1589"/>
      <c r="N992" s="1589"/>
      <c r="O992" s="1589"/>
      <c r="P992" s="1589"/>
      <c r="Q992" s="1589"/>
      <c r="R992" s="1589"/>
      <c r="S992" s="1589"/>
      <c r="T992" s="1589"/>
      <c r="U992" s="1589"/>
      <c r="V992" s="1589"/>
      <c r="W992" s="1589"/>
      <c r="X992" s="1589"/>
      <c r="Y992" s="1589"/>
      <c r="Z992" s="1589"/>
      <c r="AA992" s="1589"/>
      <c r="AB992" s="1589"/>
      <c r="AC992" s="1589"/>
      <c r="AD992" s="1589"/>
      <c r="AE992" s="1589"/>
      <c r="AF992" s="1589"/>
      <c r="AG992" s="1589"/>
      <c r="AH992" s="1589"/>
      <c r="AI992" s="1590"/>
      <c r="AJ992" s="1502">
        <f>SUM(AJ986:AQ990)</f>
        <v>53734660</v>
      </c>
      <c r="AK992" s="1503"/>
      <c r="AL992" s="1503"/>
      <c r="AM992" s="1503"/>
      <c r="AN992" s="1503"/>
      <c r="AO992" s="1503"/>
      <c r="AP992" s="1503"/>
      <c r="AQ992" s="1504"/>
      <c r="AR992" s="68"/>
      <c r="AS992" s="68"/>
      <c r="AT992" s="68"/>
      <c r="AU992" s="68"/>
      <c r="AV992" s="68"/>
      <c r="AW992" s="68"/>
      <c r="AX992" s="68"/>
      <c r="AY992" s="68"/>
      <c r="AZ992" s="34"/>
      <c r="BB992" s="34"/>
      <c r="BC992" s="34"/>
    </row>
    <row r="993" spans="1:55" ht="12.95" customHeight="1">
      <c r="A993" s="14"/>
      <c r="B993" s="1505"/>
      <c r="C993" s="1506"/>
      <c r="D993" s="1506"/>
      <c r="E993" s="1506"/>
      <c r="F993" s="1506"/>
      <c r="G993" s="1506"/>
      <c r="H993" s="1506"/>
      <c r="I993" s="1506"/>
      <c r="J993" s="1506"/>
      <c r="K993" s="1506"/>
      <c r="L993" s="1506"/>
      <c r="M993" s="1506"/>
      <c r="N993" s="1506"/>
      <c r="O993" s="1506"/>
      <c r="P993" s="1506"/>
      <c r="Q993" s="1506"/>
      <c r="R993" s="1506"/>
      <c r="S993" s="1506"/>
      <c r="T993" s="1506"/>
      <c r="U993" s="1506"/>
      <c r="V993" s="1506"/>
      <c r="W993" s="1506"/>
      <c r="X993" s="1506"/>
      <c r="Y993" s="1506"/>
      <c r="Z993" s="1506"/>
      <c r="AA993" s="1506"/>
      <c r="AB993" s="1506"/>
      <c r="AC993" s="1506"/>
      <c r="AD993" s="1506"/>
      <c r="AE993" s="1507"/>
      <c r="AF993" s="1511" t="s">
        <v>666</v>
      </c>
      <c r="AG993" s="1512"/>
      <c r="AH993" s="1512"/>
      <c r="AI993" s="1513"/>
      <c r="AJ993" s="1505"/>
      <c r="AK993" s="1506"/>
      <c r="AL993" s="1506"/>
      <c r="AM993" s="1506"/>
      <c r="AN993" s="1506"/>
      <c r="AO993" s="1506"/>
      <c r="AP993" s="1506"/>
      <c r="AQ993" s="1507"/>
      <c r="AR993" s="68"/>
      <c r="AS993" s="68"/>
      <c r="AT993" s="68"/>
      <c r="AU993" s="68"/>
      <c r="AV993" s="68"/>
      <c r="AW993" s="68"/>
      <c r="AX993" s="68"/>
      <c r="AY993" s="68"/>
      <c r="AZ993" s="34"/>
      <c r="BA993" s="34"/>
      <c r="BB993" s="34"/>
      <c r="BC993" s="34"/>
    </row>
    <row r="994" spans="1:55" ht="12.95" customHeight="1">
      <c r="A994" s="14"/>
      <c r="B994" s="73"/>
      <c r="C994" s="927" t="s">
        <v>668</v>
      </c>
      <c r="D994" s="1518" t="s">
        <v>1219</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20"/>
      <c r="AF994" s="79"/>
      <c r="AG994" s="1514" t="s">
        <v>669</v>
      </c>
      <c r="AH994" s="1515"/>
      <c r="AI994" s="87"/>
      <c r="AJ994" s="1411">
        <f>ROUND(IF(AND(AG994="yes",D1000&gt;0),AJ992*0.2,0),0)</f>
        <v>0</v>
      </c>
      <c r="AK994" s="1412"/>
      <c r="AL994" s="1412"/>
      <c r="AM994" s="1412"/>
      <c r="AN994" s="1412"/>
      <c r="AO994" s="1412"/>
      <c r="AP994" s="1412"/>
      <c r="AQ994" s="1413"/>
      <c r="AR994" s="68"/>
      <c r="AS994" s="68"/>
      <c r="AT994" s="68"/>
      <c r="AU994" s="68"/>
      <c r="AV994" s="68"/>
      <c r="AW994" s="68"/>
      <c r="AX994" s="68"/>
      <c r="AY994" s="68"/>
      <c r="AZ994" s="34"/>
      <c r="BA994" s="34"/>
      <c r="BB994" s="34"/>
      <c r="BC994" s="34"/>
    </row>
    <row r="995" spans="1:55" ht="12.95" customHeight="1">
      <c r="A995" s="14"/>
      <c r="B995" s="257"/>
      <c r="C995" s="256"/>
      <c r="D995" s="1553" t="s">
        <v>2233</v>
      </c>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1555"/>
      <c r="AF995" s="73"/>
      <c r="AG995" s="14"/>
      <c r="AH995" s="14"/>
      <c r="AI995" s="83"/>
      <c r="AJ995" s="1414"/>
      <c r="AK995" s="1415"/>
      <c r="AL995" s="1415"/>
      <c r="AM995" s="1415"/>
      <c r="AN995" s="1415"/>
      <c r="AO995" s="1415"/>
      <c r="AP995" s="1415"/>
      <c r="AQ995" s="1416"/>
      <c r="AR995" s="68"/>
      <c r="AS995" s="68"/>
      <c r="AT995" s="68"/>
      <c r="AU995" s="68"/>
      <c r="AV995" s="68"/>
      <c r="AW995" s="68"/>
      <c r="AX995" s="68"/>
      <c r="AY995" s="68"/>
      <c r="AZ995" s="34"/>
      <c r="BA995" s="34"/>
      <c r="BB995" s="34"/>
      <c r="BC995" s="34"/>
    </row>
    <row r="996" spans="1:55" ht="12.95" customHeight="1">
      <c r="A996" s="14"/>
      <c r="B996" s="257"/>
      <c r="C996" s="256"/>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73"/>
      <c r="AG996" s="14"/>
      <c r="AH996" s="14"/>
      <c r="AI996" s="83"/>
      <c r="AJ996" s="1414"/>
      <c r="AK996" s="1415"/>
      <c r="AL996" s="1415"/>
      <c r="AM996" s="1415"/>
      <c r="AN996" s="1415"/>
      <c r="AO996" s="1415"/>
      <c r="AP996" s="1415"/>
      <c r="AQ996" s="1416"/>
      <c r="AR996" s="68"/>
      <c r="AS996" s="68"/>
      <c r="AT996" s="68"/>
      <c r="AU996" s="68"/>
      <c r="AV996" s="68"/>
      <c r="AW996" s="68"/>
      <c r="AX996" s="68"/>
      <c r="AY996" s="68"/>
      <c r="AZ996" s="34"/>
      <c r="BA996" s="34"/>
      <c r="BB996" s="34"/>
      <c r="BC996" s="34"/>
    </row>
    <row r="997" spans="1:55" ht="12.95" customHeight="1">
      <c r="A997" s="14"/>
      <c r="B997" s="257"/>
      <c r="C997" s="256"/>
      <c r="D997" s="1553"/>
      <c r="E997" s="1554"/>
      <c r="F997" s="1554"/>
      <c r="G997" s="1554"/>
      <c r="H997" s="1554"/>
      <c r="I997" s="1554"/>
      <c r="J997" s="1554"/>
      <c r="K997" s="1554"/>
      <c r="L997" s="1554"/>
      <c r="M997" s="1554"/>
      <c r="N997" s="1554"/>
      <c r="O997" s="1554"/>
      <c r="P997" s="1554"/>
      <c r="Q997" s="1554"/>
      <c r="R997" s="1554"/>
      <c r="S997" s="1554"/>
      <c r="T997" s="1554"/>
      <c r="U997" s="1554"/>
      <c r="V997" s="1554"/>
      <c r="W997" s="1554"/>
      <c r="X997" s="1554"/>
      <c r="Y997" s="1554"/>
      <c r="Z997" s="1554"/>
      <c r="AA997" s="1554"/>
      <c r="AB997" s="1554"/>
      <c r="AC997" s="1554"/>
      <c r="AD997" s="1554"/>
      <c r="AE997" s="1555"/>
      <c r="AF997" s="73"/>
      <c r="AG997" s="14"/>
      <c r="AH997" s="14"/>
      <c r="AI997" s="83"/>
      <c r="AJ997" s="1414"/>
      <c r="AK997" s="1415"/>
      <c r="AL997" s="1415"/>
      <c r="AM997" s="1415"/>
      <c r="AN997" s="1415"/>
      <c r="AO997" s="1415"/>
      <c r="AP997" s="1415"/>
      <c r="AQ997" s="1416"/>
      <c r="AR997" s="68"/>
      <c r="AS997" s="68"/>
      <c r="AT997" s="68"/>
      <c r="AU997" s="68"/>
      <c r="AV997" s="68"/>
      <c r="AW997" s="68"/>
      <c r="AX997" s="68"/>
      <c r="AY997" s="68"/>
      <c r="AZ997" s="34"/>
      <c r="BA997" s="34"/>
      <c r="BB997" s="34"/>
      <c r="BC997" s="34"/>
    </row>
    <row r="998" spans="1:55" ht="12.95" customHeight="1">
      <c r="A998" s="14"/>
      <c r="B998" s="257"/>
      <c r="C998" s="256"/>
      <c r="D998" s="1553"/>
      <c r="E998" s="1554"/>
      <c r="F998" s="1554"/>
      <c r="G998" s="1554"/>
      <c r="H998" s="1554"/>
      <c r="I998" s="1554"/>
      <c r="J998" s="1554"/>
      <c r="K998" s="1554"/>
      <c r="L998" s="1554"/>
      <c r="M998" s="1554"/>
      <c r="N998" s="1554"/>
      <c r="O998" s="1554"/>
      <c r="P998" s="1554"/>
      <c r="Q998" s="1554"/>
      <c r="R998" s="1554"/>
      <c r="S998" s="1554"/>
      <c r="T998" s="1554"/>
      <c r="U998" s="1554"/>
      <c r="V998" s="1554"/>
      <c r="W998" s="1554"/>
      <c r="X998" s="1554"/>
      <c r="Y998" s="1554"/>
      <c r="Z998" s="1554"/>
      <c r="AA998" s="1554"/>
      <c r="AB998" s="1554"/>
      <c r="AC998" s="1554"/>
      <c r="AD998" s="1554"/>
      <c r="AE998" s="1555"/>
      <c r="AF998" s="73"/>
      <c r="AG998" s="14"/>
      <c r="AH998" s="14"/>
      <c r="AI998" s="83"/>
      <c r="AJ998" s="1414"/>
      <c r="AK998" s="1415"/>
      <c r="AL998" s="1415"/>
      <c r="AM998" s="1415"/>
      <c r="AN998" s="1415"/>
      <c r="AO998" s="1415"/>
      <c r="AP998" s="1415"/>
      <c r="AQ998" s="1416"/>
      <c r="AR998" s="68"/>
      <c r="AS998" s="68"/>
      <c r="AT998" s="68"/>
      <c r="AU998" s="68"/>
      <c r="AV998" s="68"/>
      <c r="AW998" s="68"/>
      <c r="AX998" s="68"/>
      <c r="AY998" s="68"/>
      <c r="AZ998" s="34"/>
      <c r="BA998" s="34"/>
      <c r="BB998" s="34"/>
      <c r="BC998" s="34"/>
    </row>
    <row r="999" spans="1:55" ht="12.95" customHeight="1">
      <c r="A999" s="14"/>
      <c r="B999" s="257"/>
      <c r="C999" s="256"/>
      <c r="D999" s="1556" t="s">
        <v>2204</v>
      </c>
      <c r="E999" s="1557"/>
      <c r="F999" s="1557"/>
      <c r="G999" s="1557"/>
      <c r="H999" s="1557"/>
      <c r="I999" s="1557"/>
      <c r="J999" s="1557"/>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73"/>
      <c r="AG999" s="14"/>
      <c r="AH999" s="14"/>
      <c r="AI999" s="83"/>
      <c r="AJ999" s="1414"/>
      <c r="AK999" s="1415"/>
      <c r="AL999" s="1415"/>
      <c r="AM999" s="1415"/>
      <c r="AN999" s="1415"/>
      <c r="AO999" s="1415"/>
      <c r="AP999" s="1415"/>
      <c r="AQ999" s="1416"/>
      <c r="AR999" s="68"/>
      <c r="AS999" s="68"/>
      <c r="AT999" s="68"/>
      <c r="AU999" s="68"/>
      <c r="AV999" s="68"/>
      <c r="AW999" s="68"/>
      <c r="AX999" s="68"/>
      <c r="AY999" s="68"/>
      <c r="AZ999" s="34"/>
      <c r="BA999" s="34"/>
      <c r="BB999" s="34"/>
      <c r="BC999" s="34"/>
    </row>
    <row r="1000" spans="1:55" ht="12.95" customHeight="1">
      <c r="A1000" s="14"/>
      <c r="B1000" s="257"/>
      <c r="C1000" s="256"/>
      <c r="D1000" s="1624"/>
      <c r="E1000" s="1625"/>
      <c r="F1000" s="1625"/>
      <c r="G1000" s="1625"/>
      <c r="H1000" s="1625"/>
      <c r="I1000" s="1625"/>
      <c r="J1000" s="1625"/>
      <c r="K1000" s="1625"/>
      <c r="L1000" s="1625"/>
      <c r="M1000" s="1625"/>
      <c r="N1000" s="1625"/>
      <c r="O1000" s="1625"/>
      <c r="P1000" s="1625"/>
      <c r="Q1000" s="1625"/>
      <c r="R1000" s="1625"/>
      <c r="S1000" s="1625"/>
      <c r="T1000" s="1625"/>
      <c r="U1000" s="1625"/>
      <c r="V1000" s="1625"/>
      <c r="W1000" s="1625"/>
      <c r="X1000" s="1625"/>
      <c r="Y1000" s="1625"/>
      <c r="Z1000" s="1625"/>
      <c r="AA1000" s="1625"/>
      <c r="AB1000" s="1625"/>
      <c r="AC1000" s="1625"/>
      <c r="AD1000" s="1625"/>
      <c r="AE1000" s="1626"/>
      <c r="AF1000" s="77"/>
      <c r="AG1000" s="7"/>
      <c r="AH1000" s="7"/>
      <c r="AI1000" s="78"/>
      <c r="AJ1000" s="1417"/>
      <c r="AK1000" s="1418"/>
      <c r="AL1000" s="1418"/>
      <c r="AM1000" s="1418"/>
      <c r="AN1000" s="1418"/>
      <c r="AO1000" s="1418"/>
      <c r="AP1000" s="1418"/>
      <c r="AQ1000" s="1419"/>
      <c r="AR1000" s="68"/>
      <c r="AS1000" s="68"/>
      <c r="AT1000" s="68"/>
      <c r="AU1000" s="68"/>
      <c r="AV1000" s="68"/>
      <c r="AW1000" s="68"/>
      <c r="AX1000" s="68"/>
      <c r="AY1000" s="68"/>
      <c r="AZ1000" s="34"/>
      <c r="BA1000" s="34"/>
      <c r="BB1000" s="34"/>
      <c r="BC1000" s="34"/>
    </row>
    <row r="1001" spans="1:55" ht="12.95" customHeight="1">
      <c r="A1001" s="14"/>
      <c r="B1001" s="255"/>
      <c r="C1001" s="318"/>
      <c r="D1001" s="1508" t="s">
        <v>1285</v>
      </c>
      <c r="E1001" s="1509"/>
      <c r="F1001" s="1509"/>
      <c r="G1001" s="1509"/>
      <c r="H1001" s="1509"/>
      <c r="I1001" s="1509"/>
      <c r="J1001" s="1509"/>
      <c r="K1001" s="1509"/>
      <c r="L1001" s="1509"/>
      <c r="M1001" s="1509"/>
      <c r="N1001" s="1509"/>
      <c r="O1001" s="1509"/>
      <c r="P1001" s="1509"/>
      <c r="Q1001" s="1509"/>
      <c r="R1001" s="1509"/>
      <c r="S1001" s="1509"/>
      <c r="T1001" s="1509"/>
      <c r="U1001" s="1509"/>
      <c r="V1001" s="1509"/>
      <c r="W1001" s="1509"/>
      <c r="X1001" s="1509"/>
      <c r="Y1001" s="1509"/>
      <c r="Z1001" s="1509"/>
      <c r="AA1001" s="1509"/>
      <c r="AB1001" s="1509"/>
      <c r="AC1001" s="1509"/>
      <c r="AD1001" s="1509"/>
      <c r="AE1001" s="1510"/>
      <c r="AF1001" s="79"/>
      <c r="AG1001" s="1516" t="s">
        <v>669</v>
      </c>
      <c r="AH1001" s="1517"/>
      <c r="AI1001" s="87"/>
      <c r="AJ1001" s="1411">
        <f>ROUND(IF(AG1001="yes",AJ992*0.05,0),0)</f>
        <v>0</v>
      </c>
      <c r="AK1001" s="1412"/>
      <c r="AL1001" s="1412"/>
      <c r="AM1001" s="1412"/>
      <c r="AN1001" s="1412"/>
      <c r="AO1001" s="1412"/>
      <c r="AP1001" s="1412"/>
      <c r="AQ1001" s="1413"/>
      <c r="AR1001" s="68"/>
      <c r="AS1001" s="68"/>
      <c r="AT1001" s="68"/>
      <c r="AU1001" s="68"/>
      <c r="AV1001" s="68"/>
      <c r="AW1001" s="68"/>
      <c r="AX1001" s="68"/>
      <c r="AY1001" s="68"/>
      <c r="AZ1001" s="34"/>
      <c r="BA1001" s="34"/>
      <c r="BB1001" s="34"/>
      <c r="BC1001" s="34"/>
    </row>
    <row r="1002" spans="1:55" ht="12.95" customHeight="1">
      <c r="A1002" s="14"/>
      <c r="B1002" s="257"/>
      <c r="C1002" s="82"/>
      <c r="D1002" s="1553" t="s">
        <v>1283</v>
      </c>
      <c r="E1002" s="1554"/>
      <c r="F1002" s="1554"/>
      <c r="G1002" s="1554"/>
      <c r="H1002" s="1554"/>
      <c r="I1002" s="1554"/>
      <c r="J1002" s="1554"/>
      <c r="K1002" s="1554"/>
      <c r="L1002" s="1554"/>
      <c r="M1002" s="1554"/>
      <c r="N1002" s="1554"/>
      <c r="O1002" s="1554"/>
      <c r="P1002" s="1554"/>
      <c r="Q1002" s="1554"/>
      <c r="R1002" s="1554"/>
      <c r="S1002" s="1554"/>
      <c r="T1002" s="1554"/>
      <c r="U1002" s="1554"/>
      <c r="V1002" s="1554"/>
      <c r="W1002" s="1554"/>
      <c r="X1002" s="1554"/>
      <c r="Y1002" s="1554"/>
      <c r="Z1002" s="1554"/>
      <c r="AA1002" s="1554"/>
      <c r="AB1002" s="1554"/>
      <c r="AC1002" s="1554"/>
      <c r="AD1002" s="1554"/>
      <c r="AE1002" s="1555"/>
      <c r="AF1002" s="73"/>
      <c r="AG1002" s="14"/>
      <c r="AH1002" s="14"/>
      <c r="AI1002" s="83"/>
      <c r="AJ1002" s="1414"/>
      <c r="AK1002" s="1415"/>
      <c r="AL1002" s="1415"/>
      <c r="AM1002" s="1415"/>
      <c r="AN1002" s="1415"/>
      <c r="AO1002" s="1415"/>
      <c r="AP1002" s="1415"/>
      <c r="AQ1002" s="1416"/>
      <c r="AR1002" s="68"/>
      <c r="AS1002" s="68"/>
      <c r="AT1002" s="68"/>
      <c r="AU1002" s="68"/>
      <c r="AV1002" s="68"/>
      <c r="AW1002" s="68"/>
      <c r="AX1002" s="68"/>
      <c r="AY1002" s="34"/>
      <c r="AZ1002" s="34"/>
      <c r="BB1002" s="34"/>
    </row>
    <row r="1003" spans="1:55" ht="12.95" customHeight="1">
      <c r="A1003" s="14"/>
      <c r="B1003" s="257"/>
      <c r="C1003" s="82"/>
      <c r="D1003" s="1553"/>
      <c r="E1003" s="1554"/>
      <c r="F1003" s="1554"/>
      <c r="G1003" s="1554"/>
      <c r="H1003" s="1554"/>
      <c r="I1003" s="1554"/>
      <c r="J1003" s="1554"/>
      <c r="K1003" s="1554"/>
      <c r="L1003" s="1554"/>
      <c r="M1003" s="1554"/>
      <c r="N1003" s="1554"/>
      <c r="O1003" s="1554"/>
      <c r="P1003" s="1554"/>
      <c r="Q1003" s="1554"/>
      <c r="R1003" s="1554"/>
      <c r="S1003" s="1554"/>
      <c r="T1003" s="1554"/>
      <c r="U1003" s="1554"/>
      <c r="V1003" s="1554"/>
      <c r="W1003" s="1554"/>
      <c r="X1003" s="1554"/>
      <c r="Y1003" s="1554"/>
      <c r="Z1003" s="1554"/>
      <c r="AA1003" s="1554"/>
      <c r="AB1003" s="1554"/>
      <c r="AC1003" s="1554"/>
      <c r="AD1003" s="1554"/>
      <c r="AE1003" s="1555"/>
      <c r="AF1003" s="73"/>
      <c r="AG1003" s="14"/>
      <c r="AH1003" s="14"/>
      <c r="AI1003" s="83"/>
      <c r="AJ1003" s="1414"/>
      <c r="AK1003" s="1415"/>
      <c r="AL1003" s="1415"/>
      <c r="AM1003" s="1415"/>
      <c r="AN1003" s="1415"/>
      <c r="AO1003" s="1415"/>
      <c r="AP1003" s="1415"/>
      <c r="AQ1003" s="1416"/>
      <c r="AR1003" s="68"/>
      <c r="AS1003" s="68"/>
      <c r="AT1003" s="68"/>
      <c r="AU1003" s="68"/>
      <c r="AV1003" s="68"/>
      <c r="AW1003" s="68"/>
      <c r="AX1003" s="68"/>
      <c r="AY1003" s="914">
        <f>G753+O797</f>
        <v>71</v>
      </c>
      <c r="AZ1003" s="34"/>
      <c r="BB1003" s="34"/>
    </row>
    <row r="1004" spans="1:55" ht="12.95" customHeight="1">
      <c r="A1004" s="14"/>
      <c r="B1004" s="257"/>
      <c r="C1004" s="82"/>
      <c r="D1004" s="1553"/>
      <c r="E1004" s="1554"/>
      <c r="F1004" s="1554"/>
      <c r="G1004" s="1554"/>
      <c r="H1004" s="1554"/>
      <c r="I1004" s="1554"/>
      <c r="J1004" s="1554"/>
      <c r="K1004" s="1554"/>
      <c r="L1004" s="1554"/>
      <c r="M1004" s="1554"/>
      <c r="N1004" s="1554"/>
      <c r="O1004" s="1554"/>
      <c r="P1004" s="1554"/>
      <c r="Q1004" s="1554"/>
      <c r="R1004" s="1554"/>
      <c r="S1004" s="1554"/>
      <c r="T1004" s="1554"/>
      <c r="U1004" s="1554"/>
      <c r="V1004" s="1554"/>
      <c r="W1004" s="1554"/>
      <c r="X1004" s="1554"/>
      <c r="Y1004" s="1554"/>
      <c r="Z1004" s="1554"/>
      <c r="AA1004" s="1554"/>
      <c r="AB1004" s="1554"/>
      <c r="AC1004" s="1554"/>
      <c r="AD1004" s="1554"/>
      <c r="AE1004" s="1555"/>
      <c r="AF1004" s="73"/>
      <c r="AG1004" s="14"/>
      <c r="AH1004" s="14"/>
      <c r="AI1004" s="83"/>
      <c r="AJ1004" s="1414"/>
      <c r="AK1004" s="1415"/>
      <c r="AL1004" s="1415"/>
      <c r="AM1004" s="1415"/>
      <c r="AN1004" s="1415"/>
      <c r="AO1004" s="1415"/>
      <c r="AP1004" s="1415"/>
      <c r="AQ1004" s="1416"/>
      <c r="AR1004" s="68"/>
      <c r="AS1004" s="68"/>
      <c r="AT1004" s="68"/>
      <c r="AU1004" s="68"/>
      <c r="AV1004" s="68"/>
      <c r="AW1004" s="68"/>
      <c r="AX1004" s="68"/>
      <c r="AY1004" s="14"/>
      <c r="AZ1004" s="34"/>
      <c r="BB1004" s="34"/>
    </row>
    <row r="1005" spans="1:55" ht="12.95" customHeight="1">
      <c r="A1005" s="14"/>
      <c r="B1005" s="257"/>
      <c r="C1005" s="82"/>
      <c r="D1005" s="1553"/>
      <c r="E1005" s="1554"/>
      <c r="F1005" s="1554"/>
      <c r="G1005" s="1554"/>
      <c r="H1005" s="1554"/>
      <c r="I1005" s="1554"/>
      <c r="J1005" s="1554"/>
      <c r="K1005" s="1554"/>
      <c r="L1005" s="1554"/>
      <c r="M1005" s="1554"/>
      <c r="N1005" s="1554"/>
      <c r="O1005" s="1554"/>
      <c r="P1005" s="1554"/>
      <c r="Q1005" s="1554"/>
      <c r="R1005" s="1554"/>
      <c r="S1005" s="1554"/>
      <c r="T1005" s="1554"/>
      <c r="U1005" s="1554"/>
      <c r="V1005" s="1554"/>
      <c r="W1005" s="1554"/>
      <c r="X1005" s="1554"/>
      <c r="Y1005" s="1554"/>
      <c r="Z1005" s="1554"/>
      <c r="AA1005" s="1554"/>
      <c r="AB1005" s="1554"/>
      <c r="AC1005" s="1554"/>
      <c r="AD1005" s="1554"/>
      <c r="AE1005" s="1555"/>
      <c r="AF1005" s="73"/>
      <c r="AG1005" s="14"/>
      <c r="AH1005" s="14"/>
      <c r="AI1005" s="83"/>
      <c r="AJ1005" s="1414"/>
      <c r="AK1005" s="1415"/>
      <c r="AL1005" s="1415"/>
      <c r="AM1005" s="1415"/>
      <c r="AN1005" s="1415"/>
      <c r="AO1005" s="1415"/>
      <c r="AP1005" s="1415"/>
      <c r="AQ1005" s="1416"/>
      <c r="AR1005" s="68"/>
      <c r="AS1005" s="68"/>
      <c r="AT1005" s="68"/>
      <c r="AU1005" s="68"/>
      <c r="AV1005" s="68"/>
      <c r="AW1005" s="68"/>
      <c r="AX1005" s="68"/>
      <c r="AY1005" s="913">
        <f>ROUNDDOWN(X1048/I1048,2)</f>
        <v>0.12</v>
      </c>
      <c r="AZ1005" s="34"/>
      <c r="BB1005" s="34"/>
    </row>
    <row r="1006" spans="1:55" ht="12.95" customHeight="1">
      <c r="A1006" s="14"/>
      <c r="B1006" s="75"/>
      <c r="C1006" s="76"/>
      <c r="D1006" s="1556"/>
      <c r="E1006" s="1557"/>
      <c r="F1006" s="1557"/>
      <c r="G1006" s="1557"/>
      <c r="H1006" s="1557"/>
      <c r="I1006" s="1557"/>
      <c r="J1006" s="1557"/>
      <c r="K1006" s="1557"/>
      <c r="L1006" s="1557"/>
      <c r="M1006" s="1557"/>
      <c r="N1006" s="1557"/>
      <c r="O1006" s="1557"/>
      <c r="P1006" s="1557"/>
      <c r="Q1006" s="1557"/>
      <c r="R1006" s="1557"/>
      <c r="S1006" s="1557"/>
      <c r="T1006" s="1557"/>
      <c r="U1006" s="1557"/>
      <c r="V1006" s="1557"/>
      <c r="W1006" s="1557"/>
      <c r="X1006" s="1557"/>
      <c r="Y1006" s="1557"/>
      <c r="Z1006" s="1557"/>
      <c r="AA1006" s="1557"/>
      <c r="AB1006" s="1557"/>
      <c r="AC1006" s="1557"/>
      <c r="AD1006" s="1557"/>
      <c r="AE1006" s="1558"/>
      <c r="AF1006" s="77"/>
      <c r="AG1006" s="7"/>
      <c r="AH1006" s="7"/>
      <c r="AI1006" s="78"/>
      <c r="AJ1006" s="1417"/>
      <c r="AK1006" s="1418"/>
      <c r="AL1006" s="1418"/>
      <c r="AM1006" s="1418"/>
      <c r="AN1006" s="1418"/>
      <c r="AO1006" s="1418"/>
      <c r="AP1006" s="1418"/>
      <c r="AQ1006" s="1419"/>
      <c r="AR1006" s="68"/>
      <c r="AS1006" s="68"/>
      <c r="AT1006" s="68"/>
      <c r="AU1006" s="68"/>
      <c r="AV1006" s="68"/>
      <c r="AW1006" s="68"/>
      <c r="AX1006" s="68"/>
      <c r="AY1006" s="913">
        <f>ROUNDDOWN(X1052/I1052,2)</f>
        <v>0.11</v>
      </c>
      <c r="AZ1006" s="34"/>
      <c r="BB1006" s="34"/>
    </row>
    <row r="1007" spans="1:55" ht="12.95" customHeight="1">
      <c r="A1007" s="14"/>
      <c r="B1007" s="255"/>
      <c r="C1007" s="80" t="s">
        <v>672</v>
      </c>
      <c r="D1007" s="1508" t="s">
        <v>1682</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86"/>
      <c r="AG1007" s="1516" t="s">
        <v>669</v>
      </c>
      <c r="AH1007" s="1517"/>
      <c r="AI1007" s="87"/>
      <c r="AJ1007" s="1411">
        <f>ROUND(IF(AG1007="yes",AJ992*0.1,0),0)</f>
        <v>0</v>
      </c>
      <c r="AK1007" s="1412"/>
      <c r="AL1007" s="1412"/>
      <c r="AM1007" s="1412"/>
      <c r="AN1007" s="1412"/>
      <c r="AO1007" s="1412"/>
      <c r="AP1007" s="1412"/>
      <c r="AQ1007" s="1413"/>
      <c r="AR1007" s="68"/>
      <c r="AS1007" s="68"/>
      <c r="AT1007" s="68"/>
      <c r="AU1007" s="68"/>
      <c r="AV1007" s="68"/>
      <c r="AW1007" s="68"/>
      <c r="AX1007" s="68"/>
      <c r="BB1007" s="34"/>
    </row>
    <row r="1008" spans="1:55" ht="12.95" customHeight="1">
      <c r="A1008" s="14"/>
      <c r="B1008" s="73"/>
      <c r="C1008" s="74"/>
      <c r="D1008" s="1521" t="s">
        <v>1284</v>
      </c>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3"/>
      <c r="AF1008" s="73"/>
      <c r="AI1008" s="83"/>
      <c r="AJ1008" s="1414"/>
      <c r="AK1008" s="1415"/>
      <c r="AL1008" s="1415"/>
      <c r="AM1008" s="1415"/>
      <c r="AN1008" s="1415"/>
      <c r="AO1008" s="1415"/>
      <c r="AP1008" s="1415"/>
      <c r="AQ1008" s="1416"/>
      <c r="AR1008" s="68"/>
      <c r="AS1008" s="68"/>
      <c r="AT1008" s="68"/>
      <c r="AU1008" s="68"/>
      <c r="AV1008" s="68"/>
      <c r="AW1008" s="68"/>
      <c r="AX1008" s="68"/>
    </row>
    <row r="1009" spans="1:52" ht="12.95" customHeight="1">
      <c r="A1009" s="14"/>
      <c r="B1009" s="73"/>
      <c r="C1009" s="74"/>
      <c r="D1009" s="1521"/>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3"/>
      <c r="AF1009" s="73"/>
      <c r="AG1009" s="14"/>
      <c r="AH1009" s="14"/>
      <c r="AI1009" s="83"/>
      <c r="AJ1009" s="1414"/>
      <c r="AK1009" s="1415"/>
      <c r="AL1009" s="1415"/>
      <c r="AM1009" s="1415"/>
      <c r="AN1009" s="1415"/>
      <c r="AO1009" s="1415"/>
      <c r="AP1009" s="1415"/>
      <c r="AQ1009" s="1416"/>
      <c r="AR1009" s="68"/>
      <c r="AS1009" s="68"/>
      <c r="AT1009" s="68"/>
      <c r="AU1009" s="68"/>
      <c r="AV1009" s="68"/>
      <c r="AW1009" s="68"/>
      <c r="AX1009" s="68"/>
    </row>
    <row r="1010" spans="1:52" ht="12.95" customHeight="1">
      <c r="A1010" s="14"/>
      <c r="B1010" s="85"/>
      <c r="C1010" s="76"/>
      <c r="D1010" s="1524"/>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6"/>
      <c r="AF1010" s="77"/>
      <c r="AG1010" s="7"/>
      <c r="AH1010" s="7"/>
      <c r="AI1010" s="78"/>
      <c r="AJ1010" s="1417"/>
      <c r="AK1010" s="1418"/>
      <c r="AL1010" s="1418"/>
      <c r="AM1010" s="1418"/>
      <c r="AN1010" s="1418"/>
      <c r="AO1010" s="1418"/>
      <c r="AP1010" s="1418"/>
      <c r="AQ1010" s="1419"/>
      <c r="AR1010" s="68"/>
      <c r="AS1010" s="68"/>
      <c r="AT1010" s="68"/>
      <c r="AU1010" s="68"/>
      <c r="AV1010" s="68"/>
      <c r="AW1010" s="68"/>
      <c r="AX1010" s="68"/>
    </row>
    <row r="1011" spans="1:52" ht="12.95" customHeight="1">
      <c r="A1011" s="14"/>
      <c r="B1011" s="79"/>
      <c r="C1011" s="80" t="s">
        <v>212</v>
      </c>
      <c r="D1011" s="1508" t="s">
        <v>1286</v>
      </c>
      <c r="E1011" s="1509"/>
      <c r="F1011" s="1509"/>
      <c r="G1011" s="1509"/>
      <c r="H1011" s="1509"/>
      <c r="I1011" s="1509"/>
      <c r="J1011" s="1509"/>
      <c r="K1011" s="1509"/>
      <c r="L1011" s="1509"/>
      <c r="M1011" s="1509"/>
      <c r="N1011" s="1509"/>
      <c r="O1011" s="1509"/>
      <c r="P1011" s="1509"/>
      <c r="Q1011" s="1509"/>
      <c r="R1011" s="1509"/>
      <c r="S1011" s="1509"/>
      <c r="T1011" s="1509"/>
      <c r="U1011" s="1509"/>
      <c r="V1011" s="1509"/>
      <c r="W1011" s="1509"/>
      <c r="X1011" s="1509"/>
      <c r="Y1011" s="1509"/>
      <c r="Z1011" s="1509"/>
      <c r="AA1011" s="1509"/>
      <c r="AB1011" s="1509"/>
      <c r="AC1011" s="1509"/>
      <c r="AD1011" s="1509"/>
      <c r="AE1011" s="1510"/>
      <c r="AF1011" s="79"/>
      <c r="AG1011" s="1516" t="s">
        <v>669</v>
      </c>
      <c r="AH1011" s="1517"/>
      <c r="AI1011" s="87"/>
      <c r="AJ1011" s="1411">
        <f>ROUND(IF(AG1011="yes",AJ992*0.02,0),0)</f>
        <v>0</v>
      </c>
      <c r="AK1011" s="1412"/>
      <c r="AL1011" s="1412"/>
      <c r="AM1011" s="1412"/>
      <c r="AN1011" s="1412"/>
      <c r="AO1011" s="1412"/>
      <c r="AP1011" s="1412"/>
      <c r="AQ1011" s="1413"/>
      <c r="AR1011" s="68"/>
      <c r="AS1011" s="68"/>
      <c r="AT1011" s="68"/>
      <c r="AU1011" s="68"/>
      <c r="AV1011" s="68"/>
      <c r="AW1011" s="68"/>
      <c r="AX1011" s="68"/>
    </row>
    <row r="1012" spans="1:52" ht="14.25" customHeight="1">
      <c r="A1012" s="14"/>
      <c r="B1012" s="73"/>
      <c r="C1012" s="74"/>
      <c r="D1012" s="1524" t="s">
        <v>1287</v>
      </c>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6"/>
      <c r="AF1012" s="77"/>
      <c r="AG1012" s="7"/>
      <c r="AH1012" s="7"/>
      <c r="AI1012" s="78"/>
      <c r="AJ1012" s="1417"/>
      <c r="AK1012" s="1418"/>
      <c r="AL1012" s="1418"/>
      <c r="AM1012" s="1418"/>
      <c r="AN1012" s="1418"/>
      <c r="AO1012" s="1418"/>
      <c r="AP1012" s="1418"/>
      <c r="AQ1012" s="1419"/>
      <c r="AR1012" s="68"/>
      <c r="AS1012" s="68"/>
      <c r="AT1012" s="68"/>
      <c r="AU1012" s="68"/>
      <c r="AV1012" s="68"/>
      <c r="AW1012" s="68"/>
      <c r="AX1012" s="3" t="s">
        <v>1840</v>
      </c>
      <c r="AZ1012" s="3" t="s">
        <v>2598</v>
      </c>
    </row>
    <row r="1013" spans="1:52" ht="12.95" customHeight="1">
      <c r="A1013" s="14"/>
      <c r="B1013" s="79"/>
      <c r="C1013" s="80" t="s">
        <v>215</v>
      </c>
      <c r="D1013" s="1508" t="s">
        <v>1288</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79"/>
      <c r="AG1013" s="1516" t="s">
        <v>669</v>
      </c>
      <c r="AH1013" s="1517"/>
      <c r="AI1013" s="79"/>
      <c r="AJ1013" s="1411">
        <f>ROUND(IF(AG1013="yes",AJ992*0.02,0),0)</f>
        <v>0</v>
      </c>
      <c r="AK1013" s="1412"/>
      <c r="AL1013" s="1412"/>
      <c r="AM1013" s="1412"/>
      <c r="AN1013" s="1412"/>
      <c r="AO1013" s="1412"/>
      <c r="AP1013" s="1412"/>
      <c r="AQ1013" s="141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21" t="s">
        <v>1289</v>
      </c>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3"/>
      <c r="AF1014" s="1398" t="str">
        <f>IF(AND(AG1013="yes",T212&lt;&gt;1),"The project may not be eligible for this boost","")</f>
        <v/>
      </c>
      <c r="AG1014" s="1399"/>
      <c r="AH1014" s="1399"/>
      <c r="AI1014" s="1400"/>
      <c r="AJ1014" s="1414"/>
      <c r="AK1014" s="1415"/>
      <c r="AL1014" s="1415"/>
      <c r="AM1014" s="1415"/>
      <c r="AN1014" s="1415"/>
      <c r="AO1014" s="1415"/>
      <c r="AP1014" s="1415"/>
      <c r="AQ1014" s="1416"/>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24"/>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6"/>
      <c r="AF1015" s="1401"/>
      <c r="AG1015" s="1402"/>
      <c r="AH1015" s="1402"/>
      <c r="AI1015" s="1403"/>
      <c r="AJ1015" s="1417"/>
      <c r="AK1015" s="1418"/>
      <c r="AL1015" s="1418"/>
      <c r="AM1015" s="1418"/>
      <c r="AN1015" s="1418"/>
      <c r="AO1015" s="1418"/>
      <c r="AP1015" s="1418"/>
      <c r="AQ1015" s="1419"/>
      <c r="AR1015" s="68"/>
      <c r="AS1015" s="68"/>
      <c r="AT1015" s="68"/>
      <c r="AU1015" s="68"/>
      <c r="AV1015" s="68"/>
      <c r="AW1015" s="68"/>
      <c r="AX1015" s="3">
        <v>3</v>
      </c>
      <c r="AY1015" s="200">
        <f t="shared" si="54"/>
        <v>0</v>
      </c>
      <c r="AZ1015" s="1255">
        <v>0.05</v>
      </c>
    </row>
    <row r="1016" spans="1:52" ht="12.95" customHeight="1">
      <c r="A1016" s="14"/>
      <c r="B1016" s="79"/>
      <c r="C1016" s="80" t="s">
        <v>218</v>
      </c>
      <c r="D1016" s="1518" t="s">
        <v>2234</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79"/>
      <c r="AG1016" s="1516" t="s">
        <v>669</v>
      </c>
      <c r="AH1016" s="1517"/>
      <c r="AI1016" s="87"/>
      <c r="AJ1016" s="1411">
        <f>IF(AG1016="yes",AJ992*AY1024,0)</f>
        <v>0</v>
      </c>
      <c r="AK1016" s="1412"/>
      <c r="AL1016" s="1412"/>
      <c r="AM1016" s="1412"/>
      <c r="AN1016" s="1412"/>
      <c r="AO1016" s="1412"/>
      <c r="AP1016" s="1412"/>
      <c r="AQ1016" s="1413"/>
      <c r="AR1016" s="68"/>
      <c r="AS1016" s="68"/>
      <c r="AT1016" s="68"/>
      <c r="AU1016" s="68"/>
      <c r="AV1016" s="68"/>
      <c r="AW1016" s="68"/>
      <c r="AX1016" s="3">
        <v>4</v>
      </c>
      <c r="AY1016" s="200">
        <f t="shared" si="54"/>
        <v>0</v>
      </c>
      <c r="AZ1016" s="1255">
        <v>0.02</v>
      </c>
    </row>
    <row r="1017" spans="1:52" ht="12.95" customHeight="1">
      <c r="A1017" s="14"/>
      <c r="B1017" s="73"/>
      <c r="C1017" s="74"/>
      <c r="D1017" s="1521" t="s">
        <v>1290</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1392" t="str">
        <f>IF(AND(AG1016="Yes",AY1024=0),AY1027,"")</f>
        <v/>
      </c>
      <c r="AG1017" s="1393"/>
      <c r="AH1017" s="1393"/>
      <c r="AI1017" s="1394"/>
      <c r="AJ1017" s="1414"/>
      <c r="AK1017" s="1415"/>
      <c r="AL1017" s="1415"/>
      <c r="AM1017" s="1415"/>
      <c r="AN1017" s="1415"/>
      <c r="AO1017" s="1415"/>
      <c r="AP1017" s="1415"/>
      <c r="AQ1017" s="1416"/>
      <c r="AR1017" s="68"/>
      <c r="AS1017" s="68"/>
      <c r="AT1017" s="68"/>
      <c r="AU1017" s="68"/>
      <c r="AV1017" s="68"/>
      <c r="AW1017" s="68"/>
      <c r="AX1017" s="3">
        <v>5</v>
      </c>
      <c r="AY1017" s="200">
        <f t="shared" si="54"/>
        <v>0</v>
      </c>
      <c r="AZ1017" s="1255">
        <v>0.04</v>
      </c>
    </row>
    <row r="1018" spans="1:52" ht="12.95" customHeight="1">
      <c r="A1018" s="14"/>
      <c r="B1018" s="73"/>
      <c r="C1018" s="74"/>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1392"/>
      <c r="AG1018" s="1393"/>
      <c r="AH1018" s="1393"/>
      <c r="AI1018" s="1394"/>
      <c r="AJ1018" s="1414"/>
      <c r="AK1018" s="1415"/>
      <c r="AL1018" s="1415"/>
      <c r="AM1018" s="1415"/>
      <c r="AN1018" s="1415"/>
      <c r="AO1018" s="1415"/>
      <c r="AP1018" s="1415"/>
      <c r="AQ1018" s="1416"/>
      <c r="AR1018" s="68"/>
      <c r="AS1018" s="68"/>
      <c r="AT1018" s="68"/>
      <c r="AU1018" s="68"/>
      <c r="AV1018" s="68"/>
      <c r="AW1018" s="68"/>
      <c r="AX1018" s="3">
        <v>6</v>
      </c>
      <c r="AY1018" s="200">
        <f t="shared" si="54"/>
        <v>0</v>
      </c>
      <c r="AZ1018" s="1255">
        <v>0.04</v>
      </c>
    </row>
    <row r="1019" spans="1:52" ht="12.95" customHeight="1">
      <c r="A1019" s="14"/>
      <c r="B1019" s="81"/>
      <c r="C1019" s="82"/>
      <c r="D1019" s="1524"/>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6"/>
      <c r="AF1019" s="1395"/>
      <c r="AG1019" s="1396"/>
      <c r="AH1019" s="1396"/>
      <c r="AI1019" s="1397"/>
      <c r="AJ1019" s="1417"/>
      <c r="AK1019" s="1418"/>
      <c r="AL1019" s="1418"/>
      <c r="AM1019" s="1418"/>
      <c r="AN1019" s="1418"/>
      <c r="AO1019" s="1418"/>
      <c r="AP1019" s="1418"/>
      <c r="AQ1019" s="1419"/>
      <c r="AR1019" s="68"/>
      <c r="AS1019" s="68"/>
      <c r="AT1019" s="68"/>
      <c r="AU1019" s="68"/>
      <c r="AV1019" s="68"/>
      <c r="AW1019" s="68"/>
      <c r="AX1019" s="3">
        <v>7</v>
      </c>
      <c r="AY1019" s="200">
        <f t="shared" si="54"/>
        <v>0</v>
      </c>
      <c r="AZ1019" s="1255">
        <v>0.01</v>
      </c>
    </row>
    <row r="1020" spans="1:52" ht="12.95" customHeight="1">
      <c r="A1020" s="14"/>
      <c r="B1020" s="79"/>
      <c r="C1020" s="80" t="s">
        <v>223</v>
      </c>
      <c r="D1020" s="1535" t="s">
        <v>1291</v>
      </c>
      <c r="E1020" s="1536"/>
      <c r="F1020" s="1536"/>
      <c r="G1020" s="1536"/>
      <c r="H1020" s="1536"/>
      <c r="I1020" s="1536"/>
      <c r="J1020" s="1536"/>
      <c r="K1020" s="1536"/>
      <c r="L1020" s="1536"/>
      <c r="M1020" s="1536"/>
      <c r="N1020" s="1536"/>
      <c r="O1020" s="1536"/>
      <c r="P1020" s="1536"/>
      <c r="Q1020" s="1536"/>
      <c r="R1020" s="1536"/>
      <c r="S1020" s="1536"/>
      <c r="T1020" s="1536"/>
      <c r="U1020" s="1536"/>
      <c r="V1020" s="1536"/>
      <c r="W1020" s="1536"/>
      <c r="X1020" s="1536"/>
      <c r="Y1020" s="1536"/>
      <c r="Z1020" s="1536"/>
      <c r="AA1020" s="1536"/>
      <c r="AB1020" s="1536"/>
      <c r="AC1020" s="1536"/>
      <c r="AD1020" s="1536"/>
      <c r="AE1020" s="1537"/>
      <c r="AF1020" s="79"/>
      <c r="AG1020" s="1516" t="s">
        <v>669</v>
      </c>
      <c r="AH1020" s="1517"/>
      <c r="AI1020" s="87"/>
      <c r="AJ1020" s="1411">
        <f>ROUND(IF(AND(AG1020="Yes",J1024&lt;&gt;"N/A",AF1023&lt;&gt;""),MIN(AF1023,(0.15*AJ992)),0),0)</f>
        <v>0</v>
      </c>
      <c r="AK1020" s="1412"/>
      <c r="AL1020" s="1412"/>
      <c r="AM1020" s="1412"/>
      <c r="AN1020" s="1412"/>
      <c r="AO1020" s="1412"/>
      <c r="AP1020" s="1412"/>
      <c r="AQ1020" s="1413"/>
      <c r="AR1020" s="68"/>
      <c r="AS1020" s="68"/>
      <c r="AT1020" s="68"/>
      <c r="AU1020" s="68"/>
      <c r="AV1020" s="68"/>
      <c r="AW1020" s="68"/>
      <c r="AX1020" s="3">
        <v>8</v>
      </c>
      <c r="AY1020" s="200">
        <f t="shared" si="54"/>
        <v>0</v>
      </c>
      <c r="AZ1020" s="1255">
        <v>0.01</v>
      </c>
    </row>
    <row r="1021" spans="1:52" ht="12.95" customHeight="1">
      <c r="A1021" s="14"/>
      <c r="B1021" s="81"/>
      <c r="C1021" s="84"/>
      <c r="D1021" s="1538"/>
      <c r="E1021" s="1539"/>
      <c r="F1021" s="1539"/>
      <c r="G1021" s="1539"/>
      <c r="H1021" s="1539"/>
      <c r="I1021" s="1539"/>
      <c r="J1021" s="1539"/>
      <c r="K1021" s="1539"/>
      <c r="L1021" s="1539"/>
      <c r="M1021" s="1539"/>
      <c r="N1021" s="1539"/>
      <c r="O1021" s="1539"/>
      <c r="P1021" s="1539"/>
      <c r="Q1021" s="1539"/>
      <c r="R1021" s="1539"/>
      <c r="S1021" s="1539"/>
      <c r="T1021" s="1539"/>
      <c r="U1021" s="1539"/>
      <c r="V1021" s="1539"/>
      <c r="W1021" s="1539"/>
      <c r="X1021" s="1539"/>
      <c r="Y1021" s="1539"/>
      <c r="Z1021" s="1539"/>
      <c r="AA1021" s="1539"/>
      <c r="AB1021" s="1539"/>
      <c r="AC1021" s="1539"/>
      <c r="AD1021" s="1539"/>
      <c r="AE1021" s="1540"/>
      <c r="AF1021" s="1527" t="str">
        <f>IF(AG1020="yes","Please Select Type and Enter Amount:","")</f>
        <v/>
      </c>
      <c r="AG1021" s="1528"/>
      <c r="AH1021" s="1528"/>
      <c r="AI1021" s="1529"/>
      <c r="AJ1021" s="1414"/>
      <c r="AK1021" s="1415"/>
      <c r="AL1021" s="1415"/>
      <c r="AM1021" s="1415"/>
      <c r="AN1021" s="1415"/>
      <c r="AO1021" s="1415"/>
      <c r="AP1021" s="1415"/>
      <c r="AQ1021" s="1416"/>
      <c r="AR1021" s="68"/>
      <c r="AS1021" s="68"/>
      <c r="AT1021" s="68"/>
      <c r="AU1021" s="68"/>
      <c r="AV1021" s="68"/>
      <c r="AW1021" s="68"/>
      <c r="AX1021" s="3">
        <v>9</v>
      </c>
      <c r="AY1021" s="200">
        <f t="shared" si="54"/>
        <v>0</v>
      </c>
      <c r="AZ1021" s="1255">
        <v>0.01</v>
      </c>
    </row>
    <row r="1022" spans="1:52" ht="12.95" customHeight="1">
      <c r="A1022" s="14"/>
      <c r="B1022" s="81"/>
      <c r="C1022" s="84"/>
      <c r="D1022" s="1521" t="s">
        <v>1292</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1527"/>
      <c r="AG1022" s="1528"/>
      <c r="AH1022" s="1528"/>
      <c r="AI1022" s="1529"/>
      <c r="AJ1022" s="1414"/>
      <c r="AK1022" s="1415"/>
      <c r="AL1022" s="1415"/>
      <c r="AM1022" s="1415"/>
      <c r="AN1022" s="1415"/>
      <c r="AO1022" s="1415"/>
      <c r="AP1022" s="1415"/>
      <c r="AQ1022" s="1416"/>
      <c r="AR1022" s="68"/>
      <c r="AS1022" s="68"/>
      <c r="AT1022" s="68"/>
      <c r="AU1022" s="68"/>
      <c r="AV1022" s="68"/>
      <c r="AW1022" s="68"/>
      <c r="AX1022" s="3">
        <v>10</v>
      </c>
      <c r="AY1022" s="200">
        <f t="shared" si="54"/>
        <v>0</v>
      </c>
      <c r="AZ1022" s="1255">
        <v>0.02</v>
      </c>
    </row>
    <row r="1023" spans="1:52" ht="12.95" customHeight="1">
      <c r="A1023" s="14"/>
      <c r="B1023" s="81"/>
      <c r="C1023" s="84"/>
      <c r="D1023" s="1521"/>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3"/>
      <c r="AF1023" s="1570"/>
      <c r="AG1023" s="1570"/>
      <c r="AH1023" s="1570"/>
      <c r="AI1023" s="1570"/>
      <c r="AJ1023" s="1414"/>
      <c r="AK1023" s="1415"/>
      <c r="AL1023" s="1415"/>
      <c r="AM1023" s="1415"/>
      <c r="AN1023" s="1415"/>
      <c r="AO1023" s="1415"/>
      <c r="AP1023" s="1415"/>
      <c r="AQ1023" s="1416"/>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99" t="s">
        <v>591</v>
      </c>
      <c r="K1024" s="1500"/>
      <c r="L1024" s="1500"/>
      <c r="M1024" s="1500"/>
      <c r="N1024" s="1500"/>
      <c r="O1024" s="1500"/>
      <c r="P1024" s="1500"/>
      <c r="Q1024" s="1500"/>
      <c r="R1024" s="1500"/>
      <c r="S1024" s="1500"/>
      <c r="T1024" s="1500"/>
      <c r="U1024" s="1500"/>
      <c r="V1024" s="1500"/>
      <c r="W1024" s="1500"/>
      <c r="X1024" s="1500"/>
      <c r="Y1024" s="1500"/>
      <c r="Z1024" s="1500"/>
      <c r="AA1024" s="1500"/>
      <c r="AB1024" s="1500"/>
      <c r="AC1024" s="1500"/>
      <c r="AD1024" s="1500"/>
      <c r="AE1024" s="1501"/>
      <c r="AF1024" s="1570"/>
      <c r="AG1024" s="1570"/>
      <c r="AH1024" s="1570"/>
      <c r="AI1024" s="1570"/>
      <c r="AJ1024" s="1417"/>
      <c r="AK1024" s="1418"/>
      <c r="AL1024" s="1418"/>
      <c r="AM1024" s="1418"/>
      <c r="AN1024" s="1418"/>
      <c r="AO1024" s="1418"/>
      <c r="AP1024" s="1418"/>
      <c r="AQ1024" s="1419"/>
      <c r="AR1024" s="68"/>
      <c r="AS1024" s="68"/>
      <c r="AT1024" s="68"/>
      <c r="AU1024" s="68"/>
      <c r="AV1024" s="68"/>
      <c r="AW1024" s="68"/>
      <c r="AX1024" s="1032" t="s">
        <v>2597</v>
      </c>
      <c r="AY1024" s="201">
        <f>IF(SUM(AY1013:AY1023)&lt;=0.2,SUM(AY1013:AY1023),0.2)</f>
        <v>0</v>
      </c>
    </row>
    <row r="1025" spans="1:57" ht="12.95" customHeight="1">
      <c r="A1025" s="14"/>
      <c r="B1025" s="79"/>
      <c r="C1025" s="80" t="s">
        <v>229</v>
      </c>
      <c r="D1025" s="1508" t="s">
        <v>1293</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79"/>
      <c r="AG1025" s="1516" t="s">
        <v>669</v>
      </c>
      <c r="AH1025" s="1517"/>
      <c r="AI1025" s="87"/>
      <c r="AJ1025" s="1411">
        <f>ROUND(IF(AG1025="Yes",AF1027,0),0)</f>
        <v>0</v>
      </c>
      <c r="AK1025" s="1412"/>
      <c r="AL1025" s="1412"/>
      <c r="AM1025" s="1412"/>
      <c r="AN1025" s="1412"/>
      <c r="AO1025" s="1412"/>
      <c r="AP1025" s="1412"/>
      <c r="AQ1025" s="1413"/>
      <c r="AR1025" s="68"/>
      <c r="AS1025" s="68"/>
      <c r="AT1025" s="68"/>
      <c r="AU1025" s="68"/>
      <c r="AV1025" s="68"/>
      <c r="AW1025" s="68"/>
      <c r="AX1025" s="68"/>
      <c r="AY1025" s="68"/>
    </row>
    <row r="1026" spans="1:57" ht="12.95" customHeight="1">
      <c r="A1026" s="14"/>
      <c r="B1026" s="73"/>
      <c r="C1026" s="74"/>
      <c r="D1026" s="1521" t="s">
        <v>1689</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3"/>
      <c r="AF1026" s="1541" t="str">
        <f>IF(AG1025="yes","Enter Amount:","")</f>
        <v/>
      </c>
      <c r="AG1026" s="1542"/>
      <c r="AH1026" s="1542"/>
      <c r="AI1026" s="1543"/>
      <c r="AJ1026" s="1414"/>
      <c r="AK1026" s="1415"/>
      <c r="AL1026" s="1415"/>
      <c r="AM1026" s="1415"/>
      <c r="AN1026" s="1415"/>
      <c r="AO1026" s="1415"/>
      <c r="AP1026" s="1415"/>
      <c r="AQ1026" s="1416"/>
      <c r="AR1026" s="68"/>
      <c r="AS1026" s="68"/>
      <c r="AT1026" s="68"/>
      <c r="AU1026" s="68"/>
      <c r="AV1026" s="68"/>
      <c r="AW1026" s="68"/>
      <c r="AX1026" s="68"/>
      <c r="AY1026" s="68"/>
    </row>
    <row r="1027" spans="1:57" ht="12.95" customHeight="1">
      <c r="A1027" s="14"/>
      <c r="B1027" s="73"/>
      <c r="C1027" s="74"/>
      <c r="D1027" s="1521"/>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3"/>
      <c r="AF1027" s="1570"/>
      <c r="AG1027" s="1570"/>
      <c r="AH1027" s="1570"/>
      <c r="AI1027" s="1570"/>
      <c r="AJ1027" s="1414"/>
      <c r="AK1027" s="1415"/>
      <c r="AL1027" s="1415"/>
      <c r="AM1027" s="1415"/>
      <c r="AN1027" s="1415"/>
      <c r="AO1027" s="1415"/>
      <c r="AP1027" s="1415"/>
      <c r="AQ1027" s="141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24"/>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6"/>
      <c r="AF1028" s="1570"/>
      <c r="AG1028" s="1570"/>
      <c r="AH1028" s="1570"/>
      <c r="AI1028" s="1570"/>
      <c r="AJ1028" s="1417"/>
      <c r="AK1028" s="1418"/>
      <c r="AL1028" s="1418"/>
      <c r="AM1028" s="1418"/>
      <c r="AN1028" s="1418"/>
      <c r="AO1028" s="1418"/>
      <c r="AP1028" s="1418"/>
      <c r="AQ1028" s="1419"/>
      <c r="AR1028" s="68"/>
      <c r="AS1028" s="68"/>
      <c r="AT1028" s="68"/>
      <c r="AU1028" s="68"/>
      <c r="AV1028" s="68"/>
      <c r="AW1028" s="68"/>
      <c r="AX1028" s="68"/>
      <c r="AY1028" s="68"/>
    </row>
    <row r="1029" spans="1:57" ht="12.95" customHeight="1">
      <c r="A1029" s="14"/>
      <c r="B1029" s="79"/>
      <c r="C1029" s="80" t="s">
        <v>234</v>
      </c>
      <c r="D1029" s="1518" t="s">
        <v>1294</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9"/>
      <c r="AG1029" s="1516" t="s">
        <v>669</v>
      </c>
      <c r="AH1029" s="1517"/>
      <c r="AI1029" s="87"/>
      <c r="AJ1029" s="1411">
        <f>ROUND(IF(AG1029="yes",(AJ992*0.1),0),0)</f>
        <v>0</v>
      </c>
      <c r="AK1029" s="1412"/>
      <c r="AL1029" s="1412"/>
      <c r="AM1029" s="1412"/>
      <c r="AN1029" s="1412"/>
      <c r="AO1029" s="1412"/>
      <c r="AP1029" s="1412"/>
      <c r="AQ1029" s="1413"/>
      <c r="AR1029" s="68"/>
      <c r="AS1029" s="68"/>
      <c r="AT1029" s="68"/>
      <c r="AU1029" s="68"/>
      <c r="AV1029" s="68"/>
      <c r="AW1029" s="68"/>
      <c r="AX1029" s="68"/>
      <c r="AY1029" s="68"/>
    </row>
    <row r="1030" spans="1:57" ht="12.95" customHeight="1">
      <c r="A1030" s="14"/>
      <c r="B1030" s="73"/>
      <c r="C1030" s="74"/>
      <c r="D1030" s="1521" t="s">
        <v>1295</v>
      </c>
      <c r="E1030" s="1522"/>
      <c r="F1030" s="1522"/>
      <c r="G1030" s="1522"/>
      <c r="H1030" s="1522"/>
      <c r="I1030" s="1522"/>
      <c r="J1030" s="1522"/>
      <c r="K1030" s="1522"/>
      <c r="L1030" s="1522"/>
      <c r="M1030" s="1522"/>
      <c r="N1030" s="1522"/>
      <c r="O1030" s="1522"/>
      <c r="P1030" s="1522"/>
      <c r="Q1030" s="1522"/>
      <c r="R1030" s="1522"/>
      <c r="S1030" s="1522"/>
      <c r="T1030" s="1522"/>
      <c r="U1030" s="1522"/>
      <c r="V1030" s="1522"/>
      <c r="W1030" s="1522"/>
      <c r="X1030" s="1522"/>
      <c r="Y1030" s="1522"/>
      <c r="Z1030" s="1522"/>
      <c r="AA1030" s="1522"/>
      <c r="AB1030" s="1522"/>
      <c r="AC1030" s="1522"/>
      <c r="AD1030" s="1522"/>
      <c r="AE1030" s="1523"/>
      <c r="AF1030" s="73"/>
      <c r="AG1030" s="14"/>
      <c r="AH1030" s="14"/>
      <c r="AI1030" s="83"/>
      <c r="AJ1030" s="1414"/>
      <c r="AK1030" s="1415"/>
      <c r="AL1030" s="1415"/>
      <c r="AM1030" s="1415"/>
      <c r="AN1030" s="1415"/>
      <c r="AO1030" s="1415"/>
      <c r="AP1030" s="1415"/>
      <c r="AQ1030" s="1416"/>
      <c r="AR1030" s="68"/>
      <c r="AS1030" s="68"/>
      <c r="AT1030" s="68"/>
      <c r="AU1030" s="68"/>
      <c r="AV1030" s="68"/>
      <c r="AW1030" s="68"/>
      <c r="AX1030" s="68"/>
      <c r="AY1030" s="68"/>
    </row>
    <row r="1031" spans="1:57" ht="12.95" customHeight="1">
      <c r="A1031" s="14"/>
      <c r="B1031" s="77"/>
      <c r="C1031" s="74"/>
      <c r="D1031" s="1524"/>
      <c r="E1031" s="1525"/>
      <c r="F1031" s="1525"/>
      <c r="G1031" s="1525"/>
      <c r="H1031" s="1525"/>
      <c r="I1031" s="1525"/>
      <c r="J1031" s="1525"/>
      <c r="K1031" s="1525"/>
      <c r="L1031" s="1525"/>
      <c r="M1031" s="1525"/>
      <c r="N1031" s="1525"/>
      <c r="O1031" s="1525"/>
      <c r="P1031" s="1525"/>
      <c r="Q1031" s="1525"/>
      <c r="R1031" s="1525"/>
      <c r="S1031" s="1525"/>
      <c r="T1031" s="1525"/>
      <c r="U1031" s="1525"/>
      <c r="V1031" s="1525"/>
      <c r="W1031" s="1525"/>
      <c r="X1031" s="1525"/>
      <c r="Y1031" s="1525"/>
      <c r="Z1031" s="1525"/>
      <c r="AA1031" s="1525"/>
      <c r="AB1031" s="1525"/>
      <c r="AC1031" s="1525"/>
      <c r="AD1031" s="1525"/>
      <c r="AE1031" s="1526"/>
      <c r="AF1031" s="73"/>
      <c r="AG1031" s="14"/>
      <c r="AH1031" s="14"/>
      <c r="AI1031" s="83"/>
      <c r="AJ1031" s="1417"/>
      <c r="AK1031" s="1418"/>
      <c r="AL1031" s="1418"/>
      <c r="AM1031" s="1418"/>
      <c r="AN1031" s="1418"/>
      <c r="AO1031" s="1418"/>
      <c r="AP1031" s="1418"/>
      <c r="AQ1031" s="1419"/>
      <c r="AR1031" s="68"/>
      <c r="AS1031" s="68"/>
      <c r="AT1031" s="68"/>
      <c r="AU1031" s="68"/>
      <c r="AV1031" s="68"/>
      <c r="AW1031" s="68"/>
      <c r="AX1031" s="68"/>
      <c r="AY1031" s="68"/>
    </row>
    <row r="1032" spans="1:57" ht="12.95" customHeight="1">
      <c r="A1032" s="14"/>
      <c r="B1032" s="73"/>
      <c r="C1032" s="339" t="s">
        <v>687</v>
      </c>
      <c r="D1032" s="1508" t="s">
        <v>1685</v>
      </c>
      <c r="E1032" s="1509"/>
      <c r="F1032" s="1509"/>
      <c r="G1032" s="1509"/>
      <c r="H1032" s="1509"/>
      <c r="I1032" s="1509"/>
      <c r="J1032" s="1509"/>
      <c r="K1032" s="1509"/>
      <c r="L1032" s="1509"/>
      <c r="M1032" s="1509"/>
      <c r="N1032" s="1509"/>
      <c r="O1032" s="1509"/>
      <c r="P1032" s="1509"/>
      <c r="Q1032" s="1509"/>
      <c r="R1032" s="1509"/>
      <c r="S1032" s="1509"/>
      <c r="T1032" s="1509"/>
      <c r="U1032" s="1509"/>
      <c r="V1032" s="1509"/>
      <c r="W1032" s="1509"/>
      <c r="X1032" s="1509"/>
      <c r="Y1032" s="1509"/>
      <c r="Z1032" s="1509"/>
      <c r="AA1032" s="1509"/>
      <c r="AB1032" s="1509"/>
      <c r="AC1032" s="1509"/>
      <c r="AD1032" s="1509"/>
      <c r="AE1032" s="1510"/>
      <c r="AF1032" s="79"/>
      <c r="AG1032" s="1516" t="s">
        <v>669</v>
      </c>
      <c r="AH1032" s="1517"/>
      <c r="AI1032" s="87"/>
      <c r="AJ1032" s="1411">
        <f>ROUND(IF(AG1032="yes",(AJ992*0.15),0),0)</f>
        <v>0</v>
      </c>
      <c r="AK1032" s="1412"/>
      <c r="AL1032" s="1412"/>
      <c r="AM1032" s="1412"/>
      <c r="AN1032" s="1412"/>
      <c r="AO1032" s="1412"/>
      <c r="AP1032" s="1412"/>
      <c r="AQ1032" s="1413"/>
      <c r="AR1032" s="68"/>
      <c r="AS1032" s="68"/>
      <c r="AT1032" s="68"/>
      <c r="AU1032" s="68"/>
      <c r="AV1032" s="68"/>
      <c r="AW1032" s="68"/>
      <c r="AX1032" s="68"/>
      <c r="AY1032" s="68"/>
    </row>
    <row r="1033" spans="1:57" ht="12.95" customHeight="1">
      <c r="A1033" s="14"/>
      <c r="B1033" s="73"/>
      <c r="C1033" s="74"/>
      <c r="D1033" s="1530"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31"/>
      <c r="AF1033" s="915"/>
      <c r="AG1033" s="916"/>
      <c r="AH1033" s="916"/>
      <c r="AI1033" s="917"/>
      <c r="AJ1033" s="1414"/>
      <c r="AK1033" s="1415"/>
      <c r="AL1033" s="1415"/>
      <c r="AM1033" s="1415"/>
      <c r="AN1033" s="1415"/>
      <c r="AO1033" s="1415"/>
      <c r="AP1033" s="1415"/>
      <c r="AQ1033" s="1416"/>
      <c r="AR1033" s="68"/>
      <c r="AS1033" s="68"/>
      <c r="AT1033" s="68"/>
      <c r="AU1033" s="68"/>
      <c r="AV1033" s="68"/>
      <c r="AW1033" s="68"/>
      <c r="AX1033" s="68"/>
      <c r="AY1033" s="68"/>
    </row>
    <row r="1034" spans="1:57" ht="12.95" customHeight="1">
      <c r="A1034" s="14"/>
      <c r="B1034" s="73"/>
      <c r="C1034" s="74"/>
      <c r="D1034" s="1530"/>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31"/>
      <c r="AF1034" s="915"/>
      <c r="AG1034" s="916"/>
      <c r="AH1034" s="916"/>
      <c r="AI1034" s="917"/>
      <c r="AJ1034" s="1414"/>
      <c r="AK1034" s="1415"/>
      <c r="AL1034" s="1415"/>
      <c r="AM1034" s="1415"/>
      <c r="AN1034" s="1415"/>
      <c r="AO1034" s="1415"/>
      <c r="AP1034" s="1415"/>
      <c r="AQ1034" s="1416"/>
      <c r="AR1034" s="68"/>
      <c r="AS1034" s="68"/>
      <c r="AT1034" s="68"/>
      <c r="AU1034" s="68"/>
      <c r="AV1034" s="68"/>
      <c r="AW1034" s="68"/>
      <c r="AX1034" s="68"/>
      <c r="AY1034" s="68"/>
    </row>
    <row r="1035" spans="1:57" ht="12.95" customHeight="1">
      <c r="A1035" s="14"/>
      <c r="B1035" s="73"/>
      <c r="C1035" s="74"/>
      <c r="D1035" s="1532"/>
      <c r="E1035" s="1533"/>
      <c r="F1035" s="1533"/>
      <c r="G1035" s="1533"/>
      <c r="H1035" s="1533"/>
      <c r="I1035" s="1533"/>
      <c r="J1035" s="1533"/>
      <c r="K1035" s="1533"/>
      <c r="L1035" s="1533"/>
      <c r="M1035" s="1533"/>
      <c r="N1035" s="1533"/>
      <c r="O1035" s="1533"/>
      <c r="P1035" s="1533"/>
      <c r="Q1035" s="1533"/>
      <c r="R1035" s="1533"/>
      <c r="S1035" s="1533"/>
      <c r="T1035" s="1533"/>
      <c r="U1035" s="1533"/>
      <c r="V1035" s="1533"/>
      <c r="W1035" s="1533"/>
      <c r="X1035" s="1533"/>
      <c r="Y1035" s="1533"/>
      <c r="Z1035" s="1533"/>
      <c r="AA1035" s="1533"/>
      <c r="AB1035" s="1533"/>
      <c r="AC1035" s="1533"/>
      <c r="AD1035" s="1533"/>
      <c r="AE1035" s="1534"/>
      <c r="AF1035" s="918"/>
      <c r="AG1035" s="919"/>
      <c r="AH1035" s="919"/>
      <c r="AI1035" s="920"/>
      <c r="AJ1035" s="1417"/>
      <c r="AK1035" s="1418"/>
      <c r="AL1035" s="1418"/>
      <c r="AM1035" s="1418"/>
      <c r="AN1035" s="1418"/>
      <c r="AO1035" s="1418"/>
      <c r="AP1035" s="1418"/>
      <c r="AQ1035" s="1419"/>
      <c r="AR1035" s="68"/>
      <c r="AS1035" s="68"/>
      <c r="AT1035" s="68"/>
      <c r="AU1035" s="68"/>
      <c r="AV1035" s="68"/>
      <c r="AW1035" s="68"/>
      <c r="AX1035" s="68"/>
      <c r="AY1035" s="68"/>
    </row>
    <row r="1036" spans="1:57" ht="12.95" customHeight="1">
      <c r="A1036" s="14"/>
      <c r="B1036" s="73"/>
      <c r="C1036" s="339" t="s">
        <v>687</v>
      </c>
      <c r="D1036" s="1518" t="s">
        <v>1687</v>
      </c>
      <c r="E1036" s="1519"/>
      <c r="F1036" s="1519"/>
      <c r="G1036" s="1519"/>
      <c r="H1036" s="1519"/>
      <c r="I1036" s="1519"/>
      <c r="J1036" s="1519"/>
      <c r="K1036" s="1519"/>
      <c r="L1036" s="1519"/>
      <c r="M1036" s="1519"/>
      <c r="N1036" s="1519"/>
      <c r="O1036" s="1519"/>
      <c r="P1036" s="1519"/>
      <c r="Q1036" s="1519"/>
      <c r="R1036" s="1519"/>
      <c r="S1036" s="1519"/>
      <c r="T1036" s="1519"/>
      <c r="U1036" s="1519"/>
      <c r="V1036" s="1519"/>
      <c r="W1036" s="1519"/>
      <c r="X1036" s="1519"/>
      <c r="Y1036" s="1519"/>
      <c r="Z1036" s="1519"/>
      <c r="AA1036" s="1519"/>
      <c r="AB1036" s="1519"/>
      <c r="AC1036" s="1519"/>
      <c r="AD1036" s="1519"/>
      <c r="AE1036" s="1520"/>
      <c r="AF1036" s="73"/>
      <c r="AG1036" s="1596" t="s">
        <v>669</v>
      </c>
      <c r="AH1036" s="1597"/>
      <c r="AI1036" s="83"/>
      <c r="AJ1036" s="1411">
        <f>ROUND(IF(AND(AG1036="yes",AJ1032=0),(AJ992*0.1),0),0)</f>
        <v>0</v>
      </c>
      <c r="AK1036" s="1412"/>
      <c r="AL1036" s="1412"/>
      <c r="AM1036" s="1412"/>
      <c r="AN1036" s="1412"/>
      <c r="AO1036" s="1412"/>
      <c r="AP1036" s="1412"/>
      <c r="AQ1036" s="1413"/>
      <c r="AR1036" s="68"/>
      <c r="AS1036" s="68"/>
      <c r="AT1036" s="68"/>
      <c r="AU1036" s="68"/>
      <c r="AV1036" s="68"/>
      <c r="AW1036" s="68"/>
      <c r="AX1036" s="68"/>
      <c r="AY1036" s="68"/>
    </row>
    <row r="1037" spans="1:57" ht="12.95" customHeight="1">
      <c r="A1037" s="14"/>
      <c r="B1037" s="73"/>
      <c r="C1037" s="74"/>
      <c r="D1037" s="1530"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31"/>
      <c r="AF1037" s="73"/>
      <c r="AG1037" s="14"/>
      <c r="AH1037" s="14"/>
      <c r="AI1037" s="83"/>
      <c r="AJ1037" s="1414"/>
      <c r="AK1037" s="1415"/>
      <c r="AL1037" s="1415"/>
      <c r="AM1037" s="1415"/>
      <c r="AN1037" s="1415"/>
      <c r="AO1037" s="1415"/>
      <c r="AP1037" s="1415"/>
      <c r="AQ1037" s="1416"/>
      <c r="AR1037" s="68"/>
      <c r="AS1037" s="68"/>
      <c r="AT1037" s="68"/>
      <c r="AU1037" s="68"/>
      <c r="AV1037" s="68"/>
      <c r="AW1037" s="68"/>
      <c r="AX1037" s="68"/>
      <c r="AY1037" s="68"/>
    </row>
    <row r="1038" spans="1:57" ht="12.95" customHeight="1">
      <c r="A1038" s="14"/>
      <c r="B1038" s="73"/>
      <c r="C1038" s="74"/>
      <c r="D1038" s="1530"/>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31"/>
      <c r="AF1038" s="73"/>
      <c r="AG1038" s="14"/>
      <c r="AH1038" s="14"/>
      <c r="AI1038" s="83"/>
      <c r="AJ1038" s="1414"/>
      <c r="AK1038" s="1415"/>
      <c r="AL1038" s="1415"/>
      <c r="AM1038" s="1415"/>
      <c r="AN1038" s="1415"/>
      <c r="AO1038" s="1415"/>
      <c r="AP1038" s="1415"/>
      <c r="AQ1038" s="1416"/>
      <c r="AR1038" s="68"/>
      <c r="AS1038" s="68"/>
      <c r="AT1038" s="68"/>
      <c r="AU1038" s="68"/>
      <c r="AV1038" s="68"/>
      <c r="AW1038" s="68"/>
      <c r="AX1038" s="68"/>
      <c r="AY1038" s="68"/>
      <c r="BA1038" s="1183">
        <f>IFERROR(('Sources and Uses Budget'!$C$17+'Sources and Uses Budget'!$C$18+'Sources and Uses Budget'!$C$22)/$AG$437,0)</f>
        <v>70916.666666666672</v>
      </c>
      <c r="BB1038" s="1183" t="s">
        <v>2480</v>
      </c>
      <c r="BC1038" s="1183"/>
      <c r="BD1038" s="1183"/>
      <c r="BE1038" s="1183"/>
    </row>
    <row r="1039" spans="1:57" ht="12.95" customHeight="1">
      <c r="A1039" s="14"/>
      <c r="B1039" s="73"/>
      <c r="C1039" s="74"/>
      <c r="D1039" s="1530"/>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31"/>
      <c r="AF1039" s="73"/>
      <c r="AG1039" s="14"/>
      <c r="AH1039" s="14"/>
      <c r="AI1039" s="83"/>
      <c r="AJ1039" s="1414"/>
      <c r="AK1039" s="1415"/>
      <c r="AL1039" s="1415"/>
      <c r="AM1039" s="1415"/>
      <c r="AN1039" s="1415"/>
      <c r="AO1039" s="1415"/>
      <c r="AP1039" s="1415"/>
      <c r="AQ1039" s="1416"/>
      <c r="AR1039" s="68"/>
      <c r="AS1039" s="68"/>
      <c r="AT1039" s="68"/>
      <c r="AU1039" s="68"/>
      <c r="AV1039" s="68"/>
      <c r="AW1039" s="68"/>
      <c r="AX1039" s="68"/>
      <c r="AY1039" s="68"/>
      <c r="BA1039">
        <f>IFERROR((($CI$753+$CM$753)/$AG$440),0)</f>
        <v>0.23943661971830985</v>
      </c>
      <c r="BB1039" s="3" t="s">
        <v>2484</v>
      </c>
    </row>
    <row r="1040" spans="1:57" ht="12.95" customHeight="1">
      <c r="A1040" s="14"/>
      <c r="B1040" s="73"/>
      <c r="C1040" s="74"/>
      <c r="D1040" s="1532"/>
      <c r="E1040" s="1533"/>
      <c r="F1040" s="1533"/>
      <c r="G1040" s="1533"/>
      <c r="H1040" s="1533"/>
      <c r="I1040" s="1533"/>
      <c r="J1040" s="1533"/>
      <c r="K1040" s="1533"/>
      <c r="L1040" s="1533"/>
      <c r="M1040" s="1533"/>
      <c r="N1040" s="1533"/>
      <c r="O1040" s="1533"/>
      <c r="P1040" s="1533"/>
      <c r="Q1040" s="1533"/>
      <c r="R1040" s="1533"/>
      <c r="S1040" s="1533"/>
      <c r="T1040" s="1533"/>
      <c r="U1040" s="1533"/>
      <c r="V1040" s="1533"/>
      <c r="W1040" s="1533"/>
      <c r="X1040" s="1533"/>
      <c r="Y1040" s="1533"/>
      <c r="Z1040" s="1533"/>
      <c r="AA1040" s="1533"/>
      <c r="AB1040" s="1533"/>
      <c r="AC1040" s="1533"/>
      <c r="AD1040" s="1533"/>
      <c r="AE1040" s="1534"/>
      <c r="AF1040" s="73"/>
      <c r="AG1040" s="14"/>
      <c r="AH1040" s="14"/>
      <c r="AI1040" s="83"/>
      <c r="AJ1040" s="1414"/>
      <c r="AK1040" s="1415"/>
      <c r="AL1040" s="1415"/>
      <c r="AM1040" s="1415"/>
      <c r="AN1040" s="1415"/>
      <c r="AO1040" s="1415"/>
      <c r="AP1040" s="1415"/>
      <c r="AQ1040" s="1416"/>
      <c r="AR1040" s="68"/>
      <c r="AS1040" s="68"/>
      <c r="AT1040" s="68"/>
      <c r="AU1040" s="68"/>
      <c r="AV1040" s="68"/>
      <c r="AW1040" s="68"/>
      <c r="AX1040" s="68"/>
      <c r="AY1040" s="68"/>
      <c r="BA1040" t="b">
        <f>'Points System'!AJ164="Yes"</f>
        <v>0</v>
      </c>
      <c r="BB1040" s="3" t="s">
        <v>2481</v>
      </c>
    </row>
    <row r="1041" spans="1:56" ht="12.95" customHeight="1">
      <c r="A1041" s="14"/>
      <c r="B1041" s="79"/>
      <c r="C1041" s="131" t="s">
        <v>1009</v>
      </c>
      <c r="D1041" s="1508" t="s">
        <v>1296</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9"/>
      <c r="AG1041" s="1516" t="s">
        <v>669</v>
      </c>
      <c r="AH1041" s="1517"/>
      <c r="AI1041" s="87"/>
      <c r="AJ1041" s="1411">
        <f>ROUND(IF(AG1041="yes",(AJ992*0.1),0),0)</f>
        <v>0</v>
      </c>
      <c r="AK1041" s="1412"/>
      <c r="AL1041" s="1412"/>
      <c r="AM1041" s="1412"/>
      <c r="AN1041" s="1412"/>
      <c r="AO1041" s="1412"/>
      <c r="AP1041" s="1412"/>
      <c r="AQ1041" s="1413"/>
      <c r="AR1041" s="68"/>
      <c r="AS1041" s="68"/>
      <c r="AT1041" s="68"/>
      <c r="AU1041" s="68"/>
      <c r="AV1041" s="68"/>
      <c r="AW1041" s="68"/>
      <c r="AX1041" s="68"/>
      <c r="AY1041" s="68"/>
      <c r="BA1041">
        <f>Q212</f>
        <v>0</v>
      </c>
      <c r="BB1041" s="3" t="s">
        <v>2482</v>
      </c>
    </row>
    <row r="1042" spans="1:56" ht="12.95" customHeight="1">
      <c r="A1042" s="14"/>
      <c r="B1042" s="73"/>
      <c r="C1042" s="74"/>
      <c r="D1042" s="1521" t="s">
        <v>2143</v>
      </c>
      <c r="E1042" s="1522"/>
      <c r="F1042" s="1522"/>
      <c r="G1042" s="1522"/>
      <c r="H1042" s="1522"/>
      <c r="I1042" s="1522"/>
      <c r="J1042" s="1522"/>
      <c r="K1042" s="1522"/>
      <c r="L1042" s="1522"/>
      <c r="M1042" s="1522"/>
      <c r="N1042" s="1522"/>
      <c r="O1042" s="1522"/>
      <c r="P1042" s="1522"/>
      <c r="Q1042" s="1522"/>
      <c r="R1042" s="1522"/>
      <c r="S1042" s="1522"/>
      <c r="T1042" s="1522"/>
      <c r="U1042" s="1522"/>
      <c r="V1042" s="1522"/>
      <c r="W1042" s="1522"/>
      <c r="X1042" s="1522"/>
      <c r="Y1042" s="1522"/>
      <c r="Z1042" s="1522"/>
      <c r="AA1042" s="1522"/>
      <c r="AB1042" s="1522"/>
      <c r="AC1042" s="1522"/>
      <c r="AD1042" s="1522"/>
      <c r="AE1042" s="1523"/>
      <c r="AF1042" s="73"/>
      <c r="AG1042" s="14"/>
      <c r="AH1042" s="14"/>
      <c r="AI1042" s="83"/>
      <c r="AJ1042" s="1414"/>
      <c r="AK1042" s="1415"/>
      <c r="AL1042" s="1415"/>
      <c r="AM1042" s="1415"/>
      <c r="AN1042" s="1415"/>
      <c r="AO1042" s="1415"/>
      <c r="AP1042" s="1415"/>
      <c r="AQ1042" s="1416"/>
      <c r="AR1042" s="68"/>
      <c r="AS1042" s="68"/>
      <c r="AT1042" s="68"/>
      <c r="AU1042" s="68"/>
      <c r="AV1042" s="68"/>
      <c r="AW1042" s="68"/>
      <c r="AX1042" s="68"/>
      <c r="AY1042" s="68"/>
      <c r="BA1042" s="1184">
        <f>T212</f>
        <v>0</v>
      </c>
      <c r="BB1042" s="3" t="s">
        <v>2483</v>
      </c>
    </row>
    <row r="1043" spans="1:56" ht="12.95" customHeight="1">
      <c r="A1043" s="14"/>
      <c r="B1043" s="73"/>
      <c r="C1043" s="74"/>
      <c r="D1043" s="1521"/>
      <c r="E1043" s="1522"/>
      <c r="F1043" s="1522"/>
      <c r="G1043" s="1522"/>
      <c r="H1043" s="1522"/>
      <c r="I1043" s="1522"/>
      <c r="J1043" s="1522"/>
      <c r="K1043" s="1522"/>
      <c r="L1043" s="1522"/>
      <c r="M1043" s="1522"/>
      <c r="N1043" s="1522"/>
      <c r="O1043" s="1522"/>
      <c r="P1043" s="1522"/>
      <c r="Q1043" s="1522"/>
      <c r="R1043" s="1522"/>
      <c r="S1043" s="1522"/>
      <c r="T1043" s="1522"/>
      <c r="U1043" s="1522"/>
      <c r="V1043" s="1522"/>
      <c r="W1043" s="1522"/>
      <c r="X1043" s="1522"/>
      <c r="Y1043" s="1522"/>
      <c r="Z1043" s="1522"/>
      <c r="AA1043" s="1522"/>
      <c r="AB1043" s="1522"/>
      <c r="AC1043" s="1522"/>
      <c r="AD1043" s="1522"/>
      <c r="AE1043" s="1523"/>
      <c r="AF1043" s="73"/>
      <c r="AG1043" s="14"/>
      <c r="AH1043" s="14"/>
      <c r="AI1043" s="83"/>
      <c r="AJ1043" s="1414"/>
      <c r="AK1043" s="1415"/>
      <c r="AL1043" s="1415"/>
      <c r="AM1043" s="1415"/>
      <c r="AN1043" s="1415"/>
      <c r="AO1043" s="1415"/>
      <c r="AP1043" s="1415"/>
      <c r="AQ1043" s="1416"/>
      <c r="AR1043" s="68"/>
      <c r="AS1043" s="68"/>
      <c r="AT1043" s="68"/>
      <c r="AU1043" s="68"/>
      <c r="AV1043" s="68"/>
      <c r="AW1043" s="68"/>
      <c r="AX1043" s="68"/>
      <c r="AY1043" s="68"/>
    </row>
    <row r="1044" spans="1:56" ht="12.95" customHeight="1">
      <c r="A1044" s="14"/>
      <c r="B1044" s="73"/>
      <c r="C1044" s="74"/>
      <c r="D1044" s="1524"/>
      <c r="E1044" s="1525"/>
      <c r="F1044" s="1525"/>
      <c r="G1044" s="1525"/>
      <c r="H1044" s="1525"/>
      <c r="I1044" s="1525"/>
      <c r="J1044" s="1525"/>
      <c r="K1044" s="1525"/>
      <c r="L1044" s="1525"/>
      <c r="M1044" s="1525"/>
      <c r="N1044" s="1525"/>
      <c r="O1044" s="1525"/>
      <c r="P1044" s="1525"/>
      <c r="Q1044" s="1525"/>
      <c r="R1044" s="1525"/>
      <c r="S1044" s="1525"/>
      <c r="T1044" s="1525"/>
      <c r="U1044" s="1525"/>
      <c r="V1044" s="1525"/>
      <c r="W1044" s="1525"/>
      <c r="X1044" s="1525"/>
      <c r="Y1044" s="1525"/>
      <c r="Z1044" s="1525"/>
      <c r="AA1044" s="1525"/>
      <c r="AB1044" s="1525"/>
      <c r="AC1044" s="1525"/>
      <c r="AD1044" s="1525"/>
      <c r="AE1044" s="1526"/>
      <c r="AF1044" s="73"/>
      <c r="AG1044" s="14"/>
      <c r="AH1044" s="14"/>
      <c r="AI1044" s="83"/>
      <c r="AJ1044" s="1417"/>
      <c r="AK1044" s="1418"/>
      <c r="AL1044" s="1418"/>
      <c r="AM1044" s="1418"/>
      <c r="AN1044" s="1418"/>
      <c r="AO1044" s="1418"/>
      <c r="AP1044" s="1418"/>
      <c r="AQ1044" s="1419"/>
      <c r="AR1044" s="68"/>
      <c r="AS1044" s="68"/>
      <c r="AT1044" s="68"/>
      <c r="AU1044" s="68"/>
      <c r="AV1044" s="68"/>
      <c r="AW1044" s="68"/>
      <c r="AX1044" s="68"/>
      <c r="AY1044" s="68"/>
    </row>
    <row r="1045" spans="1:56" ht="12.95" customHeight="1">
      <c r="A1045" s="14"/>
      <c r="B1045" s="79"/>
      <c r="C1045" s="131" t="s">
        <v>1683</v>
      </c>
      <c r="D1045" s="1518" t="s">
        <v>1863</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9"/>
      <c r="AG1045" s="1586" t="str">
        <f>IF(X1048&gt;0,"Yes","No")</f>
        <v>Yes</v>
      </c>
      <c r="AH1045" s="1587"/>
      <c r="AI1045" s="87"/>
      <c r="AJ1045" s="1411">
        <f>IF((X1048=0),0,AY1005*AJ992)</f>
        <v>6448159.2000000002</v>
      </c>
      <c r="AK1045" s="1412"/>
      <c r="AL1045" s="1412"/>
      <c r="AM1045" s="1412"/>
      <c r="AN1045" s="1412"/>
      <c r="AO1045" s="1412"/>
      <c r="AP1045" s="1412"/>
      <c r="AQ1045" s="141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2469</v>
      </c>
      <c r="BB1045" s="3"/>
      <c r="BC1045" s="3"/>
      <c r="BD1045" s="3"/>
    </row>
    <row r="1046" spans="1:56" ht="12.95" customHeight="1">
      <c r="A1046" s="14"/>
      <c r="B1046" s="73"/>
      <c r="C1046" s="442"/>
      <c r="D1046" s="1521" t="s">
        <v>1298</v>
      </c>
      <c r="E1046" s="1522"/>
      <c r="F1046" s="1522"/>
      <c r="G1046" s="1522"/>
      <c r="H1046" s="1522"/>
      <c r="I1046" s="1522"/>
      <c r="J1046" s="1522"/>
      <c r="K1046" s="1522"/>
      <c r="L1046" s="1522"/>
      <c r="M1046" s="1522"/>
      <c r="N1046" s="1522"/>
      <c r="O1046" s="1522"/>
      <c r="P1046" s="1522"/>
      <c r="Q1046" s="1522"/>
      <c r="R1046" s="1522"/>
      <c r="S1046" s="1522"/>
      <c r="T1046" s="1522"/>
      <c r="U1046" s="1522"/>
      <c r="V1046" s="1522"/>
      <c r="W1046" s="1522"/>
      <c r="X1046" s="1522"/>
      <c r="Y1046" s="1522"/>
      <c r="Z1046" s="1522"/>
      <c r="AA1046" s="1522"/>
      <c r="AB1046" s="1522"/>
      <c r="AC1046" s="1522"/>
      <c r="AD1046" s="1522"/>
      <c r="AE1046" s="1523"/>
      <c r="AF1046" s="73"/>
      <c r="AG1046" s="443"/>
      <c r="AH1046" s="443"/>
      <c r="AI1046" s="83"/>
      <c r="AJ1046" s="1414"/>
      <c r="AK1046" s="1415"/>
      <c r="AL1046" s="1415"/>
      <c r="AM1046" s="1415"/>
      <c r="AN1046" s="1415"/>
      <c r="AO1046" s="1415"/>
      <c r="AP1046" s="1415"/>
      <c r="AQ1046" s="1416"/>
      <c r="AR1046" s="68"/>
      <c r="AS1046" s="68"/>
      <c r="AT1046" s="68"/>
      <c r="AU1046" s="13"/>
      <c r="AV1046" s="68"/>
      <c r="AW1046" s="68"/>
      <c r="AX1046" s="68"/>
      <c r="AY1046" s="68"/>
      <c r="AZ1046" s="962">
        <f>'Sources and Uses Budget'!S97*BA1046</f>
        <v>1403270.25</v>
      </c>
      <c r="BA1046" s="1182">
        <f>IF(BA1040,20%,15%)</f>
        <v>0.15</v>
      </c>
      <c r="BB1046" s="3" t="s">
        <v>2470</v>
      </c>
      <c r="BC1046" s="3" t="s">
        <v>2471</v>
      </c>
      <c r="BD1046" s="3"/>
    </row>
    <row r="1047" spans="1:56" ht="12.95" customHeight="1">
      <c r="A1047" s="14"/>
      <c r="B1047" s="73"/>
      <c r="C1047" s="442"/>
      <c r="D1047" s="1521"/>
      <c r="E1047" s="1522"/>
      <c r="F1047" s="1522"/>
      <c r="G1047" s="1522"/>
      <c r="H1047" s="1522"/>
      <c r="I1047" s="1522"/>
      <c r="J1047" s="1522"/>
      <c r="K1047" s="1522"/>
      <c r="L1047" s="1522"/>
      <c r="M1047" s="1522"/>
      <c r="N1047" s="1522"/>
      <c r="O1047" s="1522"/>
      <c r="P1047" s="1522"/>
      <c r="Q1047" s="1522"/>
      <c r="R1047" s="1522"/>
      <c r="S1047" s="1522"/>
      <c r="T1047" s="1522"/>
      <c r="U1047" s="1522"/>
      <c r="V1047" s="1522"/>
      <c r="W1047" s="1522"/>
      <c r="X1047" s="1522"/>
      <c r="Y1047" s="1522"/>
      <c r="Z1047" s="1522"/>
      <c r="AA1047" s="1522"/>
      <c r="AB1047" s="1522"/>
      <c r="AC1047" s="1522"/>
      <c r="AD1047" s="1522"/>
      <c r="AE1047" s="1523"/>
      <c r="AF1047" s="73"/>
      <c r="AG1047" s="443"/>
      <c r="AH1047" s="443"/>
      <c r="AI1047" s="83"/>
      <c r="AJ1047" s="1414"/>
      <c r="AK1047" s="1415"/>
      <c r="AL1047" s="1415"/>
      <c r="AM1047" s="1415"/>
      <c r="AN1047" s="1415"/>
      <c r="AO1047" s="1415"/>
      <c r="AP1047" s="1415"/>
      <c r="AQ1047" s="1416"/>
      <c r="AR1047" s="68"/>
      <c r="AS1047" s="68"/>
      <c r="AT1047" s="68"/>
      <c r="AU1047" s="13"/>
      <c r="AV1047" s="68"/>
      <c r="AW1047" s="68"/>
      <c r="AX1047" s="68"/>
      <c r="AY1047" s="68"/>
      <c r="AZ1047" s="962">
        <f>IF(M356="N/A",0,'Sources and Uses Budget'!T97*BA1047)</f>
        <v>0</v>
      </c>
      <c r="BA1047" s="1182">
        <v>0.15</v>
      </c>
      <c r="BB1047" s="3" t="s">
        <v>2470</v>
      </c>
      <c r="BC1047" s="3" t="s">
        <v>2472</v>
      </c>
      <c r="BD1047" s="3"/>
    </row>
    <row r="1048" spans="1:56" ht="12.95" customHeight="1">
      <c r="A1048" s="14"/>
      <c r="B1048" s="77"/>
      <c r="C1048" s="78"/>
      <c r="D1048" s="132" t="s">
        <v>971</v>
      </c>
      <c r="E1048" s="133"/>
      <c r="F1048" s="133"/>
      <c r="G1048" s="133"/>
      <c r="H1048" s="133"/>
      <c r="I1048" s="1584">
        <f>AY1003</f>
        <v>71</v>
      </c>
      <c r="J1048" s="1585"/>
      <c r="K1048" s="7"/>
      <c r="L1048" s="133"/>
      <c r="M1048" s="133"/>
      <c r="N1048" s="133"/>
      <c r="O1048" s="133"/>
      <c r="P1048" s="133"/>
      <c r="Q1048" s="133"/>
      <c r="R1048" s="133"/>
      <c r="S1048" s="133"/>
      <c r="T1048" s="133"/>
      <c r="U1048" s="133"/>
      <c r="V1048" s="134" t="s">
        <v>972</v>
      </c>
      <c r="W1048" s="48"/>
      <c r="X1048" s="1582">
        <f>CI753</f>
        <v>9</v>
      </c>
      <c r="Y1048" s="1583"/>
      <c r="Z1048" s="48"/>
      <c r="AA1048" s="48"/>
      <c r="AB1048" s="48"/>
      <c r="AC1048" s="48"/>
      <c r="AD1048" s="48"/>
      <c r="AE1048" s="49"/>
      <c r="AF1048" s="924"/>
      <c r="AG1048" s="925"/>
      <c r="AH1048" s="925"/>
      <c r="AI1048" s="926"/>
      <c r="AJ1048" s="1417"/>
      <c r="AK1048" s="1418"/>
      <c r="AL1048" s="1418"/>
      <c r="AM1048" s="1418"/>
      <c r="AN1048" s="1418"/>
      <c r="AO1048" s="1418"/>
      <c r="AP1048" s="1418"/>
      <c r="AQ1048" s="1419"/>
      <c r="AR1048" s="68"/>
      <c r="AS1048" s="68"/>
      <c r="AT1048" s="68"/>
      <c r="AU1048" s="14"/>
      <c r="AV1048" s="68"/>
      <c r="AW1048" s="68"/>
      <c r="AX1048" s="68"/>
      <c r="AY1048" s="68"/>
      <c r="AZ1048" s="962">
        <f>IF(M358="N/A",0,'Sources and Uses Budget'!T97*BA1048)</f>
        <v>1024788.55</v>
      </c>
      <c r="BA1048" s="1182" cm="1">
        <f t="array" ref="BA1048">_xlfn.IFS(X180="Yes",5%,$BA$1038&gt;50000,15%,BA1039&gt;=30%,15%,TRUE,5%)</f>
        <v>0.05</v>
      </c>
      <c r="BB1048" s="3" t="s">
        <v>2470</v>
      </c>
      <c r="BC1048" s="3" t="s">
        <v>2473</v>
      </c>
      <c r="BD1048" s="3"/>
    </row>
    <row r="1049" spans="1:56" ht="12.95" customHeight="1">
      <c r="A1049" s="14"/>
      <c r="B1049" s="79"/>
      <c r="C1049" s="131" t="s">
        <v>1684</v>
      </c>
      <c r="D1049" s="1508" t="s">
        <v>2169</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1586" t="str">
        <f>IF(X1052&gt;0,"Yes","No")</f>
        <v>Yes</v>
      </c>
      <c r="AH1049" s="1587"/>
      <c r="AI1049" s="83"/>
      <c r="AJ1049" s="1411">
        <f>IF((X1052=0),0,(2*AY1006)*AJ992)</f>
        <v>11821625.199999999</v>
      </c>
      <c r="AK1049" s="1412"/>
      <c r="AL1049" s="1412"/>
      <c r="AM1049" s="1412"/>
      <c r="AN1049" s="1412"/>
      <c r="AO1049" s="1412"/>
      <c r="AP1049" s="1412"/>
      <c r="AQ1049" s="1413"/>
      <c r="AR1049" s="68"/>
      <c r="AS1049" s="68"/>
      <c r="AT1049" s="68"/>
      <c r="AU1049" s="14"/>
      <c r="AV1049" s="68"/>
      <c r="AW1049" s="68"/>
      <c r="AX1049" s="68"/>
      <c r="AY1049" s="68"/>
      <c r="AZ1049" s="962">
        <f>AZ1045*BA1049</f>
        <v>0</v>
      </c>
      <c r="BA1049" s="1182">
        <v>0.15</v>
      </c>
      <c r="BB1049" s="3" t="s">
        <v>2470</v>
      </c>
      <c r="BC1049" s="3" t="s">
        <v>2474</v>
      </c>
      <c r="BD1049" s="3"/>
    </row>
    <row r="1050" spans="1:56" ht="12.95" customHeight="1">
      <c r="A1050" s="14"/>
      <c r="B1050" s="73"/>
      <c r="C1050" s="442"/>
      <c r="D1050" s="1521" t="s">
        <v>1297</v>
      </c>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73"/>
      <c r="AG1050" s="443"/>
      <c r="AH1050" s="443"/>
      <c r="AI1050" s="83"/>
      <c r="AJ1050" s="1414"/>
      <c r="AK1050" s="1415"/>
      <c r="AL1050" s="1415"/>
      <c r="AM1050" s="1415"/>
      <c r="AN1050" s="1415"/>
      <c r="AO1050" s="1415"/>
      <c r="AP1050" s="1415"/>
      <c r="AQ1050" s="1416"/>
      <c r="AR1050" s="68"/>
      <c r="AS1050" s="68"/>
      <c r="AT1050" s="68"/>
      <c r="AU1050" s="68"/>
      <c r="AV1050" s="68"/>
      <c r="AW1050" s="68"/>
      <c r="AX1050" s="68"/>
      <c r="AY1050" s="68"/>
      <c r="AZ1050" s="962"/>
      <c r="BA1050" s="3"/>
      <c r="BB1050" s="3"/>
      <c r="BC1050" s="3"/>
      <c r="BD1050" s="3"/>
    </row>
    <row r="1051" spans="1:56" ht="12.95" customHeight="1">
      <c r="A1051" s="14"/>
      <c r="B1051" s="73"/>
      <c r="C1051" s="83"/>
      <c r="D1051" s="1521"/>
      <c r="E1051" s="1522"/>
      <c r="F1051" s="1522"/>
      <c r="G1051" s="1522"/>
      <c r="H1051" s="1522"/>
      <c r="I1051" s="1522"/>
      <c r="J1051" s="1522"/>
      <c r="K1051" s="1522"/>
      <c r="L1051" s="1522"/>
      <c r="M1051" s="1522"/>
      <c r="N1051" s="1522"/>
      <c r="O1051" s="1522"/>
      <c r="P1051" s="1522"/>
      <c r="Q1051" s="1522"/>
      <c r="R1051" s="1522"/>
      <c r="S1051" s="1522"/>
      <c r="T1051" s="1522"/>
      <c r="U1051" s="1522"/>
      <c r="V1051" s="1522"/>
      <c r="W1051" s="1522"/>
      <c r="X1051" s="1522"/>
      <c r="Y1051" s="1522"/>
      <c r="Z1051" s="1522"/>
      <c r="AA1051" s="1522"/>
      <c r="AB1051" s="1522"/>
      <c r="AC1051" s="1522"/>
      <c r="AD1051" s="1522"/>
      <c r="AE1051" s="1523"/>
      <c r="AF1051" s="921"/>
      <c r="AG1051" s="922"/>
      <c r="AH1051" s="922"/>
      <c r="AI1051" s="923"/>
      <c r="AJ1051" s="1414"/>
      <c r="AK1051" s="1415"/>
      <c r="AL1051" s="1415"/>
      <c r="AM1051" s="1415"/>
      <c r="AN1051" s="1415"/>
      <c r="AO1051" s="1415"/>
      <c r="AP1051" s="1415"/>
      <c r="AQ1051" s="1416"/>
      <c r="AR1051" s="68"/>
      <c r="AS1051" s="68"/>
      <c r="AT1051" s="68"/>
      <c r="AU1051" s="68"/>
      <c r="AV1051" s="68"/>
      <c r="AW1051" s="68"/>
      <c r="AX1051" s="68"/>
      <c r="AY1051" s="68"/>
      <c r="AZ1051" s="962">
        <f>ROUNDDOWN(MIN(SUM(AZ1046,AZ1047,AZ1048,AZ1049),BD1051),0)</f>
        <v>2428058</v>
      </c>
      <c r="BA1051" s="3" t="s">
        <v>2475</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84">
        <f>AY1003</f>
        <v>71</v>
      </c>
      <c r="J1052" s="1585"/>
      <c r="K1052" s="14"/>
      <c r="L1052" s="133"/>
      <c r="M1052" s="133"/>
      <c r="N1052" s="133"/>
      <c r="O1052" s="133"/>
      <c r="P1052" s="133"/>
      <c r="Q1052" s="133"/>
      <c r="R1052" s="133"/>
      <c r="S1052" s="133"/>
      <c r="T1052" s="133"/>
      <c r="U1052" s="133"/>
      <c r="V1052" s="134" t="s">
        <v>973</v>
      </c>
      <c r="X1052" s="1582">
        <f>CM753</f>
        <v>8</v>
      </c>
      <c r="Y1052" s="1583"/>
      <c r="AF1052" s="924"/>
      <c r="AG1052" s="925"/>
      <c r="AH1052" s="925"/>
      <c r="AI1052" s="926"/>
      <c r="AJ1052" s="1417"/>
      <c r="AK1052" s="1418"/>
      <c r="AL1052" s="1418"/>
      <c r="AM1052" s="1418"/>
      <c r="AN1052" s="1418"/>
      <c r="AO1052" s="1418"/>
      <c r="AP1052" s="1418"/>
      <c r="AQ1052" s="1419"/>
      <c r="AR1052" s="68"/>
      <c r="AS1052" s="68"/>
      <c r="AT1052" s="68"/>
      <c r="AU1052" s="68"/>
      <c r="AV1052" s="68"/>
      <c r="AW1052" s="68"/>
      <c r="AX1052" s="68"/>
      <c r="AY1052" s="68"/>
      <c r="AZ1052" s="962">
        <f>ROUNDDOWN(MAX(0,BA1052*(SUM(AG1093,AL1093,AZ1045)-BD1052))+BF1052,0)</f>
        <v>0</v>
      </c>
      <c r="BA1052" s="1182">
        <f>IF(L1042,7%,5%)</f>
        <v>0.05</v>
      </c>
      <c r="BB1052" s="3" t="s">
        <v>2476</v>
      </c>
      <c r="BC1052" s="3"/>
      <c r="BD1052" s="3">
        <v>6666667</v>
      </c>
    </row>
    <row r="1053" spans="1:56" ht="12.95" customHeight="1">
      <c r="A1053" s="14"/>
      <c r="B1053" s="102"/>
      <c r="C1053" s="103"/>
      <c r="D1053" s="1580" t="s">
        <v>513</v>
      </c>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1"/>
      <c r="AJ1053" s="1593">
        <f>SUM(AJ992:AQ1052)</f>
        <v>72004444.400000006</v>
      </c>
      <c r="AK1053" s="1594"/>
      <c r="AL1053" s="1594"/>
      <c r="AM1053" s="1594"/>
      <c r="AN1053" s="1594"/>
      <c r="AO1053" s="1594"/>
      <c r="AP1053" s="1594"/>
      <c r="AQ1053" s="1595"/>
      <c r="AR1053" s="68"/>
      <c r="AS1053" s="68"/>
      <c r="AT1053" s="68"/>
      <c r="AU1053" s="68"/>
      <c r="AV1053" s="68"/>
      <c r="AW1053" s="68"/>
      <c r="AX1053" s="68"/>
      <c r="AY1053" s="68"/>
      <c r="AZ1053" s="1181">
        <v>6000000</v>
      </c>
      <c r="BA1053" s="3" t="s">
        <v>2477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2428058</v>
      </c>
      <c r="BB1055" s="3" t="s">
        <v>2478</v>
      </c>
      <c r="BC1055" s="3"/>
      <c r="BD1055" s="3"/>
    </row>
    <row r="1056" spans="1:56" ht="12.95" customHeight="1">
      <c r="A1056" s="14"/>
      <c r="B1056" s="68"/>
      <c r="C1056" s="68"/>
      <c r="D1056" s="68"/>
      <c r="E1056" s="68"/>
      <c r="F1056" s="68"/>
      <c r="G1056" s="1176" t="s">
        <v>2463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0">
        <f>'Sources and Uses Budget'!S107+'Sources and Uses Budget'!T107</f>
        <v>32278964</v>
      </c>
      <c r="AB1056" s="1860"/>
      <c r="AC1056" s="1860"/>
      <c r="AD1056" s="1860"/>
      <c r="AE1056" s="1860"/>
      <c r="AF1056" s="186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2428058.7999999998</v>
      </c>
      <c r="BB1056" s="3" t="s">
        <v>2479</v>
      </c>
      <c r="BC1056" s="3"/>
      <c r="BD1056" s="3"/>
    </row>
    <row r="1057" spans="1:54" ht="12.95" customHeight="1">
      <c r="A1057" s="14"/>
      <c r="B1057" s="68"/>
      <c r="C1057" s="68"/>
      <c r="D1057" s="68"/>
      <c r="E1057" s="68"/>
      <c r="F1057" s="68"/>
      <c r="G1057" s="1176"/>
      <c r="H1057" s="1176" t="s">
        <v>2464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1">
        <f>IFERROR((AA1056-BA1059)/(AJ1053-AJ1045-AJ1049),"")</f>
        <v>0.600710305043337</v>
      </c>
      <c r="AB1057" s="1862"/>
      <c r="AC1057" s="1862"/>
      <c r="AD1057" s="1862"/>
      <c r="AE1057" s="1862"/>
      <c r="AF1057" s="186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4"/>
      <c r="I1058" s="1864"/>
      <c r="J1058" s="1864"/>
      <c r="K1058" s="1864"/>
      <c r="L1058" s="1864"/>
      <c r="M1058" s="1864"/>
      <c r="N1058" s="1864"/>
      <c r="O1058" s="1864"/>
      <c r="P1058" s="1864"/>
      <c r="Q1058" s="1864"/>
      <c r="R1058" s="1864"/>
      <c r="S1058" s="1864"/>
      <c r="T1058" s="1864"/>
      <c r="U1058" s="1864"/>
      <c r="V1058" s="1864"/>
      <c r="W1058" s="1864"/>
      <c r="X1058" s="1864"/>
      <c r="Y1058" s="1864"/>
      <c r="Z1058" s="1864"/>
      <c r="AA1058" s="1864"/>
      <c r="AB1058" s="1864"/>
      <c r="AC1058" s="1864"/>
      <c r="AD1058" s="1864"/>
      <c r="AE1058" s="1864"/>
      <c r="AF1058" s="1864"/>
      <c r="AG1058" s="1864"/>
      <c r="AH1058" s="1864"/>
      <c r="AI1058" s="1864"/>
      <c r="AJ1058" s="1864"/>
      <c r="AK1058" s="1864"/>
      <c r="AL1058" s="1864"/>
      <c r="AM1058" s="1864"/>
      <c r="AN1058" s="1864"/>
      <c r="AO1058" s="68"/>
      <c r="AP1058" s="68"/>
      <c r="AQ1058" s="68"/>
      <c r="AR1058" s="68"/>
      <c r="AS1058" s="68"/>
      <c r="AT1058" s="68"/>
      <c r="AU1058" s="68"/>
      <c r="AV1058" s="14"/>
      <c r="AW1058" s="14"/>
      <c r="AX1058" s="14"/>
      <c r="AY1058" s="14"/>
      <c r="BA1058" s="1185">
        <f>'Sources and Uses Budget'!$S$104+'Sources and Uses Budget'!$T$104</f>
        <v>2428058</v>
      </c>
      <c r="BB1058" s="3" t="s">
        <v>2485</v>
      </c>
    </row>
    <row r="1059" spans="1:54" ht="12.95" customHeight="1">
      <c r="A1059" s="14"/>
      <c r="B1059" s="14"/>
      <c r="C1059" s="208"/>
      <c r="D1059" s="858"/>
      <c r="E1059" s="858"/>
      <c r="F1059" s="858"/>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68"/>
      <c r="AP1059" s="68"/>
      <c r="AQ1059" s="68"/>
      <c r="AR1059" s="68"/>
      <c r="AS1059" s="68"/>
      <c r="AT1059" s="68"/>
      <c r="AU1059" s="68"/>
      <c r="AV1059" s="14"/>
      <c r="AW1059" s="14"/>
      <c r="AX1059" s="14"/>
      <c r="AY1059" s="14"/>
      <c r="BA1059" s="1186">
        <f>MAX($BA$1058-$BA$1055,0)</f>
        <v>0</v>
      </c>
      <c r="BB1059" s="3" t="s">
        <v>2486</v>
      </c>
    </row>
    <row r="1060" spans="1:54" ht="12.95" customHeight="1">
      <c r="A1060" s="88"/>
      <c r="B1060" s="1172"/>
      <c r="C1060" s="1172"/>
      <c r="D1060" s="1172"/>
      <c r="E1060" s="1172"/>
      <c r="F1060" s="1172"/>
      <c r="G1060" s="1864"/>
      <c r="H1060" s="1864"/>
      <c r="I1060" s="1864"/>
      <c r="J1060" s="1864"/>
      <c r="K1060" s="1864"/>
      <c r="L1060" s="1864"/>
      <c r="M1060" s="1864"/>
      <c r="N1060" s="1864"/>
      <c r="O1060" s="1864"/>
      <c r="P1060" s="1864"/>
      <c r="Q1060" s="1864"/>
      <c r="R1060" s="1864"/>
      <c r="S1060" s="1864"/>
      <c r="T1060" s="1864"/>
      <c r="U1060" s="1864"/>
      <c r="V1060" s="1864"/>
      <c r="W1060" s="1864"/>
      <c r="X1060" s="1864"/>
      <c r="Y1060" s="1864"/>
      <c r="Z1060" s="1864"/>
      <c r="AA1060" s="1864"/>
      <c r="AB1060" s="1864"/>
      <c r="AC1060" s="1864"/>
      <c r="AD1060" s="1864"/>
      <c r="AE1060" s="1864"/>
      <c r="AF1060" s="1864"/>
      <c r="AG1060" s="1864"/>
      <c r="AH1060" s="1864"/>
      <c r="AI1060" s="1864"/>
      <c r="AJ1060" s="1864"/>
      <c r="AK1060" s="1864"/>
      <c r="AL1060" s="1864"/>
      <c r="AM1060" s="1864"/>
      <c r="AN1060" s="1864"/>
      <c r="AO1060" s="1172"/>
      <c r="AP1060" s="1172"/>
      <c r="AQ1060" s="68"/>
      <c r="AR1060" s="68"/>
      <c r="AS1060" s="68"/>
      <c r="AT1060" s="68"/>
      <c r="AU1060" s="68"/>
      <c r="AV1060" s="68"/>
      <c r="AW1060" s="68"/>
      <c r="AX1060" s="68"/>
      <c r="AY1060" s="68"/>
    </row>
    <row r="1061" spans="1:54" ht="12.95" customHeight="1">
      <c r="A1061" s="1391" t="s">
        <v>794</v>
      </c>
      <c r="B1061" s="1391"/>
      <c r="C1061" s="1391"/>
      <c r="D1061" s="1391"/>
      <c r="E1061" s="1391"/>
      <c r="F1061" s="1391"/>
      <c r="G1061" s="1391"/>
      <c r="H1061" s="1391"/>
      <c r="I1061" s="1391"/>
      <c r="J1061" s="1391"/>
      <c r="K1061" s="1391"/>
      <c r="L1061" s="1391"/>
      <c r="M1061" s="1391"/>
      <c r="N1061" s="1391"/>
      <c r="O1061" s="1391"/>
      <c r="P1061" s="1391"/>
      <c r="Q1061" s="1391"/>
      <c r="R1061" s="1391"/>
      <c r="S1061" s="1391"/>
      <c r="T1061" s="1391"/>
      <c r="U1061" s="1391"/>
      <c r="V1061" s="1391"/>
      <c r="W1061" s="1391"/>
      <c r="X1061" s="1391"/>
      <c r="Y1061" s="1391"/>
      <c r="Z1061" s="1391"/>
      <c r="AA1061" s="1391"/>
      <c r="AB1061" s="1391"/>
      <c r="AC1061" s="1391"/>
      <c r="AD1061" s="1391"/>
      <c r="AE1061" s="1391"/>
      <c r="AF1061" s="1391"/>
      <c r="AG1061" s="1391"/>
      <c r="AH1061" s="1391"/>
      <c r="AI1061" s="1391"/>
      <c r="AJ1061" s="1391"/>
      <c r="AK1061" s="1391"/>
      <c r="AL1061" s="1391"/>
      <c r="AM1061" s="1391"/>
      <c r="AN1061" s="1391"/>
      <c r="AO1061" s="1391"/>
      <c r="AP1061" s="1391"/>
      <c r="AQ1061" s="139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51" t="s">
        <v>591</v>
      </c>
      <c r="B1065" s="1351"/>
      <c r="C1065" s="1352">
        <v>1</v>
      </c>
      <c r="D1065" s="1352"/>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52"/>
      <c r="D1066" s="13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51" t="s">
        <v>591</v>
      </c>
      <c r="B1067" s="1351"/>
      <c r="C1067" s="1352">
        <v>2</v>
      </c>
      <c r="D1067" s="1352"/>
      <c r="E1067" s="1355" t="s">
        <v>2236</v>
      </c>
      <c r="F1067" s="1355"/>
      <c r="G1067" s="1355"/>
      <c r="H1067" s="1355"/>
      <c r="I1067" s="1355"/>
      <c r="J1067" s="1355"/>
      <c r="K1067" s="1355"/>
      <c r="L1067" s="1355"/>
      <c r="M1067" s="1355"/>
      <c r="N1067" s="1355"/>
      <c r="O1067" s="1355"/>
      <c r="P1067" s="1355"/>
      <c r="Q1067" s="1355"/>
      <c r="R1067" s="1355"/>
      <c r="S1067" s="1355"/>
      <c r="T1067" s="1355"/>
      <c r="U1067" s="1355"/>
      <c r="V1067" s="1355"/>
      <c r="W1067" s="1355"/>
      <c r="X1067" s="1355"/>
      <c r="Y1067" s="1355"/>
      <c r="Z1067" s="1355"/>
      <c r="AA1067" s="1355"/>
      <c r="AB1067" s="1355"/>
      <c r="AC1067" s="1355"/>
      <c r="AD1067" s="1355"/>
      <c r="AE1067" s="1355"/>
      <c r="AF1067" s="1355"/>
      <c r="AG1067" s="1355"/>
      <c r="AH1067" s="1355"/>
      <c r="AI1067" s="1355"/>
      <c r="AJ1067" s="1355"/>
      <c r="AK1067" s="1355"/>
      <c r="AL1067" s="1355"/>
      <c r="AM1067" s="1355"/>
      <c r="AN1067" s="1355"/>
      <c r="AO1067" s="1355"/>
      <c r="AP1067" s="1355"/>
      <c r="AQ1067" s="1355"/>
      <c r="AR1067" s="1355"/>
      <c r="AS1067" s="14"/>
      <c r="AT1067" s="14"/>
      <c r="AV1067" s="68"/>
      <c r="AW1067" s="68"/>
      <c r="AX1067" s="68"/>
      <c r="AY1067" s="68"/>
    </row>
    <row r="1068" spans="1:54" ht="12.95" customHeight="1">
      <c r="A1068" s="198"/>
      <c r="B1068" s="67"/>
      <c r="C1068" s="1352"/>
      <c r="D1068" s="1352"/>
      <c r="E1068" s="1355"/>
      <c r="F1068" s="1355"/>
      <c r="G1068" s="1355"/>
      <c r="H1068" s="1355"/>
      <c r="I1068" s="1355"/>
      <c r="J1068" s="1355"/>
      <c r="K1068" s="1355"/>
      <c r="L1068" s="1355"/>
      <c r="M1068" s="1355"/>
      <c r="N1068" s="1355"/>
      <c r="O1068" s="1355"/>
      <c r="P1068" s="1355"/>
      <c r="Q1068" s="1355"/>
      <c r="R1068" s="1355"/>
      <c r="S1068" s="1355"/>
      <c r="T1068" s="1355"/>
      <c r="U1068" s="1355"/>
      <c r="V1068" s="1355"/>
      <c r="W1068" s="1355"/>
      <c r="X1068" s="1355"/>
      <c r="Y1068" s="1355"/>
      <c r="Z1068" s="1355"/>
      <c r="AA1068" s="1355"/>
      <c r="AB1068" s="1355"/>
      <c r="AC1068" s="1355"/>
      <c r="AD1068" s="1355"/>
      <c r="AE1068" s="1355"/>
      <c r="AF1068" s="1355"/>
      <c r="AG1068" s="1355"/>
      <c r="AH1068" s="1355"/>
      <c r="AI1068" s="1355"/>
      <c r="AJ1068" s="1355"/>
      <c r="AK1068" s="1355"/>
      <c r="AL1068" s="1355"/>
      <c r="AM1068" s="1355"/>
      <c r="AN1068" s="1355"/>
      <c r="AO1068" s="1355"/>
      <c r="AP1068" s="1355"/>
      <c r="AQ1068" s="1355"/>
      <c r="AR1068" s="1355"/>
      <c r="AS1068" s="14"/>
      <c r="AT1068" s="14"/>
      <c r="AV1068" s="68"/>
      <c r="AW1068" s="68"/>
      <c r="AX1068" s="68"/>
      <c r="AY1068" s="68"/>
    </row>
    <row r="1069" spans="1:54" ht="12.95" customHeight="1">
      <c r="A1069" s="198"/>
      <c r="B1069" s="67"/>
      <c r="C1069" s="1352"/>
      <c r="D1069" s="13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51" t="s">
        <v>591</v>
      </c>
      <c r="B1070" s="1351"/>
      <c r="C1070" s="1354">
        <v>3</v>
      </c>
      <c r="D1070" s="1354"/>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54"/>
      <c r="D1071" s="1354"/>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54"/>
      <c r="D1072" s="1354"/>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54"/>
      <c r="D1073" s="1354"/>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54"/>
      <c r="D1074" s="135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51" t="s">
        <v>591</v>
      </c>
      <c r="B1075" s="1351"/>
      <c r="C1075" s="1354">
        <v>4</v>
      </c>
      <c r="D1075" s="1354"/>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54"/>
      <c r="D1076" s="1354"/>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54"/>
      <c r="D1077" s="1354"/>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54"/>
      <c r="D1078" s="1354"/>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54"/>
      <c r="D1079" s="1354"/>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54"/>
      <c r="D1080" s="135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51" t="s">
        <v>591</v>
      </c>
      <c r="B1081" s="1351"/>
      <c r="C1081" s="1354">
        <v>5</v>
      </c>
      <c r="D1081" s="1354"/>
      <c r="E1081" s="1293" t="s">
        <v>2240</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54"/>
      <c r="D1082" s="1354"/>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54"/>
      <c r="D1083" s="1354"/>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54"/>
      <c r="D1084" s="135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51" t="s">
        <v>591</v>
      </c>
      <c r="B1085" s="1351"/>
      <c r="C1085" s="1354">
        <v>6</v>
      </c>
      <c r="D1085" s="1354"/>
      <c r="E1085" s="1293" t="s">
        <v>2241</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54"/>
      <c r="D1087" s="1354"/>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54"/>
      <c r="D1088" s="135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51" t="s">
        <v>591</v>
      </c>
      <c r="B1089" s="1351"/>
      <c r="C1089" s="1354">
        <v>7</v>
      </c>
      <c r="D1089" s="1354"/>
      <c r="E1089" s="1293" t="s">
        <v>2137</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54"/>
      <c r="D1090" s="1354"/>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54"/>
      <c r="D1091" s="1354"/>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54"/>
      <c r="D1092" s="135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54"/>
      <c r="D1093" s="135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51" t="s">
        <v>591</v>
      </c>
      <c r="B1094" s="1351"/>
      <c r="C1094" s="1354">
        <v>8</v>
      </c>
      <c r="D1094" s="1354"/>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54"/>
      <c r="D1095" s="1354"/>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54"/>
      <c r="D1096" s="135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51" t="s">
        <v>591</v>
      </c>
      <c r="B1097" s="1351"/>
      <c r="C1097" s="1352">
        <v>9</v>
      </c>
      <c r="D1097" s="1352"/>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52"/>
      <c r="D1098" s="1352"/>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52"/>
      <c r="D1099" s="13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51" t="s">
        <v>591</v>
      </c>
      <c r="B1100" s="1351"/>
      <c r="C1100" s="1352">
        <v>10</v>
      </c>
      <c r="D1100" s="1352"/>
      <c r="E1100" s="1353" t="s">
        <v>2237</v>
      </c>
      <c r="F1100" s="1353"/>
      <c r="G1100" s="1353"/>
      <c r="H1100" s="1353"/>
      <c r="I1100" s="1353"/>
      <c r="J1100" s="1353"/>
      <c r="K1100" s="1353"/>
      <c r="L1100" s="1353"/>
      <c r="M1100" s="1353"/>
      <c r="N1100" s="1353"/>
      <c r="O1100" s="1353"/>
      <c r="P1100" s="1353"/>
      <c r="Q1100" s="1353"/>
      <c r="R1100" s="1353"/>
      <c r="S1100" s="1353"/>
      <c r="T1100" s="1353"/>
      <c r="U1100" s="1353"/>
      <c r="V1100" s="1353"/>
      <c r="W1100" s="1353"/>
      <c r="X1100" s="1353"/>
      <c r="Y1100" s="1353"/>
      <c r="Z1100" s="1353"/>
      <c r="AA1100" s="1353"/>
      <c r="AB1100" s="1353"/>
      <c r="AC1100" s="1353"/>
      <c r="AD1100" s="1353"/>
      <c r="AE1100" s="1353"/>
      <c r="AF1100" s="1353"/>
      <c r="AG1100" s="1353"/>
      <c r="AH1100" s="1353"/>
      <c r="AI1100" s="1353"/>
      <c r="AJ1100" s="1353"/>
      <c r="AK1100" s="1353"/>
      <c r="AL1100" s="1353"/>
      <c r="AM1100" s="1353"/>
      <c r="AN1100" s="1353"/>
      <c r="AO1100" s="1353"/>
      <c r="AP1100" s="1353"/>
      <c r="AQ1100" s="1353"/>
      <c r="AR1100" s="1353"/>
    </row>
    <row r="1101" spans="1:45" ht="12.95" customHeight="1">
      <c r="A1101" s="1"/>
      <c r="B1101" s="1"/>
      <c r="C1101" s="199"/>
      <c r="D1101" s="1161"/>
      <c r="E1101" s="1353"/>
      <c r="F1101" s="1353"/>
      <c r="G1101" s="1353"/>
      <c r="H1101" s="1353"/>
      <c r="I1101" s="1353"/>
      <c r="J1101" s="1353"/>
      <c r="K1101" s="1353"/>
      <c r="L1101" s="1353"/>
      <c r="M1101" s="1353"/>
      <c r="N1101" s="1353"/>
      <c r="O1101" s="1353"/>
      <c r="P1101" s="1353"/>
      <c r="Q1101" s="1353"/>
      <c r="R1101" s="1353"/>
      <c r="S1101" s="1353"/>
      <c r="T1101" s="1353"/>
      <c r="U1101" s="1353"/>
      <c r="V1101" s="1353"/>
      <c r="W1101" s="1353"/>
      <c r="X1101" s="1353"/>
      <c r="Y1101" s="1353"/>
      <c r="Z1101" s="1353"/>
      <c r="AA1101" s="1353"/>
      <c r="AB1101" s="1353"/>
      <c r="AC1101" s="1353"/>
      <c r="AD1101" s="1353"/>
      <c r="AE1101" s="1353"/>
      <c r="AF1101" s="1353"/>
      <c r="AG1101" s="1353"/>
      <c r="AH1101" s="1353"/>
      <c r="AI1101" s="1353"/>
      <c r="AJ1101" s="1353"/>
      <c r="AK1101" s="1353"/>
      <c r="AL1101" s="1353"/>
      <c r="AM1101" s="1353"/>
      <c r="AN1101" s="1353"/>
      <c r="AO1101" s="1353"/>
      <c r="AP1101" s="1353"/>
      <c r="AQ1101" s="1353"/>
      <c r="AR1101" s="135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51" t="s">
        <v>591</v>
      </c>
      <c r="B1103" s="1351"/>
      <c r="C1103" s="1352">
        <v>11</v>
      </c>
      <c r="D1103" s="1352"/>
      <c r="E1103" s="1353" t="s">
        <v>2239</v>
      </c>
      <c r="F1103" s="1353"/>
      <c r="G1103" s="1353"/>
      <c r="H1103" s="1353"/>
      <c r="I1103" s="1353"/>
      <c r="J1103" s="1353"/>
      <c r="K1103" s="1353"/>
      <c r="L1103" s="1353"/>
      <c r="M1103" s="1353"/>
      <c r="N1103" s="1353"/>
      <c r="O1103" s="1353"/>
      <c r="P1103" s="1353"/>
      <c r="Q1103" s="1353"/>
      <c r="R1103" s="1353"/>
      <c r="S1103" s="1353"/>
      <c r="T1103" s="1353"/>
      <c r="U1103" s="1353"/>
      <c r="V1103" s="1353"/>
      <c r="W1103" s="1353"/>
      <c r="X1103" s="1353"/>
      <c r="Y1103" s="1353"/>
      <c r="Z1103" s="1353"/>
      <c r="AA1103" s="1353"/>
      <c r="AB1103" s="1353"/>
      <c r="AC1103" s="1353"/>
      <c r="AD1103" s="1353"/>
      <c r="AE1103" s="1353"/>
      <c r="AF1103" s="1353"/>
      <c r="AG1103" s="1353"/>
      <c r="AH1103" s="1353"/>
      <c r="AI1103" s="1353"/>
      <c r="AJ1103" s="1353"/>
      <c r="AK1103" s="1353"/>
      <c r="AL1103" s="1353"/>
      <c r="AM1103" s="1353"/>
      <c r="AN1103" s="1353"/>
      <c r="AO1103" s="1353"/>
      <c r="AP1103" s="1353"/>
      <c r="AQ1103" s="1353"/>
      <c r="AR1103" s="1353"/>
    </row>
    <row r="1104" spans="1:45" ht="12.95" customHeight="1">
      <c r="A1104" s="1"/>
      <c r="B1104" s="1"/>
      <c r="C1104" s="199"/>
      <c r="D1104" s="1161"/>
      <c r="E1104" s="1353"/>
      <c r="F1104" s="1353"/>
      <c r="G1104" s="1353"/>
      <c r="H1104" s="1353"/>
      <c r="I1104" s="1353"/>
      <c r="J1104" s="1353"/>
      <c r="K1104" s="1353"/>
      <c r="L1104" s="1353"/>
      <c r="M1104" s="1353"/>
      <c r="N1104" s="1353"/>
      <c r="O1104" s="1353"/>
      <c r="P1104" s="1353"/>
      <c r="Q1104" s="1353"/>
      <c r="R1104" s="1353"/>
      <c r="S1104" s="1353"/>
      <c r="T1104" s="1353"/>
      <c r="U1104" s="1353"/>
      <c r="V1104" s="1353"/>
      <c r="W1104" s="1353"/>
      <c r="X1104" s="1353"/>
      <c r="Y1104" s="1353"/>
      <c r="Z1104" s="1353"/>
      <c r="AA1104" s="1353"/>
      <c r="AB1104" s="1353"/>
      <c r="AC1104" s="1353"/>
      <c r="AD1104" s="1353"/>
      <c r="AE1104" s="1353"/>
      <c r="AF1104" s="1353"/>
      <c r="AG1104" s="1353"/>
      <c r="AH1104" s="1353"/>
      <c r="AI1104" s="1353"/>
      <c r="AJ1104" s="1353"/>
      <c r="AK1104" s="1353"/>
      <c r="AL1104" s="1353"/>
      <c r="AM1104" s="1353"/>
      <c r="AN1104" s="1353"/>
      <c r="AO1104" s="1353"/>
      <c r="AP1104" s="1353"/>
      <c r="AQ1104" s="1353"/>
      <c r="AR1104" s="135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51" t="s">
        <v>591</v>
      </c>
      <c r="B1125" s="1351"/>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AG450:AJ450"/>
    <mergeCell ref="D467:V467"/>
    <mergeCell ref="AG441:AJ441"/>
    <mergeCell ref="AC538:AF538"/>
    <mergeCell ref="AC528:AF528"/>
    <mergeCell ref="D446:AF446"/>
    <mergeCell ref="D447:AF447"/>
    <mergeCell ref="W466:Y466"/>
    <mergeCell ref="AG446:AJ446"/>
    <mergeCell ref="W467:Y467"/>
    <mergeCell ref="W470:Y470"/>
    <mergeCell ref="D471:V471"/>
    <mergeCell ref="O532:AA532"/>
    <mergeCell ref="DU741:DY741"/>
    <mergeCell ref="DZ741:ED741"/>
    <mergeCell ref="DJ747:DN747"/>
    <mergeCell ref="DO747:DS747"/>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AH531:AK531"/>
    <mergeCell ref="AH540:AK540"/>
    <mergeCell ref="AC515:AF515"/>
    <mergeCell ref="AC514:AF514"/>
    <mergeCell ref="AH538:AK538"/>
    <mergeCell ref="Z551:AD553"/>
    <mergeCell ref="AH513:AK513"/>
    <mergeCell ref="AC531:AF531"/>
    <mergeCell ref="AC539:AF539"/>
    <mergeCell ref="L508:AB508"/>
    <mergeCell ref="CP797:CT797"/>
    <mergeCell ref="T724:W724"/>
    <mergeCell ref="AM551:AS553"/>
    <mergeCell ref="AH722:AJ722"/>
    <mergeCell ref="Z587:AK587"/>
    <mergeCell ref="AI572:AK572"/>
    <mergeCell ref="AO639:AS639"/>
    <mergeCell ref="AO629:AS629"/>
    <mergeCell ref="AO638:AS638"/>
    <mergeCell ref="AC519:AF519"/>
    <mergeCell ref="AC523:AF523"/>
    <mergeCell ref="AH516:AK516"/>
    <mergeCell ref="Z628:AB628"/>
    <mergeCell ref="G571:R571"/>
    <mergeCell ref="C627:L627"/>
    <mergeCell ref="P581:R581"/>
    <mergeCell ref="N591:O591"/>
    <mergeCell ref="AH529:AK529"/>
    <mergeCell ref="AH534:AK534"/>
    <mergeCell ref="N583:O583"/>
    <mergeCell ref="O520:AA520"/>
    <mergeCell ref="AH518:AK518"/>
    <mergeCell ref="AH539:AK539"/>
    <mergeCell ref="AH541:AK541"/>
    <mergeCell ref="AC535:AF535"/>
    <mergeCell ref="Q551:S553"/>
    <mergeCell ref="T551:V553"/>
    <mergeCell ref="AA582:AK582"/>
    <mergeCell ref="H573:R573"/>
    <mergeCell ref="B566:AL566"/>
    <mergeCell ref="N575:O575"/>
    <mergeCell ref="AC541:AF541"/>
    <mergeCell ref="CU776:CY776"/>
    <mergeCell ref="CP750:CT750"/>
    <mergeCell ref="CU750:CY750"/>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G748:CH748"/>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P747:CT747"/>
    <mergeCell ref="CP748:CT748"/>
    <mergeCell ref="CU748:CY748"/>
    <mergeCell ref="AK742:AO742"/>
    <mergeCell ref="CP745:CT745"/>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C631:L631"/>
    <mergeCell ref="C632:L632"/>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N378:P378"/>
    <mergeCell ref="P418:R418"/>
    <mergeCell ref="Q492:AK492"/>
    <mergeCell ref="AF418:AH418"/>
    <mergeCell ref="AG395:AJ395"/>
    <mergeCell ref="AI392:AJ392"/>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AG438:AJ438"/>
    <mergeCell ref="D449:AF449"/>
    <mergeCell ref="Y364:Z364"/>
    <mergeCell ref="AC370:AF370"/>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05:R305"/>
    <mergeCell ref="AA288:AK288"/>
    <mergeCell ref="H287:R287"/>
    <mergeCell ref="U255:W255"/>
    <mergeCell ref="P299:R299"/>
    <mergeCell ref="H293:R293"/>
    <mergeCell ref="M264:AE264"/>
    <mergeCell ref="AB276:AD276"/>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P424:Q424"/>
    <mergeCell ref="AC521:AF521"/>
    <mergeCell ref="AH527:AK527"/>
    <mergeCell ref="AC517:AF517"/>
    <mergeCell ref="D473:V473"/>
    <mergeCell ref="AC504:AF504"/>
    <mergeCell ref="D470:V470"/>
    <mergeCell ref="D438:AF438"/>
    <mergeCell ref="M495:P495"/>
    <mergeCell ref="AC501:AF501"/>
    <mergeCell ref="B501:H502"/>
    <mergeCell ref="O523:AA523"/>
    <mergeCell ref="AC510:AF510"/>
    <mergeCell ref="W418:Y418"/>
    <mergeCell ref="AG439:AJ439"/>
    <mergeCell ref="AE424:AF424"/>
    <mergeCell ref="AH514:AK514"/>
    <mergeCell ref="AH510:AK510"/>
    <mergeCell ref="AG443:AJ443"/>
    <mergeCell ref="AG444:AJ444"/>
    <mergeCell ref="Z434:AA434"/>
    <mergeCell ref="W469:Y469"/>
    <mergeCell ref="W471:Y471"/>
    <mergeCell ref="AC507:AF507"/>
    <mergeCell ref="D440:AF440"/>
    <mergeCell ref="AC526:AF526"/>
    <mergeCell ref="AH503:AK503"/>
    <mergeCell ref="AC500:AF500"/>
    <mergeCell ref="AC522:AF522"/>
    <mergeCell ref="AC524:AF524"/>
    <mergeCell ref="AH506:AK506"/>
    <mergeCell ref="AH508:AK508"/>
    <mergeCell ref="AA336:AK336"/>
    <mergeCell ref="H333:R333"/>
    <mergeCell ref="Q493:AK493"/>
    <mergeCell ref="AC502:AF502"/>
    <mergeCell ref="B514:H516"/>
    <mergeCell ref="B517:H519"/>
    <mergeCell ref="D406:AJ407"/>
    <mergeCell ref="D445:AF445"/>
    <mergeCell ref="D451:AJ452"/>
    <mergeCell ref="AH512:AK512"/>
    <mergeCell ref="AH520:AK520"/>
    <mergeCell ref="AC537:AF537"/>
    <mergeCell ref="O526:AA526"/>
    <mergeCell ref="AC529:AF529"/>
    <mergeCell ref="AH530:AK530"/>
    <mergeCell ref="Q389:U389"/>
    <mergeCell ref="AJ357:AK357"/>
    <mergeCell ref="D444:AF444"/>
    <mergeCell ref="D469:V469"/>
    <mergeCell ref="W473:Y473"/>
    <mergeCell ref="Q394:U394"/>
    <mergeCell ref="AD412:AE412"/>
    <mergeCell ref="H414:AE415"/>
    <mergeCell ref="AE425:AF425"/>
    <mergeCell ref="AC520:AF520"/>
    <mergeCell ref="AC527:AF527"/>
    <mergeCell ref="AH521:AK521"/>
    <mergeCell ref="AC530:AF530"/>
    <mergeCell ref="O535:AA535"/>
    <mergeCell ref="AH523:AK523"/>
    <mergeCell ref="I421:K421"/>
    <mergeCell ref="AH524:AK524"/>
    <mergeCell ref="AE560:AH560"/>
    <mergeCell ref="AE557:AH557"/>
    <mergeCell ref="B551:L553"/>
    <mergeCell ref="AH505:AK505"/>
    <mergeCell ref="W551:Y553"/>
    <mergeCell ref="AH525:AK525"/>
    <mergeCell ref="G596:R596"/>
    <mergeCell ref="G569:R569"/>
    <mergeCell ref="AH515:AK515"/>
    <mergeCell ref="AC516:AF516"/>
    <mergeCell ref="Z568:AK568"/>
    <mergeCell ref="Z571:AK571"/>
    <mergeCell ref="AH509:AK509"/>
    <mergeCell ref="AI558:AL558"/>
    <mergeCell ref="AI557:AL557"/>
    <mergeCell ref="W560:Y560"/>
    <mergeCell ref="W554:Y554"/>
    <mergeCell ref="W555:Y555"/>
    <mergeCell ref="W556:Y556"/>
    <mergeCell ref="AH532:AK532"/>
    <mergeCell ref="AC540:AF540"/>
    <mergeCell ref="AC508:AF508"/>
    <mergeCell ref="AH537:AK537"/>
    <mergeCell ref="AC534:AF534"/>
    <mergeCell ref="AH542:AK542"/>
    <mergeCell ref="AH507:AK507"/>
    <mergeCell ref="AG583:AH583"/>
    <mergeCell ref="G588:R588"/>
    <mergeCell ref="Z580:AK580"/>
    <mergeCell ref="H582:R582"/>
    <mergeCell ref="Z579:AK579"/>
    <mergeCell ref="AG575:AH575"/>
    <mergeCell ref="G595:R595"/>
    <mergeCell ref="Z569:AK569"/>
    <mergeCell ref="N607:O607"/>
    <mergeCell ref="G593:R593"/>
    <mergeCell ref="G605:L605"/>
    <mergeCell ref="H606:R606"/>
    <mergeCell ref="AI597:AK597"/>
    <mergeCell ref="Z570:AK570"/>
    <mergeCell ref="G570:R570"/>
    <mergeCell ref="G586:R586"/>
    <mergeCell ref="P572:R572"/>
    <mergeCell ref="AI605:AK605"/>
    <mergeCell ref="G604:R604"/>
    <mergeCell ref="G577:R57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M358:N358"/>
    <mergeCell ref="Z578:AK578"/>
    <mergeCell ref="AH519:AK519"/>
    <mergeCell ref="AH536:AK536"/>
    <mergeCell ref="AG448:AJ448"/>
    <mergeCell ref="AH528:AK528"/>
    <mergeCell ref="G568:R568"/>
    <mergeCell ref="M574:R574"/>
    <mergeCell ref="AH501:AK501"/>
    <mergeCell ref="G474:V474"/>
    <mergeCell ref="AH526:AK526"/>
    <mergeCell ref="R411:S411"/>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AO632:AS632"/>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629:P629"/>
    <mergeCell ref="H590:R590"/>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W703:AK703"/>
    <mergeCell ref="AF636:AJ636"/>
    <mergeCell ref="AF637:AJ637"/>
    <mergeCell ref="AC636:AE636"/>
    <mergeCell ref="Z647:AE647"/>
    <mergeCell ref="AC720:AG720"/>
    <mergeCell ref="M636:P636"/>
    <mergeCell ref="AA664:AK664"/>
    <mergeCell ref="T635:V635"/>
    <mergeCell ref="T636:V636"/>
    <mergeCell ref="T637:V637"/>
    <mergeCell ref="O722:S722"/>
    <mergeCell ref="Z595:AK595"/>
    <mergeCell ref="G603:R603"/>
    <mergeCell ref="P597:R597"/>
    <mergeCell ref="G597:L597"/>
    <mergeCell ref="G602:R602"/>
    <mergeCell ref="T721:W721"/>
    <mergeCell ref="AE695:AI695"/>
    <mergeCell ref="Z596:AK596"/>
    <mergeCell ref="H598:R598"/>
    <mergeCell ref="C630:L630"/>
    <mergeCell ref="P687:R687"/>
    <mergeCell ref="R705:T705"/>
    <mergeCell ref="T630:V630"/>
    <mergeCell ref="T631:V631"/>
    <mergeCell ref="AC628:AE628"/>
    <mergeCell ref="C629:L629"/>
    <mergeCell ref="T629:V629"/>
    <mergeCell ref="AO631:AS631"/>
    <mergeCell ref="AM566:AS566"/>
    <mergeCell ref="G578:R578"/>
    <mergeCell ref="DO717:DS717"/>
    <mergeCell ref="CZ721:DD721"/>
    <mergeCell ref="T638:V638"/>
    <mergeCell ref="T628:V628"/>
    <mergeCell ref="DJ719:DN719"/>
    <mergeCell ref="CU717:CY717"/>
    <mergeCell ref="AC635:AE635"/>
    <mergeCell ref="W635:Y635"/>
    <mergeCell ref="Z597:AE597"/>
    <mergeCell ref="AF629:AJ629"/>
    <mergeCell ref="AI613:AK613"/>
    <mergeCell ref="AA614:AK614"/>
    <mergeCell ref="AC624:AE626"/>
    <mergeCell ref="G719:J719"/>
    <mergeCell ref="P589:R589"/>
    <mergeCell ref="Z588:AK588"/>
    <mergeCell ref="Q632:S632"/>
    <mergeCell ref="Q624:S626"/>
    <mergeCell ref="G572:L572"/>
    <mergeCell ref="Z581:AE581"/>
    <mergeCell ref="Z586:AK586"/>
    <mergeCell ref="Z572:AE572"/>
    <mergeCell ref="Z589:AE589"/>
    <mergeCell ref="G585:R585"/>
    <mergeCell ref="Q630:S630"/>
    <mergeCell ref="AG591:AH591"/>
    <mergeCell ref="Z632:AB632"/>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G587:R587"/>
    <mergeCell ref="G589:L589"/>
    <mergeCell ref="W624:Y626"/>
    <mergeCell ref="W628:Y628"/>
    <mergeCell ref="P663:R663"/>
    <mergeCell ref="X728:AB728"/>
    <mergeCell ref="O719:S719"/>
    <mergeCell ref="AO640:AS640"/>
    <mergeCell ref="W636:Y636"/>
    <mergeCell ref="CI717:CJ717"/>
    <mergeCell ref="AA680:AK680"/>
    <mergeCell ref="Q638:S638"/>
    <mergeCell ref="H648:R648"/>
    <mergeCell ref="AK624:AN626"/>
    <mergeCell ref="AG599:AH599"/>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I581:AK581"/>
    <mergeCell ref="Z601:AK601"/>
    <mergeCell ref="DE717:DI717"/>
    <mergeCell ref="CU719:CY719"/>
    <mergeCell ref="CG718:CH718"/>
    <mergeCell ref="EE722:EI722"/>
    <mergeCell ref="DZ718:ED718"/>
    <mergeCell ref="EE718:EI718"/>
    <mergeCell ref="EJ718:EN718"/>
    <mergeCell ref="DJ718:DN718"/>
    <mergeCell ref="CZ719:DD719"/>
    <mergeCell ref="Z631:AB631"/>
    <mergeCell ref="AF624:AJ626"/>
    <mergeCell ref="Z687:AE687"/>
    <mergeCell ref="AH718:AJ718"/>
    <mergeCell ref="AC718:AG718"/>
    <mergeCell ref="AK714:AO717"/>
    <mergeCell ref="DZ717:ED717"/>
    <mergeCell ref="AC630:AE630"/>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AK718:AO718"/>
    <mergeCell ref="AK630:AN630"/>
    <mergeCell ref="AK631:AN631"/>
    <mergeCell ref="AK632:AN632"/>
    <mergeCell ref="AI671:AK671"/>
    <mergeCell ref="AK627:AN627"/>
    <mergeCell ref="AF632:AJ632"/>
    <mergeCell ref="AC631:AE631"/>
    <mergeCell ref="Z676:AK676"/>
    <mergeCell ref="W700:AK700"/>
    <mergeCell ref="Z683:AK683"/>
    <mergeCell ref="AA688:AK688"/>
    <mergeCell ref="AO628:AS628"/>
    <mergeCell ref="AG607:AH607"/>
    <mergeCell ref="AO624:AS626"/>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X653:EB653"/>
    <mergeCell ref="EC653:EG653"/>
    <mergeCell ref="DX654:EB654"/>
    <mergeCell ref="DX643:EB643"/>
    <mergeCell ref="DX640:EB640"/>
    <mergeCell ref="DO720:DS720"/>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1:ED731"/>
    <mergeCell ref="EJ726:EN726"/>
    <mergeCell ref="DZ726:ED726"/>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27:EN727"/>
    <mergeCell ref="EW661:FA661"/>
    <mergeCell ref="EM662:EQ662"/>
    <mergeCell ref="ER662:EV662"/>
    <mergeCell ref="DU727:DY727"/>
    <mergeCell ref="EE726:EI726"/>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DU734:DY734"/>
    <mergeCell ref="B641:AN641"/>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O729:ES729"/>
    <mergeCell ref="DU728:DY728"/>
    <mergeCell ref="DU722:DY722"/>
    <mergeCell ref="DO725:DS725"/>
    <mergeCell ref="DO721:DS721"/>
    <mergeCell ref="CM719:CN719"/>
    <mergeCell ref="CM721:CN721"/>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CI753:CJ753"/>
    <mergeCell ref="CM753:CN753"/>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AH729:AJ729"/>
    <mergeCell ref="X729:AB729"/>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AE563:AH563"/>
    <mergeCell ref="AE556:AH556"/>
    <mergeCell ref="AE559:AH559"/>
    <mergeCell ref="AI559:AL559"/>
    <mergeCell ref="C555:L555"/>
    <mergeCell ref="C556:L556"/>
    <mergeCell ref="C559:L559"/>
    <mergeCell ref="C562:L562"/>
    <mergeCell ref="AE558:AH558"/>
    <mergeCell ref="AI563:AL563"/>
    <mergeCell ref="AI561:AL561"/>
    <mergeCell ref="AE561:AH561"/>
    <mergeCell ref="AI565:AL565"/>
    <mergeCell ref="AE562:AH562"/>
    <mergeCell ref="AE554:AH554"/>
    <mergeCell ref="AI555:AL555"/>
    <mergeCell ref="AI556:AL556"/>
    <mergeCell ref="C558:L558"/>
    <mergeCell ref="C554:L554"/>
    <mergeCell ref="T562:V562"/>
    <mergeCell ref="T554:V554"/>
    <mergeCell ref="Q555:S555"/>
    <mergeCell ref="Q557:S557"/>
    <mergeCell ref="Q554:S554"/>
    <mergeCell ref="T555:V555"/>
    <mergeCell ref="W557:Y557"/>
    <mergeCell ref="W561:Y561"/>
    <mergeCell ref="W562:Y562"/>
    <mergeCell ref="W558:Y558"/>
    <mergeCell ref="AI560:AL560"/>
    <mergeCell ref="AE555:AH555"/>
    <mergeCell ref="AI554:AL554"/>
    <mergeCell ref="C565:L565"/>
    <mergeCell ref="C557:L557"/>
    <mergeCell ref="C560:L560"/>
    <mergeCell ref="C564:L564"/>
    <mergeCell ref="C561:L561"/>
    <mergeCell ref="C563:L563"/>
    <mergeCell ref="M555:P555"/>
    <mergeCell ref="M556:P556"/>
    <mergeCell ref="M558:P558"/>
    <mergeCell ref="M557:P557"/>
    <mergeCell ref="M559:P559"/>
    <mergeCell ref="M564:P564"/>
    <mergeCell ref="M562:P562"/>
    <mergeCell ref="M563:P563"/>
    <mergeCell ref="M560:P560"/>
    <mergeCell ref="M561:P561"/>
    <mergeCell ref="M554:P554"/>
    <mergeCell ref="M565:P565"/>
    <mergeCell ref="T564:V564"/>
    <mergeCell ref="Q559:S559"/>
    <mergeCell ref="Q560:S560"/>
    <mergeCell ref="Q565:S565"/>
    <mergeCell ref="Q561:S561"/>
    <mergeCell ref="T556:V556"/>
    <mergeCell ref="Q558:S558"/>
    <mergeCell ref="T558:V558"/>
    <mergeCell ref="T559:V559"/>
    <mergeCell ref="T557:V557"/>
    <mergeCell ref="T565:V565"/>
    <mergeCell ref="T560:V560"/>
    <mergeCell ref="Q564:S564"/>
    <mergeCell ref="Q563:S563"/>
    <mergeCell ref="Q562:S562"/>
    <mergeCell ref="Q556:S556"/>
    <mergeCell ref="T563:V563"/>
    <mergeCell ref="T561:V561"/>
    <mergeCell ref="W563:Y563"/>
    <mergeCell ref="W564:Y564"/>
    <mergeCell ref="W565:Y565"/>
    <mergeCell ref="W559:Y559"/>
    <mergeCell ref="Z554:AD554"/>
    <mergeCell ref="Z557:AD557"/>
    <mergeCell ref="Z555:AD555"/>
    <mergeCell ref="Z559:AD559"/>
    <mergeCell ref="Z562:AD562"/>
    <mergeCell ref="Z556:AD556"/>
    <mergeCell ref="Z560:AD560"/>
    <mergeCell ref="Z563:AD563"/>
    <mergeCell ref="Z561:AD561"/>
    <mergeCell ref="Z558:AD558"/>
    <mergeCell ref="Z564:AD564"/>
    <mergeCell ref="Z565:AD565"/>
    <mergeCell ref="AM555:AS555"/>
    <mergeCell ref="AM554:AS554"/>
    <mergeCell ref="AM560:AS560"/>
    <mergeCell ref="AM557:AS557"/>
    <mergeCell ref="AM558:AS558"/>
    <mergeCell ref="AM562:AS562"/>
    <mergeCell ref="AM556:AS556"/>
    <mergeCell ref="AM561:AS561"/>
    <mergeCell ref="AM559:AS559"/>
    <mergeCell ref="AM565:AS565"/>
    <mergeCell ref="AM563:AS563"/>
    <mergeCell ref="AM564:AS564"/>
    <mergeCell ref="AI562:AL562"/>
    <mergeCell ref="AI564:AL564"/>
    <mergeCell ref="AE565:AH565"/>
    <mergeCell ref="AE564:AH56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7"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3" ySplit="3" topLeftCell="D12" activePane="bottomRight" state="frozen"/>
      <selection pane="topRight" activeCell="D1" sqref="D1"/>
      <selection pane="bottomLeft" activeCell="A4" sqref="A4"/>
      <selection pane="bottomRight" activeCell="E18" sqref="E1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1)JP Morgan TE Perm Loan</v>
      </c>
      <c r="G2" s="139" t="str">
        <f>Application!B628&amp;Application!C628</f>
        <v>2)Seller Carryback Loan</v>
      </c>
      <c r="H2" s="139" t="str">
        <f>Application!B629&amp;Application!C629</f>
        <v>3)City of Livermore (assumed)</v>
      </c>
      <c r="I2" s="139" t="str">
        <f>Application!B630&amp;Application!C630</f>
        <v>4)CHFA School Facility Fees Loan (assumed)</v>
      </c>
      <c r="J2" s="139" t="str">
        <f>Application!B631&amp;Application!C631</f>
        <v>5)Income from Operations</v>
      </c>
      <c r="K2" s="139" t="str">
        <f>Application!B632&amp;Application!C632</f>
        <v>6)Deferred Developer Fee</v>
      </c>
      <c r="L2" s="139" t="str">
        <f>Application!B633&amp;Application!C633</f>
        <v>7)Accrued/Deferred Interest</v>
      </c>
      <c r="M2" s="139" t="str">
        <f>Application!B634&amp;Application!C634</f>
        <v>8)GP Capital: Acq Reserves</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500000</v>
      </c>
      <c r="C4" s="147">
        <v>500000</v>
      </c>
      <c r="D4" s="147"/>
      <c r="E4" s="147">
        <f>C4-SUM(F4:Q4)</f>
        <v>500000</v>
      </c>
      <c r="F4" s="147"/>
      <c r="G4" s="147"/>
      <c r="H4" s="147"/>
      <c r="I4" s="147"/>
      <c r="J4" s="147"/>
      <c r="K4" s="147"/>
      <c r="L4" s="147"/>
      <c r="M4" s="147"/>
      <c r="N4" s="147"/>
      <c r="O4" s="147"/>
      <c r="P4" s="147"/>
      <c r="Q4" s="147"/>
      <c r="R4" s="516">
        <f>SUM(E4:Q4)</f>
        <v>500000</v>
      </c>
      <c r="S4" s="148"/>
      <c r="T4" s="148"/>
      <c r="U4" s="143"/>
    </row>
    <row r="5" spans="1:21" s="144" customFormat="1">
      <c r="A5" s="145" t="s">
        <v>28</v>
      </c>
      <c r="B5" s="146">
        <f>SUM(C5+D5)</f>
        <v>0</v>
      </c>
      <c r="C5" s="147"/>
      <c r="D5" s="147"/>
      <c r="E5" s="147">
        <f>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C6-SUM(F6:Q6)</f>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ca="1">C7-SUM(E7:Q7)</f>
        <v>0</v>
      </c>
      <c r="F7" s="147"/>
      <c r="G7" s="147"/>
      <c r="H7" s="147"/>
      <c r="I7" s="147"/>
      <c r="J7" s="147"/>
      <c r="K7" s="147"/>
      <c r="L7" s="147"/>
      <c r="M7" s="147"/>
      <c r="N7" s="147"/>
      <c r="O7" s="147"/>
      <c r="P7" s="147"/>
      <c r="Q7" s="147"/>
      <c r="R7" s="516">
        <f ca="1">SUM(E7:Q7)</f>
        <v>0</v>
      </c>
      <c r="S7" s="148"/>
      <c r="T7" s="148"/>
      <c r="U7" s="143"/>
    </row>
    <row r="8" spans="1:21" s="144" customFormat="1">
      <c r="A8" s="149" t="s">
        <v>593</v>
      </c>
      <c r="B8" s="146">
        <f>SUM(C8:D8)</f>
        <v>500000</v>
      </c>
      <c r="C8" s="146">
        <f t="shared" ref="C8:Q8" si="0">SUM(C4:C7)</f>
        <v>500000</v>
      </c>
      <c r="D8" s="146">
        <f t="shared" si="0"/>
        <v>0</v>
      </c>
      <c r="E8" s="146">
        <f t="shared" ca="1" si="0"/>
        <v>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 ca="1">SUM(R4:R7)</f>
        <v>500000</v>
      </c>
      <c r="S8" s="148"/>
      <c r="T8" s="148"/>
      <c r="U8" s="143"/>
    </row>
    <row r="9" spans="1:21" s="144" customFormat="1">
      <c r="A9" s="145" t="s">
        <v>594</v>
      </c>
      <c r="B9" s="146">
        <f>SUM(C9+D9)</f>
        <v>20500000</v>
      </c>
      <c r="C9" s="147">
        <v>20500000</v>
      </c>
      <c r="D9" s="147"/>
      <c r="E9" s="147">
        <f>C9-SUM(F9:Q9)</f>
        <v>5115621</v>
      </c>
      <c r="F9" s="147"/>
      <c r="G9" s="147">
        <f>Application!AO628</f>
        <v>7943457</v>
      </c>
      <c r="H9" s="147">
        <f>Application!AO629</f>
        <v>7099708</v>
      </c>
      <c r="I9" s="147">
        <f>Application!AO630</f>
        <v>141214</v>
      </c>
      <c r="J9" s="147"/>
      <c r="K9" s="147"/>
      <c r="L9" s="147"/>
      <c r="M9" s="147">
        <f>Application!AO634</f>
        <v>200000</v>
      </c>
      <c r="N9" s="147"/>
      <c r="O9" s="147"/>
      <c r="P9" s="147"/>
      <c r="Q9" s="147"/>
      <c r="R9" s="516">
        <f>SUM(E9:Q9)</f>
        <v>20500000</v>
      </c>
      <c r="S9" s="148"/>
      <c r="T9" s="147">
        <v>20389833</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20500000</v>
      </c>
      <c r="C11" s="146">
        <f t="shared" ref="C11:Q11" si="1">SUM(C9:C10)</f>
        <v>20500000</v>
      </c>
      <c r="D11" s="146">
        <f t="shared" si="1"/>
        <v>0</v>
      </c>
      <c r="E11" s="146">
        <f t="shared" si="1"/>
        <v>5115621</v>
      </c>
      <c r="F11" s="146">
        <f t="shared" si="1"/>
        <v>0</v>
      </c>
      <c r="G11" s="146">
        <f t="shared" si="1"/>
        <v>7943457</v>
      </c>
      <c r="H11" s="146">
        <f t="shared" si="1"/>
        <v>7099708</v>
      </c>
      <c r="I11" s="146">
        <f t="shared" si="1"/>
        <v>141214</v>
      </c>
      <c r="J11" s="146">
        <f t="shared" si="1"/>
        <v>0</v>
      </c>
      <c r="K11" s="146">
        <f t="shared" si="1"/>
        <v>0</v>
      </c>
      <c r="L11" s="146">
        <f t="shared" si="1"/>
        <v>0</v>
      </c>
      <c r="M11" s="146">
        <f t="shared" si="1"/>
        <v>200000</v>
      </c>
      <c r="N11" s="146">
        <f t="shared" si="1"/>
        <v>0</v>
      </c>
      <c r="O11" s="146">
        <f t="shared" si="1"/>
        <v>0</v>
      </c>
      <c r="P11" s="146"/>
      <c r="Q11" s="146">
        <f t="shared" si="1"/>
        <v>0</v>
      </c>
      <c r="R11" s="342">
        <f>SUM(R9:R10)</f>
        <v>20500000</v>
      </c>
      <c r="S11" s="148"/>
      <c r="T11" s="150">
        <f>SUM(T9:T10)</f>
        <v>20389833</v>
      </c>
      <c r="U11" s="143"/>
    </row>
    <row r="12" spans="1:21" s="144" customFormat="1">
      <c r="A12" s="149" t="s">
        <v>84</v>
      </c>
      <c r="B12" s="146">
        <f t="shared" ref="B12:Q12" si="2">SUM(B8+B11)</f>
        <v>21000000</v>
      </c>
      <c r="C12" s="146">
        <f t="shared" si="2"/>
        <v>21000000</v>
      </c>
      <c r="D12" s="146">
        <f t="shared" si="2"/>
        <v>0</v>
      </c>
      <c r="E12" s="146">
        <f t="shared" ca="1" si="2"/>
        <v>5615621</v>
      </c>
      <c r="F12" s="146">
        <f t="shared" si="2"/>
        <v>0</v>
      </c>
      <c r="G12" s="146">
        <f t="shared" si="2"/>
        <v>7943457</v>
      </c>
      <c r="H12" s="146">
        <f t="shared" si="2"/>
        <v>7099708</v>
      </c>
      <c r="I12" s="146">
        <f t="shared" si="2"/>
        <v>141214</v>
      </c>
      <c r="J12" s="146">
        <f t="shared" si="2"/>
        <v>0</v>
      </c>
      <c r="K12" s="146">
        <f t="shared" si="2"/>
        <v>0</v>
      </c>
      <c r="L12" s="146">
        <f t="shared" si="2"/>
        <v>0</v>
      </c>
      <c r="M12" s="146">
        <f t="shared" si="2"/>
        <v>200000</v>
      </c>
      <c r="N12" s="146">
        <f t="shared" si="2"/>
        <v>0</v>
      </c>
      <c r="O12" s="146">
        <f t="shared" si="2"/>
        <v>0</v>
      </c>
      <c r="P12" s="146"/>
      <c r="Q12" s="146">
        <f t="shared" si="2"/>
        <v>0</v>
      </c>
      <c r="R12" s="342">
        <f ca="1">SUM(R8+R11)</f>
        <v>21000000</v>
      </c>
      <c r="S12" s="148"/>
      <c r="T12" s="148"/>
      <c r="U12" s="143"/>
    </row>
    <row r="13" spans="1:21" s="144" customFormat="1">
      <c r="A13" s="287" t="s">
        <v>902</v>
      </c>
      <c r="B13" s="146">
        <f>SUM(C13+D13)</f>
        <v>107797</v>
      </c>
      <c r="C13" s="147">
        <f>50000+23100+29697+5000</f>
        <v>107797</v>
      </c>
      <c r="D13" s="147"/>
      <c r="E13" s="147">
        <f>C13-SUM(F13:Q13)</f>
        <v>107797</v>
      </c>
      <c r="F13" s="147"/>
      <c r="G13" s="147"/>
      <c r="H13" s="147"/>
      <c r="I13" s="147"/>
      <c r="J13" s="147"/>
      <c r="K13" s="147"/>
      <c r="L13" s="147"/>
      <c r="M13" s="147"/>
      <c r="N13" s="147"/>
      <c r="O13" s="147"/>
      <c r="P13" s="147"/>
      <c r="Q13" s="147"/>
      <c r="R13" s="516">
        <f>SUM(E13:Q13)</f>
        <v>107797</v>
      </c>
      <c r="S13" s="147"/>
      <c r="T13" s="147">
        <f>48810+4881+22550+29697</f>
        <v>105938</v>
      </c>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200000</v>
      </c>
      <c r="C17" s="147">
        <v>200000</v>
      </c>
      <c r="D17" s="147"/>
      <c r="E17" s="147">
        <f>C17-SUM(F17:Q17)</f>
        <v>0</v>
      </c>
      <c r="F17" s="147">
        <v>200000</v>
      </c>
      <c r="G17" s="147"/>
      <c r="H17" s="147"/>
      <c r="I17" s="147"/>
      <c r="J17" s="147"/>
      <c r="K17" s="147"/>
      <c r="L17" s="147"/>
      <c r="M17" s="147"/>
      <c r="N17" s="147"/>
      <c r="O17" s="147"/>
      <c r="P17" s="147"/>
      <c r="Q17" s="147"/>
      <c r="R17" s="516">
        <f>SUM(E17:Q17)</f>
        <v>200000</v>
      </c>
      <c r="S17" s="147">
        <f>R17</f>
        <v>200000</v>
      </c>
      <c r="T17" s="147"/>
      <c r="U17" s="143"/>
    </row>
    <row r="18" spans="1:21" s="144" customFormat="1">
      <c r="A18" s="145" t="s">
        <v>599</v>
      </c>
      <c r="B18" s="146">
        <f t="shared" si="3"/>
        <v>4906000</v>
      </c>
      <c r="C18" s="147">
        <v>4906000</v>
      </c>
      <c r="D18" s="147"/>
      <c r="E18" s="147">
        <v>0</v>
      </c>
      <c r="F18" s="147">
        <v>4526525</v>
      </c>
      <c r="G18" s="147"/>
      <c r="H18" s="147"/>
      <c r="I18" s="147"/>
      <c r="J18" s="147">
        <v>379475</v>
      </c>
      <c r="K18" s="147"/>
      <c r="L18" s="147"/>
      <c r="M18" s="147"/>
      <c r="N18" s="147"/>
      <c r="O18" s="147"/>
      <c r="P18" s="147"/>
      <c r="Q18" s="147"/>
      <c r="R18" s="516">
        <f>SUM(E18:Q18)</f>
        <v>4906000</v>
      </c>
      <c r="S18" s="147">
        <f t="shared" ref="S18:S25" si="4">R18</f>
        <v>4906000</v>
      </c>
      <c r="T18" s="147"/>
      <c r="U18" s="143"/>
    </row>
    <row r="19" spans="1:21" s="144" customFormat="1">
      <c r="A19" s="145" t="s">
        <v>600</v>
      </c>
      <c r="B19" s="146">
        <f t="shared" si="3"/>
        <v>416000</v>
      </c>
      <c r="C19" s="147">
        <v>416000</v>
      </c>
      <c r="D19" s="147"/>
      <c r="E19" s="147">
        <f t="shared" ref="E19:E25" si="5">C19-SUM(F19:Q19)</f>
        <v>0</v>
      </c>
      <c r="F19" s="147">
        <v>416000</v>
      </c>
      <c r="G19" s="147"/>
      <c r="H19" s="147"/>
      <c r="I19" s="147"/>
      <c r="J19" s="147"/>
      <c r="K19" s="147"/>
      <c r="L19" s="147"/>
      <c r="M19" s="147"/>
      <c r="N19" s="147"/>
      <c r="O19" s="147"/>
      <c r="P19" s="147"/>
      <c r="Q19" s="147"/>
      <c r="R19" s="516">
        <f>SUM(E19:Q19)</f>
        <v>416000</v>
      </c>
      <c r="S19" s="147">
        <f t="shared" si="4"/>
        <v>416000</v>
      </c>
      <c r="T19" s="147"/>
      <c r="U19" s="143"/>
    </row>
    <row r="20" spans="1:21" s="144" customFormat="1">
      <c r="A20" s="145" t="s">
        <v>137</v>
      </c>
      <c r="B20" s="146">
        <f t="shared" si="3"/>
        <v>130000</v>
      </c>
      <c r="C20" s="147">
        <v>130000</v>
      </c>
      <c r="D20" s="147"/>
      <c r="E20" s="147">
        <f t="shared" si="5"/>
        <v>0</v>
      </c>
      <c r="F20" s="147">
        <v>130000</v>
      </c>
      <c r="G20" s="147"/>
      <c r="H20" s="147"/>
      <c r="I20" s="147"/>
      <c r="J20" s="147"/>
      <c r="K20" s="147"/>
      <c r="L20" s="147"/>
      <c r="M20" s="147"/>
      <c r="N20" s="147"/>
      <c r="O20" s="147"/>
      <c r="P20" s="147"/>
      <c r="Q20" s="147"/>
      <c r="R20" s="516">
        <f t="shared" ref="R20:R27" si="6">SUM(E20:Q20)</f>
        <v>130000</v>
      </c>
      <c r="S20" s="147">
        <f t="shared" si="4"/>
        <v>130000</v>
      </c>
      <c r="T20" s="147"/>
      <c r="U20" s="143"/>
    </row>
    <row r="21" spans="1:21" s="144" customFormat="1">
      <c r="A21" s="145" t="s">
        <v>138</v>
      </c>
      <c r="B21" s="146">
        <f t="shared" si="3"/>
        <v>130000</v>
      </c>
      <c r="C21" s="147">
        <v>130000</v>
      </c>
      <c r="D21" s="147"/>
      <c r="E21" s="147">
        <f t="shared" si="5"/>
        <v>0</v>
      </c>
      <c r="F21" s="147">
        <v>130000</v>
      </c>
      <c r="G21" s="147"/>
      <c r="H21" s="147"/>
      <c r="I21" s="147"/>
      <c r="J21" s="147"/>
      <c r="K21" s="147"/>
      <c r="L21" s="147"/>
      <c r="M21" s="147"/>
      <c r="N21" s="147"/>
      <c r="O21" s="147"/>
      <c r="P21" s="147"/>
      <c r="Q21" s="147"/>
      <c r="R21" s="516">
        <f t="shared" si="6"/>
        <v>130000</v>
      </c>
      <c r="S21" s="147">
        <f t="shared" si="4"/>
        <v>130000</v>
      </c>
      <c r="T21" s="147"/>
      <c r="U21" s="143"/>
    </row>
    <row r="22" spans="1:21" s="144" customFormat="1">
      <c r="A22" s="145" t="s">
        <v>139</v>
      </c>
      <c r="B22" s="146">
        <f t="shared" si="3"/>
        <v>0</v>
      </c>
      <c r="C22" s="147"/>
      <c r="D22" s="147"/>
      <c r="E22" s="147">
        <f t="shared" si="5"/>
        <v>0</v>
      </c>
      <c r="F22" s="147"/>
      <c r="G22" s="147"/>
      <c r="H22" s="147"/>
      <c r="I22" s="147"/>
      <c r="J22" s="147"/>
      <c r="K22" s="147"/>
      <c r="L22" s="147"/>
      <c r="M22" s="147"/>
      <c r="N22" s="147"/>
      <c r="O22" s="147"/>
      <c r="P22" s="147"/>
      <c r="Q22" s="147"/>
      <c r="R22" s="516">
        <f t="shared" si="6"/>
        <v>0</v>
      </c>
      <c r="S22" s="147">
        <f t="shared" si="4"/>
        <v>0</v>
      </c>
      <c r="T22" s="147"/>
      <c r="U22" s="143"/>
    </row>
    <row r="23" spans="1:21" s="144" customFormat="1">
      <c r="A23" s="145" t="s">
        <v>140</v>
      </c>
      <c r="B23" s="146">
        <f t="shared" si="3"/>
        <v>2210</v>
      </c>
      <c r="C23" s="147">
        <v>2210</v>
      </c>
      <c r="D23" s="147"/>
      <c r="E23" s="147">
        <f t="shared" si="5"/>
        <v>0</v>
      </c>
      <c r="F23" s="147">
        <v>2210</v>
      </c>
      <c r="G23" s="147"/>
      <c r="H23" s="147"/>
      <c r="I23" s="147"/>
      <c r="J23" s="147"/>
      <c r="K23" s="147"/>
      <c r="L23" s="147"/>
      <c r="M23" s="147"/>
      <c r="N23" s="147"/>
      <c r="O23" s="147"/>
      <c r="P23" s="147"/>
      <c r="Q23" s="147"/>
      <c r="R23" s="516">
        <f t="shared" si="6"/>
        <v>2210</v>
      </c>
      <c r="S23" s="147">
        <f t="shared" si="4"/>
        <v>2210</v>
      </c>
      <c r="T23" s="147"/>
      <c r="U23" s="143"/>
    </row>
    <row r="24" spans="1:21" s="144" customFormat="1">
      <c r="A24" s="508" t="s">
        <v>1639</v>
      </c>
      <c r="B24" s="146">
        <f t="shared" si="3"/>
        <v>170000</v>
      </c>
      <c r="C24" s="147">
        <v>170000</v>
      </c>
      <c r="D24" s="147"/>
      <c r="E24" s="147">
        <f t="shared" si="5"/>
        <v>0</v>
      </c>
      <c r="F24" s="147">
        <v>170000</v>
      </c>
      <c r="G24" s="147"/>
      <c r="H24" s="147"/>
      <c r="I24" s="147"/>
      <c r="J24" s="147"/>
      <c r="K24" s="147"/>
      <c r="L24" s="147"/>
      <c r="M24" s="147"/>
      <c r="N24" s="147"/>
      <c r="O24" s="147"/>
      <c r="P24" s="147"/>
      <c r="Q24" s="147"/>
      <c r="R24" s="516">
        <f t="shared" si="6"/>
        <v>170000</v>
      </c>
      <c r="S24" s="147">
        <f t="shared" si="4"/>
        <v>170000</v>
      </c>
      <c r="T24" s="147"/>
      <c r="U24" s="143"/>
    </row>
    <row r="25" spans="1:21" s="144" customFormat="1">
      <c r="A25" s="1149" t="s">
        <v>34</v>
      </c>
      <c r="B25" s="146">
        <f t="shared" si="3"/>
        <v>0</v>
      </c>
      <c r="C25" s="147"/>
      <c r="D25" s="147"/>
      <c r="E25" s="147">
        <f t="shared" si="5"/>
        <v>0</v>
      </c>
      <c r="F25" s="147"/>
      <c r="G25" s="147"/>
      <c r="H25" s="147"/>
      <c r="I25" s="147"/>
      <c r="J25" s="147"/>
      <c r="K25" s="147"/>
      <c r="L25" s="147"/>
      <c r="M25" s="147"/>
      <c r="N25" s="147"/>
      <c r="O25" s="147"/>
      <c r="P25" s="147"/>
      <c r="Q25" s="147"/>
      <c r="R25" s="516">
        <f t="shared" si="6"/>
        <v>0</v>
      </c>
      <c r="S25" s="147">
        <f t="shared" si="4"/>
        <v>0</v>
      </c>
      <c r="T25" s="147"/>
      <c r="U25" s="143"/>
    </row>
    <row r="26" spans="1:21" s="144" customFormat="1">
      <c r="A26" s="149" t="s">
        <v>133</v>
      </c>
      <c r="B26" s="146">
        <f t="shared" si="3"/>
        <v>5954210</v>
      </c>
      <c r="C26" s="146">
        <f>SUM(C17:C25)</f>
        <v>5954210</v>
      </c>
      <c r="D26" s="146">
        <f t="shared" ref="D26:Q26" si="7">SUM(D17:D25)</f>
        <v>0</v>
      </c>
      <c r="E26" s="146">
        <f t="shared" si="7"/>
        <v>0</v>
      </c>
      <c r="F26" s="146">
        <f t="shared" si="7"/>
        <v>5574735</v>
      </c>
      <c r="G26" s="146">
        <f t="shared" si="7"/>
        <v>0</v>
      </c>
      <c r="H26" s="146">
        <f t="shared" si="7"/>
        <v>0</v>
      </c>
      <c r="I26" s="146">
        <f t="shared" si="7"/>
        <v>0</v>
      </c>
      <c r="J26" s="146">
        <f t="shared" si="7"/>
        <v>379475</v>
      </c>
      <c r="K26" s="146">
        <f t="shared" si="7"/>
        <v>0</v>
      </c>
      <c r="L26" s="146">
        <f t="shared" si="7"/>
        <v>0</v>
      </c>
      <c r="M26" s="146">
        <f t="shared" si="7"/>
        <v>0</v>
      </c>
      <c r="N26" s="146">
        <f t="shared" si="7"/>
        <v>0</v>
      </c>
      <c r="O26" s="146">
        <f t="shared" si="7"/>
        <v>0</v>
      </c>
      <c r="P26" s="146">
        <f t="shared" si="7"/>
        <v>0</v>
      </c>
      <c r="Q26" s="146">
        <f t="shared" si="7"/>
        <v>0</v>
      </c>
      <c r="R26" s="342">
        <f>SUM(R17:R25)</f>
        <v>5954210</v>
      </c>
      <c r="S26" s="150">
        <f>SUM(S17:S25)</f>
        <v>5954210</v>
      </c>
      <c r="T26" s="150">
        <f>SUM(T17:T25)</f>
        <v>0</v>
      </c>
      <c r="U26" s="143"/>
    </row>
    <row r="27" spans="1:21" s="144" customFormat="1">
      <c r="A27" s="149" t="s">
        <v>141</v>
      </c>
      <c r="B27" s="146">
        <f>SUM(C27:D27)</f>
        <v>259000</v>
      </c>
      <c r="C27" s="147">
        <v>259000</v>
      </c>
      <c r="D27" s="147"/>
      <c r="E27" s="147">
        <f>C27-SUM(F27:Q27)</f>
        <v>0</v>
      </c>
      <c r="F27" s="147">
        <v>259000</v>
      </c>
      <c r="G27" s="147"/>
      <c r="H27" s="147"/>
      <c r="I27" s="147"/>
      <c r="J27" s="147"/>
      <c r="K27" s="147"/>
      <c r="L27" s="147"/>
      <c r="M27" s="147"/>
      <c r="N27" s="147"/>
      <c r="O27" s="147"/>
      <c r="P27" s="147"/>
      <c r="Q27" s="147"/>
      <c r="R27" s="516">
        <f t="shared" si="6"/>
        <v>259000</v>
      </c>
      <c r="S27" s="147">
        <f>R27</f>
        <v>259000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1639</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425000</v>
      </c>
      <c r="C40" s="147">
        <v>425000</v>
      </c>
      <c r="D40" s="147"/>
      <c r="E40" s="147">
        <f>C40-SUM(F40:Q40)</f>
        <v>0</v>
      </c>
      <c r="F40" s="147">
        <f>C40</f>
        <v>425000</v>
      </c>
      <c r="G40" s="147"/>
      <c r="H40" s="147"/>
      <c r="I40" s="147"/>
      <c r="J40" s="147"/>
      <c r="K40" s="147"/>
      <c r="L40" s="147"/>
      <c r="M40" s="147"/>
      <c r="N40" s="147"/>
      <c r="O40" s="147"/>
      <c r="P40" s="147"/>
      <c r="Q40" s="147"/>
      <c r="R40" s="516">
        <f>SUM(E40:Q40)</f>
        <v>425000</v>
      </c>
      <c r="S40" s="147">
        <f>R40</f>
        <v>425000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425000</v>
      </c>
      <c r="C42" s="146">
        <f>SUM(C39:C41)</f>
        <v>425000</v>
      </c>
      <c r="D42" s="146">
        <f>SUM(D39:D41)</f>
        <v>0</v>
      </c>
      <c r="E42" s="146">
        <f t="shared" ref="E42:T42" si="11">SUM(E40:E41)</f>
        <v>0</v>
      </c>
      <c r="F42" s="146">
        <f t="shared" si="11"/>
        <v>425000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425000</v>
      </c>
      <c r="S42" s="150">
        <f t="shared" si="11"/>
        <v>425000</v>
      </c>
      <c r="T42" s="150">
        <f t="shared" si="11"/>
        <v>0</v>
      </c>
      <c r="U42" s="143"/>
    </row>
    <row r="43" spans="1:21" s="144" customFormat="1">
      <c r="A43" s="149" t="s">
        <v>148</v>
      </c>
      <c r="B43" s="146">
        <f>SUM(C43:D43)</f>
        <v>375000</v>
      </c>
      <c r="C43" s="147">
        <v>375000</v>
      </c>
      <c r="D43" s="147"/>
      <c r="E43" s="1260">
        <f>C43-SUM(F43:Q43)</f>
        <v>735</v>
      </c>
      <c r="F43" s="147">
        <v>374265</v>
      </c>
      <c r="G43" s="147"/>
      <c r="H43" s="147"/>
      <c r="I43" s="147"/>
      <c r="J43" s="147"/>
      <c r="K43" s="147"/>
      <c r="L43" s="147"/>
      <c r="M43" s="147"/>
      <c r="N43" s="147"/>
      <c r="O43" s="147"/>
      <c r="P43" s="147"/>
      <c r="Q43" s="147"/>
      <c r="R43" s="516">
        <f>SUM(E43:Q43)</f>
        <v>375000</v>
      </c>
      <c r="S43" s="147">
        <f>R43</f>
        <v>375000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2200538</v>
      </c>
      <c r="C45" s="147">
        <f>644964+78186+288905+627572+560911</f>
        <v>2200538</v>
      </c>
      <c r="D45" s="147"/>
      <c r="E45" s="147">
        <f>C45-SUM(F45:Q45)</f>
        <v>1011955</v>
      </c>
      <c r="F45" s="147"/>
      <c r="G45" s="147"/>
      <c r="H45" s="147"/>
      <c r="I45" s="147"/>
      <c r="J45" s="147"/>
      <c r="K45" s="147"/>
      <c r="L45" s="147">
        <f>Application!AO633</f>
        <v>1188583</v>
      </c>
      <c r="M45" s="147"/>
      <c r="N45" s="147"/>
      <c r="O45" s="147"/>
      <c r="P45" s="147"/>
      <c r="Q45" s="147"/>
      <c r="R45" s="516">
        <f t="shared" ref="R45:R53" si="13">SUM(E45:Q45)</f>
        <v>2200538</v>
      </c>
      <c r="S45" s="147">
        <f>337838+40354+332264+170515+29697</f>
        <v>910668</v>
      </c>
      <c r="T45" s="147"/>
      <c r="U45" s="143"/>
    </row>
    <row r="46" spans="1:21" s="144" customFormat="1">
      <c r="A46" s="145" t="s">
        <v>151</v>
      </c>
      <c r="B46" s="146">
        <f t="shared" si="12"/>
        <v>82310</v>
      </c>
      <c r="C46" s="147">
        <v>82310</v>
      </c>
      <c r="D46" s="147"/>
      <c r="E46" s="147">
        <f t="shared" ref="E46:E53" si="14">C46-SUM(F46:Q46)</f>
        <v>82310</v>
      </c>
      <c r="F46" s="147"/>
      <c r="G46" s="147"/>
      <c r="H46" s="147"/>
      <c r="I46" s="147"/>
      <c r="J46" s="147"/>
      <c r="K46" s="147"/>
      <c r="L46" s="147"/>
      <c r="M46" s="147"/>
      <c r="N46" s="147"/>
      <c r="O46" s="147"/>
      <c r="P46" s="147"/>
      <c r="Q46" s="147"/>
      <c r="R46" s="516">
        <f t="shared" si="13"/>
        <v>82310</v>
      </c>
      <c r="S46" s="147">
        <v>43049</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26000</v>
      </c>
      <c r="C48" s="147">
        <v>26000</v>
      </c>
      <c r="D48" s="147"/>
      <c r="E48" s="147">
        <f t="shared" si="14"/>
        <v>26000</v>
      </c>
      <c r="F48" s="147"/>
      <c r="G48" s="147"/>
      <c r="H48" s="147"/>
      <c r="I48" s="147"/>
      <c r="J48" s="147"/>
      <c r="K48" s="147"/>
      <c r="L48" s="147"/>
      <c r="M48" s="147"/>
      <c r="N48" s="147"/>
      <c r="O48" s="147"/>
      <c r="P48" s="147"/>
      <c r="Q48" s="147"/>
      <c r="R48" s="516">
        <f t="shared" si="13"/>
        <v>26000</v>
      </c>
      <c r="S48" s="147">
        <f>R48</f>
        <v>26000</v>
      </c>
      <c r="T48" s="147"/>
      <c r="U48" s="143"/>
    </row>
    <row r="49" spans="1:21" s="144" customFormat="1">
      <c r="A49" s="145" t="s">
        <v>57</v>
      </c>
      <c r="B49" s="146">
        <f t="shared" si="12"/>
        <v>135582</v>
      </c>
      <c r="C49" s="147">
        <f>65000+5000+2500+18078+16462+4000+6107+3435+15000</f>
        <v>135582</v>
      </c>
      <c r="D49" s="147"/>
      <c r="E49" s="147">
        <f t="shared" si="14"/>
        <v>135582</v>
      </c>
      <c r="F49" s="147"/>
      <c r="G49" s="147"/>
      <c r="H49" s="147"/>
      <c r="I49" s="147"/>
      <c r="J49" s="147"/>
      <c r="K49" s="147"/>
      <c r="L49" s="147"/>
      <c r="M49" s="147"/>
      <c r="N49" s="147"/>
      <c r="O49" s="147"/>
      <c r="P49" s="147"/>
      <c r="Q49" s="147"/>
      <c r="R49" s="516">
        <f t="shared" si="13"/>
        <v>135582</v>
      </c>
      <c r="S49" s="147"/>
      <c r="T49" s="147"/>
      <c r="U49" s="143"/>
    </row>
    <row r="50" spans="1:21" s="144" customFormat="1">
      <c r="A50" s="145" t="s">
        <v>156</v>
      </c>
      <c r="B50" s="146">
        <f t="shared" si="12"/>
        <v>30000</v>
      </c>
      <c r="C50" s="147">
        <v>30000</v>
      </c>
      <c r="D50" s="147"/>
      <c r="E50" s="147">
        <f t="shared" si="14"/>
        <v>30000</v>
      </c>
      <c r="F50" s="147"/>
      <c r="G50" s="147"/>
      <c r="H50" s="147"/>
      <c r="I50" s="147"/>
      <c r="J50" s="147"/>
      <c r="K50" s="147"/>
      <c r="L50" s="147"/>
      <c r="M50" s="147"/>
      <c r="N50" s="147"/>
      <c r="O50" s="147"/>
      <c r="P50" s="147"/>
      <c r="Q50" s="147"/>
      <c r="R50" s="516">
        <f t="shared" si="13"/>
        <v>30000</v>
      </c>
      <c r="S50" s="147">
        <f>R50</f>
        <v>30000</v>
      </c>
      <c r="T50" s="147"/>
      <c r="U50" s="143"/>
    </row>
    <row r="51" spans="1:21" s="144" customFormat="1">
      <c r="A51" s="283" t="s">
        <v>154</v>
      </c>
      <c r="B51" s="146">
        <f t="shared" si="12"/>
        <v>30000</v>
      </c>
      <c r="C51" s="147">
        <v>30000</v>
      </c>
      <c r="D51" s="147"/>
      <c r="E51" s="147">
        <f t="shared" si="14"/>
        <v>30000</v>
      </c>
      <c r="F51" s="147"/>
      <c r="G51" s="147"/>
      <c r="H51" s="147"/>
      <c r="I51" s="147"/>
      <c r="J51" s="147"/>
      <c r="K51" s="147"/>
      <c r="L51" s="147"/>
      <c r="M51" s="147"/>
      <c r="N51" s="147"/>
      <c r="O51" s="147"/>
      <c r="P51" s="147"/>
      <c r="Q51" s="147"/>
      <c r="R51" s="516">
        <f t="shared" si="13"/>
        <v>30000</v>
      </c>
      <c r="S51" s="147">
        <f>R51</f>
        <v>30000</v>
      </c>
      <c r="T51" s="147"/>
      <c r="U51" s="143"/>
    </row>
    <row r="52" spans="1:21" s="144" customFormat="1">
      <c r="A52" s="145" t="s">
        <v>155</v>
      </c>
      <c r="B52" s="146">
        <f t="shared" si="12"/>
        <v>150572</v>
      </c>
      <c r="C52" s="147">
        <v>150572</v>
      </c>
      <c r="D52" s="147"/>
      <c r="E52" s="147">
        <f t="shared" si="14"/>
        <v>150572</v>
      </c>
      <c r="F52" s="147"/>
      <c r="G52" s="147"/>
      <c r="H52" s="147"/>
      <c r="I52" s="147"/>
      <c r="J52" s="147"/>
      <c r="K52" s="147"/>
      <c r="L52" s="147"/>
      <c r="M52" s="147"/>
      <c r="N52" s="147"/>
      <c r="O52" s="147"/>
      <c r="P52" s="147"/>
      <c r="Q52" s="147"/>
      <c r="R52" s="516">
        <f t="shared" si="13"/>
        <v>150572</v>
      </c>
      <c r="S52" s="147">
        <f>R52</f>
        <v>150572</v>
      </c>
      <c r="T52" s="147"/>
      <c r="U52" s="143"/>
    </row>
    <row r="53" spans="1:21" s="144" customFormat="1">
      <c r="A53" s="1149" t="s">
        <v>2745</v>
      </c>
      <c r="B53" s="146">
        <f t="shared" si="12"/>
        <v>45000</v>
      </c>
      <c r="C53" s="147">
        <v>45000</v>
      </c>
      <c r="D53" s="147"/>
      <c r="E53" s="147">
        <f t="shared" si="14"/>
        <v>45000</v>
      </c>
      <c r="F53" s="147"/>
      <c r="G53" s="147"/>
      <c r="H53" s="147"/>
      <c r="I53" s="147"/>
      <c r="J53" s="147"/>
      <c r="K53" s="147"/>
      <c r="L53" s="147"/>
      <c r="M53" s="147"/>
      <c r="N53" s="147"/>
      <c r="O53" s="147"/>
      <c r="P53" s="147"/>
      <c r="Q53" s="147"/>
      <c r="R53" s="516">
        <f t="shared" si="13"/>
        <v>45000</v>
      </c>
      <c r="S53" s="147">
        <v>23535</v>
      </c>
      <c r="T53" s="147"/>
      <c r="U53" s="143"/>
    </row>
    <row r="54" spans="1:21" s="153" customFormat="1">
      <c r="A54" s="149" t="s">
        <v>157</v>
      </c>
      <c r="B54" s="150">
        <f>SUM(C54:D54)</f>
        <v>2700002</v>
      </c>
      <c r="C54" s="150">
        <f t="shared" ref="C54:T54" si="15">SUM(C45:C53)</f>
        <v>2700002</v>
      </c>
      <c r="D54" s="150">
        <f t="shared" si="15"/>
        <v>0</v>
      </c>
      <c r="E54" s="150">
        <f t="shared" si="15"/>
        <v>1511419</v>
      </c>
      <c r="F54" s="150">
        <f t="shared" si="15"/>
        <v>0</v>
      </c>
      <c r="G54" s="150">
        <f t="shared" si="15"/>
        <v>0</v>
      </c>
      <c r="H54" s="150">
        <f t="shared" si="15"/>
        <v>0</v>
      </c>
      <c r="I54" s="150">
        <f t="shared" si="15"/>
        <v>0</v>
      </c>
      <c r="J54" s="150">
        <f t="shared" si="15"/>
        <v>0</v>
      </c>
      <c r="K54" s="150">
        <f t="shared" si="15"/>
        <v>0</v>
      </c>
      <c r="L54" s="150">
        <f t="shared" si="15"/>
        <v>1188583</v>
      </c>
      <c r="M54" s="150">
        <f t="shared" si="15"/>
        <v>0</v>
      </c>
      <c r="N54" s="150">
        <f t="shared" si="15"/>
        <v>0</v>
      </c>
      <c r="O54" s="150">
        <f t="shared" si="15"/>
        <v>0</v>
      </c>
      <c r="P54" s="150">
        <f t="shared" si="15"/>
        <v>0</v>
      </c>
      <c r="Q54" s="150">
        <f t="shared" si="15"/>
        <v>0</v>
      </c>
      <c r="R54" s="342">
        <f t="shared" si="15"/>
        <v>2700002</v>
      </c>
      <c r="S54" s="150">
        <f t="shared" si="15"/>
        <v>1213824</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66330</v>
      </c>
      <c r="C56" s="147">
        <v>66330</v>
      </c>
      <c r="D56" s="147"/>
      <c r="E56" s="147">
        <f>C56-SUM(F56:Q56)</f>
        <v>66330</v>
      </c>
      <c r="F56" s="147"/>
      <c r="G56" s="147"/>
      <c r="H56" s="147"/>
      <c r="I56" s="147"/>
      <c r="J56" s="147"/>
      <c r="K56" s="147"/>
      <c r="L56" s="147"/>
      <c r="M56" s="147"/>
      <c r="N56" s="147"/>
      <c r="O56" s="147"/>
      <c r="P56" s="147"/>
      <c r="Q56" s="147"/>
      <c r="R56" s="516">
        <f t="shared" ref="R56:R61" si="17">SUM(E56:Q56)</f>
        <v>66330</v>
      </c>
      <c r="S56" s="148"/>
      <c r="T56" s="148"/>
      <c r="U56" s="143"/>
    </row>
    <row r="57" spans="1:21" s="192" customFormat="1">
      <c r="A57" s="186" t="s">
        <v>152</v>
      </c>
      <c r="B57" s="193">
        <f t="shared" si="16"/>
        <v>0</v>
      </c>
      <c r="C57" s="190"/>
      <c r="D57" s="190"/>
      <c r="E57" s="190">
        <f t="shared" ref="E57:E61" si="18">C57-SUM(F57:Q57)</f>
        <v>0</v>
      </c>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15000</v>
      </c>
      <c r="C58" s="147">
        <v>15000</v>
      </c>
      <c r="D58" s="147"/>
      <c r="E58" s="147">
        <f t="shared" si="18"/>
        <v>15000</v>
      </c>
      <c r="F58" s="147"/>
      <c r="G58" s="147"/>
      <c r="H58" s="147"/>
      <c r="I58" s="147"/>
      <c r="J58" s="147"/>
      <c r="K58" s="147"/>
      <c r="L58" s="147"/>
      <c r="M58" s="147"/>
      <c r="N58" s="147"/>
      <c r="O58" s="147"/>
      <c r="P58" s="147"/>
      <c r="Q58" s="147"/>
      <c r="R58" s="516">
        <f t="shared" si="17"/>
        <v>15000</v>
      </c>
      <c r="S58" s="148"/>
      <c r="T58" s="148"/>
      <c r="U58" s="143"/>
    </row>
    <row r="59" spans="1:21" s="144" customFormat="1">
      <c r="A59" s="283" t="s">
        <v>154</v>
      </c>
      <c r="B59" s="146">
        <f t="shared" si="16"/>
        <v>0</v>
      </c>
      <c r="C59" s="147"/>
      <c r="D59" s="147"/>
      <c r="E59" s="147">
        <f t="shared" si="18"/>
        <v>0</v>
      </c>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16">
        <f t="shared" si="17"/>
        <v>0</v>
      </c>
      <c r="S60" s="148"/>
      <c r="T60" s="148"/>
      <c r="U60" s="143"/>
    </row>
    <row r="61" spans="1:21" s="144" customFormat="1">
      <c r="A61" s="1149" t="s">
        <v>2745</v>
      </c>
      <c r="B61" s="146">
        <f t="shared" si="16"/>
        <v>55000</v>
      </c>
      <c r="C61" s="147">
        <v>55000</v>
      </c>
      <c r="D61" s="147"/>
      <c r="E61" s="147">
        <f t="shared" si="18"/>
        <v>55000</v>
      </c>
      <c r="F61" s="147"/>
      <c r="G61" s="147"/>
      <c r="H61" s="147"/>
      <c r="I61" s="147"/>
      <c r="J61" s="147"/>
      <c r="K61" s="147"/>
      <c r="L61" s="147"/>
      <c r="M61" s="147"/>
      <c r="N61" s="147"/>
      <c r="O61" s="147"/>
      <c r="P61" s="147"/>
      <c r="Q61" s="147"/>
      <c r="R61" s="516">
        <f t="shared" si="17"/>
        <v>55000</v>
      </c>
      <c r="S61" s="148"/>
      <c r="T61" s="148"/>
      <c r="U61" s="143"/>
    </row>
    <row r="62" spans="1:21" s="144" customFormat="1" ht="13.7" customHeight="1">
      <c r="A62" s="149" t="s">
        <v>301</v>
      </c>
      <c r="B62" s="146">
        <f>SUM(C62:D62)</f>
        <v>136330</v>
      </c>
      <c r="C62" s="146">
        <f t="shared" ref="C62:R62" si="19">SUM(C56:C61)</f>
        <v>136330</v>
      </c>
      <c r="D62" s="146">
        <f t="shared" si="19"/>
        <v>0</v>
      </c>
      <c r="E62" s="146">
        <f t="shared" si="19"/>
        <v>136330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136330</v>
      </c>
      <c r="S62" s="148"/>
      <c r="T62" s="148"/>
      <c r="U62" s="143"/>
    </row>
    <row r="63" spans="1:21" s="144" customFormat="1">
      <c r="A63" s="154" t="s">
        <v>302</v>
      </c>
      <c r="B63" s="146">
        <f t="shared" ref="B63:R63" si="20">SUM(B8+B11+B13+B14+B15+B26+B27+B38+B42+B43+B54+B62)</f>
        <v>30957339</v>
      </c>
      <c r="C63" s="146">
        <f t="shared" si="20"/>
        <v>30957339</v>
      </c>
      <c r="D63" s="146">
        <f t="shared" si="20"/>
        <v>0</v>
      </c>
      <c r="E63" s="146">
        <f t="shared" ca="1" si="20"/>
        <v>7371902</v>
      </c>
      <c r="F63" s="146">
        <f t="shared" si="20"/>
        <v>6633000</v>
      </c>
      <c r="G63" s="146">
        <f t="shared" si="20"/>
        <v>7943457</v>
      </c>
      <c r="H63" s="146">
        <f t="shared" si="20"/>
        <v>7099708</v>
      </c>
      <c r="I63" s="146">
        <f t="shared" si="20"/>
        <v>141214</v>
      </c>
      <c r="J63" s="146">
        <f t="shared" si="20"/>
        <v>379475</v>
      </c>
      <c r="K63" s="146">
        <f t="shared" si="20"/>
        <v>0</v>
      </c>
      <c r="L63" s="146">
        <f t="shared" si="20"/>
        <v>1188583</v>
      </c>
      <c r="M63" s="146">
        <f t="shared" si="20"/>
        <v>200000</v>
      </c>
      <c r="N63" s="146">
        <f t="shared" si="20"/>
        <v>0</v>
      </c>
      <c r="O63" s="146">
        <f t="shared" si="20"/>
        <v>0</v>
      </c>
      <c r="P63" s="146">
        <f t="shared" si="20"/>
        <v>0</v>
      </c>
      <c r="Q63" s="146">
        <f t="shared" si="20"/>
        <v>0</v>
      </c>
      <c r="R63" s="342">
        <f t="shared" ca="1" si="20"/>
        <v>30957339</v>
      </c>
      <c r="S63" s="146">
        <f>SUM(S10+S13+S14+S15+S26+S27+S38+S42+S43+S54)</f>
        <v>8227034</v>
      </c>
      <c r="T63" s="146">
        <f>SUM(T11+T13+T14+T15+T26+T27+T38+T42+T43+T54)</f>
        <v>20495771</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110000</v>
      </c>
      <c r="C65" s="147">
        <f>85000+25000</f>
        <v>110000</v>
      </c>
      <c r="D65" s="147"/>
      <c r="E65" s="147">
        <f>C65-SUM(F65:Q65)</f>
        <v>110000</v>
      </c>
      <c r="F65" s="147"/>
      <c r="G65" s="147"/>
      <c r="H65" s="147"/>
      <c r="I65" s="147"/>
      <c r="J65" s="147"/>
      <c r="K65" s="147"/>
      <c r="L65" s="147"/>
      <c r="M65" s="147"/>
      <c r="N65" s="147"/>
      <c r="O65" s="147"/>
      <c r="P65" s="147"/>
      <c r="Q65" s="147"/>
      <c r="R65" s="516">
        <f>SUM(E65:Q65)</f>
        <v>110000</v>
      </c>
      <c r="S65" s="147">
        <v>44456</v>
      </c>
      <c r="T65" s="147"/>
      <c r="U65" s="143"/>
    </row>
    <row r="66" spans="1:21" s="144" customFormat="1" ht="24" customHeight="1">
      <c r="A66" s="283" t="s">
        <v>1640</v>
      </c>
      <c r="B66" s="146">
        <f>SUM(C66+D66)</f>
        <v>0</v>
      </c>
      <c r="C66" s="147"/>
      <c r="D66" s="147"/>
      <c r="E66" s="147">
        <f t="shared" ref="E66:E68" si="21">C66-SUM(F66:Q66)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9" t="s">
        <v>2743</v>
      </c>
      <c r="B69" s="146">
        <f>SUM(C69+D69)</f>
        <v>70000</v>
      </c>
      <c r="C69" s="147">
        <f>40000+30000</f>
        <v>70000</v>
      </c>
      <c r="D69" s="147"/>
      <c r="E69" s="147">
        <f>C69-SUM(F69:Q69)</f>
        <v>70000</v>
      </c>
      <c r="F69" s="147"/>
      <c r="G69" s="147"/>
      <c r="H69" s="147"/>
      <c r="I69" s="147"/>
      <c r="J69" s="147"/>
      <c r="K69" s="147"/>
      <c r="L69" s="147"/>
      <c r="M69" s="147"/>
      <c r="N69" s="147"/>
      <c r="O69" s="147"/>
      <c r="P69" s="147"/>
      <c r="Q69" s="147"/>
      <c r="R69" s="516">
        <f>SUM(E69:Q69)</f>
        <v>70000</v>
      </c>
      <c r="S69" s="147">
        <v>40000</v>
      </c>
      <c r="T69" s="147"/>
      <c r="U69" s="143"/>
    </row>
    <row r="70" spans="1:21" s="144" customFormat="1">
      <c r="A70" s="149" t="s">
        <v>1644</v>
      </c>
      <c r="B70" s="146">
        <f>SUM(C70:D70)</f>
        <v>180000</v>
      </c>
      <c r="C70" s="146">
        <f>SUM(C65:C69)</f>
        <v>180000</v>
      </c>
      <c r="D70" s="146">
        <f>SUM(D65:D69)</f>
        <v>0</v>
      </c>
      <c r="E70" s="146">
        <f t="shared" ref="E70:T70" si="22">SUM(E65:E69)</f>
        <v>180000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180000</v>
      </c>
      <c r="S70" s="150">
        <f t="shared" si="22"/>
        <v>84456</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260">
        <f>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6" si="23">C73-SUM(F73:Q73)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3"/>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330336</v>
      </c>
      <c r="C75" s="147">
        <v>330336</v>
      </c>
      <c r="D75" s="147"/>
      <c r="E75" s="147">
        <f t="shared" si="23"/>
        <v>330336</v>
      </c>
      <c r="F75" s="147"/>
      <c r="G75" s="147"/>
      <c r="H75" s="147"/>
      <c r="I75" s="147"/>
      <c r="J75" s="147"/>
      <c r="K75" s="147"/>
      <c r="L75" s="147"/>
      <c r="M75" s="147"/>
      <c r="N75" s="147"/>
      <c r="O75" s="147"/>
      <c r="P75" s="147"/>
      <c r="Q75" s="147"/>
      <c r="R75" s="516">
        <f>SUM(E75:Q75)</f>
        <v>330336</v>
      </c>
      <c r="S75" s="148"/>
      <c r="T75" s="148"/>
      <c r="U75" s="143"/>
    </row>
    <row r="76" spans="1:21" s="144" customFormat="1">
      <c r="A76" s="1149" t="s">
        <v>2744</v>
      </c>
      <c r="B76" s="146">
        <f>SUM(C76+D76)</f>
        <v>82400</v>
      </c>
      <c r="C76" s="147">
        <f>32400+50000</f>
        <v>82400</v>
      </c>
      <c r="D76" s="147"/>
      <c r="E76" s="147">
        <f t="shared" si="23"/>
        <v>82400</v>
      </c>
      <c r="F76" s="147"/>
      <c r="G76" s="147"/>
      <c r="H76" s="147"/>
      <c r="I76" s="147"/>
      <c r="J76" s="147"/>
      <c r="K76" s="147"/>
      <c r="L76" s="147"/>
      <c r="M76" s="147"/>
      <c r="N76" s="147"/>
      <c r="O76" s="147"/>
      <c r="P76" s="147"/>
      <c r="Q76" s="147"/>
      <c r="R76" s="516">
        <f>SUM(E76:Q76)</f>
        <v>82400</v>
      </c>
      <c r="S76" s="148"/>
      <c r="T76" s="148"/>
      <c r="U76" s="143"/>
    </row>
    <row r="77" spans="1:21" s="144" customFormat="1">
      <c r="A77" s="149" t="s">
        <v>606</v>
      </c>
      <c r="B77" s="146">
        <f>SUM(C77:D77)</f>
        <v>412736</v>
      </c>
      <c r="C77" s="146">
        <f>SUM(C72:C76)</f>
        <v>412736</v>
      </c>
      <c r="D77" s="146">
        <f>SUM(D72:D76)</f>
        <v>0</v>
      </c>
      <c r="E77" s="146">
        <f t="shared" ref="E77:Q77" si="24">SUM(E72:E76)</f>
        <v>412736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412736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572421</v>
      </c>
      <c r="C79" s="147">
        <v>572421</v>
      </c>
      <c r="D79" s="147"/>
      <c r="E79" s="147">
        <f>C79-SUM(F79:Q79)</f>
        <v>572421</v>
      </c>
      <c r="F79" s="147"/>
      <c r="G79" s="147"/>
      <c r="H79" s="147"/>
      <c r="I79" s="147"/>
      <c r="J79" s="147"/>
      <c r="K79" s="147"/>
      <c r="L79" s="147"/>
      <c r="M79" s="147"/>
      <c r="N79" s="147"/>
      <c r="O79" s="147"/>
      <c r="P79" s="147"/>
      <c r="Q79" s="147"/>
      <c r="R79" s="516">
        <f>SUM(E79:Q79)</f>
        <v>572421</v>
      </c>
      <c r="S79" s="147">
        <f>R79</f>
        <v>572421</v>
      </c>
      <c r="T79" s="147"/>
      <c r="U79" s="143"/>
    </row>
    <row r="80" spans="1:21" s="144" customFormat="1">
      <c r="A80" s="283" t="s">
        <v>58</v>
      </c>
      <c r="B80" s="146">
        <f>SUM(C80:D80)</f>
        <v>209224</v>
      </c>
      <c r="C80" s="147">
        <v>209224</v>
      </c>
      <c r="D80" s="147"/>
      <c r="E80" s="147">
        <f>C80-SUM(F80:Q80)</f>
        <v>209224</v>
      </c>
      <c r="F80" s="147"/>
      <c r="G80" s="147"/>
      <c r="H80" s="147"/>
      <c r="I80" s="147"/>
      <c r="J80" s="147"/>
      <c r="K80" s="147"/>
      <c r="L80" s="147"/>
      <c r="M80" s="147"/>
      <c r="N80" s="147"/>
      <c r="O80" s="147"/>
      <c r="P80" s="147"/>
      <c r="Q80" s="147"/>
      <c r="R80" s="516">
        <f>SUM(E80:Q80)</f>
        <v>209224</v>
      </c>
      <c r="S80" s="147">
        <f>R80</f>
        <v>209224</v>
      </c>
      <c r="T80" s="147"/>
      <c r="U80" s="143"/>
    </row>
    <row r="81" spans="1:21" s="144" customFormat="1">
      <c r="A81" s="149" t="s">
        <v>1208</v>
      </c>
      <c r="B81" s="146">
        <f>SUM(C81:D81)</f>
        <v>781645</v>
      </c>
      <c r="C81" s="509">
        <f>SUM(C79:C80)</f>
        <v>781645</v>
      </c>
      <c r="D81" s="509">
        <f t="shared" ref="D81:T81" si="25">SUM(D79:D80)</f>
        <v>0</v>
      </c>
      <c r="E81" s="509">
        <f t="shared" si="25"/>
        <v>781645</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781645</v>
      </c>
      <c r="S81" s="509">
        <f t="shared" si="25"/>
        <v>781645</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6">SUM(C83+D83)</f>
        <v>65012</v>
      </c>
      <c r="C83" s="147">
        <v>65012</v>
      </c>
      <c r="D83" s="147"/>
      <c r="E83" s="147">
        <f>C83-SUM(F73:Q73)</f>
        <v>65012</v>
      </c>
      <c r="F83" s="147"/>
      <c r="G83" s="147"/>
      <c r="H83" s="147"/>
      <c r="I83" s="147"/>
      <c r="J83" s="147"/>
      <c r="K83" s="147"/>
      <c r="L83" s="147"/>
      <c r="M83" s="147"/>
      <c r="N83" s="147"/>
      <c r="O83" s="147"/>
      <c r="P83" s="147"/>
      <c r="Q83" s="147"/>
      <c r="R83" s="516">
        <f t="shared" ref="R83:R95" si="27">SUM(E83:Q83)</f>
        <v>65012</v>
      </c>
      <c r="S83" s="148"/>
      <c r="T83" s="148"/>
      <c r="U83" s="143"/>
    </row>
    <row r="84" spans="1:21" s="144" customFormat="1">
      <c r="A84" s="145" t="s">
        <v>767</v>
      </c>
      <c r="B84" s="146">
        <f t="shared" si="26"/>
        <v>36000</v>
      </c>
      <c r="C84" s="147">
        <v>36000</v>
      </c>
      <c r="D84" s="147"/>
      <c r="E84" s="147">
        <f t="shared" ref="E84:E94" si="28">C84-SUM(F74:Q74)</f>
        <v>36000</v>
      </c>
      <c r="F84" s="147"/>
      <c r="G84" s="147"/>
      <c r="H84" s="147"/>
      <c r="I84" s="147"/>
      <c r="J84" s="147"/>
      <c r="K84" s="147"/>
      <c r="L84" s="147"/>
      <c r="M84" s="147"/>
      <c r="N84" s="147"/>
      <c r="O84" s="147"/>
      <c r="P84" s="147"/>
      <c r="Q84" s="147"/>
      <c r="R84" s="516">
        <f t="shared" si="27"/>
        <v>36000</v>
      </c>
      <c r="S84" s="147">
        <f>R84</f>
        <v>36000</v>
      </c>
      <c r="T84" s="147"/>
      <c r="U84" s="143"/>
    </row>
    <row r="85" spans="1:21" s="144" customFormat="1">
      <c r="A85" s="145" t="s">
        <v>768</v>
      </c>
      <c r="B85" s="146">
        <f t="shared" si="26"/>
        <v>0</v>
      </c>
      <c r="C85" s="147"/>
      <c r="D85" s="147"/>
      <c r="E85" s="147">
        <f t="shared" si="28"/>
        <v>0</v>
      </c>
      <c r="F85" s="147"/>
      <c r="G85" s="147"/>
      <c r="H85" s="147"/>
      <c r="I85" s="147"/>
      <c r="J85" s="147"/>
      <c r="K85" s="147"/>
      <c r="L85" s="147"/>
      <c r="M85" s="147"/>
      <c r="N85" s="147"/>
      <c r="O85" s="147"/>
      <c r="P85" s="147"/>
      <c r="Q85" s="147"/>
      <c r="R85" s="516">
        <f t="shared" si="27"/>
        <v>0</v>
      </c>
      <c r="S85" s="147"/>
      <c r="T85" s="147"/>
      <c r="U85" s="143"/>
    </row>
    <row r="86" spans="1:21" s="144" customFormat="1">
      <c r="A86" s="145" t="s">
        <v>769</v>
      </c>
      <c r="B86" s="146">
        <f t="shared" si="26"/>
        <v>144000</v>
      </c>
      <c r="C86" s="147">
        <v>144000</v>
      </c>
      <c r="D86" s="147"/>
      <c r="E86" s="147">
        <f t="shared" si="28"/>
        <v>144000</v>
      </c>
      <c r="F86" s="147"/>
      <c r="G86" s="147"/>
      <c r="H86" s="147"/>
      <c r="I86" s="147"/>
      <c r="J86" s="147"/>
      <c r="K86" s="147"/>
      <c r="L86" s="147"/>
      <c r="M86" s="147"/>
      <c r="N86" s="147"/>
      <c r="O86" s="147"/>
      <c r="P86" s="147"/>
      <c r="Q86" s="147"/>
      <c r="R86" s="516">
        <f t="shared" si="27"/>
        <v>144000</v>
      </c>
      <c r="S86" s="147">
        <f>R86</f>
        <v>144000</v>
      </c>
      <c r="T86" s="147"/>
      <c r="U86" s="143"/>
    </row>
    <row r="87" spans="1:21" s="144" customFormat="1">
      <c r="A87" s="145" t="s">
        <v>770</v>
      </c>
      <c r="B87" s="146">
        <f t="shared" si="26"/>
        <v>0</v>
      </c>
      <c r="C87" s="147"/>
      <c r="D87" s="147"/>
      <c r="E87" s="147">
        <f t="shared" si="28"/>
        <v>0</v>
      </c>
      <c r="F87" s="147"/>
      <c r="G87" s="147"/>
      <c r="H87" s="147"/>
      <c r="I87" s="147"/>
      <c r="J87" s="147"/>
      <c r="K87" s="147"/>
      <c r="L87" s="147"/>
      <c r="M87" s="147"/>
      <c r="N87" s="147"/>
      <c r="O87" s="147"/>
      <c r="P87" s="147"/>
      <c r="Q87" s="147"/>
      <c r="R87" s="516">
        <f t="shared" si="27"/>
        <v>0</v>
      </c>
      <c r="S87" s="147"/>
      <c r="T87" s="147"/>
      <c r="U87" s="143"/>
    </row>
    <row r="88" spans="1:21" s="144" customFormat="1">
      <c r="A88" s="145" t="s">
        <v>771</v>
      </c>
      <c r="B88" s="146">
        <f t="shared" si="26"/>
        <v>7666</v>
      </c>
      <c r="C88" s="147">
        <v>7666</v>
      </c>
      <c r="D88" s="147"/>
      <c r="E88" s="147">
        <f t="shared" si="28"/>
        <v>7666</v>
      </c>
      <c r="F88" s="147"/>
      <c r="G88" s="147"/>
      <c r="H88" s="147"/>
      <c r="I88" s="147"/>
      <c r="J88" s="147"/>
      <c r="K88" s="147"/>
      <c r="L88" s="147"/>
      <c r="M88" s="147"/>
      <c r="N88" s="147"/>
      <c r="O88" s="147"/>
      <c r="P88" s="147"/>
      <c r="Q88" s="147"/>
      <c r="R88" s="516">
        <f t="shared" si="27"/>
        <v>7666</v>
      </c>
      <c r="S88" s="148"/>
      <c r="T88" s="148"/>
      <c r="U88" s="143"/>
    </row>
    <row r="89" spans="1:21" s="144" customFormat="1">
      <c r="A89" s="145" t="s">
        <v>772</v>
      </c>
      <c r="B89" s="146">
        <f t="shared" si="26"/>
        <v>0</v>
      </c>
      <c r="C89" s="147"/>
      <c r="D89" s="147"/>
      <c r="E89" s="147">
        <f t="shared" si="28"/>
        <v>0</v>
      </c>
      <c r="F89" s="147"/>
      <c r="G89" s="147"/>
      <c r="H89" s="147"/>
      <c r="I89" s="147"/>
      <c r="J89" s="147"/>
      <c r="K89" s="147"/>
      <c r="L89" s="147"/>
      <c r="M89" s="147"/>
      <c r="N89" s="147"/>
      <c r="O89" s="147"/>
      <c r="P89" s="147"/>
      <c r="Q89" s="147"/>
      <c r="R89" s="516">
        <f t="shared" si="27"/>
        <v>0</v>
      </c>
      <c r="S89" s="147"/>
      <c r="T89" s="147"/>
      <c r="U89" s="143"/>
    </row>
    <row r="90" spans="1:21" s="144" customFormat="1">
      <c r="A90" s="145" t="s">
        <v>773</v>
      </c>
      <c r="B90" s="146">
        <f t="shared" si="26"/>
        <v>10000</v>
      </c>
      <c r="C90" s="147">
        <v>10000</v>
      </c>
      <c r="D90" s="147"/>
      <c r="E90" s="147">
        <f t="shared" si="28"/>
        <v>10000</v>
      </c>
      <c r="F90" s="147"/>
      <c r="G90" s="147"/>
      <c r="H90" s="147"/>
      <c r="I90" s="147"/>
      <c r="J90" s="147"/>
      <c r="K90" s="147"/>
      <c r="L90" s="147"/>
      <c r="M90" s="147"/>
      <c r="N90" s="147"/>
      <c r="O90" s="147"/>
      <c r="P90" s="147"/>
      <c r="Q90" s="147"/>
      <c r="R90" s="516">
        <f t="shared" si="27"/>
        <v>10000</v>
      </c>
      <c r="S90" s="147"/>
      <c r="T90" s="147"/>
      <c r="U90" s="143"/>
    </row>
    <row r="91" spans="1:21" s="144" customFormat="1">
      <c r="A91" s="145" t="s">
        <v>372</v>
      </c>
      <c r="B91" s="146">
        <f t="shared" si="26"/>
        <v>0</v>
      </c>
      <c r="C91" s="147"/>
      <c r="D91" s="147"/>
      <c r="E91" s="147">
        <f t="shared" si="28"/>
        <v>0</v>
      </c>
      <c r="F91" s="147"/>
      <c r="G91" s="147"/>
      <c r="H91" s="147"/>
      <c r="I91" s="147"/>
      <c r="J91" s="147"/>
      <c r="K91" s="147"/>
      <c r="L91" s="147"/>
      <c r="M91" s="147"/>
      <c r="N91" s="147"/>
      <c r="O91" s="147"/>
      <c r="P91" s="147"/>
      <c r="Q91" s="147"/>
      <c r="R91" s="516">
        <f t="shared" si="27"/>
        <v>0</v>
      </c>
      <c r="S91" s="147"/>
      <c r="T91" s="147"/>
      <c r="U91" s="143"/>
    </row>
    <row r="92" spans="1:21" s="144" customFormat="1">
      <c r="A92" s="283" t="s">
        <v>1210</v>
      </c>
      <c r="B92" s="146">
        <f t="shared" si="26"/>
        <v>10000</v>
      </c>
      <c r="C92" s="147">
        <v>10000</v>
      </c>
      <c r="D92" s="147"/>
      <c r="E92" s="147">
        <f t="shared" si="28"/>
        <v>10000</v>
      </c>
      <c r="F92" s="147"/>
      <c r="G92" s="147"/>
      <c r="H92" s="147"/>
      <c r="I92" s="147"/>
      <c r="J92" s="147"/>
      <c r="K92" s="147"/>
      <c r="L92" s="147"/>
      <c r="M92" s="147"/>
      <c r="N92" s="147"/>
      <c r="O92" s="147"/>
      <c r="P92" s="147"/>
      <c r="Q92" s="147"/>
      <c r="R92" s="516">
        <f t="shared" si="27"/>
        <v>10000</v>
      </c>
      <c r="S92" s="147">
        <f>R92</f>
        <v>10000</v>
      </c>
      <c r="T92" s="147"/>
      <c r="U92" s="143"/>
    </row>
    <row r="93" spans="1:21" s="144" customFormat="1">
      <c r="A93" s="1149" t="s">
        <v>2742</v>
      </c>
      <c r="B93" s="146">
        <f t="shared" si="26"/>
        <v>72000</v>
      </c>
      <c r="C93" s="147">
        <v>72000</v>
      </c>
      <c r="D93" s="147"/>
      <c r="E93" s="147">
        <f t="shared" si="28"/>
        <v>72000</v>
      </c>
      <c r="F93" s="147"/>
      <c r="G93" s="147"/>
      <c r="H93" s="147"/>
      <c r="I93" s="147"/>
      <c r="J93" s="147"/>
      <c r="K93" s="147"/>
      <c r="L93" s="147"/>
      <c r="M93" s="147"/>
      <c r="N93" s="147"/>
      <c r="O93" s="147"/>
      <c r="P93" s="147"/>
      <c r="Q93" s="147"/>
      <c r="R93" s="516">
        <f t="shared" si="27"/>
        <v>72000</v>
      </c>
      <c r="S93" s="147">
        <f>R93</f>
        <v>72000</v>
      </c>
      <c r="T93" s="147"/>
      <c r="U93" s="143"/>
    </row>
    <row r="94" spans="1:21" s="144" customFormat="1">
      <c r="A94" s="1149" t="s">
        <v>34</v>
      </c>
      <c r="B94" s="146">
        <f t="shared" si="26"/>
        <v>0</v>
      </c>
      <c r="C94" s="147"/>
      <c r="D94" s="147"/>
      <c r="E94" s="147">
        <f t="shared" si="28"/>
        <v>0</v>
      </c>
      <c r="F94" s="147"/>
      <c r="G94" s="147"/>
      <c r="H94" s="147"/>
      <c r="I94" s="147"/>
      <c r="J94" s="147"/>
      <c r="K94" s="147"/>
      <c r="L94" s="147"/>
      <c r="M94" s="147"/>
      <c r="N94" s="147"/>
      <c r="O94" s="147"/>
      <c r="P94" s="147"/>
      <c r="Q94" s="147"/>
      <c r="R94" s="516">
        <f t="shared" si="27"/>
        <v>0</v>
      </c>
      <c r="S94" s="147"/>
      <c r="T94" s="147"/>
      <c r="U94" s="143"/>
    </row>
    <row r="95" spans="1:21" s="144" customFormat="1">
      <c r="A95" s="1149" t="s">
        <v>34</v>
      </c>
      <c r="B95" s="146">
        <f t="shared" si="26"/>
        <v>0</v>
      </c>
      <c r="C95" s="147"/>
      <c r="D95" s="147"/>
      <c r="E95" s="147"/>
      <c r="F95" s="147"/>
      <c r="G95" s="147"/>
      <c r="H95" s="147"/>
      <c r="I95" s="147"/>
      <c r="J95" s="147"/>
      <c r="K95" s="147"/>
      <c r="L95" s="147"/>
      <c r="M95" s="147"/>
      <c r="N95" s="147"/>
      <c r="O95" s="147"/>
      <c r="P95" s="147"/>
      <c r="Q95" s="147"/>
      <c r="R95" s="516">
        <f t="shared" si="27"/>
        <v>0</v>
      </c>
      <c r="S95" s="147"/>
      <c r="T95" s="147"/>
      <c r="U95" s="143"/>
    </row>
    <row r="96" spans="1:21" s="144" customFormat="1">
      <c r="A96" s="149" t="s">
        <v>774</v>
      </c>
      <c r="B96" s="146">
        <f>SUM(C96:D96)</f>
        <v>344678</v>
      </c>
      <c r="C96" s="146">
        <f t="shared" ref="C96:R96" si="29">SUM(C83:C95)</f>
        <v>344678</v>
      </c>
      <c r="D96" s="146">
        <f t="shared" si="29"/>
        <v>0</v>
      </c>
      <c r="E96" s="146">
        <f t="shared" si="29"/>
        <v>344678</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344678</v>
      </c>
      <c r="S96" s="150">
        <f>SUM(S84:S87,S89:S95)</f>
        <v>262000</v>
      </c>
      <c r="T96" s="146">
        <f>SUM(T84:T87,T89:T95)</f>
        <v>0</v>
      </c>
      <c r="U96" s="143"/>
    </row>
    <row r="97" spans="1:21" s="144" customFormat="1">
      <c r="A97" s="149" t="s">
        <v>775</v>
      </c>
      <c r="B97" s="146">
        <f>SUM(C97:D97)</f>
        <v>32676398</v>
      </c>
      <c r="C97" s="146">
        <f t="shared" ref="C97:R97" si="30">SUM(C63+C70+C77+C81+C96)</f>
        <v>32676398</v>
      </c>
      <c r="D97" s="146">
        <f t="shared" si="30"/>
        <v>0</v>
      </c>
      <c r="E97" s="146">
        <f t="shared" ca="1" si="30"/>
        <v>9090961</v>
      </c>
      <c r="F97" s="146">
        <f t="shared" si="30"/>
        <v>6633000</v>
      </c>
      <c r="G97" s="146">
        <f t="shared" si="30"/>
        <v>7943457</v>
      </c>
      <c r="H97" s="146">
        <f t="shared" si="30"/>
        <v>7099708</v>
      </c>
      <c r="I97" s="146">
        <f t="shared" si="30"/>
        <v>141214</v>
      </c>
      <c r="J97" s="146">
        <f t="shared" si="30"/>
        <v>379475</v>
      </c>
      <c r="K97" s="146">
        <f t="shared" si="30"/>
        <v>0</v>
      </c>
      <c r="L97" s="146">
        <f t="shared" si="30"/>
        <v>1188583</v>
      </c>
      <c r="M97" s="146">
        <f t="shared" si="30"/>
        <v>200000</v>
      </c>
      <c r="N97" s="146">
        <f t="shared" si="30"/>
        <v>0</v>
      </c>
      <c r="O97" s="146">
        <f t="shared" si="30"/>
        <v>0</v>
      </c>
      <c r="P97" s="146">
        <f t="shared" si="30"/>
        <v>0</v>
      </c>
      <c r="Q97" s="146">
        <f t="shared" si="30"/>
        <v>0</v>
      </c>
      <c r="R97" s="146">
        <f t="shared" ca="1" si="30"/>
        <v>32676398</v>
      </c>
      <c r="S97" s="146">
        <f>SUM(S63+S70+S81+S96)</f>
        <v>9355135</v>
      </c>
      <c r="T97" s="146">
        <f>SUM(T63+T70+T81+T96)</f>
        <v>20495771</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2428058</v>
      </c>
      <c r="C99" s="979">
        <v>2428058</v>
      </c>
      <c r="D99" s="979"/>
      <c r="E99" s="979">
        <f>C99-SUM(F99:Q99)</f>
        <v>2000000</v>
      </c>
      <c r="F99" s="147"/>
      <c r="G99" s="147"/>
      <c r="H99" s="147"/>
      <c r="I99" s="147"/>
      <c r="J99" s="147"/>
      <c r="K99" s="147">
        <v>428058</v>
      </c>
      <c r="L99" s="147"/>
      <c r="M99" s="147"/>
      <c r="N99" s="147"/>
      <c r="O99" s="147"/>
      <c r="P99" s="147"/>
      <c r="Q99" s="147"/>
      <c r="R99" s="516">
        <f>SUM(E99:Q99)</f>
        <v>2428058</v>
      </c>
      <c r="S99" s="147">
        <v>1403270</v>
      </c>
      <c r="T99" s="147">
        <v>1024788</v>
      </c>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2428058</v>
      </c>
      <c r="C104" s="146">
        <f>SUM(C99:C103)</f>
        <v>2428058</v>
      </c>
      <c r="D104" s="146">
        <f t="shared" ref="D104:T104" si="31">SUM(D99:D103)</f>
        <v>0</v>
      </c>
      <c r="E104" s="146">
        <f t="shared" si="31"/>
        <v>2000000</v>
      </c>
      <c r="F104" s="146">
        <f t="shared" si="31"/>
        <v>0</v>
      </c>
      <c r="G104" s="146">
        <f t="shared" si="31"/>
        <v>0</v>
      </c>
      <c r="H104" s="146">
        <f t="shared" si="31"/>
        <v>0</v>
      </c>
      <c r="I104" s="146">
        <f t="shared" si="31"/>
        <v>0</v>
      </c>
      <c r="J104" s="146">
        <f t="shared" si="31"/>
        <v>0</v>
      </c>
      <c r="K104" s="146">
        <f t="shared" si="31"/>
        <v>428058</v>
      </c>
      <c r="L104" s="146">
        <f t="shared" si="31"/>
        <v>0</v>
      </c>
      <c r="M104" s="146">
        <f t="shared" si="31"/>
        <v>0</v>
      </c>
      <c r="N104" s="146">
        <f t="shared" si="31"/>
        <v>0</v>
      </c>
      <c r="O104" s="146">
        <f t="shared" si="31"/>
        <v>0</v>
      </c>
      <c r="P104" s="146">
        <f t="shared" si="31"/>
        <v>0</v>
      </c>
      <c r="Q104" s="146">
        <f t="shared" si="31"/>
        <v>0</v>
      </c>
      <c r="R104" s="342">
        <f t="shared" si="31"/>
        <v>2428058</v>
      </c>
      <c r="S104" s="150">
        <f t="shared" si="31"/>
        <v>1403270</v>
      </c>
      <c r="T104" s="150">
        <f t="shared" si="31"/>
        <v>1024788</v>
      </c>
      <c r="U104" s="143"/>
    </row>
    <row r="105" spans="1:21" s="144" customFormat="1">
      <c r="A105" s="149" t="s">
        <v>780</v>
      </c>
      <c r="B105" s="150">
        <f>SUM(C105:D105)</f>
        <v>35104456</v>
      </c>
      <c r="C105" s="150">
        <f t="shared" ref="C105:R105" si="32">SUM(C97+C104)</f>
        <v>35104456</v>
      </c>
      <c r="D105" s="150">
        <f t="shared" si="32"/>
        <v>0</v>
      </c>
      <c r="E105" s="150">
        <f t="shared" ca="1" si="32"/>
        <v>11090961</v>
      </c>
      <c r="F105" s="150">
        <f t="shared" si="32"/>
        <v>6633000</v>
      </c>
      <c r="G105" s="150">
        <f t="shared" si="32"/>
        <v>7943457</v>
      </c>
      <c r="H105" s="150">
        <f t="shared" si="32"/>
        <v>7099708</v>
      </c>
      <c r="I105" s="150">
        <f t="shared" si="32"/>
        <v>141214</v>
      </c>
      <c r="J105" s="150">
        <f t="shared" si="32"/>
        <v>379475</v>
      </c>
      <c r="K105" s="150">
        <f t="shared" si="32"/>
        <v>428058</v>
      </c>
      <c r="L105" s="150">
        <f t="shared" si="32"/>
        <v>1188583</v>
      </c>
      <c r="M105" s="150">
        <f t="shared" si="32"/>
        <v>200000</v>
      </c>
      <c r="N105" s="150">
        <f t="shared" si="32"/>
        <v>0</v>
      </c>
      <c r="O105" s="150">
        <f t="shared" si="32"/>
        <v>0</v>
      </c>
      <c r="P105" s="150">
        <f t="shared" si="32"/>
        <v>0</v>
      </c>
      <c r="Q105" s="150">
        <f t="shared" si="32"/>
        <v>0</v>
      </c>
      <c r="R105" s="342">
        <f t="shared" ca="1" si="32"/>
        <v>35104456</v>
      </c>
      <c r="S105" s="150">
        <f>S97+S104</f>
        <v>10758405</v>
      </c>
      <c r="T105" s="150">
        <f>T97+T104</f>
        <v>21520559</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10758405</v>
      </c>
      <c r="T107" s="150">
        <f>T105+T106</f>
        <v>21520559</v>
      </c>
    </row>
    <row r="108" spans="1:21" s="189" customFormat="1">
      <c r="A108" s="162" t="s">
        <v>879</v>
      </c>
      <c r="B108" s="157"/>
      <c r="C108" s="157"/>
      <c r="D108" s="157"/>
      <c r="E108" s="301">
        <f>Application!AO640</f>
        <v>11090961</v>
      </c>
      <c r="F108" s="301">
        <f>Application!AO627</f>
        <v>6633000</v>
      </c>
      <c r="G108" s="301">
        <f>Application!AO628</f>
        <v>7943457</v>
      </c>
      <c r="H108" s="301">
        <f>Application!AO629</f>
        <v>7099708</v>
      </c>
      <c r="I108" s="301">
        <f>Application!AO630</f>
        <v>141214</v>
      </c>
      <c r="J108" s="301">
        <f>Application!AO631</f>
        <v>379475</v>
      </c>
      <c r="K108" s="301">
        <f>Application!AO632</f>
        <v>428058</v>
      </c>
      <c r="L108" s="301">
        <f>Application!AO633</f>
        <v>1188583</v>
      </c>
      <c r="M108" s="301">
        <f>Application!AO634</f>
        <v>200000</v>
      </c>
      <c r="N108" s="301">
        <f>Application!AO635</f>
        <v>0</v>
      </c>
      <c r="O108" s="301">
        <f>Application!AO636</f>
        <v>0</v>
      </c>
      <c r="P108" s="301">
        <f>Application!AO637</f>
        <v>0</v>
      </c>
      <c r="Q108" s="301">
        <f>Application!AO638</f>
        <v>0</v>
      </c>
      <c r="R108" s="158"/>
      <c r="S108" s="158"/>
      <c r="T108" s="158"/>
      <c r="U108" s="188"/>
    </row>
    <row r="109" spans="1:21" ht="10.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6" t="s">
        <v>1223</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991</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992</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2"/>
      <c r="E131" s="1822"/>
      <c r="F131" s="1822"/>
      <c r="G131" s="1822"/>
      <c r="H131" s="1822"/>
      <c r="I131" s="117"/>
      <c r="J131" s="1822"/>
      <c r="K131" s="1822"/>
      <c r="L131" s="1822"/>
      <c r="M131" s="1822"/>
      <c r="N131" s="117"/>
      <c r="O131" s="117"/>
      <c r="P131" s="117"/>
      <c r="Q131" s="117"/>
      <c r="R131" s="117"/>
      <c r="S131" s="117"/>
      <c r="T131" s="324"/>
      <c r="U131" s="326"/>
    </row>
    <row r="132" spans="1:21" ht="12" customHeight="1">
      <c r="A132" s="336"/>
      <c r="B132" s="117"/>
      <c r="C132" s="117"/>
      <c r="D132" s="1877" t="s">
        <v>999</v>
      </c>
      <c r="E132" s="1877"/>
      <c r="F132" s="1877"/>
      <c r="G132" s="1877"/>
      <c r="H132" s="1877"/>
      <c r="I132" s="117"/>
      <c r="J132" s="1877" t="s">
        <v>1000</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1003</v>
      </c>
      <c r="B139" s="1875"/>
      <c r="C139" s="187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D1048576 F1:XFD1048576 E1:E42 E44:E71 E73:E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1226</v>
      </c>
      <c r="B1" s="1882"/>
      <c r="C1" s="1882"/>
      <c r="D1" s="1882"/>
      <c r="E1" s="1882"/>
      <c r="F1" s="1882"/>
      <c r="G1" s="1882"/>
      <c r="H1" s="1882"/>
      <c r="I1" s="1882"/>
      <c r="J1" s="188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500000</v>
      </c>
      <c r="C8" s="361">
        <f>SUM(C4:C7)</f>
        <v>0</v>
      </c>
      <c r="D8" s="361">
        <f>SUM(D4:D7)</f>
        <v>0</v>
      </c>
      <c r="E8" s="363"/>
      <c r="F8" s="363"/>
      <c r="G8" s="363"/>
      <c r="H8" s="363"/>
      <c r="I8" s="363"/>
      <c r="J8" s="363"/>
      <c r="K8" s="359"/>
    </row>
    <row r="9" spans="1:11" s="360" customFormat="1">
      <c r="A9" s="364" t="s">
        <v>594</v>
      </c>
      <c r="B9" s="361">
        <f>'Sources and Uses Budget'!C9</f>
        <v>20500000</v>
      </c>
      <c r="C9" s="362"/>
      <c r="D9" s="362"/>
      <c r="E9" s="363"/>
      <c r="F9" s="363"/>
      <c r="G9" s="363"/>
      <c r="H9" s="361">
        <f>'Sources and Uses Budget'!T9</f>
        <v>20389833</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20500000</v>
      </c>
      <c r="C11" s="361">
        <f>SUM(C9:C10)</f>
        <v>0</v>
      </c>
      <c r="D11" s="361">
        <f>SUM(D9:D10)</f>
        <v>0</v>
      </c>
      <c r="E11" s="363"/>
      <c r="F11" s="363"/>
      <c r="G11" s="363"/>
      <c r="H11" s="361">
        <f>'Sources and Uses Budget'!T11</f>
        <v>20389833</v>
      </c>
      <c r="I11" s="361">
        <f>SUM(I9:I10)</f>
        <v>0</v>
      </c>
      <c r="J11" s="361">
        <f>SUM(J9:J10)</f>
        <v>0</v>
      </c>
      <c r="K11" s="359"/>
    </row>
    <row r="12" spans="1:11" s="360" customFormat="1">
      <c r="A12" s="365" t="s">
        <v>84</v>
      </c>
      <c r="B12" s="361">
        <f>'Sources and Uses Budget'!C12</f>
        <v>21000000</v>
      </c>
      <c r="C12" s="361">
        <f>SUM(C8+C11)</f>
        <v>0</v>
      </c>
      <c r="D12" s="361">
        <f>SUM(D8+D11)</f>
        <v>0</v>
      </c>
      <c r="E12" s="363"/>
      <c r="F12" s="363"/>
      <c r="G12" s="363"/>
      <c r="H12" s="363"/>
      <c r="I12" s="363"/>
      <c r="J12" s="363"/>
      <c r="K12" s="359"/>
    </row>
    <row r="13" spans="1:11" s="360" customFormat="1">
      <c r="A13" s="366" t="s">
        <v>902</v>
      </c>
      <c r="B13" s="361">
        <f>'Sources and Uses Budget'!C13</f>
        <v>107797</v>
      </c>
      <c r="C13" s="362"/>
      <c r="D13" s="362"/>
      <c r="E13" s="361">
        <f>'Sources and Uses Budget'!S13</f>
        <v>0</v>
      </c>
      <c r="F13" s="362"/>
      <c r="G13" s="362"/>
      <c r="H13" s="361">
        <f>'Sources and Uses Budget'!T13</f>
        <v>105938</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200000</v>
      </c>
      <c r="C17" s="362"/>
      <c r="D17" s="362"/>
      <c r="E17" s="361">
        <f>'Sources and Uses Budget'!S17</f>
        <v>200000</v>
      </c>
      <c r="F17" s="362"/>
      <c r="G17" s="362"/>
      <c r="H17" s="361">
        <f>'Sources and Uses Budget'!T17</f>
        <v>0</v>
      </c>
      <c r="I17" s="362"/>
      <c r="J17" s="362"/>
      <c r="K17" s="359"/>
    </row>
    <row r="18" spans="1:11" s="360" customFormat="1">
      <c r="A18" s="364" t="s">
        <v>599</v>
      </c>
      <c r="B18" s="361">
        <f>'Sources and Uses Budget'!C18</f>
        <v>4906000</v>
      </c>
      <c r="C18" s="362"/>
      <c r="D18" s="362"/>
      <c r="E18" s="361">
        <f>'Sources and Uses Budget'!S18</f>
        <v>4906000</v>
      </c>
      <c r="F18" s="362"/>
      <c r="G18" s="362"/>
      <c r="H18" s="361">
        <f>'Sources and Uses Budget'!T18</f>
        <v>0</v>
      </c>
      <c r="I18" s="362"/>
      <c r="J18" s="362"/>
      <c r="K18" s="359"/>
    </row>
    <row r="19" spans="1:11" s="360" customFormat="1">
      <c r="A19" s="364" t="s">
        <v>600</v>
      </c>
      <c r="B19" s="361">
        <f>'Sources and Uses Budget'!C19</f>
        <v>416000</v>
      </c>
      <c r="C19" s="362"/>
      <c r="D19" s="362"/>
      <c r="E19" s="361">
        <f>'Sources and Uses Budget'!S19</f>
        <v>416000</v>
      </c>
      <c r="F19" s="362"/>
      <c r="G19" s="362"/>
      <c r="H19" s="361">
        <f>'Sources and Uses Budget'!T19</f>
        <v>0</v>
      </c>
      <c r="I19" s="362"/>
      <c r="J19" s="362"/>
      <c r="K19" s="359"/>
    </row>
    <row r="20" spans="1:11" s="360" customFormat="1">
      <c r="A20" s="364" t="s">
        <v>137</v>
      </c>
      <c r="B20" s="361">
        <f>'Sources and Uses Budget'!C20</f>
        <v>130000</v>
      </c>
      <c r="C20" s="362"/>
      <c r="D20" s="362"/>
      <c r="E20" s="361">
        <f>'Sources and Uses Budget'!S20</f>
        <v>130000</v>
      </c>
      <c r="F20" s="362"/>
      <c r="G20" s="362"/>
      <c r="H20" s="361">
        <f>'Sources and Uses Budget'!T20</f>
        <v>0</v>
      </c>
      <c r="I20" s="362"/>
      <c r="J20" s="362"/>
      <c r="K20" s="359"/>
    </row>
    <row r="21" spans="1:11" s="360" customFormat="1">
      <c r="A21" s="364" t="s">
        <v>138</v>
      </c>
      <c r="B21" s="361">
        <f>'Sources and Uses Budget'!C21</f>
        <v>130000</v>
      </c>
      <c r="C21" s="362"/>
      <c r="D21" s="362"/>
      <c r="E21" s="361">
        <f>'Sources and Uses Budget'!S21</f>
        <v>130000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2210</v>
      </c>
      <c r="C23" s="362"/>
      <c r="D23" s="362"/>
      <c r="E23" s="361">
        <f>'Sources and Uses Budget'!S23</f>
        <v>2210</v>
      </c>
      <c r="F23" s="362"/>
      <c r="G23" s="362"/>
      <c r="H23" s="361">
        <f>'Sources and Uses Budget'!T23</f>
        <v>0</v>
      </c>
      <c r="I23" s="362"/>
      <c r="J23" s="362"/>
      <c r="K23" s="359"/>
    </row>
    <row r="24" spans="1:11" s="360" customFormat="1">
      <c r="A24" s="508" t="s">
        <v>1639</v>
      </c>
      <c r="B24" s="361">
        <f>'Sources and Uses Budget'!C24</f>
        <v>170000</v>
      </c>
      <c r="C24" s="362"/>
      <c r="D24" s="362"/>
      <c r="E24" s="361">
        <f>'Sources and Uses Budget'!S24</f>
        <v>170000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5954210</v>
      </c>
      <c r="C26" s="361">
        <f>SUM(C17:C25)</f>
        <v>0</v>
      </c>
      <c r="D26" s="361">
        <f>SUM(D17:D25)</f>
        <v>0</v>
      </c>
      <c r="E26" s="361">
        <f>'Sources and Uses Budget'!S26</f>
        <v>5954210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259000</v>
      </c>
      <c r="C27" s="362"/>
      <c r="D27" s="362"/>
      <c r="E27" s="361">
        <f>'Sources and Uses Budget'!S27</f>
        <v>259000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425000</v>
      </c>
      <c r="C40" s="362"/>
      <c r="D40" s="362"/>
      <c r="E40" s="361">
        <f>'Sources and Uses Budget'!S40</f>
        <v>425000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425000</v>
      </c>
      <c r="C42" s="361">
        <f>SUM(C39:C41)</f>
        <v>0</v>
      </c>
      <c r="D42" s="361">
        <f>SUM(D39:D41)</f>
        <v>0</v>
      </c>
      <c r="E42" s="361">
        <f>'Sources and Uses Budget'!S42</f>
        <v>425000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375000</v>
      </c>
      <c r="C43" s="362"/>
      <c r="D43" s="362"/>
      <c r="E43" s="361">
        <f>'Sources and Uses Budget'!S43</f>
        <v>375000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2200538</v>
      </c>
      <c r="C45" s="362"/>
      <c r="D45" s="362"/>
      <c r="E45" s="361">
        <f>'Sources and Uses Budget'!S45</f>
        <v>910668</v>
      </c>
      <c r="F45" s="362"/>
      <c r="G45" s="362"/>
      <c r="H45" s="361">
        <f>'Sources and Uses Budget'!T45</f>
        <v>0</v>
      </c>
      <c r="I45" s="362"/>
      <c r="J45" s="362"/>
      <c r="K45" s="359"/>
    </row>
    <row r="46" spans="1:11" s="360" customFormat="1">
      <c r="A46" s="364" t="s">
        <v>151</v>
      </c>
      <c r="B46" s="361">
        <f>'Sources and Uses Budget'!C46</f>
        <v>82310</v>
      </c>
      <c r="C46" s="362"/>
      <c r="D46" s="362"/>
      <c r="E46" s="361">
        <f>'Sources and Uses Budget'!S46</f>
        <v>43049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26000</v>
      </c>
      <c r="C48" s="362"/>
      <c r="D48" s="362"/>
      <c r="E48" s="361">
        <f>'Sources and Uses Budget'!S48</f>
        <v>26000</v>
      </c>
      <c r="F48" s="362"/>
      <c r="G48" s="362"/>
      <c r="H48" s="361">
        <f>'Sources and Uses Budget'!T48</f>
        <v>0</v>
      </c>
      <c r="I48" s="362"/>
      <c r="J48" s="362"/>
      <c r="K48" s="359"/>
    </row>
    <row r="49" spans="1:11" s="360" customFormat="1">
      <c r="A49" s="283" t="s">
        <v>57</v>
      </c>
      <c r="B49" s="361">
        <f>'Sources and Uses Budget'!C49</f>
        <v>135582</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30000</v>
      </c>
      <c r="C51" s="362"/>
      <c r="D51" s="362"/>
      <c r="E51" s="361">
        <f>'Sources and Uses Budget'!S51</f>
        <v>30000</v>
      </c>
      <c r="F51" s="362"/>
      <c r="G51" s="362"/>
      <c r="H51" s="361">
        <f>'Sources and Uses Budget'!T51</f>
        <v>0</v>
      </c>
      <c r="I51" s="362"/>
      <c r="J51" s="362"/>
      <c r="K51" s="359"/>
    </row>
    <row r="52" spans="1:11" s="360" customFormat="1">
      <c r="A52" s="364" t="s">
        <v>155</v>
      </c>
      <c r="B52" s="361">
        <f>'Sources and Uses Budget'!C52</f>
        <v>150572</v>
      </c>
      <c r="C52" s="362"/>
      <c r="D52" s="362"/>
      <c r="E52" s="361">
        <f>'Sources and Uses Budget'!S52</f>
        <v>150572</v>
      </c>
      <c r="F52" s="362"/>
      <c r="G52" s="362"/>
      <c r="H52" s="361">
        <f>'Sources and Uses Budget'!T52</f>
        <v>0</v>
      </c>
      <c r="I52" s="362"/>
      <c r="J52" s="362"/>
      <c r="K52" s="359"/>
    </row>
    <row r="53" spans="1:11" s="360" customFormat="1">
      <c r="A53" s="364" t="str">
        <f>'Sources and Uses Budget'!$A53</f>
        <v>Other: Lender Expenses</v>
      </c>
      <c r="B53" s="361">
        <f>'Sources and Uses Budget'!C53</f>
        <v>45000</v>
      </c>
      <c r="C53" s="362"/>
      <c r="D53" s="362"/>
      <c r="E53" s="361">
        <f>'Sources and Uses Budget'!S53</f>
        <v>23535</v>
      </c>
      <c r="F53" s="362"/>
      <c r="G53" s="362"/>
      <c r="H53" s="361">
        <f>'Sources and Uses Budget'!T53</f>
        <v>0</v>
      </c>
      <c r="I53" s="362"/>
      <c r="J53" s="362"/>
      <c r="K53" s="359"/>
    </row>
    <row r="54" spans="1:11" s="369" customFormat="1">
      <c r="A54" s="365" t="s">
        <v>157</v>
      </c>
      <c r="B54" s="361">
        <f>'Sources and Uses Budget'!C54</f>
        <v>2700002</v>
      </c>
      <c r="C54" s="367">
        <f>SUM(C45:C53)</f>
        <v>0</v>
      </c>
      <c r="D54" s="367">
        <f>SUM(D45:D53)</f>
        <v>0</v>
      </c>
      <c r="E54" s="361">
        <f>'Sources and Uses Budget'!S54</f>
        <v>1213824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66330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v>
      </c>
      <c r="B61" s="361">
        <f>'Sources and Uses Budget'!C61</f>
        <v>55000</v>
      </c>
      <c r="C61" s="362"/>
      <c r="D61" s="362"/>
      <c r="E61" s="363"/>
      <c r="F61" s="363"/>
      <c r="G61" s="363"/>
      <c r="H61" s="363"/>
      <c r="I61" s="363"/>
      <c r="J61" s="363"/>
      <c r="K61" s="359"/>
    </row>
    <row r="62" spans="1:11" s="360" customFormat="1" ht="13.7" customHeight="1">
      <c r="A62" s="365" t="s">
        <v>301</v>
      </c>
      <c r="B62" s="361">
        <f>'Sources and Uses Budget'!C62</f>
        <v>136330</v>
      </c>
      <c r="C62" s="361">
        <f>SUM(C56:C61)</f>
        <v>0</v>
      </c>
      <c r="D62" s="361">
        <f>SUM(D56:D61)</f>
        <v>0</v>
      </c>
      <c r="E62" s="363"/>
      <c r="F62" s="363"/>
      <c r="G62" s="363"/>
      <c r="H62" s="363"/>
      <c r="I62" s="363"/>
      <c r="J62" s="363"/>
      <c r="K62" s="359"/>
    </row>
    <row r="63" spans="1:11" s="360" customFormat="1">
      <c r="A63" s="370" t="s">
        <v>302</v>
      </c>
      <c r="B63" s="361">
        <f>'Sources and Uses Budget'!C63</f>
        <v>30957339</v>
      </c>
      <c r="C63" s="361">
        <f>SUM(C8+C11+C13+C14+C15+C26+C27+C38+C42+C43+C54+C62)</f>
        <v>0</v>
      </c>
      <c r="D63" s="361">
        <f>SUM(D8+D11+D13+D14+D15+D26+D27+D38+D42+D43+D54+D62)</f>
        <v>0</v>
      </c>
      <c r="E63" s="361">
        <f>'Sources and Uses Budget'!S63</f>
        <v>8227034</v>
      </c>
      <c r="F63" s="361">
        <f>SUM(F10+F13+F14+F15+F26+F27+F38+F42+F43+F54)</f>
        <v>0</v>
      </c>
      <c r="G63" s="361">
        <f>SUM(G10+G13+G14+G15+G26+G27+G38+G42+G43+G54)</f>
        <v>0</v>
      </c>
      <c r="H63" s="361">
        <f>'Sources and Uses Budget'!T63</f>
        <v>20495771</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110000</v>
      </c>
      <c r="C65" s="362"/>
      <c r="D65" s="362"/>
      <c r="E65" s="361">
        <f>'Sources and Uses Budget'!S65</f>
        <v>44456</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70000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180000</v>
      </c>
      <c r="C70" s="361">
        <f>SUM(C64:C69)</f>
        <v>0</v>
      </c>
      <c r="D70" s="361">
        <f>SUM(D64:D69)</f>
        <v>0</v>
      </c>
      <c r="E70" s="361">
        <f>'Sources and Uses Budget'!S70</f>
        <v>84456</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330336</v>
      </c>
      <c r="C75" s="362"/>
      <c r="D75" s="362"/>
      <c r="E75" s="363"/>
      <c r="F75" s="363"/>
      <c r="G75" s="363"/>
      <c r="H75" s="363"/>
      <c r="I75" s="363"/>
      <c r="J75" s="363"/>
      <c r="K75" s="359"/>
    </row>
    <row r="76" spans="1:11" s="360" customFormat="1">
      <c r="A76" s="364" t="str">
        <f>'Sources and Uses Budget'!$A76</f>
        <v>Other: Owner Replacement Reserves</v>
      </c>
      <c r="B76" s="361">
        <f>'Sources and Uses Budget'!C76</f>
        <v>82400</v>
      </c>
      <c r="C76" s="362"/>
      <c r="D76" s="362"/>
      <c r="E76" s="363"/>
      <c r="F76" s="363"/>
      <c r="G76" s="363"/>
      <c r="H76" s="363"/>
      <c r="I76" s="363"/>
      <c r="J76" s="363"/>
      <c r="K76" s="359"/>
    </row>
    <row r="77" spans="1:11" s="360" customFormat="1">
      <c r="A77" s="365" t="s">
        <v>606</v>
      </c>
      <c r="B77" s="361">
        <f>'Sources and Uses Budget'!C77</f>
        <v>412736</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572421</v>
      </c>
      <c r="C79" s="362"/>
      <c r="D79" s="362"/>
      <c r="E79" s="361">
        <f>'Sources and Uses Budget'!S79</f>
        <v>572421</v>
      </c>
      <c r="F79" s="362"/>
      <c r="G79" s="362"/>
      <c r="H79" s="361">
        <f>'Sources and Uses Budget'!T79</f>
        <v>0</v>
      </c>
      <c r="I79" s="362"/>
      <c r="J79" s="362"/>
      <c r="K79" s="359"/>
    </row>
    <row r="80" spans="1:11" s="360" customFormat="1">
      <c r="A80" s="364" t="s">
        <v>58</v>
      </c>
      <c r="B80" s="361">
        <f>'Sources and Uses Budget'!C80</f>
        <v>209224</v>
      </c>
      <c r="C80" s="362"/>
      <c r="D80" s="362"/>
      <c r="E80" s="361">
        <f>'Sources and Uses Budget'!S80</f>
        <v>209224</v>
      </c>
      <c r="F80" s="362"/>
      <c r="G80" s="362"/>
      <c r="H80" s="361">
        <f>'Sources and Uses Budget'!T80</f>
        <v>0</v>
      </c>
      <c r="I80" s="362"/>
      <c r="J80" s="362"/>
      <c r="K80" s="359"/>
    </row>
    <row r="81" spans="1:11" s="360" customFormat="1">
      <c r="A81" s="365" t="s">
        <v>1208</v>
      </c>
      <c r="B81" s="361">
        <f>'Sources and Uses Budget'!C81</f>
        <v>781645</v>
      </c>
      <c r="C81" s="361">
        <f>SUM(C79:C80)</f>
        <v>0</v>
      </c>
      <c r="D81" s="361">
        <f>SUM(D79:D80)</f>
        <v>0</v>
      </c>
      <c r="E81" s="361">
        <f>'Sources and Uses Budget'!S81</f>
        <v>781645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2093</v>
      </c>
      <c r="B83" s="361">
        <f>'Sources and Uses Budget'!C83</f>
        <v>65012</v>
      </c>
      <c r="C83" s="362"/>
      <c r="D83" s="362"/>
      <c r="E83" s="363"/>
      <c r="F83" s="363"/>
      <c r="G83" s="363"/>
      <c r="H83" s="363"/>
      <c r="I83" s="363"/>
      <c r="J83" s="363"/>
      <c r="K83" s="359"/>
    </row>
    <row r="84" spans="1:11" s="360" customFormat="1">
      <c r="A84" s="145" t="s">
        <v>767</v>
      </c>
      <c r="B84" s="361">
        <f>'Sources and Uses Budget'!C84</f>
        <v>36000</v>
      </c>
      <c r="C84" s="362"/>
      <c r="D84" s="362"/>
      <c r="E84" s="361">
        <f>'Sources and Uses Budget'!S84</f>
        <v>36000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144000</v>
      </c>
      <c r="C86" s="362"/>
      <c r="D86" s="362"/>
      <c r="E86" s="361">
        <f>'Sources and Uses Budget'!S86</f>
        <v>144000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7666</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Special Inspections</v>
      </c>
      <c r="B93" s="361">
        <f>'Sources and Uses Budget'!C93</f>
        <v>72000</v>
      </c>
      <c r="C93" s="362"/>
      <c r="D93" s="362"/>
      <c r="E93" s="361">
        <f>'Sources and Uses Budget'!S93</f>
        <v>72000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344678</v>
      </c>
      <c r="C96" s="361">
        <f>SUM(C83:C95)</f>
        <v>0</v>
      </c>
      <c r="D96" s="361">
        <f>SUM(D83:D95)</f>
        <v>0</v>
      </c>
      <c r="E96" s="361">
        <f>'Sources and Uses Budget'!S96</f>
        <v>262000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32676398</v>
      </c>
      <c r="C97" s="361">
        <f>SUM(C63+C70+C77+C81+C96)</f>
        <v>0</v>
      </c>
      <c r="D97" s="361">
        <f>SUM(D63+D70+D77+D81+D96)</f>
        <v>0</v>
      </c>
      <c r="E97" s="361">
        <f>'Sources and Uses Budget'!S97</f>
        <v>9355135</v>
      </c>
      <c r="F97" s="367">
        <f>SUM(+F63+F70+F81+F96)</f>
        <v>0</v>
      </c>
      <c r="G97" s="367">
        <f>SUM(+G63+G70+G81+G96)</f>
        <v>0</v>
      </c>
      <c r="H97" s="361">
        <f>'Sources and Uses Budget'!T97</f>
        <v>20495771</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2428058</v>
      </c>
      <c r="C99" s="362"/>
      <c r="D99" s="362"/>
      <c r="E99" s="361">
        <f>'Sources and Uses Budget'!S99</f>
        <v>1403270</v>
      </c>
      <c r="F99" s="362"/>
      <c r="G99" s="362"/>
      <c r="H99" s="361">
        <f>'Sources and Uses Budget'!T99</f>
        <v>1024788</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2428058</v>
      </c>
      <c r="C104" s="361">
        <f>SUM(C99:C103)</f>
        <v>0</v>
      </c>
      <c r="D104" s="361">
        <f>SUM(D99:D103)</f>
        <v>0</v>
      </c>
      <c r="E104" s="361">
        <f>'Sources and Uses Budget'!S104</f>
        <v>1403270</v>
      </c>
      <c r="F104" s="367">
        <f>SUM(F99:F103)</f>
        <v>0</v>
      </c>
      <c r="G104" s="367">
        <f>SUM(G99:G103)</f>
        <v>0</v>
      </c>
      <c r="H104" s="361">
        <f>'Sources and Uses Budget'!T104</f>
        <v>1024788</v>
      </c>
      <c r="I104" s="367">
        <f>SUM(I99:I103)</f>
        <v>0</v>
      </c>
      <c r="J104" s="367">
        <f>SUM(J99:J103)</f>
        <v>0</v>
      </c>
      <c r="K104" s="359"/>
    </row>
    <row r="105" spans="1:11" s="360" customFormat="1">
      <c r="A105" s="365" t="s">
        <v>1029</v>
      </c>
      <c r="B105" s="361">
        <f>'Sources and Uses Budget'!C105</f>
        <v>35104456</v>
      </c>
      <c r="C105" s="367">
        <f>SUM(C97+C104)</f>
        <v>0</v>
      </c>
      <c r="D105" s="367">
        <f>SUM(D97+D104)</f>
        <v>0</v>
      </c>
      <c r="E105" s="361">
        <f>'Sources and Uses Budget'!S105</f>
        <v>10758405</v>
      </c>
      <c r="F105" s="367">
        <f>F97+F104</f>
        <v>0</v>
      </c>
      <c r="G105" s="367">
        <f>G97+G104</f>
        <v>0</v>
      </c>
      <c r="H105" s="361">
        <f>'Sources and Uses Budget'!T105</f>
        <v>21520559</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10758405</v>
      </c>
      <c r="F107" s="367">
        <f>F105+F106</f>
        <v>0</v>
      </c>
      <c r="G107" s="367">
        <f>G105+G106</f>
        <v>0</v>
      </c>
      <c r="H107" s="361">
        <f>'Sources and Uses Budget'!T107</f>
        <v>21520559</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3" zoomScale="120" zoomScaleNormal="120" workbookViewId="0">
      <selection activeCell="Y216" sqref="Y216:AB216"/>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31" t="s">
        <v>2448</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2"/>
      <c r="AR1" s="2332"/>
      <c r="AS1" s="2332"/>
      <c r="AT1" s="2332"/>
      <c r="AU1" s="2332"/>
      <c r="AV1" s="2332"/>
      <c r="AW1" s="2332"/>
      <c r="AX1" s="2332"/>
      <c r="AY1" s="2332"/>
      <c r="AZ1" s="2332"/>
      <c r="BA1" s="2332"/>
      <c r="BB1" s="2332"/>
      <c r="BC1" s="2332"/>
      <c r="BD1" s="2332"/>
      <c r="BE1" s="2333"/>
    </row>
    <row r="2" spans="1:65" ht="15.75" customHeight="1">
      <c r="A2" s="2334" t="s">
        <v>2447</v>
      </c>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335"/>
      <c r="AZ2" s="2335"/>
      <c r="BA2" s="2335"/>
      <c r="BB2" s="2335"/>
      <c r="BC2" s="2335"/>
      <c r="BD2" s="2335"/>
      <c r="BE2" s="233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23" t="str">
        <f>IF(Application!H18="","",Application!H18)</f>
        <v>Owls Landing Apartments</v>
      </c>
      <c r="M4" s="2324"/>
      <c r="N4" s="2324"/>
      <c r="O4" s="2324"/>
      <c r="P4" s="2324"/>
      <c r="Q4" s="2324"/>
      <c r="R4" s="2324"/>
      <c r="S4" s="2324"/>
      <c r="T4" s="2324"/>
      <c r="U4" s="2324"/>
      <c r="V4" s="2324"/>
      <c r="W4" s="2324"/>
      <c r="X4" s="2324"/>
      <c r="Y4" s="2324"/>
      <c r="Z4" s="2324"/>
      <c r="AA4" s="2324"/>
      <c r="AB4" s="2324"/>
      <c r="AC4" s="2325"/>
      <c r="AD4" s="1190"/>
      <c r="AE4" s="1190"/>
      <c r="AF4" s="2319" t="s">
        <v>2446</v>
      </c>
      <c r="AG4" s="2319"/>
      <c r="AH4" s="2319"/>
      <c r="AI4" s="2319"/>
      <c r="AJ4" s="2319"/>
      <c r="AK4" s="2319"/>
      <c r="AL4" s="2319"/>
      <c r="AM4" s="2319"/>
      <c r="AN4" s="2319"/>
      <c r="AO4" s="2319"/>
      <c r="AP4" s="2320">
        <v>46082</v>
      </c>
      <c r="AQ4" s="2321"/>
      <c r="AR4" s="2321"/>
      <c r="AS4" s="2321"/>
      <c r="AT4" s="2321"/>
      <c r="AU4" s="232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9" t="s">
        <v>2445</v>
      </c>
      <c r="AG5" s="2319"/>
      <c r="AH5" s="2319"/>
      <c r="AI5" s="2319"/>
      <c r="AJ5" s="2319"/>
      <c r="AK5" s="2319"/>
      <c r="AL5" s="2319"/>
      <c r="AM5" s="2319"/>
      <c r="AN5" s="2319"/>
      <c r="AO5" s="2319"/>
      <c r="AP5" s="2320">
        <v>46082</v>
      </c>
      <c r="AQ5" s="2321"/>
      <c r="AR5" s="2321"/>
      <c r="AS5" s="2321"/>
      <c r="AT5" s="2321"/>
      <c r="AU5" s="2321"/>
      <c r="AV5" s="1190"/>
      <c r="AW5" s="1190"/>
      <c r="AX5" s="1190"/>
      <c r="AY5" s="1190"/>
      <c r="AZ5" s="1190"/>
      <c r="BA5" s="1190"/>
      <c r="BB5" s="1190"/>
      <c r="BC5" s="1190"/>
      <c r="BD5" s="1190"/>
      <c r="BE5" s="1191"/>
    </row>
    <row r="6" spans="1:65" ht="15.75" customHeight="1" thickBot="1">
      <c r="A6" s="1189"/>
      <c r="B6" s="1192" t="s">
        <v>2444</v>
      </c>
      <c r="C6" s="1190"/>
      <c r="D6" s="1190"/>
      <c r="E6" s="1190"/>
      <c r="F6" s="1190"/>
      <c r="G6" s="1190"/>
      <c r="H6" s="1190"/>
      <c r="I6" s="1190"/>
      <c r="J6" s="1190"/>
      <c r="K6" s="1190"/>
      <c r="L6" s="2323" t="str">
        <f>IF(Application!H16="","",Application!H16)</f>
        <v>Owls Landing, L.P.</v>
      </c>
      <c r="M6" s="2324"/>
      <c r="N6" s="2324"/>
      <c r="O6" s="2324"/>
      <c r="P6" s="2324"/>
      <c r="Q6" s="2324"/>
      <c r="R6" s="2324"/>
      <c r="S6" s="2324"/>
      <c r="T6" s="2324"/>
      <c r="U6" s="2324"/>
      <c r="V6" s="2324"/>
      <c r="W6" s="2324"/>
      <c r="X6" s="2324"/>
      <c r="Y6" s="2324"/>
      <c r="Z6" s="2324"/>
      <c r="AA6" s="2324"/>
      <c r="AB6" s="2324"/>
      <c r="AC6" s="2325"/>
      <c r="AD6" s="1190"/>
      <c r="AE6" s="1190"/>
      <c r="AF6" s="2326" t="s">
        <v>2443</v>
      </c>
      <c r="AG6" s="2326"/>
      <c r="AH6" s="2326"/>
      <c r="AI6" s="2326"/>
      <c r="AJ6" s="2326"/>
      <c r="AK6" s="2326"/>
      <c r="AL6" s="2326"/>
      <c r="AM6" s="2326"/>
      <c r="AN6" s="2326"/>
      <c r="AO6" s="2326"/>
      <c r="AP6" s="2327">
        <v>3</v>
      </c>
      <c r="AQ6" s="2327"/>
      <c r="AR6" s="2327"/>
      <c r="AS6" s="2327"/>
      <c r="AT6" s="2327"/>
      <c r="AU6" s="232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6" t="s">
        <v>2442</v>
      </c>
      <c r="AG7" s="2326"/>
      <c r="AH7" s="2326"/>
      <c r="AI7" s="2326"/>
      <c r="AJ7" s="2326"/>
      <c r="AK7" s="2326"/>
      <c r="AL7" s="2326"/>
      <c r="AM7" s="2326"/>
      <c r="AN7" s="2326"/>
      <c r="AO7" s="2326"/>
      <c r="AP7" s="2327">
        <v>0</v>
      </c>
      <c r="AQ7" s="2327"/>
      <c r="AR7" s="2327"/>
      <c r="AS7" s="2327"/>
      <c r="AT7" s="2327"/>
      <c r="AU7" s="2327"/>
      <c r="AV7" s="1190"/>
      <c r="AW7" s="1190"/>
      <c r="AX7" s="1190"/>
      <c r="AY7" s="1190"/>
      <c r="AZ7" s="1190"/>
      <c r="BA7" s="1190"/>
      <c r="BB7" s="1190"/>
      <c r="BC7" s="1190"/>
      <c r="BD7" s="1190"/>
      <c r="BE7" s="1191"/>
    </row>
    <row r="8" spans="1:65" thickBot="1">
      <c r="A8" s="1189"/>
      <c r="B8" s="1192" t="s">
        <v>2441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8" t="str">
        <f>Application!T197</f>
        <v>No</v>
      </c>
      <c r="AC8" s="2329"/>
      <c r="AD8" s="2330"/>
      <c r="AE8" s="1190"/>
      <c r="AF8" s="2326" t="s">
        <v>2440</v>
      </c>
      <c r="AG8" s="2326"/>
      <c r="AH8" s="2326"/>
      <c r="AI8" s="2326"/>
      <c r="AJ8" s="2326"/>
      <c r="AK8" s="2326"/>
      <c r="AL8" s="2326"/>
      <c r="AM8" s="2326"/>
      <c r="AN8" s="2326"/>
      <c r="AO8" s="2326"/>
      <c r="AP8" s="2327" t="s">
        <v>2429</v>
      </c>
      <c r="AQ8" s="2327"/>
      <c r="AR8" s="2327"/>
      <c r="AS8" s="2327"/>
      <c r="AT8" s="2327"/>
      <c r="AU8" s="2327"/>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9" t="s">
        <v>2439</v>
      </c>
      <c r="AG9" s="2319"/>
      <c r="AH9" s="2319"/>
      <c r="AI9" s="2319"/>
      <c r="AJ9" s="2319"/>
      <c r="AK9" s="2319"/>
      <c r="AL9" s="2319"/>
      <c r="AM9" s="2319"/>
      <c r="AN9" s="2319"/>
      <c r="AO9" s="2319"/>
      <c r="AP9" s="2320">
        <v>46508</v>
      </c>
      <c r="AQ9" s="2321"/>
      <c r="AR9" s="2321"/>
      <c r="AS9" s="2321"/>
      <c r="AT9" s="2321"/>
      <c r="AU9" s="2321"/>
      <c r="AV9" s="1190"/>
      <c r="AW9" s="1190"/>
      <c r="AX9" s="1190"/>
      <c r="AY9" s="1190"/>
      <c r="AZ9" s="1190"/>
      <c r="BA9" s="1190"/>
      <c r="BB9" s="1190"/>
      <c r="BC9" s="1190"/>
      <c r="BD9" s="1190"/>
      <c r="BE9" s="1191"/>
      <c r="BM9" s="1187" t="s">
        <v>2438</v>
      </c>
    </row>
    <row r="10" spans="1:65" ht="15">
      <c r="A10" s="1189"/>
      <c r="B10" s="1192" t="s">
        <v>2437</v>
      </c>
      <c r="C10" s="1192"/>
      <c r="D10" s="1192"/>
      <c r="E10" s="1192"/>
      <c r="F10" s="1192"/>
      <c r="G10" s="1192"/>
      <c r="H10" s="1192"/>
      <c r="I10" s="1192"/>
      <c r="J10" s="1192"/>
      <c r="K10" s="1192"/>
      <c r="L10" s="1192"/>
      <c r="M10" s="1190"/>
      <c r="N10" s="2322">
        <f>Application!AO627</f>
        <v>6633000</v>
      </c>
      <c r="O10" s="2322"/>
      <c r="P10" s="2322"/>
      <c r="Q10" s="2322"/>
      <c r="R10" s="2322"/>
      <c r="S10" s="2322"/>
      <c r="T10" s="2322"/>
      <c r="U10" s="1190"/>
      <c r="V10" s="1190"/>
      <c r="W10" s="1190"/>
      <c r="X10" s="1193"/>
      <c r="Y10" s="1193"/>
      <c r="Z10" s="1193"/>
      <c r="AA10" s="1193"/>
      <c r="AB10" s="1193"/>
      <c r="AC10" s="1193"/>
      <c r="AD10" s="1193"/>
      <c r="AE10" s="1193"/>
      <c r="AF10" s="2319" t="s">
        <v>2436</v>
      </c>
      <c r="AG10" s="2319"/>
      <c r="AH10" s="2319"/>
      <c r="AI10" s="2319"/>
      <c r="AJ10" s="2319"/>
      <c r="AK10" s="2319"/>
      <c r="AL10" s="2319"/>
      <c r="AM10" s="2319"/>
      <c r="AN10" s="2319"/>
      <c r="AO10" s="2319"/>
      <c r="AP10" s="2320">
        <v>46508</v>
      </c>
      <c r="AQ10" s="2321"/>
      <c r="AR10" s="2321"/>
      <c r="AS10" s="2321"/>
      <c r="AT10" s="2321"/>
      <c r="AU10" s="2321"/>
      <c r="AV10" s="1193"/>
      <c r="AW10" s="1193"/>
      <c r="AX10" s="1190"/>
      <c r="AY10" s="1190"/>
      <c r="AZ10" s="1190"/>
      <c r="BA10" s="1190"/>
      <c r="BB10" s="1190"/>
      <c r="BC10" s="1190"/>
      <c r="BD10" s="1190"/>
      <c r="BE10" s="1191"/>
      <c r="BM10" s="1187" t="s">
        <v>2435</v>
      </c>
    </row>
    <row r="11" spans="1:65" ht="15">
      <c r="A11" s="1189"/>
      <c r="B11" s="1192" t="s">
        <v>2434</v>
      </c>
      <c r="C11" s="1192"/>
      <c r="D11" s="1192"/>
      <c r="E11" s="1192"/>
      <c r="F11" s="1192"/>
      <c r="G11" s="1192"/>
      <c r="H11" s="1192"/>
      <c r="I11" s="1192"/>
      <c r="J11" s="1192"/>
      <c r="K11" s="1192"/>
      <c r="L11" s="1192"/>
      <c r="M11" s="1190"/>
      <c r="N11" s="2322">
        <f>Application!AA934</f>
        <v>0</v>
      </c>
      <c r="O11" s="2322"/>
      <c r="P11" s="2322"/>
      <c r="Q11" s="2322"/>
      <c r="R11" s="2322"/>
      <c r="S11" s="2322"/>
      <c r="T11" s="2322"/>
      <c r="U11" s="1190"/>
      <c r="V11" s="1190"/>
      <c r="W11" s="1190"/>
      <c r="X11" s="1193"/>
      <c r="Y11" s="1193"/>
      <c r="Z11" s="1193"/>
      <c r="AA11" s="1193"/>
      <c r="AB11" s="1193"/>
      <c r="AC11" s="1193"/>
      <c r="AD11" s="1193"/>
      <c r="AE11" s="1193"/>
      <c r="AF11" s="2319" t="s">
        <v>2433</v>
      </c>
      <c r="AG11" s="2319"/>
      <c r="AH11" s="2319"/>
      <c r="AI11" s="2319"/>
      <c r="AJ11" s="2319"/>
      <c r="AK11" s="2319"/>
      <c r="AL11" s="2319"/>
      <c r="AM11" s="2319"/>
      <c r="AN11" s="2319"/>
      <c r="AO11" s="2319"/>
      <c r="AP11" s="2320">
        <v>46569</v>
      </c>
      <c r="AQ11" s="2321"/>
      <c r="AR11" s="2321"/>
      <c r="AS11" s="2321"/>
      <c r="AT11" s="2321"/>
      <c r="AU11" s="2321"/>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2432</v>
      </c>
    </row>
    <row r="13" spans="1:65" thickBot="1">
      <c r="A13" s="1190"/>
      <c r="B13" s="2310" t="s">
        <v>2431</v>
      </c>
      <c r="C13" s="2311"/>
      <c r="D13" s="2311"/>
      <c r="E13" s="2311"/>
      <c r="F13" s="2311"/>
      <c r="G13" s="2311"/>
      <c r="H13" s="2311"/>
      <c r="I13" s="2311"/>
      <c r="J13" s="2311"/>
      <c r="K13" s="2311"/>
      <c r="L13" s="2311"/>
      <c r="M13" s="2311"/>
      <c r="N13" s="2311"/>
      <c r="O13" s="2311"/>
      <c r="P13" s="2312"/>
      <c r="Q13" s="2313" t="s">
        <v>669</v>
      </c>
      <c r="R13" s="2314"/>
      <c r="S13" s="2314"/>
      <c r="T13" s="2315"/>
      <c r="U13" s="1193"/>
      <c r="V13" s="1190"/>
      <c r="W13" s="1190"/>
      <c r="X13" s="1190"/>
      <c r="Y13" s="1190"/>
      <c r="Z13" s="1190"/>
      <c r="AA13" s="2300" t="s">
        <v>2430</v>
      </c>
      <c r="AB13" s="2300"/>
      <c r="AC13" s="2300"/>
      <c r="AD13" s="2300"/>
      <c r="AE13" s="2300"/>
      <c r="AF13" s="2300"/>
      <c r="AG13" s="2300"/>
      <c r="AH13" s="2300"/>
      <c r="AI13" s="2300"/>
      <c r="AJ13" s="2300"/>
      <c r="AK13" s="2300"/>
      <c r="AL13" s="2300"/>
      <c r="AM13" s="2300"/>
      <c r="AN13" s="2300"/>
      <c r="AO13" s="2316">
        <f>Application!W473</f>
        <v>3</v>
      </c>
      <c r="AP13" s="2317"/>
      <c r="AQ13" s="2317"/>
      <c r="AR13" s="2317"/>
      <c r="AS13" s="2317"/>
      <c r="AT13" s="1193"/>
      <c r="AU13" s="1193"/>
      <c r="AV13" s="1193"/>
      <c r="AW13" s="1193"/>
      <c r="AX13" s="1193"/>
      <c r="AY13" s="1193"/>
      <c r="AZ13" s="1193"/>
      <c r="BA13" s="1193"/>
      <c r="BB13" s="1193"/>
      <c r="BC13" s="1193"/>
      <c r="BD13" s="1193"/>
      <c r="BE13" s="1194"/>
      <c r="BM13" s="1187" t="s">
        <v>2429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8" t="s">
        <v>2428</v>
      </c>
      <c r="AB14" s="2318"/>
      <c r="AC14" s="2318"/>
      <c r="AD14" s="2318"/>
      <c r="AE14" s="2318"/>
      <c r="AF14" s="2318"/>
      <c r="AG14" s="2318"/>
      <c r="AH14" s="2318"/>
      <c r="AI14" s="2318"/>
      <c r="AJ14" s="2318"/>
      <c r="AK14" s="2318"/>
      <c r="AL14" s="2318"/>
      <c r="AM14" s="2318"/>
      <c r="AN14" s="2318"/>
      <c r="AO14" s="2301">
        <v>45890</v>
      </c>
      <c r="AP14" s="2302"/>
      <c r="AQ14" s="2302"/>
      <c r="AR14" s="2302"/>
      <c r="AS14" s="2302"/>
      <c r="AT14" s="1193"/>
      <c r="AU14" s="1193"/>
      <c r="AV14" s="1193"/>
      <c r="AW14" s="1193"/>
      <c r="AX14" s="1193"/>
      <c r="AY14" s="1193"/>
      <c r="AZ14" s="1193"/>
      <c r="BA14" s="1193"/>
      <c r="BB14" s="1193"/>
      <c r="BC14" s="1193"/>
      <c r="BD14" s="1193"/>
      <c r="BE14" s="1194"/>
    </row>
    <row r="15" spans="1:65" thickBot="1">
      <c r="A15" s="1190"/>
      <c r="B15" s="2295" t="s">
        <v>2427</v>
      </c>
      <c r="C15" s="2296"/>
      <c r="D15" s="2296"/>
      <c r="E15" s="2296"/>
      <c r="F15" s="2296"/>
      <c r="G15" s="2296"/>
      <c r="H15" s="2296"/>
      <c r="I15" s="2296"/>
      <c r="J15" s="2296"/>
      <c r="K15" s="2296"/>
      <c r="L15" s="2296"/>
      <c r="M15" s="2296"/>
      <c r="N15" s="2296"/>
      <c r="O15" s="2296"/>
      <c r="P15" s="2296"/>
      <c r="Q15" s="2296"/>
      <c r="R15" s="2297"/>
      <c r="S15" s="2298" t="str">
        <f>IF(Application!AB214="","",Application!AB214)</f>
        <v/>
      </c>
      <c r="T15" s="2298"/>
      <c r="U15" s="2298"/>
      <c r="V15" s="2298"/>
      <c r="W15" s="2299"/>
      <c r="X15" s="1193"/>
      <c r="Y15" s="1190"/>
      <c r="Z15" s="1190"/>
      <c r="AA15" s="2300" t="s">
        <v>2426</v>
      </c>
      <c r="AB15" s="2300"/>
      <c r="AC15" s="2300"/>
      <c r="AD15" s="2300"/>
      <c r="AE15" s="2300"/>
      <c r="AF15" s="2300"/>
      <c r="AG15" s="2300"/>
      <c r="AH15" s="2300"/>
      <c r="AI15" s="2300"/>
      <c r="AJ15" s="2300"/>
      <c r="AK15" s="2300"/>
      <c r="AL15" s="2300"/>
      <c r="AM15" s="2300"/>
      <c r="AN15" s="2300"/>
      <c r="AO15" s="2301">
        <v>45909</v>
      </c>
      <c r="AP15" s="2302"/>
      <c r="AQ15" s="2302"/>
      <c r="AR15" s="2302"/>
      <c r="AS15" s="23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6" t="s">
        <v>2425</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190"/>
      <c r="BA17" s="1190"/>
      <c r="BB17" s="1190"/>
      <c r="BC17" s="1190"/>
      <c r="BD17" s="1190"/>
      <c r="BE17" s="1194"/>
      <c r="BF17" s="1188"/>
    </row>
    <row r="18" spans="1:58" ht="15.75" customHeight="1">
      <c r="A18" s="1190"/>
      <c r="B18" s="2303" t="s">
        <v>2424</v>
      </c>
      <c r="C18" s="2304"/>
      <c r="D18" s="2304"/>
      <c r="E18" s="2304"/>
      <c r="F18" s="2304"/>
      <c r="G18" s="2304"/>
      <c r="H18" s="2304"/>
      <c r="I18" s="2305"/>
      <c r="J18" s="2306" t="s">
        <v>1585</v>
      </c>
      <c r="K18" s="2307"/>
      <c r="L18" s="2307"/>
      <c r="M18" s="2307"/>
      <c r="N18" s="2307"/>
      <c r="O18" s="2308"/>
      <c r="P18" s="2306" t="s">
        <v>324</v>
      </c>
      <c r="Q18" s="2307"/>
      <c r="R18" s="2307"/>
      <c r="S18" s="2307"/>
      <c r="T18" s="2307"/>
      <c r="U18" s="2308"/>
      <c r="V18" s="2306" t="s">
        <v>325</v>
      </c>
      <c r="W18" s="2307"/>
      <c r="X18" s="2307"/>
      <c r="Y18" s="2307"/>
      <c r="Z18" s="2307"/>
      <c r="AA18" s="2308"/>
      <c r="AB18" s="2306" t="s">
        <v>163</v>
      </c>
      <c r="AC18" s="2307"/>
      <c r="AD18" s="2307"/>
      <c r="AE18" s="2307"/>
      <c r="AF18" s="2307"/>
      <c r="AG18" s="2308"/>
      <c r="AH18" s="2306" t="s">
        <v>164</v>
      </c>
      <c r="AI18" s="2307"/>
      <c r="AJ18" s="2307"/>
      <c r="AK18" s="2307"/>
      <c r="AL18" s="2307"/>
      <c r="AM18" s="2308"/>
      <c r="AN18" s="2306" t="s">
        <v>165</v>
      </c>
      <c r="AO18" s="2307"/>
      <c r="AP18" s="2307"/>
      <c r="AQ18" s="2307"/>
      <c r="AR18" s="2307"/>
      <c r="AS18" s="2308"/>
      <c r="AT18" s="2306" t="s">
        <v>2423</v>
      </c>
      <c r="AU18" s="2307"/>
      <c r="AV18" s="2307"/>
      <c r="AW18" s="2307"/>
      <c r="AX18" s="2307"/>
      <c r="AY18" s="2309"/>
      <c r="AZ18" s="1190"/>
      <c r="BA18" s="1190"/>
      <c r="BB18" s="1190"/>
      <c r="BC18" s="1190"/>
      <c r="BD18" s="1190"/>
      <c r="BE18" s="1194"/>
    </row>
    <row r="19" spans="1:58" ht="15">
      <c r="A19" s="1190"/>
      <c r="B19" s="2289">
        <v>0.3</v>
      </c>
      <c r="C19" s="2290"/>
      <c r="D19" s="2290"/>
      <c r="E19" s="2290"/>
      <c r="F19" s="2290"/>
      <c r="G19" s="2290"/>
      <c r="H19" s="2290"/>
      <c r="I19" s="2291"/>
      <c r="J19" s="2292">
        <f t="shared" ref="J19:J24" si="0">SUM(P19:AS19)</f>
        <v>8</v>
      </c>
      <c r="K19" s="2293"/>
      <c r="L19" s="2293"/>
      <c r="M19" s="2293"/>
      <c r="N19" s="2293"/>
      <c r="O19" s="2294"/>
      <c r="P19" s="2292" cm="1">
        <f t="array" ref="P19">SUMPRODUCT((Application!$B$718:$B$752 = 'CalHFA Addendum'!P$18)*(Application!$AC$718:$AC$752 = 'CalHFA Addendum'!$B19),Application!$G$718:$G$752)</f>
        <v>0</v>
      </c>
      <c r="Q19" s="2293"/>
      <c r="R19" s="2293"/>
      <c r="S19" s="2293"/>
      <c r="T19" s="2293"/>
      <c r="U19" s="2294"/>
      <c r="V19" s="2292" cm="1">
        <f t="array" ref="V19">SUMPRODUCT((Application!$B$714:$B$738 = 'CalHFA Addendum'!V$18)*(Application!$AC$714:$AC$738 = 'CalHFA Addendum'!$B19),Application!$G$714:$G$738)</f>
        <v>1</v>
      </c>
      <c r="W19" s="2293"/>
      <c r="X19" s="2293"/>
      <c r="Y19" s="2293"/>
      <c r="Z19" s="2293"/>
      <c r="AA19" s="2294"/>
      <c r="AB19" s="2292" cm="1">
        <f t="array" ref="AB19">SUMPRODUCT((Application!$B$714:$B$738 = 'CalHFA Addendum'!AB$18)*(Application!$AC$714:$AC$738 = 'CalHFA Addendum'!$B19),Application!$G$714:$G$738)</f>
        <v>2</v>
      </c>
      <c r="AC19" s="2293"/>
      <c r="AD19" s="2293"/>
      <c r="AE19" s="2293"/>
      <c r="AF19" s="2293"/>
      <c r="AG19" s="2294"/>
      <c r="AH19" s="2292" cm="1">
        <f t="array" ref="AH19">SUMPRODUCT((Application!$B$714:$B$738 = 'CalHFA Addendum'!AH$18)*(Application!$AC$714:$AC$738 = 'CalHFA Addendum'!$B19),Application!$G$714:$G$738)</f>
        <v>5</v>
      </c>
      <c r="AI19" s="2293"/>
      <c r="AJ19" s="2293"/>
      <c r="AK19" s="2293"/>
      <c r="AL19" s="2293"/>
      <c r="AM19" s="2294"/>
      <c r="AN19" s="2292" cm="1">
        <f t="array" ref="AN19">SUMPRODUCT((Application!$B$714:$B$738 = 'CalHFA Addendum'!AN$18)*(Application!$AC$714:$AC$738 = 'CalHFA Addendum'!$B19),Application!$G$714:$G$738)</f>
        <v>0</v>
      </c>
      <c r="AO19" s="2293"/>
      <c r="AP19" s="2293"/>
      <c r="AQ19" s="2293"/>
      <c r="AR19" s="2293"/>
      <c r="AS19" s="2294"/>
      <c r="AT19" s="2277">
        <f t="shared" ref="AT19:AT29" si="1">J19/$J$29</f>
        <v>0.1111111111111111</v>
      </c>
      <c r="AU19" s="2278"/>
      <c r="AV19" s="2278"/>
      <c r="AW19" s="2278"/>
      <c r="AX19" s="2278"/>
      <c r="AY19" s="2279"/>
      <c r="AZ19" s="1195"/>
      <c r="BA19" s="1190"/>
      <c r="BB19" s="1190"/>
      <c r="BC19" s="1190"/>
      <c r="BD19" s="1190"/>
      <c r="BE19" s="1194"/>
    </row>
    <row r="20" spans="1:58" ht="15" customHeight="1">
      <c r="A20" s="1190"/>
      <c r="B20" s="2289">
        <v>0.4</v>
      </c>
      <c r="C20" s="2290"/>
      <c r="D20" s="2290"/>
      <c r="E20" s="2290"/>
      <c r="F20" s="2290"/>
      <c r="G20" s="2290"/>
      <c r="H20" s="2290"/>
      <c r="I20" s="2291"/>
      <c r="J20" s="2292">
        <f t="shared" si="0"/>
        <v>0</v>
      </c>
      <c r="K20" s="2293"/>
      <c r="L20" s="2293"/>
      <c r="M20" s="2293"/>
      <c r="N20" s="2293"/>
      <c r="O20" s="2294"/>
      <c r="P20" s="2292" cm="1">
        <f t="array" ref="P20">SUMPRODUCT((Application!$B$718:$B$752 = 'CalHFA Addendum'!P$18)*(Application!$AC$718:$AC$752 = 'CalHFA Addendum'!$B20),Application!$G$718:$G$752)</f>
        <v>0</v>
      </c>
      <c r="Q20" s="2293"/>
      <c r="R20" s="2293"/>
      <c r="S20" s="2293"/>
      <c r="T20" s="2293"/>
      <c r="U20" s="2294"/>
      <c r="V20" s="2292" cm="1">
        <f t="array" ref="V20">SUMPRODUCT((Application!$B$714:$B$738 = 'CalHFA Addendum'!V$18)*(Application!$AC$714:$AC$738 = 'CalHFA Addendum'!$B20),Application!$G$714:$G$738)</f>
        <v>0</v>
      </c>
      <c r="W20" s="2293"/>
      <c r="X20" s="2293"/>
      <c r="Y20" s="2293"/>
      <c r="Z20" s="2293"/>
      <c r="AA20" s="2294"/>
      <c r="AB20" s="2292" cm="1">
        <f t="array" ref="AB20">SUMPRODUCT((Application!$B$714:$B$738 = 'CalHFA Addendum'!AB$18)*(Application!$AC$714:$AC$738 = 'CalHFA Addendum'!$B20),Application!$G$714:$G$738)</f>
        <v>0</v>
      </c>
      <c r="AC20" s="2293"/>
      <c r="AD20" s="2293"/>
      <c r="AE20" s="2293"/>
      <c r="AF20" s="2293"/>
      <c r="AG20" s="2294"/>
      <c r="AH20" s="2292" cm="1">
        <f t="array" ref="AH20">SUMPRODUCT((Application!$B$714:$B$738 = 'CalHFA Addendum'!AH$18)*(Application!$AC$714:$AC$738 = 'CalHFA Addendum'!$B20),Application!$G$714:$G$738)</f>
        <v>0</v>
      </c>
      <c r="AI20" s="2293"/>
      <c r="AJ20" s="2293"/>
      <c r="AK20" s="2293"/>
      <c r="AL20" s="2293"/>
      <c r="AM20" s="2294"/>
      <c r="AN20" s="2292" cm="1">
        <f t="array" ref="AN20">SUMPRODUCT((Application!$B$714:$B$738 = 'CalHFA Addendum'!AN$18)*(Application!$AC$714:$AC$738 = 'CalHFA Addendum'!$B20),Application!$G$714:$G$738)</f>
        <v>0</v>
      </c>
      <c r="AO20" s="2293"/>
      <c r="AP20" s="2293"/>
      <c r="AQ20" s="2293"/>
      <c r="AR20" s="2293"/>
      <c r="AS20" s="2294"/>
      <c r="AT20" s="2277">
        <f t="shared" si="1"/>
        <v>0</v>
      </c>
      <c r="AU20" s="2278"/>
      <c r="AV20" s="2278"/>
      <c r="AW20" s="2278"/>
      <c r="AX20" s="2278"/>
      <c r="AY20" s="2279"/>
      <c r="AZ20" s="1190"/>
      <c r="BA20" s="1190"/>
      <c r="BB20" s="1190"/>
      <c r="BC20" s="1190"/>
      <c r="BD20" s="1190"/>
      <c r="BE20" s="1194"/>
    </row>
    <row r="21" spans="1:58" ht="15">
      <c r="A21" s="1190"/>
      <c r="B21" s="2289">
        <v>0.5</v>
      </c>
      <c r="C21" s="2290"/>
      <c r="D21" s="2290"/>
      <c r="E21" s="2290"/>
      <c r="F21" s="2290"/>
      <c r="G21" s="2290"/>
      <c r="H21" s="2290"/>
      <c r="I21" s="2291"/>
      <c r="J21" s="2292">
        <f t="shared" si="0"/>
        <v>9</v>
      </c>
      <c r="K21" s="2293"/>
      <c r="L21" s="2293"/>
      <c r="M21" s="2293"/>
      <c r="N21" s="2293"/>
      <c r="O21" s="2294"/>
      <c r="P21" s="2292" cm="1">
        <f t="array" ref="P21">SUMPRODUCT((Application!$B$714:$B$738 = 'CalHFA Addendum'!P$18)*(Application!$AC$714:$AC$738 = 'CalHFA Addendum'!$B21),Application!$G$714:$G$738)</f>
        <v>0</v>
      </c>
      <c r="Q21" s="2293"/>
      <c r="R21" s="2293"/>
      <c r="S21" s="2293"/>
      <c r="T21" s="2293"/>
      <c r="U21" s="2294"/>
      <c r="V21" s="2292" cm="1">
        <f t="array" ref="V21">SUMPRODUCT((Application!$B$714:$B$738 = 'CalHFA Addendum'!V$18)*(Application!$AC$714:$AC$738 = 'CalHFA Addendum'!$B21),Application!$G$714:$G$738)</f>
        <v>2</v>
      </c>
      <c r="W21" s="2293"/>
      <c r="X21" s="2293"/>
      <c r="Y21" s="2293"/>
      <c r="Z21" s="2293"/>
      <c r="AA21" s="2294"/>
      <c r="AB21" s="2292" cm="1">
        <f t="array" ref="AB21">SUMPRODUCT((Application!$B$714:$B$738 = 'CalHFA Addendum'!AB$18)*(Application!$AC$714:$AC$738 = 'CalHFA Addendum'!$B21),Application!$G$714:$G$738)</f>
        <v>4</v>
      </c>
      <c r="AC21" s="2293"/>
      <c r="AD21" s="2293"/>
      <c r="AE21" s="2293"/>
      <c r="AF21" s="2293"/>
      <c r="AG21" s="2294"/>
      <c r="AH21" s="2292" cm="1">
        <f t="array" ref="AH21">SUMPRODUCT((Application!$B$714:$B$738 = 'CalHFA Addendum'!AH$18)*(Application!$AC$714:$AC$738 = 'CalHFA Addendum'!$B21),Application!$G$714:$G$738)</f>
        <v>3</v>
      </c>
      <c r="AI21" s="2293"/>
      <c r="AJ21" s="2293"/>
      <c r="AK21" s="2293"/>
      <c r="AL21" s="2293"/>
      <c r="AM21" s="2294"/>
      <c r="AN21" s="2292" cm="1">
        <f t="array" ref="AN21">SUMPRODUCT((Application!$B$714:$B$738 = 'CalHFA Addendum'!AN$18)*(Application!$AC$714:$AC$738 = 'CalHFA Addendum'!$B21),Application!$G$714:$G$738)</f>
        <v>0</v>
      </c>
      <c r="AO21" s="2293"/>
      <c r="AP21" s="2293"/>
      <c r="AQ21" s="2293"/>
      <c r="AR21" s="2293"/>
      <c r="AS21" s="2294"/>
      <c r="AT21" s="2277">
        <f t="shared" si="1"/>
        <v>0.125</v>
      </c>
      <c r="AU21" s="2278"/>
      <c r="AV21" s="2278"/>
      <c r="AW21" s="2278"/>
      <c r="AX21" s="2278"/>
      <c r="AY21" s="2279"/>
      <c r="AZ21" s="1190"/>
      <c r="BA21" s="1190"/>
      <c r="BB21" s="1190"/>
      <c r="BC21" s="1190"/>
      <c r="BD21" s="1190"/>
      <c r="BE21" s="1194"/>
    </row>
    <row r="22" spans="1:58" ht="15">
      <c r="A22" s="1190"/>
      <c r="B22" s="2289">
        <v>0.6</v>
      </c>
      <c r="C22" s="2290"/>
      <c r="D22" s="2290"/>
      <c r="E22" s="2290"/>
      <c r="F22" s="2290"/>
      <c r="G22" s="2290"/>
      <c r="H22" s="2290"/>
      <c r="I22" s="2291"/>
      <c r="J22" s="2292">
        <f t="shared" si="0"/>
        <v>54</v>
      </c>
      <c r="K22" s="2293"/>
      <c r="L22" s="2293"/>
      <c r="M22" s="2293"/>
      <c r="N22" s="2293"/>
      <c r="O22" s="2294"/>
      <c r="P22" s="2292" cm="1">
        <f t="array" ref="P22">SUMPRODUCT((Application!$B$714:$B$738 = 'CalHFA Addendum'!P$18)*(Application!$AC$714:$AC$738 = 'CalHFA Addendum'!$B22),Application!$G$714:$G$738)</f>
        <v>0</v>
      </c>
      <c r="Q22" s="2293"/>
      <c r="R22" s="2293"/>
      <c r="S22" s="2293"/>
      <c r="T22" s="2293"/>
      <c r="U22" s="2294"/>
      <c r="V22" s="2292" cm="1">
        <f t="array" ref="V22">SUMPRODUCT((Application!$B$714:$B$738 = 'CalHFA Addendum'!V$18)*(Application!$AC$714:$AC$738 = 'CalHFA Addendum'!$B22),Application!$G$714:$G$738)</f>
        <v>3</v>
      </c>
      <c r="W22" s="2293"/>
      <c r="X22" s="2293"/>
      <c r="Y22" s="2293"/>
      <c r="Z22" s="2293"/>
      <c r="AA22" s="2294"/>
      <c r="AB22" s="2292" cm="1">
        <f t="array" ref="AB22">SUMPRODUCT((Application!$B$714:$B$738 = 'CalHFA Addendum'!AB$18)*(Application!$AC$714:$AC$738 = 'CalHFA Addendum'!$B22),Application!$G$714:$G$738)</f>
        <v>22</v>
      </c>
      <c r="AC22" s="2293"/>
      <c r="AD22" s="2293"/>
      <c r="AE22" s="2293"/>
      <c r="AF22" s="2293"/>
      <c r="AG22" s="2294"/>
      <c r="AH22" s="2292" cm="1">
        <f t="array" ref="AH22">SUMPRODUCT((Application!$B$714:$B$738 = 'CalHFA Addendum'!AH$18)*(Application!$AC$714:$AC$738 = 'CalHFA Addendum'!$B22),Application!$G$714:$G$738)</f>
        <v>29</v>
      </c>
      <c r="AI22" s="2293"/>
      <c r="AJ22" s="2293"/>
      <c r="AK22" s="2293"/>
      <c r="AL22" s="2293"/>
      <c r="AM22" s="2294"/>
      <c r="AN22" s="2292" cm="1">
        <f t="array" ref="AN22">SUMPRODUCT((Application!$B$714:$B$738 = 'CalHFA Addendum'!AN$18)*(Application!$AC$714:$AC$738 = 'CalHFA Addendum'!$B22),Application!$G$714:$G$738)</f>
        <v>0</v>
      </c>
      <c r="AO22" s="2293"/>
      <c r="AP22" s="2293"/>
      <c r="AQ22" s="2293"/>
      <c r="AR22" s="2293"/>
      <c r="AS22" s="2294"/>
      <c r="AT22" s="2277">
        <f t="shared" si="1"/>
        <v>0.75</v>
      </c>
      <c r="AU22" s="2278"/>
      <c r="AV22" s="2278"/>
      <c r="AW22" s="2278"/>
      <c r="AX22" s="2278"/>
      <c r="AY22" s="2279"/>
      <c r="AZ22" s="1190"/>
      <c r="BA22" s="1190"/>
      <c r="BB22" s="1190"/>
      <c r="BC22" s="1190"/>
      <c r="BD22" s="1190"/>
      <c r="BE22" s="1194"/>
    </row>
    <row r="23" spans="1:58" ht="15">
      <c r="A23" s="1190"/>
      <c r="B23" s="2289">
        <v>0.7</v>
      </c>
      <c r="C23" s="2290"/>
      <c r="D23" s="2290"/>
      <c r="E23" s="2290"/>
      <c r="F23" s="2290"/>
      <c r="G23" s="2290"/>
      <c r="H23" s="2290"/>
      <c r="I23" s="2291"/>
      <c r="J23" s="2292">
        <f t="shared" si="0"/>
        <v>0</v>
      </c>
      <c r="K23" s="2293"/>
      <c r="L23" s="2293"/>
      <c r="M23" s="2293"/>
      <c r="N23" s="2293"/>
      <c r="O23" s="2294"/>
      <c r="P23" s="2292" cm="1">
        <f t="array" ref="P23">SUMPRODUCT((Application!$B$714:$B$738 = 'CalHFA Addendum'!P$18)*(Application!$AC$714:$AC$738 = 'CalHFA Addendum'!$B23),Application!$G$714:$G$738)</f>
        <v>0</v>
      </c>
      <c r="Q23" s="2293"/>
      <c r="R23" s="2293"/>
      <c r="S23" s="2293"/>
      <c r="T23" s="2293"/>
      <c r="U23" s="2294"/>
      <c r="V23" s="2292" cm="1">
        <f t="array" ref="V23">SUMPRODUCT((Application!$B$714:$B$738 = 'CalHFA Addendum'!V$18)*(Application!$AC$714:$AC$738 = 'CalHFA Addendum'!$B23),Application!$G$714:$G$738)</f>
        <v>0</v>
      </c>
      <c r="W23" s="2293"/>
      <c r="X23" s="2293"/>
      <c r="Y23" s="2293"/>
      <c r="Z23" s="2293"/>
      <c r="AA23" s="2294"/>
      <c r="AB23" s="2292" cm="1">
        <f t="array" ref="AB23">SUMPRODUCT((Application!$B$714:$B$738 = 'CalHFA Addendum'!AB$18)*(Application!$AC$714:$AC$738 = 'CalHFA Addendum'!$B23),Application!$G$714:$G$738)</f>
        <v>0</v>
      </c>
      <c r="AC23" s="2293"/>
      <c r="AD23" s="2293"/>
      <c r="AE23" s="2293"/>
      <c r="AF23" s="2293"/>
      <c r="AG23" s="2294"/>
      <c r="AH23" s="2292" cm="1">
        <f t="array" ref="AH23">SUMPRODUCT((Application!$B$714:$B$738 = 'CalHFA Addendum'!AH$18)*(Application!$AC$714:$AC$738 = 'CalHFA Addendum'!$B23),Application!$G$714:$G$738)</f>
        <v>0</v>
      </c>
      <c r="AI23" s="2293"/>
      <c r="AJ23" s="2293"/>
      <c r="AK23" s="2293"/>
      <c r="AL23" s="2293"/>
      <c r="AM23" s="2294"/>
      <c r="AN23" s="2292" cm="1">
        <f t="array" ref="AN23">SUMPRODUCT((Application!$B$714:$B$738 = 'CalHFA Addendum'!AN$18)*(Application!$AC$714:$AC$738 = 'CalHFA Addendum'!$B23),Application!$G$714:$G$738)</f>
        <v>0</v>
      </c>
      <c r="AO23" s="2293"/>
      <c r="AP23" s="2293"/>
      <c r="AQ23" s="2293"/>
      <c r="AR23" s="2293"/>
      <c r="AS23" s="2294"/>
      <c r="AT23" s="2277">
        <f t="shared" si="1"/>
        <v>0</v>
      </c>
      <c r="AU23" s="2278"/>
      <c r="AV23" s="2278"/>
      <c r="AW23" s="2278"/>
      <c r="AX23" s="2278"/>
      <c r="AY23" s="2279"/>
      <c r="AZ23" s="1190"/>
      <c r="BA23" s="1190"/>
      <c r="BB23" s="1190"/>
      <c r="BC23" s="1190"/>
      <c r="BD23" s="1190"/>
      <c r="BE23" s="1194"/>
    </row>
    <row r="24" spans="1:58" ht="15">
      <c r="A24" s="1190"/>
      <c r="B24" s="2289">
        <v>0.8</v>
      </c>
      <c r="C24" s="2290"/>
      <c r="D24" s="2290"/>
      <c r="E24" s="2290"/>
      <c r="F24" s="2290"/>
      <c r="G24" s="2290"/>
      <c r="H24" s="2290"/>
      <c r="I24" s="2291"/>
      <c r="J24" s="2292">
        <f t="shared" si="0"/>
        <v>0</v>
      </c>
      <c r="K24" s="2293"/>
      <c r="L24" s="2293"/>
      <c r="M24" s="2293"/>
      <c r="N24" s="2293"/>
      <c r="O24" s="2294"/>
      <c r="P24" s="2292" cm="1">
        <f t="array" ref="P24">SUMPRODUCT((Application!$B$714:$B$738 = 'CalHFA Addendum'!P$18)*(Application!$AC$714:$AC$738 = 'CalHFA Addendum'!$B24),Application!$G$714:$G$738)</f>
        <v>0</v>
      </c>
      <c r="Q24" s="2293"/>
      <c r="R24" s="2293"/>
      <c r="S24" s="2293"/>
      <c r="T24" s="2293"/>
      <c r="U24" s="2294"/>
      <c r="V24" s="2292" cm="1">
        <f t="array" ref="V24">SUMPRODUCT((Application!$B$714:$B$738 = 'CalHFA Addendum'!V$18)*(Application!$AC$714:$AC$738 = 'CalHFA Addendum'!$B24),Application!$G$714:$G$738)</f>
        <v>0</v>
      </c>
      <c r="W24" s="2293"/>
      <c r="X24" s="2293"/>
      <c r="Y24" s="2293"/>
      <c r="Z24" s="2293"/>
      <c r="AA24" s="2294"/>
      <c r="AB24" s="2292" cm="1">
        <f t="array" ref="AB24">SUMPRODUCT((Application!$B$714:$B$738 = 'CalHFA Addendum'!AB$18)*(Application!$AC$714:$AC$738 = 'CalHFA Addendum'!$B24),Application!$G$714:$G$738)</f>
        <v>0</v>
      </c>
      <c r="AC24" s="2293"/>
      <c r="AD24" s="2293"/>
      <c r="AE24" s="2293"/>
      <c r="AF24" s="2293"/>
      <c r="AG24" s="2294"/>
      <c r="AH24" s="2292" cm="1">
        <f t="array" ref="AH24">SUMPRODUCT((Application!$B$714:$B$738 = 'CalHFA Addendum'!AH$18)*(Application!$AC$714:$AC$738 = 'CalHFA Addendum'!$B24),Application!$G$714:$G$738)</f>
        <v>0</v>
      </c>
      <c r="AI24" s="2293"/>
      <c r="AJ24" s="2293"/>
      <c r="AK24" s="2293"/>
      <c r="AL24" s="2293"/>
      <c r="AM24" s="2294"/>
      <c r="AN24" s="2292" cm="1">
        <f t="array" ref="AN24">SUMPRODUCT((Application!$B$714:$B$738 = 'CalHFA Addendum'!AN$18)*(Application!$AC$714:$AC$738 = 'CalHFA Addendum'!$B24),Application!$G$714:$G$738)</f>
        <v>0</v>
      </c>
      <c r="AO24" s="2293"/>
      <c r="AP24" s="2293"/>
      <c r="AQ24" s="2293"/>
      <c r="AR24" s="2293"/>
      <c r="AS24" s="2294"/>
      <c r="AT24" s="2277">
        <f t="shared" si="1"/>
        <v>0</v>
      </c>
      <c r="AU24" s="2278"/>
      <c r="AV24" s="2278"/>
      <c r="AW24" s="2278"/>
      <c r="AX24" s="2278"/>
      <c r="AY24" s="2279"/>
      <c r="AZ24" s="1190"/>
      <c r="BA24" s="1190"/>
      <c r="BB24" s="1190"/>
      <c r="BC24" s="1190"/>
      <c r="BD24" s="1190"/>
      <c r="BE24" s="1194"/>
    </row>
    <row r="25" spans="1:58" ht="15">
      <c r="A25" s="1190"/>
      <c r="B25" s="2289">
        <v>0.9</v>
      </c>
      <c r="C25" s="2290"/>
      <c r="D25" s="2290"/>
      <c r="E25" s="2290"/>
      <c r="F25" s="2290"/>
      <c r="G25" s="2290"/>
      <c r="H25" s="2290"/>
      <c r="I25" s="2291"/>
      <c r="J25" s="2274"/>
      <c r="K25" s="2275"/>
      <c r="L25" s="2275"/>
      <c r="M25" s="2275"/>
      <c r="N25" s="2275"/>
      <c r="O25" s="2276"/>
      <c r="P25" s="2274"/>
      <c r="Q25" s="2275"/>
      <c r="R25" s="2275"/>
      <c r="S25" s="2275"/>
      <c r="T25" s="2275"/>
      <c r="U25" s="2276"/>
      <c r="V25" s="2274"/>
      <c r="W25" s="2275"/>
      <c r="X25" s="2275"/>
      <c r="Y25" s="2275"/>
      <c r="Z25" s="2275"/>
      <c r="AA25" s="2276"/>
      <c r="AB25" s="2274"/>
      <c r="AC25" s="2275"/>
      <c r="AD25" s="2275"/>
      <c r="AE25" s="2275"/>
      <c r="AF25" s="2275"/>
      <c r="AG25" s="2276"/>
      <c r="AH25" s="2274"/>
      <c r="AI25" s="2275"/>
      <c r="AJ25" s="2275"/>
      <c r="AK25" s="2275"/>
      <c r="AL25" s="2275"/>
      <c r="AM25" s="2276"/>
      <c r="AN25" s="2274"/>
      <c r="AO25" s="2275"/>
      <c r="AP25" s="2275"/>
      <c r="AQ25" s="2275"/>
      <c r="AR25" s="2275"/>
      <c r="AS25" s="2276"/>
      <c r="AT25" s="2277">
        <f t="shared" si="1"/>
        <v>0</v>
      </c>
      <c r="AU25" s="2278"/>
      <c r="AV25" s="2278"/>
      <c r="AW25" s="2278"/>
      <c r="AX25" s="2278"/>
      <c r="AY25" s="2279"/>
      <c r="AZ25" s="1190"/>
      <c r="BA25" s="1190"/>
      <c r="BB25" s="1190"/>
      <c r="BC25" s="1190"/>
      <c r="BD25" s="1190"/>
      <c r="BE25" s="1194"/>
    </row>
    <row r="26" spans="1:58" ht="15">
      <c r="A26" s="1190"/>
      <c r="B26" s="2289">
        <v>1</v>
      </c>
      <c r="C26" s="2290"/>
      <c r="D26" s="2290"/>
      <c r="E26" s="2290"/>
      <c r="F26" s="2290"/>
      <c r="G26" s="2290"/>
      <c r="H26" s="2290"/>
      <c r="I26" s="2291"/>
      <c r="J26" s="2274"/>
      <c r="K26" s="2275"/>
      <c r="L26" s="2275"/>
      <c r="M26" s="2275"/>
      <c r="N26" s="2275"/>
      <c r="O26" s="2276"/>
      <c r="P26" s="2274"/>
      <c r="Q26" s="2275"/>
      <c r="R26" s="2275"/>
      <c r="S26" s="2275"/>
      <c r="T26" s="2275"/>
      <c r="U26" s="2276"/>
      <c r="V26" s="2274"/>
      <c r="W26" s="2275"/>
      <c r="X26" s="2275"/>
      <c r="Y26" s="2275"/>
      <c r="Z26" s="2275"/>
      <c r="AA26" s="2276"/>
      <c r="AB26" s="2274"/>
      <c r="AC26" s="2275"/>
      <c r="AD26" s="2275"/>
      <c r="AE26" s="2275"/>
      <c r="AF26" s="2275"/>
      <c r="AG26" s="2276"/>
      <c r="AH26" s="2274"/>
      <c r="AI26" s="2275"/>
      <c r="AJ26" s="2275"/>
      <c r="AK26" s="2275"/>
      <c r="AL26" s="2275"/>
      <c r="AM26" s="2276"/>
      <c r="AN26" s="2274"/>
      <c r="AO26" s="2275"/>
      <c r="AP26" s="2275"/>
      <c r="AQ26" s="2275"/>
      <c r="AR26" s="2275"/>
      <c r="AS26" s="2276"/>
      <c r="AT26" s="2277">
        <f t="shared" si="1"/>
        <v>0</v>
      </c>
      <c r="AU26" s="2278"/>
      <c r="AV26" s="2278"/>
      <c r="AW26" s="2278"/>
      <c r="AX26" s="2278"/>
      <c r="AY26" s="2279"/>
      <c r="AZ26" s="1190"/>
      <c r="BA26" s="1190"/>
      <c r="BB26" s="1190"/>
      <c r="BC26" s="1190"/>
      <c r="BD26" s="1190"/>
      <c r="BE26" s="1194"/>
    </row>
    <row r="27" spans="1:58" ht="15">
      <c r="A27" s="1190"/>
      <c r="B27" s="2289">
        <v>1.2</v>
      </c>
      <c r="C27" s="2290"/>
      <c r="D27" s="2290"/>
      <c r="E27" s="2290"/>
      <c r="F27" s="2290"/>
      <c r="G27" s="2290"/>
      <c r="H27" s="2290"/>
      <c r="I27" s="2291"/>
      <c r="J27" s="2274"/>
      <c r="K27" s="2275"/>
      <c r="L27" s="2275"/>
      <c r="M27" s="2275"/>
      <c r="N27" s="2275"/>
      <c r="O27" s="2276"/>
      <c r="P27" s="2274"/>
      <c r="Q27" s="2275"/>
      <c r="R27" s="2275"/>
      <c r="S27" s="2275"/>
      <c r="T27" s="2275"/>
      <c r="U27" s="2276"/>
      <c r="V27" s="2274"/>
      <c r="W27" s="2275"/>
      <c r="X27" s="2275"/>
      <c r="Y27" s="2275"/>
      <c r="Z27" s="2275"/>
      <c r="AA27" s="2276"/>
      <c r="AB27" s="2274"/>
      <c r="AC27" s="2275"/>
      <c r="AD27" s="2275"/>
      <c r="AE27" s="2275"/>
      <c r="AF27" s="2275"/>
      <c r="AG27" s="2276"/>
      <c r="AH27" s="2274"/>
      <c r="AI27" s="2275"/>
      <c r="AJ27" s="2275"/>
      <c r="AK27" s="2275"/>
      <c r="AL27" s="2275"/>
      <c r="AM27" s="2276"/>
      <c r="AN27" s="2274"/>
      <c r="AO27" s="2275"/>
      <c r="AP27" s="2275"/>
      <c r="AQ27" s="2275"/>
      <c r="AR27" s="2275"/>
      <c r="AS27" s="2276"/>
      <c r="AT27" s="2277">
        <f t="shared" si="1"/>
        <v>0</v>
      </c>
      <c r="AU27" s="2278"/>
      <c r="AV27" s="2278"/>
      <c r="AW27" s="2278"/>
      <c r="AX27" s="2278"/>
      <c r="AY27" s="2279"/>
      <c r="AZ27" s="1190"/>
      <c r="BA27" s="1190"/>
      <c r="BB27" s="1190"/>
      <c r="BC27" s="1190"/>
      <c r="BD27" s="1190"/>
      <c r="BE27" s="1194"/>
    </row>
    <row r="28" spans="1:58" thickBot="1">
      <c r="A28" s="1190"/>
      <c r="B28" s="2280" t="s">
        <v>2422</v>
      </c>
      <c r="C28" s="2281"/>
      <c r="D28" s="2281"/>
      <c r="E28" s="2281"/>
      <c r="F28" s="2281"/>
      <c r="G28" s="2281"/>
      <c r="H28" s="2281"/>
      <c r="I28" s="2282"/>
      <c r="J28" s="2283">
        <f>SUM(P28:AS28)</f>
        <v>1</v>
      </c>
      <c r="K28" s="2284"/>
      <c r="L28" s="2284"/>
      <c r="M28" s="2284"/>
      <c r="N28" s="2284"/>
      <c r="O28" s="2285"/>
      <c r="P28" s="2283">
        <f>_xlfn.IFNA(VLOOKUP(P$18,Application!$J$773:$S$776,6,FALSE), 0)</f>
        <v>0</v>
      </c>
      <c r="Q28" s="2284"/>
      <c r="R28" s="2284"/>
      <c r="S28" s="2284"/>
      <c r="T28" s="2284"/>
      <c r="U28" s="2285"/>
      <c r="V28" s="2283">
        <f>_xlfn.IFNA(VLOOKUP(V$18,Application!$J$773:$S$776,6,FALSE), 0)</f>
        <v>0</v>
      </c>
      <c r="W28" s="2284"/>
      <c r="X28" s="2284"/>
      <c r="Y28" s="2284"/>
      <c r="Z28" s="2284"/>
      <c r="AA28" s="2285"/>
      <c r="AB28" s="2283">
        <f>_xlfn.IFNA(VLOOKUP(AB$18,Application!$J$773:$S$776,6,FALSE), 0)</f>
        <v>0</v>
      </c>
      <c r="AC28" s="2284"/>
      <c r="AD28" s="2284"/>
      <c r="AE28" s="2284"/>
      <c r="AF28" s="2284"/>
      <c r="AG28" s="2285"/>
      <c r="AH28" s="2283">
        <f>_xlfn.IFNA(VLOOKUP(AH$18,Application!$J$773:$S$776,6,FALSE), 0)</f>
        <v>1</v>
      </c>
      <c r="AI28" s="2284"/>
      <c r="AJ28" s="2284"/>
      <c r="AK28" s="2284"/>
      <c r="AL28" s="2284"/>
      <c r="AM28" s="2285"/>
      <c r="AN28" s="2283">
        <f>_xlfn.IFNA(VLOOKUP(AN$18,Application!$J$773:$S$776,6,FALSE), 0)</f>
        <v>0</v>
      </c>
      <c r="AO28" s="2284"/>
      <c r="AP28" s="2284"/>
      <c r="AQ28" s="2284"/>
      <c r="AR28" s="2284"/>
      <c r="AS28" s="2285"/>
      <c r="AT28" s="2286">
        <f t="shared" si="1"/>
        <v>1.3888888888888888E-2</v>
      </c>
      <c r="AU28" s="2287"/>
      <c r="AV28" s="2287"/>
      <c r="AW28" s="2287"/>
      <c r="AX28" s="2287"/>
      <c r="AY28" s="2288"/>
      <c r="AZ28" s="1190"/>
      <c r="BA28" s="1190"/>
      <c r="BB28" s="1190"/>
      <c r="BC28" s="1190"/>
      <c r="BD28" s="1190"/>
      <c r="BE28" s="1194"/>
    </row>
    <row r="29" spans="1:58" thickBot="1">
      <c r="A29" s="1190"/>
      <c r="B29" s="2263" t="s">
        <v>1585</v>
      </c>
      <c r="C29" s="2236"/>
      <c r="D29" s="2236"/>
      <c r="E29" s="2236"/>
      <c r="F29" s="2236"/>
      <c r="G29" s="2236"/>
      <c r="H29" s="2236"/>
      <c r="I29" s="2237"/>
      <c r="J29" s="2235">
        <f>SUM(J19:O28)</f>
        <v>72</v>
      </c>
      <c r="K29" s="2236"/>
      <c r="L29" s="2236"/>
      <c r="M29" s="2236"/>
      <c r="N29" s="2236"/>
      <c r="O29" s="2237"/>
      <c r="P29" s="2235">
        <f>SUM(P19:U28)</f>
        <v>0</v>
      </c>
      <c r="Q29" s="2236"/>
      <c r="R29" s="2236"/>
      <c r="S29" s="2236"/>
      <c r="T29" s="2236"/>
      <c r="U29" s="2237"/>
      <c r="V29" s="2235">
        <f>SUM(V19:AA28)</f>
        <v>6</v>
      </c>
      <c r="W29" s="2236"/>
      <c r="X29" s="2236"/>
      <c r="Y29" s="2236"/>
      <c r="Z29" s="2236"/>
      <c r="AA29" s="2237"/>
      <c r="AB29" s="2235">
        <f>SUM(AB19:AG28)</f>
        <v>28</v>
      </c>
      <c r="AC29" s="2236"/>
      <c r="AD29" s="2236"/>
      <c r="AE29" s="2236"/>
      <c r="AF29" s="2236"/>
      <c r="AG29" s="2237"/>
      <c r="AH29" s="2235">
        <f>SUM(AH19:AM28)</f>
        <v>38</v>
      </c>
      <c r="AI29" s="2236"/>
      <c r="AJ29" s="2236"/>
      <c r="AK29" s="2236"/>
      <c r="AL29" s="2236"/>
      <c r="AM29" s="2237"/>
      <c r="AN29" s="2235">
        <f>SUM(AN19:AS28)</f>
        <v>0</v>
      </c>
      <c r="AO29" s="2236"/>
      <c r="AP29" s="2236"/>
      <c r="AQ29" s="2236"/>
      <c r="AR29" s="2236"/>
      <c r="AS29" s="2237"/>
      <c r="AT29" s="2238">
        <f t="shared" si="1"/>
        <v>1</v>
      </c>
      <c r="AU29" s="2239"/>
      <c r="AV29" s="2239"/>
      <c r="AW29" s="2239"/>
      <c r="AX29" s="2239"/>
      <c r="AY29" s="224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41" t="s">
        <v>2421</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242"/>
      <c r="BB31" s="2242"/>
      <c r="BC31" s="2242"/>
      <c r="BD31" s="2243"/>
      <c r="BE31" s="1194"/>
    </row>
    <row r="32" spans="1:58" thickBot="1">
      <c r="A32" s="1190"/>
      <c r="B32" s="2244" t="s">
        <v>2420</v>
      </c>
      <c r="C32" s="2245"/>
      <c r="D32" s="2245"/>
      <c r="E32" s="2245"/>
      <c r="F32" s="2245"/>
      <c r="G32" s="2245"/>
      <c r="H32" s="2245"/>
      <c r="I32" s="2245"/>
      <c r="J32" s="2248" t="s">
        <v>2419</v>
      </c>
      <c r="K32" s="2249"/>
      <c r="L32" s="2249"/>
      <c r="M32" s="2249"/>
      <c r="N32" s="2248" t="s">
        <v>2418</v>
      </c>
      <c r="O32" s="2249"/>
      <c r="P32" s="2249"/>
      <c r="Q32" s="2251"/>
      <c r="R32" s="2253" t="s">
        <v>2417</v>
      </c>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5"/>
      <c r="BE32" s="1194"/>
    </row>
    <row r="33" spans="1:58" ht="15" customHeight="1">
      <c r="A33" s="1190"/>
      <c r="B33" s="2246"/>
      <c r="C33" s="2247"/>
      <c r="D33" s="2247"/>
      <c r="E33" s="2247"/>
      <c r="F33" s="2247"/>
      <c r="G33" s="2247"/>
      <c r="H33" s="2247"/>
      <c r="I33" s="2247"/>
      <c r="J33" s="2250"/>
      <c r="K33" s="2250"/>
      <c r="L33" s="2250"/>
      <c r="M33" s="2250"/>
      <c r="N33" s="2250"/>
      <c r="O33" s="2250"/>
      <c r="P33" s="2250"/>
      <c r="Q33" s="2252"/>
      <c r="R33" s="2256" t="s">
        <v>2416</v>
      </c>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2257"/>
      <c r="BB33" s="2257"/>
      <c r="BC33" s="2257"/>
      <c r="BD33" s="2258"/>
      <c r="BE33" s="1194"/>
    </row>
    <row r="34" spans="1:58" ht="15.75" customHeight="1" thickBot="1">
      <c r="A34" s="1190"/>
      <c r="B34" s="2246"/>
      <c r="C34" s="2247"/>
      <c r="D34" s="2247"/>
      <c r="E34" s="2247"/>
      <c r="F34" s="2247"/>
      <c r="G34" s="2247"/>
      <c r="H34" s="2247"/>
      <c r="I34" s="2247"/>
      <c r="J34" s="2250"/>
      <c r="K34" s="2250"/>
      <c r="L34" s="2250"/>
      <c r="M34" s="2250"/>
      <c r="N34" s="2250"/>
      <c r="O34" s="2250"/>
      <c r="P34" s="2250"/>
      <c r="Q34" s="2252"/>
      <c r="R34" s="2259"/>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2260"/>
      <c r="BB34" s="2260"/>
      <c r="BC34" s="2260"/>
      <c r="BD34" s="2261"/>
      <c r="BE34" s="1194"/>
    </row>
    <row r="35" spans="1:58" ht="15.75" customHeight="1">
      <c r="A35" s="1190"/>
      <c r="B35" s="2246"/>
      <c r="C35" s="2247"/>
      <c r="D35" s="2247"/>
      <c r="E35" s="2247"/>
      <c r="F35" s="2247"/>
      <c r="G35" s="2247"/>
      <c r="H35" s="2247"/>
      <c r="I35" s="2247"/>
      <c r="J35" s="2250"/>
      <c r="K35" s="2250"/>
      <c r="L35" s="2250"/>
      <c r="M35" s="2250"/>
      <c r="N35" s="2250"/>
      <c r="O35" s="2250"/>
      <c r="P35" s="2250"/>
      <c r="Q35" s="2250"/>
      <c r="R35" s="2262">
        <v>0.3</v>
      </c>
      <c r="S35" s="2262"/>
      <c r="T35" s="2262"/>
      <c r="U35" s="2262"/>
      <c r="V35" s="2262">
        <v>0.4</v>
      </c>
      <c r="W35" s="2262"/>
      <c r="X35" s="2262"/>
      <c r="Y35" s="2262"/>
      <c r="Z35" s="2262">
        <v>0.5</v>
      </c>
      <c r="AA35" s="2262"/>
      <c r="AB35" s="2262"/>
      <c r="AC35" s="2262"/>
      <c r="AD35" s="2262">
        <v>0.6</v>
      </c>
      <c r="AE35" s="2262"/>
      <c r="AF35" s="2262"/>
      <c r="AG35" s="2262"/>
      <c r="AH35" s="2262">
        <v>0.7</v>
      </c>
      <c r="AI35" s="2262"/>
      <c r="AJ35" s="2262"/>
      <c r="AK35" s="2262"/>
      <c r="AL35" s="2267">
        <v>0.9</v>
      </c>
      <c r="AM35" s="2268"/>
      <c r="AN35" s="2268"/>
      <c r="AO35" s="2269"/>
      <c r="AP35" s="2270">
        <v>1.2</v>
      </c>
      <c r="AQ35" s="2271"/>
      <c r="AR35" s="2272"/>
      <c r="AS35" s="2264" t="s">
        <v>2415</v>
      </c>
      <c r="AT35" s="2265"/>
      <c r="AU35" s="2265"/>
      <c r="AV35" s="2265"/>
      <c r="AW35" s="2265"/>
      <c r="AX35" s="2273"/>
      <c r="AY35" s="2264" t="s">
        <v>2414</v>
      </c>
      <c r="AZ35" s="2265"/>
      <c r="BA35" s="2265"/>
      <c r="BB35" s="2265"/>
      <c r="BC35" s="2265"/>
      <c r="BD35" s="2266"/>
      <c r="BE35" s="1194"/>
    </row>
    <row r="36" spans="1:58" ht="15.75" customHeight="1">
      <c r="A36" s="1190"/>
      <c r="B36" s="2168" t="s">
        <v>2728</v>
      </c>
      <c r="C36" s="2169"/>
      <c r="D36" s="2169"/>
      <c r="E36" s="2169"/>
      <c r="F36" s="2169"/>
      <c r="G36" s="2169"/>
      <c r="H36" s="2169"/>
      <c r="I36" s="2169"/>
      <c r="J36" s="2233" t="s">
        <v>2413</v>
      </c>
      <c r="K36" s="2233"/>
      <c r="L36" s="2233"/>
      <c r="M36" s="2233"/>
      <c r="N36" s="2233">
        <v>55</v>
      </c>
      <c r="O36" s="2233"/>
      <c r="P36" s="2233"/>
      <c r="Q36" s="2233"/>
      <c r="R36" s="2234">
        <v>8</v>
      </c>
      <c r="S36" s="2234"/>
      <c r="T36" s="2234"/>
      <c r="U36" s="2234"/>
      <c r="V36" s="2234"/>
      <c r="W36" s="2234"/>
      <c r="X36" s="2234"/>
      <c r="Y36" s="2234"/>
      <c r="Z36" s="2234">
        <v>9</v>
      </c>
      <c r="AA36" s="2234"/>
      <c r="AB36" s="2234"/>
      <c r="AC36" s="2234"/>
      <c r="AD36" s="2234">
        <v>54</v>
      </c>
      <c r="AE36" s="2234"/>
      <c r="AF36" s="2234"/>
      <c r="AG36" s="2234"/>
      <c r="AH36" s="2234"/>
      <c r="AI36" s="2234"/>
      <c r="AJ36" s="2234"/>
      <c r="AK36" s="2234"/>
      <c r="AL36" s="2218"/>
      <c r="AM36" s="2219"/>
      <c r="AN36" s="2219"/>
      <c r="AO36" s="2220"/>
      <c r="AP36" s="2218"/>
      <c r="AQ36" s="2219"/>
      <c r="AR36" s="2220"/>
      <c r="AS36" s="2221">
        <f t="shared" ref="AS36:AS47" si="2">SUM(R36:AR36)</f>
        <v>71</v>
      </c>
      <c r="AT36" s="2222"/>
      <c r="AU36" s="2222"/>
      <c r="AV36" s="2222"/>
      <c r="AW36" s="2222"/>
      <c r="AX36" s="2223"/>
      <c r="AY36" s="2224">
        <f t="shared" ref="AY36:AY47" si="3">AS36/$J$29</f>
        <v>0.98611111111111116</v>
      </c>
      <c r="AZ36" s="2225"/>
      <c r="BA36" s="2225"/>
      <c r="BB36" s="2225"/>
      <c r="BC36" s="2225"/>
      <c r="BD36" s="2226"/>
      <c r="BE36" s="1194"/>
    </row>
    <row r="37" spans="1:58" ht="15.75" customHeight="1">
      <c r="A37" s="1190"/>
      <c r="B37" s="2168" t="s">
        <v>2724</v>
      </c>
      <c r="C37" s="2169"/>
      <c r="D37" s="2169"/>
      <c r="E37" s="2169"/>
      <c r="F37" s="2169"/>
      <c r="G37" s="2169"/>
      <c r="H37" s="2169"/>
      <c r="I37" s="2169"/>
      <c r="J37" s="2233" t="s">
        <v>2412</v>
      </c>
      <c r="K37" s="2233"/>
      <c r="L37" s="2233"/>
      <c r="M37" s="2233"/>
      <c r="N37" s="2233">
        <v>55</v>
      </c>
      <c r="O37" s="2233"/>
      <c r="P37" s="2233"/>
      <c r="Q37" s="2233"/>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18"/>
      <c r="AM37" s="2219"/>
      <c r="AN37" s="2219"/>
      <c r="AO37" s="2220"/>
      <c r="AP37" s="2218"/>
      <c r="AQ37" s="2219"/>
      <c r="AR37" s="2220"/>
      <c r="AS37" s="2221">
        <f t="shared" si="2"/>
        <v>0</v>
      </c>
      <c r="AT37" s="2222"/>
      <c r="AU37" s="2222"/>
      <c r="AV37" s="2222"/>
      <c r="AW37" s="2222"/>
      <c r="AX37" s="2223"/>
      <c r="AY37" s="2224">
        <f t="shared" si="3"/>
        <v>0</v>
      </c>
      <c r="AZ37" s="2225"/>
      <c r="BA37" s="2225"/>
      <c r="BB37" s="2225"/>
      <c r="BC37" s="2225"/>
      <c r="BD37" s="2226"/>
      <c r="BE37" s="1194"/>
    </row>
    <row r="38" spans="1:58" ht="15.75" customHeight="1">
      <c r="A38" s="1190"/>
      <c r="B38" s="2168" t="s">
        <v>2725</v>
      </c>
      <c r="C38" s="2169"/>
      <c r="D38" s="2169"/>
      <c r="E38" s="2169"/>
      <c r="F38" s="2169"/>
      <c r="G38" s="2169"/>
      <c r="H38" s="2169"/>
      <c r="I38" s="2169"/>
      <c r="J38" s="2233" t="s">
        <v>2411</v>
      </c>
      <c r="K38" s="2233"/>
      <c r="L38" s="2233"/>
      <c r="M38" s="2233"/>
      <c r="N38" s="2233">
        <v>55</v>
      </c>
      <c r="O38" s="2233"/>
      <c r="P38" s="2233"/>
      <c r="Q38" s="2233"/>
      <c r="R38" s="2234"/>
      <c r="S38" s="2234"/>
      <c r="T38" s="2234"/>
      <c r="U38" s="2234"/>
      <c r="V38" s="2234"/>
      <c r="W38" s="2234"/>
      <c r="X38" s="2234"/>
      <c r="Y38" s="2234"/>
      <c r="Z38" s="2234">
        <v>18</v>
      </c>
      <c r="AA38" s="2234"/>
      <c r="AB38" s="2234"/>
      <c r="AC38" s="2234"/>
      <c r="AD38" s="2234">
        <v>53</v>
      </c>
      <c r="AE38" s="2234"/>
      <c r="AF38" s="2234"/>
      <c r="AG38" s="2234"/>
      <c r="AH38" s="2234"/>
      <c r="AI38" s="2234"/>
      <c r="AJ38" s="2234"/>
      <c r="AK38" s="2234"/>
      <c r="AL38" s="2218"/>
      <c r="AM38" s="2219"/>
      <c r="AN38" s="2219"/>
      <c r="AO38" s="2220"/>
      <c r="AP38" s="2218"/>
      <c r="AQ38" s="2219"/>
      <c r="AR38" s="2220"/>
      <c r="AS38" s="2221">
        <f t="shared" si="2"/>
        <v>71</v>
      </c>
      <c r="AT38" s="2222"/>
      <c r="AU38" s="2222"/>
      <c r="AV38" s="2222"/>
      <c r="AW38" s="2222"/>
      <c r="AX38" s="2223"/>
      <c r="AY38" s="2224">
        <f t="shared" si="3"/>
        <v>0.98611111111111116</v>
      </c>
      <c r="AZ38" s="2225"/>
      <c r="BA38" s="2225"/>
      <c r="BB38" s="2225"/>
      <c r="BC38" s="2225"/>
      <c r="BD38" s="2226"/>
      <c r="BE38" s="1194"/>
    </row>
    <row r="39" spans="1:58" ht="15.75" customHeight="1">
      <c r="A39" s="1190"/>
      <c r="B39" s="2168" t="s">
        <v>2727</v>
      </c>
      <c r="C39" s="2169"/>
      <c r="D39" s="2169"/>
      <c r="E39" s="2169"/>
      <c r="F39" s="2169"/>
      <c r="G39" s="2169"/>
      <c r="H39" s="2169"/>
      <c r="I39" s="2169"/>
      <c r="J39" s="2233" t="s">
        <v>2697</v>
      </c>
      <c r="K39" s="2233"/>
      <c r="L39" s="2233"/>
      <c r="M39" s="2233"/>
      <c r="N39" s="2233">
        <v>55</v>
      </c>
      <c r="O39" s="2233"/>
      <c r="P39" s="2233"/>
      <c r="Q39" s="2233"/>
      <c r="R39" s="2234"/>
      <c r="S39" s="2234"/>
      <c r="T39" s="2234"/>
      <c r="U39" s="2234"/>
      <c r="V39" s="2234"/>
      <c r="W39" s="2234"/>
      <c r="X39" s="2234"/>
      <c r="Y39" s="2234"/>
      <c r="Z39" s="2234">
        <v>18</v>
      </c>
      <c r="AA39" s="2234"/>
      <c r="AB39" s="2234"/>
      <c r="AC39" s="2234"/>
      <c r="AD39" s="2234">
        <v>17</v>
      </c>
      <c r="AE39" s="2234"/>
      <c r="AF39" s="2234"/>
      <c r="AG39" s="2234"/>
      <c r="AH39" s="2234"/>
      <c r="AI39" s="2234"/>
      <c r="AJ39" s="2234"/>
      <c r="AK39" s="2234"/>
      <c r="AL39" s="2218">
        <v>36</v>
      </c>
      <c r="AM39" s="2219"/>
      <c r="AN39" s="2219"/>
      <c r="AO39" s="2220"/>
      <c r="AP39" s="2218"/>
      <c r="AQ39" s="2219"/>
      <c r="AR39" s="2220"/>
      <c r="AS39" s="2221">
        <f t="shared" si="2"/>
        <v>71</v>
      </c>
      <c r="AT39" s="2222"/>
      <c r="AU39" s="2222"/>
      <c r="AV39" s="2222"/>
      <c r="AW39" s="2222"/>
      <c r="AX39" s="2223"/>
      <c r="AY39" s="2224">
        <f t="shared" si="3"/>
        <v>0.98611111111111116</v>
      </c>
      <c r="AZ39" s="2225"/>
      <c r="BA39" s="2225"/>
      <c r="BB39" s="2225"/>
      <c r="BC39" s="2225"/>
      <c r="BD39" s="2226"/>
      <c r="BE39" s="1194"/>
    </row>
    <row r="40" spans="1:58" ht="15.75" customHeight="1">
      <c r="A40" s="1190"/>
      <c r="B40" s="2168" t="s">
        <v>2410</v>
      </c>
      <c r="C40" s="2169"/>
      <c r="D40" s="2169"/>
      <c r="E40" s="2169"/>
      <c r="F40" s="2169"/>
      <c r="G40" s="2169"/>
      <c r="H40" s="2169"/>
      <c r="I40" s="2169"/>
      <c r="J40" s="2233"/>
      <c r="K40" s="2233"/>
      <c r="L40" s="2233"/>
      <c r="M40" s="2233"/>
      <c r="N40" s="2233"/>
      <c r="O40" s="2233"/>
      <c r="P40" s="2233"/>
      <c r="Q40" s="2233"/>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18"/>
      <c r="AM40" s="2219"/>
      <c r="AN40" s="2219"/>
      <c r="AO40" s="2220"/>
      <c r="AP40" s="2218"/>
      <c r="AQ40" s="2219"/>
      <c r="AR40" s="2220"/>
      <c r="AS40" s="2221">
        <f t="shared" si="2"/>
        <v>0</v>
      </c>
      <c r="AT40" s="2222"/>
      <c r="AU40" s="2222"/>
      <c r="AV40" s="2222"/>
      <c r="AW40" s="2222"/>
      <c r="AX40" s="2223"/>
      <c r="AY40" s="2224">
        <f t="shared" si="3"/>
        <v>0</v>
      </c>
      <c r="AZ40" s="2225"/>
      <c r="BA40" s="2225"/>
      <c r="BB40" s="2225"/>
      <c r="BC40" s="2225"/>
      <c r="BD40" s="2226"/>
      <c r="BE40" s="1194"/>
    </row>
    <row r="41" spans="1:58" ht="15.75" customHeight="1">
      <c r="A41" s="1190"/>
      <c r="B41" s="2168" t="s">
        <v>2409</v>
      </c>
      <c r="C41" s="2169"/>
      <c r="D41" s="2169"/>
      <c r="E41" s="2169"/>
      <c r="F41" s="2169"/>
      <c r="G41" s="2169"/>
      <c r="H41" s="2169"/>
      <c r="I41" s="2169"/>
      <c r="J41" s="2233"/>
      <c r="K41" s="2233"/>
      <c r="L41" s="2233"/>
      <c r="M41" s="2233"/>
      <c r="N41" s="2233"/>
      <c r="O41" s="2233"/>
      <c r="P41" s="2233"/>
      <c r="Q41" s="2233"/>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18"/>
      <c r="AM41" s="2219"/>
      <c r="AN41" s="2219"/>
      <c r="AO41" s="2220"/>
      <c r="AP41" s="2218"/>
      <c r="AQ41" s="2219"/>
      <c r="AR41" s="2220"/>
      <c r="AS41" s="2221">
        <f t="shared" si="2"/>
        <v>0</v>
      </c>
      <c r="AT41" s="2222"/>
      <c r="AU41" s="2222"/>
      <c r="AV41" s="2222"/>
      <c r="AW41" s="2222"/>
      <c r="AX41" s="2223"/>
      <c r="AY41" s="2224">
        <f t="shared" si="3"/>
        <v>0</v>
      </c>
      <c r="AZ41" s="2225"/>
      <c r="BA41" s="2225"/>
      <c r="BB41" s="2225"/>
      <c r="BC41" s="2225"/>
      <c r="BD41" s="2226"/>
      <c r="BE41" s="1194"/>
    </row>
    <row r="42" spans="1:58" ht="15.75" customHeight="1">
      <c r="A42" s="1190"/>
      <c r="B42" s="2168" t="s">
        <v>2409</v>
      </c>
      <c r="C42" s="2169"/>
      <c r="D42" s="2169"/>
      <c r="E42" s="2169"/>
      <c r="F42" s="2169"/>
      <c r="G42" s="2169"/>
      <c r="H42" s="2169"/>
      <c r="I42" s="2169"/>
      <c r="J42" s="2233"/>
      <c r="K42" s="2233"/>
      <c r="L42" s="2233"/>
      <c r="M42" s="2233"/>
      <c r="N42" s="2233"/>
      <c r="O42" s="2233"/>
      <c r="P42" s="2233"/>
      <c r="Q42" s="2233"/>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18"/>
      <c r="AM42" s="2219"/>
      <c r="AN42" s="2219"/>
      <c r="AO42" s="2220"/>
      <c r="AP42" s="2218"/>
      <c r="AQ42" s="2219"/>
      <c r="AR42" s="2220"/>
      <c r="AS42" s="2221">
        <f t="shared" si="2"/>
        <v>0</v>
      </c>
      <c r="AT42" s="2222"/>
      <c r="AU42" s="2222"/>
      <c r="AV42" s="2222"/>
      <c r="AW42" s="2222"/>
      <c r="AX42" s="2223"/>
      <c r="AY42" s="2224">
        <f t="shared" si="3"/>
        <v>0</v>
      </c>
      <c r="AZ42" s="2225"/>
      <c r="BA42" s="2225"/>
      <c r="BB42" s="2225"/>
      <c r="BC42" s="2225"/>
      <c r="BD42" s="2226"/>
      <c r="BE42" s="1194"/>
    </row>
    <row r="43" spans="1:58" ht="15.75" customHeight="1">
      <c r="A43" s="1190"/>
      <c r="B43" s="2173" t="s">
        <v>2408</v>
      </c>
      <c r="C43" s="2174"/>
      <c r="D43" s="2174"/>
      <c r="E43" s="2174"/>
      <c r="F43" s="2174"/>
      <c r="G43" s="2174"/>
      <c r="H43" s="2174"/>
      <c r="I43" s="2174"/>
      <c r="J43" s="2233"/>
      <c r="K43" s="2233"/>
      <c r="L43" s="2233"/>
      <c r="M43" s="2233"/>
      <c r="N43" s="2233"/>
      <c r="O43" s="2233"/>
      <c r="P43" s="2233"/>
      <c r="Q43" s="2233"/>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18"/>
      <c r="AM43" s="2219"/>
      <c r="AN43" s="2219"/>
      <c r="AO43" s="2220"/>
      <c r="AP43" s="2218"/>
      <c r="AQ43" s="2219"/>
      <c r="AR43" s="2220"/>
      <c r="AS43" s="2221">
        <f t="shared" si="2"/>
        <v>0</v>
      </c>
      <c r="AT43" s="2222"/>
      <c r="AU43" s="2222"/>
      <c r="AV43" s="2222"/>
      <c r="AW43" s="2222"/>
      <c r="AX43" s="2223"/>
      <c r="AY43" s="2224">
        <f t="shared" si="3"/>
        <v>0</v>
      </c>
      <c r="AZ43" s="2225"/>
      <c r="BA43" s="2225"/>
      <c r="BB43" s="2225"/>
      <c r="BC43" s="2225"/>
      <c r="BD43" s="2226"/>
      <c r="BE43" s="1194"/>
    </row>
    <row r="44" spans="1:58" ht="15.75" customHeight="1">
      <c r="A44" s="1190"/>
      <c r="B44" s="2173" t="s">
        <v>2407</v>
      </c>
      <c r="C44" s="2174"/>
      <c r="D44" s="2174"/>
      <c r="E44" s="2174"/>
      <c r="F44" s="2174"/>
      <c r="G44" s="2174"/>
      <c r="H44" s="2174"/>
      <c r="I44" s="2174"/>
      <c r="J44" s="2233"/>
      <c r="K44" s="2233"/>
      <c r="L44" s="2233"/>
      <c r="M44" s="2233"/>
      <c r="N44" s="2233"/>
      <c r="O44" s="2233"/>
      <c r="P44" s="2233"/>
      <c r="Q44" s="2233"/>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18"/>
      <c r="AM44" s="2219"/>
      <c r="AN44" s="2219"/>
      <c r="AO44" s="2220"/>
      <c r="AP44" s="2218"/>
      <c r="AQ44" s="2219"/>
      <c r="AR44" s="2220"/>
      <c r="AS44" s="2221">
        <f t="shared" si="2"/>
        <v>0</v>
      </c>
      <c r="AT44" s="2222"/>
      <c r="AU44" s="2222"/>
      <c r="AV44" s="2222"/>
      <c r="AW44" s="2222"/>
      <c r="AX44" s="2223"/>
      <c r="AY44" s="2224">
        <f t="shared" si="3"/>
        <v>0</v>
      </c>
      <c r="AZ44" s="2225"/>
      <c r="BA44" s="2225"/>
      <c r="BB44" s="2225"/>
      <c r="BC44" s="2225"/>
      <c r="BD44" s="2226"/>
      <c r="BE44" s="1194"/>
    </row>
    <row r="45" spans="1:58" ht="15.75" customHeight="1">
      <c r="A45" s="1190"/>
      <c r="B45" s="2173" t="s">
        <v>2406</v>
      </c>
      <c r="C45" s="2174"/>
      <c r="D45" s="2174"/>
      <c r="E45" s="2174"/>
      <c r="F45" s="2174"/>
      <c r="G45" s="2174"/>
      <c r="H45" s="2174"/>
      <c r="I45" s="2174"/>
      <c r="J45" s="2233"/>
      <c r="K45" s="2233"/>
      <c r="L45" s="2233"/>
      <c r="M45" s="2233"/>
      <c r="N45" s="2233"/>
      <c r="O45" s="2233"/>
      <c r="P45" s="2233"/>
      <c r="Q45" s="2233"/>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18"/>
      <c r="AM45" s="2219"/>
      <c r="AN45" s="2219"/>
      <c r="AO45" s="2220"/>
      <c r="AP45" s="2218"/>
      <c r="AQ45" s="2219"/>
      <c r="AR45" s="2220"/>
      <c r="AS45" s="2221">
        <f t="shared" si="2"/>
        <v>0</v>
      </c>
      <c r="AT45" s="2222"/>
      <c r="AU45" s="2222"/>
      <c r="AV45" s="2222"/>
      <c r="AW45" s="2222"/>
      <c r="AX45" s="2223"/>
      <c r="AY45" s="2224">
        <f t="shared" si="3"/>
        <v>0</v>
      </c>
      <c r="AZ45" s="2225"/>
      <c r="BA45" s="2225"/>
      <c r="BB45" s="2225"/>
      <c r="BC45" s="2225"/>
      <c r="BD45" s="2226"/>
      <c r="BE45" s="1194"/>
    </row>
    <row r="46" spans="1:58" ht="15.75" customHeight="1">
      <c r="A46" s="1190"/>
      <c r="B46" s="2173" t="s">
        <v>2333</v>
      </c>
      <c r="C46" s="2174"/>
      <c r="D46" s="2174"/>
      <c r="E46" s="2174"/>
      <c r="F46" s="2174"/>
      <c r="G46" s="2174"/>
      <c r="H46" s="2174"/>
      <c r="I46" s="2174"/>
      <c r="J46" s="2233"/>
      <c r="K46" s="2233"/>
      <c r="L46" s="2233"/>
      <c r="M46" s="2233"/>
      <c r="N46" s="2233"/>
      <c r="O46" s="2233"/>
      <c r="P46" s="2233"/>
      <c r="Q46" s="2233"/>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18"/>
      <c r="AM46" s="2219"/>
      <c r="AN46" s="2219"/>
      <c r="AO46" s="2220"/>
      <c r="AP46" s="2218"/>
      <c r="AQ46" s="2219"/>
      <c r="AR46" s="2220"/>
      <c r="AS46" s="2221">
        <f t="shared" si="2"/>
        <v>0</v>
      </c>
      <c r="AT46" s="2222"/>
      <c r="AU46" s="2222"/>
      <c r="AV46" s="2222"/>
      <c r="AW46" s="2222"/>
      <c r="AX46" s="2223"/>
      <c r="AY46" s="2224">
        <f t="shared" si="3"/>
        <v>0</v>
      </c>
      <c r="AZ46" s="2225"/>
      <c r="BA46" s="2225"/>
      <c r="BB46" s="2225"/>
      <c r="BC46" s="2225"/>
      <c r="BD46" s="2226"/>
      <c r="BE46" s="1194"/>
    </row>
    <row r="47" spans="1:58" ht="15.75" customHeight="1" thickBot="1">
      <c r="A47" s="1190"/>
      <c r="B47" s="2227" t="s">
        <v>300</v>
      </c>
      <c r="C47" s="2228"/>
      <c r="D47" s="2228"/>
      <c r="E47" s="2228"/>
      <c r="F47" s="2228"/>
      <c r="G47" s="2228"/>
      <c r="H47" s="2228"/>
      <c r="I47" s="2228"/>
      <c r="J47" s="2229"/>
      <c r="K47" s="2229"/>
      <c r="L47" s="2229"/>
      <c r="M47" s="2229"/>
      <c r="N47" s="2229"/>
      <c r="O47" s="2229"/>
      <c r="P47" s="2229"/>
      <c r="Q47" s="2229"/>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2215"/>
      <c r="AM47" s="2216"/>
      <c r="AN47" s="2216"/>
      <c r="AO47" s="2217"/>
      <c r="AP47" s="2215"/>
      <c r="AQ47" s="2216"/>
      <c r="AR47" s="2217"/>
      <c r="AS47" s="2221">
        <f t="shared" si="2"/>
        <v>0</v>
      </c>
      <c r="AT47" s="2222"/>
      <c r="AU47" s="2222"/>
      <c r="AV47" s="2222"/>
      <c r="AW47" s="2222"/>
      <c r="AX47" s="2223"/>
      <c r="AY47" s="2230">
        <f t="shared" si="3"/>
        <v>0</v>
      </c>
      <c r="AZ47" s="2231"/>
      <c r="BA47" s="2231"/>
      <c r="BB47" s="2231"/>
      <c r="BC47" s="2231"/>
      <c r="BD47" s="2232"/>
      <c r="BE47" s="1194"/>
    </row>
    <row r="48" spans="1:58" ht="15.75" customHeight="1">
      <c r="A48" s="1190"/>
      <c r="B48" s="1196" t="s">
        <v>2405</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2404</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8" t="s">
        <v>2403</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2" t="s">
        <v>2398</v>
      </c>
      <c r="C51" s="2109"/>
      <c r="D51" s="2109"/>
      <c r="E51" s="2109"/>
      <c r="F51" s="2109"/>
      <c r="G51" s="2109"/>
      <c r="H51" s="2109"/>
      <c r="I51" s="2109"/>
      <c r="J51" s="2109" t="s">
        <v>2402</v>
      </c>
      <c r="K51" s="2109"/>
      <c r="L51" s="2109"/>
      <c r="M51" s="2109"/>
      <c r="N51" s="2109"/>
      <c r="O51" s="2109"/>
      <c r="P51" s="2109"/>
      <c r="Q51" s="2109"/>
      <c r="R51" s="2212" t="s">
        <v>2401</v>
      </c>
      <c r="S51" s="2212"/>
      <c r="T51" s="2212"/>
      <c r="U51" s="2212"/>
      <c r="V51" s="2212"/>
      <c r="W51" s="2212"/>
      <c r="X51" s="2212"/>
      <c r="Y51" s="2212"/>
      <c r="Z51" s="2212" t="s">
        <v>2400</v>
      </c>
      <c r="AA51" s="2212"/>
      <c r="AB51" s="2212"/>
      <c r="AC51" s="2212"/>
      <c r="AD51" s="2212"/>
      <c r="AE51" s="2212"/>
      <c r="AF51" s="2212"/>
      <c r="AG51" s="2212"/>
      <c r="AH51" s="2212" t="s">
        <v>2399</v>
      </c>
      <c r="AI51" s="2212"/>
      <c r="AJ51" s="2212"/>
      <c r="AK51" s="2212"/>
      <c r="AL51" s="2212"/>
      <c r="AM51" s="2212"/>
      <c r="AN51" s="2212"/>
      <c r="AO51" s="22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3" t="s">
        <v>2698</v>
      </c>
      <c r="C52" s="2174"/>
      <c r="D52" s="2174"/>
      <c r="E52" s="2174"/>
      <c r="F52" s="2174"/>
      <c r="G52" s="2174"/>
      <c r="H52" s="2174"/>
      <c r="I52" s="2174"/>
      <c r="J52" s="1995">
        <v>15</v>
      </c>
      <c r="K52" s="1995"/>
      <c r="L52" s="1995"/>
      <c r="M52" s="1995"/>
      <c r="N52" s="1995"/>
      <c r="O52" s="1995"/>
      <c r="P52" s="1995"/>
      <c r="Q52" s="1995"/>
      <c r="R52" s="2204">
        <v>85000</v>
      </c>
      <c r="S52" s="2204"/>
      <c r="T52" s="2204"/>
      <c r="U52" s="2204"/>
      <c r="V52" s="2204"/>
      <c r="W52" s="2204"/>
      <c r="X52" s="2204"/>
      <c r="Y52" s="2204"/>
      <c r="Z52" s="2205">
        <v>24</v>
      </c>
      <c r="AA52" s="2205"/>
      <c r="AB52" s="2205"/>
      <c r="AC52" s="2205"/>
      <c r="AD52" s="2205"/>
      <c r="AE52" s="2205"/>
      <c r="AF52" s="2205"/>
      <c r="AG52" s="2205"/>
      <c r="AH52" s="2206"/>
      <c r="AI52" s="2206"/>
      <c r="AJ52" s="2206"/>
      <c r="AK52" s="2206"/>
      <c r="AL52" s="2206"/>
      <c r="AM52" s="2206"/>
      <c r="AN52" s="2206"/>
      <c r="AO52" s="220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3"/>
      <c r="C53" s="2174"/>
      <c r="D53" s="2174"/>
      <c r="E53" s="2174"/>
      <c r="F53" s="2174"/>
      <c r="G53" s="2174"/>
      <c r="H53" s="2174"/>
      <c r="I53" s="2174"/>
      <c r="J53" s="1995"/>
      <c r="K53" s="1995"/>
      <c r="L53" s="1995"/>
      <c r="M53" s="1995"/>
      <c r="N53" s="1995"/>
      <c r="O53" s="1995"/>
      <c r="P53" s="1995"/>
      <c r="Q53" s="1995"/>
      <c r="R53" s="2204"/>
      <c r="S53" s="2204"/>
      <c r="T53" s="2204"/>
      <c r="U53" s="2204"/>
      <c r="V53" s="2204"/>
      <c r="W53" s="2204"/>
      <c r="X53" s="2204"/>
      <c r="Y53" s="2204"/>
      <c r="Z53" s="2205"/>
      <c r="AA53" s="2205"/>
      <c r="AB53" s="2205"/>
      <c r="AC53" s="2205"/>
      <c r="AD53" s="2205"/>
      <c r="AE53" s="2205"/>
      <c r="AF53" s="2205"/>
      <c r="AG53" s="2205"/>
      <c r="AH53" s="2206"/>
      <c r="AI53" s="2206"/>
      <c r="AJ53" s="2206"/>
      <c r="AK53" s="2206"/>
      <c r="AL53" s="2206"/>
      <c r="AM53" s="2206"/>
      <c r="AN53" s="2206"/>
      <c r="AO53" s="220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3"/>
      <c r="C54" s="2174"/>
      <c r="D54" s="2174"/>
      <c r="E54" s="2174"/>
      <c r="F54" s="2174"/>
      <c r="G54" s="2174"/>
      <c r="H54" s="2174"/>
      <c r="I54" s="2174"/>
      <c r="J54" s="1995"/>
      <c r="K54" s="1995"/>
      <c r="L54" s="1995"/>
      <c r="M54" s="1995"/>
      <c r="N54" s="1995"/>
      <c r="O54" s="1995"/>
      <c r="P54" s="1995"/>
      <c r="Q54" s="1995"/>
      <c r="R54" s="2204"/>
      <c r="S54" s="2204"/>
      <c r="T54" s="2204"/>
      <c r="U54" s="2204"/>
      <c r="V54" s="2204"/>
      <c r="W54" s="2204"/>
      <c r="X54" s="2204"/>
      <c r="Y54" s="2204"/>
      <c r="Z54" s="2205"/>
      <c r="AA54" s="2205"/>
      <c r="AB54" s="2205"/>
      <c r="AC54" s="2205"/>
      <c r="AD54" s="2205"/>
      <c r="AE54" s="2205"/>
      <c r="AF54" s="2205"/>
      <c r="AG54" s="2205"/>
      <c r="AH54" s="2206"/>
      <c r="AI54" s="2206"/>
      <c r="AJ54" s="2206"/>
      <c r="AK54" s="2206"/>
      <c r="AL54" s="2206"/>
      <c r="AM54" s="2206"/>
      <c r="AN54" s="2206"/>
      <c r="AO54" s="220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3"/>
      <c r="C55" s="2174"/>
      <c r="D55" s="2174"/>
      <c r="E55" s="2174"/>
      <c r="F55" s="2174"/>
      <c r="G55" s="2174"/>
      <c r="H55" s="2174"/>
      <c r="I55" s="2174"/>
      <c r="J55" s="1995"/>
      <c r="K55" s="1995"/>
      <c r="L55" s="1995"/>
      <c r="M55" s="1995"/>
      <c r="N55" s="1995"/>
      <c r="O55" s="1995"/>
      <c r="P55" s="1995"/>
      <c r="Q55" s="1995"/>
      <c r="R55" s="2204"/>
      <c r="S55" s="2204"/>
      <c r="T55" s="2204"/>
      <c r="U55" s="2204"/>
      <c r="V55" s="2204"/>
      <c r="W55" s="2204"/>
      <c r="X55" s="2204"/>
      <c r="Y55" s="2204"/>
      <c r="Z55" s="2205"/>
      <c r="AA55" s="2205"/>
      <c r="AB55" s="2205"/>
      <c r="AC55" s="2205"/>
      <c r="AD55" s="2205"/>
      <c r="AE55" s="2205"/>
      <c r="AF55" s="2205"/>
      <c r="AG55" s="2205"/>
      <c r="AH55" s="2206"/>
      <c r="AI55" s="2206"/>
      <c r="AJ55" s="2206"/>
      <c r="AK55" s="2206"/>
      <c r="AL55" s="2206"/>
      <c r="AM55" s="2206"/>
      <c r="AN55" s="2206"/>
      <c r="AO55" s="220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3"/>
      <c r="C56" s="2174"/>
      <c r="D56" s="2174"/>
      <c r="E56" s="2174"/>
      <c r="F56" s="2174"/>
      <c r="G56" s="2174"/>
      <c r="H56" s="2174"/>
      <c r="I56" s="2174"/>
      <c r="J56" s="1995"/>
      <c r="K56" s="1995"/>
      <c r="L56" s="1995"/>
      <c r="M56" s="1995"/>
      <c r="N56" s="1995"/>
      <c r="O56" s="1995"/>
      <c r="P56" s="1995"/>
      <c r="Q56" s="1995"/>
      <c r="R56" s="2204"/>
      <c r="S56" s="2204"/>
      <c r="T56" s="2204"/>
      <c r="U56" s="2204"/>
      <c r="V56" s="2204"/>
      <c r="W56" s="2204"/>
      <c r="X56" s="2204"/>
      <c r="Y56" s="2204"/>
      <c r="Z56" s="2205"/>
      <c r="AA56" s="2205"/>
      <c r="AB56" s="2205"/>
      <c r="AC56" s="2205"/>
      <c r="AD56" s="2205"/>
      <c r="AE56" s="2205"/>
      <c r="AF56" s="2205"/>
      <c r="AG56" s="2205"/>
      <c r="AH56" s="2206"/>
      <c r="AI56" s="2206"/>
      <c r="AJ56" s="2206"/>
      <c r="AK56" s="2206"/>
      <c r="AL56" s="2206"/>
      <c r="AM56" s="2206"/>
      <c r="AN56" s="2206"/>
      <c r="AO56" s="220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0" t="s">
        <v>1585</v>
      </c>
      <c r="C57" s="2141"/>
      <c r="D57" s="2141"/>
      <c r="E57" s="2141"/>
      <c r="F57" s="2141"/>
      <c r="G57" s="2141"/>
      <c r="H57" s="2141"/>
      <c r="I57" s="2141"/>
      <c r="J57" s="2141"/>
      <c r="K57" s="2141"/>
      <c r="L57" s="2141"/>
      <c r="M57" s="2141"/>
      <c r="N57" s="2141"/>
      <c r="O57" s="2141"/>
      <c r="P57" s="2141"/>
      <c r="Q57" s="2141"/>
      <c r="R57" s="2208">
        <f>SUM(R52:Y56)</f>
        <v>85000</v>
      </c>
      <c r="S57" s="2208"/>
      <c r="T57" s="2208"/>
      <c r="U57" s="2208"/>
      <c r="V57" s="2208"/>
      <c r="W57" s="2208"/>
      <c r="X57" s="2208"/>
      <c r="Y57" s="2208"/>
      <c r="Z57" s="2209">
        <f>SUM(Z52:AG56)</f>
        <v>24</v>
      </c>
      <c r="AA57" s="2209"/>
      <c r="AB57" s="2209"/>
      <c r="AC57" s="2209"/>
      <c r="AD57" s="2209"/>
      <c r="AE57" s="2209"/>
      <c r="AF57" s="2209"/>
      <c r="AG57" s="2209"/>
      <c r="AH57" s="2210"/>
      <c r="AI57" s="2210"/>
      <c r="AJ57" s="2210"/>
      <c r="AK57" s="2210"/>
      <c r="AL57" s="2210"/>
      <c r="AM57" s="2210"/>
      <c r="AN57" s="2210"/>
      <c r="AO57" s="221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1" t="s">
        <v>2398</v>
      </c>
      <c r="C59" s="2202"/>
      <c r="D59" s="2202"/>
      <c r="E59" s="2202"/>
      <c r="F59" s="2202"/>
      <c r="G59" s="2202"/>
      <c r="H59" s="2202"/>
      <c r="I59" s="2203"/>
      <c r="J59" s="2107" t="s">
        <v>2397</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190"/>
      <c r="AY59" s="1190"/>
      <c r="AZ59" s="1190"/>
      <c r="BA59" s="1190"/>
      <c r="BB59" s="1190"/>
      <c r="BC59" s="1190"/>
      <c r="BD59" s="1190"/>
      <c r="BE59" s="1194"/>
    </row>
    <row r="60" spans="1:77" ht="15.75" customHeight="1">
      <c r="A60" s="1190"/>
      <c r="B60" s="2193" t="str">
        <f>IF(B52="", "", B52)</f>
        <v>Eden Housing Resident Services, Inc.</v>
      </c>
      <c r="C60" s="2194"/>
      <c r="D60" s="2194"/>
      <c r="E60" s="2194"/>
      <c r="F60" s="2194"/>
      <c r="G60" s="2194"/>
      <c r="H60" s="2194"/>
      <c r="I60" s="2195"/>
      <c r="J60" s="2196" t="s">
        <v>2729</v>
      </c>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190"/>
      <c r="AY60" s="1190"/>
      <c r="AZ60" s="1190"/>
      <c r="BA60" s="1190"/>
      <c r="BB60" s="1190"/>
      <c r="BC60" s="1190"/>
      <c r="BD60" s="1190"/>
      <c r="BE60" s="1194"/>
    </row>
    <row r="61" spans="1:77" ht="15.75" customHeight="1">
      <c r="A61" s="1190"/>
      <c r="B61" s="2193" t="str">
        <f>IF(B53="", "", B53)</f>
        <v/>
      </c>
      <c r="C61" s="2194"/>
      <c r="D61" s="2194"/>
      <c r="E61" s="2194"/>
      <c r="F61" s="2194"/>
      <c r="G61" s="2194"/>
      <c r="H61" s="2194"/>
      <c r="I61" s="2195"/>
      <c r="J61" s="2196"/>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190"/>
      <c r="AY61" s="1190"/>
      <c r="AZ61" s="1190"/>
      <c r="BA61" s="1190"/>
      <c r="BB61" s="1190"/>
      <c r="BC61" s="1190"/>
      <c r="BD61" s="1190"/>
      <c r="BE61" s="1194"/>
    </row>
    <row r="62" spans="1:77" ht="15.75" customHeight="1">
      <c r="A62" s="1190"/>
      <c r="B62" s="2193" t="str">
        <f>IF(B54="", "", B54)</f>
        <v/>
      </c>
      <c r="C62" s="2194"/>
      <c r="D62" s="2194"/>
      <c r="E62" s="2194"/>
      <c r="F62" s="2194"/>
      <c r="G62" s="2194"/>
      <c r="H62" s="2194"/>
      <c r="I62" s="2195"/>
      <c r="J62" s="2196"/>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190"/>
      <c r="AY62" s="1190"/>
      <c r="AZ62" s="1190"/>
      <c r="BA62" s="1190"/>
      <c r="BB62" s="1190"/>
      <c r="BC62" s="1190"/>
      <c r="BD62" s="1190"/>
      <c r="BE62" s="1194"/>
    </row>
    <row r="63" spans="1:77" ht="15.75" customHeight="1">
      <c r="A63" s="1190"/>
      <c r="B63" s="2193" t="str">
        <f>IF(B55="", "", B55)</f>
        <v/>
      </c>
      <c r="C63" s="2194"/>
      <c r="D63" s="2194"/>
      <c r="E63" s="2194"/>
      <c r="F63" s="2194"/>
      <c r="G63" s="2194"/>
      <c r="H63" s="2194"/>
      <c r="I63" s="2195"/>
      <c r="J63" s="2196"/>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190"/>
      <c r="AY63" s="1190"/>
      <c r="AZ63" s="1190"/>
      <c r="BA63" s="1190"/>
      <c r="BB63" s="1190"/>
      <c r="BC63" s="1190"/>
      <c r="BD63" s="1190"/>
      <c r="BE63" s="1194"/>
    </row>
    <row r="64" spans="1:77" ht="15.75" customHeight="1" thickBot="1">
      <c r="A64" s="1190"/>
      <c r="B64" s="2197" t="str">
        <f>IF(B56="", "", B56)</f>
        <v/>
      </c>
      <c r="C64" s="2198"/>
      <c r="D64" s="2198"/>
      <c r="E64" s="2198"/>
      <c r="F64" s="2198"/>
      <c r="G64" s="2198"/>
      <c r="H64" s="2198"/>
      <c r="I64" s="2199"/>
      <c r="J64" s="2200"/>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AV64" s="2183"/>
      <c r="AW64" s="218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6" t="s">
        <v>2395</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190"/>
      <c r="AC68" s="2032" t="s">
        <v>2394</v>
      </c>
      <c r="AD68" s="2033"/>
      <c r="AE68" s="2033"/>
      <c r="AF68" s="2033"/>
      <c r="AG68" s="2033"/>
      <c r="AH68" s="2033"/>
      <c r="AI68" s="2033"/>
      <c r="AJ68" s="2033"/>
      <c r="AK68" s="2033"/>
      <c r="AL68" s="2033"/>
      <c r="AM68" s="2033"/>
      <c r="AN68" s="2033"/>
      <c r="AO68" s="2033"/>
      <c r="AP68" s="2033"/>
      <c r="AQ68" s="2033"/>
      <c r="AR68" s="2033"/>
      <c r="AS68" s="2033"/>
      <c r="AT68" s="2033"/>
      <c r="AU68" s="2033"/>
      <c r="AV68" s="2185" t="s">
        <v>545</v>
      </c>
      <c r="AW68" s="2089"/>
      <c r="AX68" s="2089"/>
      <c r="AY68" s="2089"/>
      <c r="AZ68" s="2089"/>
      <c r="BA68" s="2089"/>
      <c r="BB68" s="2089"/>
      <c r="BC68" s="2090"/>
      <c r="BD68" s="1190"/>
      <c r="BE68" s="1194"/>
      <c r="BM68" s="1199" t="s">
        <v>2393</v>
      </c>
    </row>
    <row r="69" spans="1:94" ht="15.75" customHeight="1" thickTop="1" thickBot="1">
      <c r="A69" s="1190"/>
      <c r="B69" s="2186" t="s">
        <v>2392</v>
      </c>
      <c r="C69" s="2187"/>
      <c r="D69" s="2187"/>
      <c r="E69" s="2187"/>
      <c r="F69" s="2187"/>
      <c r="G69" s="2187"/>
      <c r="H69" s="2187"/>
      <c r="I69" s="2187"/>
      <c r="J69" s="2187"/>
      <c r="K69" s="2187"/>
      <c r="L69" s="2187"/>
      <c r="M69" s="2187"/>
      <c r="N69" s="2187"/>
      <c r="O69" s="2188" t="s">
        <v>2391</v>
      </c>
      <c r="P69" s="2189"/>
      <c r="Q69" s="2189"/>
      <c r="R69" s="2189"/>
      <c r="S69" s="2189"/>
      <c r="T69" s="2189"/>
      <c r="U69" s="2189"/>
      <c r="V69" s="2189"/>
      <c r="W69" s="2189"/>
      <c r="X69" s="2189"/>
      <c r="Y69" s="2189"/>
      <c r="Z69" s="2189"/>
      <c r="AA69" s="2190"/>
      <c r="AB69" s="1190"/>
      <c r="AC69" s="2191" t="s">
        <v>2390</v>
      </c>
      <c r="AD69" s="2192"/>
      <c r="AE69" s="2192"/>
      <c r="AF69" s="2192"/>
      <c r="AG69" s="2192"/>
      <c r="AH69" s="2192"/>
      <c r="AI69" s="2192"/>
      <c r="AJ69" s="2192"/>
      <c r="AK69" s="2192"/>
      <c r="AL69" s="2192"/>
      <c r="AM69" s="2192"/>
      <c r="AN69" s="2192"/>
      <c r="AO69" s="2192"/>
      <c r="AP69" s="2192"/>
      <c r="AQ69" s="2192"/>
      <c r="AR69" s="2192"/>
      <c r="AS69" s="2192"/>
      <c r="AT69" s="2192"/>
      <c r="AU69" s="2192"/>
      <c r="AV69" s="2185" t="s">
        <v>2385</v>
      </c>
      <c r="AW69" s="2089"/>
      <c r="AX69" s="2089"/>
      <c r="AY69" s="2089"/>
      <c r="AZ69" s="2089"/>
      <c r="BA69" s="2089"/>
      <c r="BB69" s="2089"/>
      <c r="BC69" s="2090"/>
      <c r="BD69" s="1190"/>
      <c r="BE69" s="1194"/>
      <c r="BM69" s="1200" t="s">
        <v>545</v>
      </c>
    </row>
    <row r="70" spans="1:94" ht="15.75" customHeight="1">
      <c r="A70" s="1190"/>
      <c r="B70" s="2168" t="s">
        <v>2389</v>
      </c>
      <c r="C70" s="2169"/>
      <c r="D70" s="2169"/>
      <c r="E70" s="2169"/>
      <c r="F70" s="2169"/>
      <c r="G70" s="2169"/>
      <c r="H70" s="2169"/>
      <c r="I70" s="2169"/>
      <c r="J70" s="2169"/>
      <c r="K70" s="2169"/>
      <c r="L70" s="2169"/>
      <c r="M70" s="2169"/>
      <c r="N70" s="2169"/>
      <c r="O70" s="2040">
        <v>0</v>
      </c>
      <c r="P70" s="2040"/>
      <c r="Q70" s="2040"/>
      <c r="R70" s="2040"/>
      <c r="S70" s="2040"/>
      <c r="T70" s="2040"/>
      <c r="U70" s="2040"/>
      <c r="V70" s="2040"/>
      <c r="W70" s="2040"/>
      <c r="X70" s="2040"/>
      <c r="Y70" s="2040"/>
      <c r="Z70" s="2040"/>
      <c r="AA70" s="2170"/>
      <c r="AB70" s="1190"/>
      <c r="AC70" s="2078" t="s">
        <v>2388</v>
      </c>
      <c r="AD70" s="2034"/>
      <c r="AE70" s="2034"/>
      <c r="AF70" s="2179" t="s">
        <v>2699</v>
      </c>
      <c r="AG70" s="2179"/>
      <c r="AH70" s="2179"/>
      <c r="AI70" s="2179"/>
      <c r="AJ70" s="2179"/>
      <c r="AK70" s="2179"/>
      <c r="AL70" s="2179"/>
      <c r="AM70" s="2179"/>
      <c r="AN70" s="2179"/>
      <c r="AO70" s="2179"/>
      <c r="AP70" s="2179"/>
      <c r="AQ70" s="2179"/>
      <c r="AR70" s="2179"/>
      <c r="AS70" s="2179"/>
      <c r="AT70" s="2179"/>
      <c r="AU70" s="2180"/>
      <c r="AV70" s="1190"/>
      <c r="AW70" s="1190"/>
      <c r="AX70" s="1190"/>
      <c r="AY70" s="1190"/>
      <c r="AZ70" s="1190"/>
      <c r="BA70" s="1190"/>
      <c r="BB70" s="1190"/>
      <c r="BC70" s="1190"/>
      <c r="BD70" s="1190"/>
      <c r="BE70" s="1194"/>
      <c r="BM70" s="1201" t="s">
        <v>669</v>
      </c>
    </row>
    <row r="71" spans="1:94" ht="15.75" customHeight="1" thickBot="1">
      <c r="A71" s="1190"/>
      <c r="B71" s="2168" t="s">
        <v>2387</v>
      </c>
      <c r="C71" s="2169"/>
      <c r="D71" s="2169"/>
      <c r="E71" s="2169"/>
      <c r="F71" s="2169"/>
      <c r="G71" s="2169"/>
      <c r="H71" s="2169"/>
      <c r="I71" s="2169"/>
      <c r="J71" s="2169"/>
      <c r="K71" s="2169"/>
      <c r="L71" s="2169"/>
      <c r="M71" s="2169"/>
      <c r="N71" s="2169"/>
      <c r="O71" s="2040">
        <v>0</v>
      </c>
      <c r="P71" s="2040"/>
      <c r="Q71" s="2040"/>
      <c r="R71" s="2040"/>
      <c r="S71" s="2040"/>
      <c r="T71" s="2040"/>
      <c r="U71" s="2040"/>
      <c r="V71" s="2040"/>
      <c r="W71" s="2040"/>
      <c r="X71" s="2040"/>
      <c r="Y71" s="2040"/>
      <c r="Z71" s="2040"/>
      <c r="AA71" s="2170"/>
      <c r="AB71" s="1190"/>
      <c r="AC71" s="2181" t="s">
        <v>2386</v>
      </c>
      <c r="AD71" s="2182"/>
      <c r="AE71" s="2182"/>
      <c r="AF71" s="2183" t="s">
        <v>2700</v>
      </c>
      <c r="AG71" s="2183"/>
      <c r="AH71" s="2183"/>
      <c r="AI71" s="2183"/>
      <c r="AJ71" s="2183"/>
      <c r="AK71" s="2183"/>
      <c r="AL71" s="2183"/>
      <c r="AM71" s="2183"/>
      <c r="AN71" s="2183"/>
      <c r="AO71" s="2183"/>
      <c r="AP71" s="2183"/>
      <c r="AQ71" s="2183"/>
      <c r="AR71" s="2183"/>
      <c r="AS71" s="2183"/>
      <c r="AT71" s="2183"/>
      <c r="AU71" s="2184"/>
      <c r="AV71" s="1190"/>
      <c r="AW71" s="1190"/>
      <c r="AX71" s="1190"/>
      <c r="AY71" s="1190"/>
      <c r="AZ71" s="1190"/>
      <c r="BA71" s="1190"/>
      <c r="BB71" s="1190"/>
      <c r="BC71" s="1190"/>
      <c r="BD71" s="1190"/>
      <c r="BE71" s="1194"/>
      <c r="BM71" s="1187" t="s">
        <v>2385</v>
      </c>
    </row>
    <row r="72" spans="1:94" ht="15.75" customHeight="1">
      <c r="A72" s="1190"/>
      <c r="B72" s="2168" t="s">
        <v>2384</v>
      </c>
      <c r="C72" s="2169"/>
      <c r="D72" s="2169"/>
      <c r="E72" s="2169"/>
      <c r="F72" s="2169"/>
      <c r="G72" s="2169"/>
      <c r="H72" s="2169"/>
      <c r="I72" s="2169"/>
      <c r="J72" s="2169"/>
      <c r="K72" s="2169"/>
      <c r="L72" s="2169"/>
      <c r="M72" s="2169"/>
      <c r="N72" s="2169"/>
      <c r="O72" s="2040">
        <v>0</v>
      </c>
      <c r="P72" s="2040"/>
      <c r="Q72" s="2040"/>
      <c r="R72" s="2040"/>
      <c r="S72" s="2040"/>
      <c r="T72" s="2040"/>
      <c r="U72" s="2040"/>
      <c r="V72" s="2040"/>
      <c r="W72" s="2040"/>
      <c r="X72" s="2040"/>
      <c r="Y72" s="2040"/>
      <c r="Z72" s="2040"/>
      <c r="AA72" s="2170"/>
      <c r="AB72" s="1190"/>
      <c r="AC72" s="2171" t="s">
        <v>2383</v>
      </c>
      <c r="AD72" s="2172"/>
      <c r="AE72" s="2172"/>
      <c r="AF72" s="2172"/>
      <c r="AG72" s="2172"/>
      <c r="AH72" s="2172"/>
      <c r="AI72" s="2172"/>
      <c r="AJ72" s="2172"/>
      <c r="AK72" s="2172"/>
      <c r="AL72" s="2172"/>
      <c r="AM72" s="2172"/>
      <c r="AN72" s="2172"/>
      <c r="AO72" s="2172"/>
      <c r="AP72" s="2172"/>
      <c r="AQ72" s="2172"/>
      <c r="AR72" s="2172"/>
      <c r="AS72" s="2172"/>
      <c r="AT72" s="2172"/>
      <c r="AU72" s="2172"/>
      <c r="AV72" s="2034"/>
      <c r="AW72" s="2034"/>
      <c r="AX72" s="2034"/>
      <c r="AY72" s="2034"/>
      <c r="AZ72" s="2034"/>
      <c r="BA72" s="2034"/>
      <c r="BB72" s="2034"/>
      <c r="BC72" s="2035"/>
      <c r="BD72" s="1190"/>
      <c r="BE72" s="1194"/>
    </row>
    <row r="73" spans="1:94" ht="15.75" customHeight="1">
      <c r="A73" s="1190"/>
      <c r="B73" s="2173" t="s">
        <v>2382</v>
      </c>
      <c r="C73" s="2174"/>
      <c r="D73" s="2174"/>
      <c r="E73" s="2174"/>
      <c r="F73" s="2174"/>
      <c r="G73" s="2174"/>
      <c r="H73" s="2174"/>
      <c r="I73" s="2174"/>
      <c r="J73" s="2174"/>
      <c r="K73" s="2174"/>
      <c r="L73" s="2174"/>
      <c r="M73" s="2174"/>
      <c r="N73" s="2174"/>
      <c r="O73" s="2040">
        <v>0</v>
      </c>
      <c r="P73" s="2040"/>
      <c r="Q73" s="2040"/>
      <c r="R73" s="2040"/>
      <c r="S73" s="2040"/>
      <c r="T73" s="2040"/>
      <c r="U73" s="2040"/>
      <c r="V73" s="2040"/>
      <c r="W73" s="2040"/>
      <c r="X73" s="2040"/>
      <c r="Y73" s="2040"/>
      <c r="Z73" s="2040"/>
      <c r="AA73" s="2170"/>
      <c r="AB73" s="1190"/>
      <c r="AC73" s="2049" t="s">
        <v>2735</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190"/>
      <c r="BE73" s="1194"/>
      <c r="CK73" s="1188"/>
      <c r="CL73" s="1188"/>
      <c r="CM73" s="1188"/>
      <c r="CN73" s="1188"/>
      <c r="CO73" s="1188"/>
      <c r="CP73" s="1188"/>
    </row>
    <row r="74" spans="1:94" ht="15.75" customHeight="1">
      <c r="A74" s="1190"/>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70"/>
      <c r="AB74" s="1190"/>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190"/>
      <c r="BE74" s="1194"/>
      <c r="CK74" s="1188"/>
      <c r="CL74" s="1188"/>
      <c r="CM74" s="1188"/>
      <c r="CN74" s="1188"/>
      <c r="CO74" s="1188"/>
      <c r="CP74" s="1188"/>
    </row>
    <row r="75" spans="1:94" ht="15.75" customHeight="1" thickBot="1">
      <c r="A75" s="1190"/>
      <c r="B75" s="2175" t="s">
        <v>124</v>
      </c>
      <c r="C75" s="2176"/>
      <c r="D75" s="2176"/>
      <c r="E75" s="2176"/>
      <c r="F75" s="2176"/>
      <c r="G75" s="2176"/>
      <c r="H75" s="2176"/>
      <c r="I75" s="2176"/>
      <c r="J75" s="2176"/>
      <c r="K75" s="2176"/>
      <c r="L75" s="2176"/>
      <c r="M75" s="2176"/>
      <c r="N75" s="2176"/>
      <c r="O75" s="2177">
        <f>SUM(O70:AA74)</f>
        <v>0</v>
      </c>
      <c r="P75" s="2177"/>
      <c r="Q75" s="2177"/>
      <c r="R75" s="2177"/>
      <c r="S75" s="2177"/>
      <c r="T75" s="2177"/>
      <c r="U75" s="2177"/>
      <c r="V75" s="2177"/>
      <c r="W75" s="2177"/>
      <c r="X75" s="2177"/>
      <c r="Y75" s="2177"/>
      <c r="Z75" s="2177"/>
      <c r="AA75" s="2178"/>
      <c r="AB75" s="1190"/>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52" t="s">
        <v>2701</v>
      </c>
      <c r="G79" s="2153"/>
      <c r="H79" s="2153"/>
      <c r="I79" s="2153"/>
      <c r="J79" s="2153"/>
      <c r="K79" s="2153"/>
      <c r="L79" s="2153"/>
      <c r="M79" s="2153"/>
      <c r="N79" s="2153"/>
      <c r="O79" s="2153"/>
      <c r="P79" s="2153"/>
      <c r="Q79" s="2153"/>
      <c r="R79" s="2153"/>
      <c r="S79" s="2153"/>
      <c r="T79" s="21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5" t="s">
        <v>2380</v>
      </c>
      <c r="C80" s="2156"/>
      <c r="D80" s="2156"/>
      <c r="E80" s="2156"/>
      <c r="F80" s="2156"/>
      <c r="G80" s="2156"/>
      <c r="H80" s="2156"/>
      <c r="I80" s="2156"/>
      <c r="J80" s="2156"/>
      <c r="K80" s="2156"/>
      <c r="L80" s="2156"/>
      <c r="M80" s="2156"/>
      <c r="N80" s="2156"/>
      <c r="O80" s="2156"/>
      <c r="P80" s="2156"/>
      <c r="Q80" s="2156"/>
      <c r="R80" s="2158">
        <f>IFERROR(INDEX(BR96:BR98,MATCH(F79,$BQ$96:$BQ$98,0))/SUM($BR$96:$BR$98),"")</f>
        <v>1</v>
      </c>
      <c r="S80" s="2159"/>
      <c r="T80" s="216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1" t="s">
        <v>2379</v>
      </c>
      <c r="C81" s="2162"/>
      <c r="D81" s="2162"/>
      <c r="E81" s="2162"/>
      <c r="F81" s="2162"/>
      <c r="G81" s="2162"/>
      <c r="H81" s="2162"/>
      <c r="I81" s="2162"/>
      <c r="J81" s="2162"/>
      <c r="K81" s="2162"/>
      <c r="L81" s="2162"/>
      <c r="M81" s="2162"/>
      <c r="N81" s="2162"/>
      <c r="O81" s="2162"/>
      <c r="P81" s="2162"/>
      <c r="Q81" s="2162"/>
      <c r="R81" s="2167">
        <v>1</v>
      </c>
      <c r="S81" s="2144"/>
      <c r="T81" s="214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4" t="s">
        <v>2378</v>
      </c>
      <c r="C83" s="2165"/>
      <c r="D83" s="2165"/>
      <c r="E83" s="2165"/>
      <c r="F83" s="2165"/>
      <c r="G83" s="2165"/>
      <c r="H83" s="2165"/>
      <c r="I83" s="2165"/>
      <c r="J83" s="2165"/>
      <c r="K83" s="2165"/>
      <c r="L83" s="2165"/>
      <c r="M83" s="2165"/>
      <c r="N83" s="2165"/>
      <c r="O83" s="2165"/>
      <c r="P83" s="2165"/>
      <c r="Q83" s="2165"/>
      <c r="R83" s="2165"/>
      <c r="S83" s="2165"/>
      <c r="T83" s="2165"/>
      <c r="U83" s="2165"/>
      <c r="V83" s="2165"/>
      <c r="W83" s="2165"/>
      <c r="X83" s="2165"/>
      <c r="Y83" s="2165"/>
      <c r="Z83" s="2165"/>
      <c r="AA83" s="2165"/>
      <c r="AB83" s="2165"/>
      <c r="AC83" s="2165"/>
      <c r="AD83" s="2165"/>
      <c r="AE83" s="2165"/>
      <c r="AF83" s="2165"/>
      <c r="AG83" s="2165"/>
      <c r="AH83" s="2166"/>
      <c r="AI83" s="1190"/>
      <c r="AJ83" s="2131" t="s">
        <v>2377</v>
      </c>
      <c r="AK83" s="2132"/>
      <c r="AL83" s="2132"/>
      <c r="AM83" s="2132"/>
      <c r="AN83" s="2132"/>
      <c r="AO83" s="2132"/>
      <c r="AP83" s="2132"/>
      <c r="AQ83" s="2132"/>
      <c r="AR83" s="2132"/>
      <c r="AS83" s="2132"/>
      <c r="AT83" s="2132"/>
      <c r="AU83" s="2132"/>
      <c r="AV83" s="2132"/>
      <c r="AW83" s="2132"/>
      <c r="AX83" s="2132"/>
      <c r="AY83" s="2148" t="s">
        <v>545</v>
      </c>
      <c r="AZ83" s="2148"/>
      <c r="BA83" s="2148"/>
      <c r="BB83" s="2149"/>
      <c r="BC83" s="1190"/>
      <c r="BD83" s="1190"/>
      <c r="BE83" s="1194"/>
      <c r="CK83" s="1188"/>
      <c r="CL83" s="1188"/>
      <c r="CM83" s="1188"/>
      <c r="CN83" s="1188"/>
      <c r="CO83" s="1188"/>
      <c r="CP83" s="1188"/>
    </row>
    <row r="84" spans="1:94" ht="15.75" customHeight="1">
      <c r="A84" s="1190"/>
      <c r="B84" s="2142"/>
      <c r="C84" s="2109"/>
      <c r="D84" s="2109"/>
      <c r="E84" s="2109"/>
      <c r="F84" s="2109"/>
      <c r="G84" s="2109"/>
      <c r="H84" s="2109"/>
      <c r="I84" s="2109" t="s">
        <v>2367</v>
      </c>
      <c r="J84" s="2109"/>
      <c r="K84" s="2109"/>
      <c r="L84" s="2109"/>
      <c r="M84" s="2109"/>
      <c r="N84" s="2109"/>
      <c r="O84" s="2109" t="s">
        <v>2344</v>
      </c>
      <c r="P84" s="2109"/>
      <c r="Q84" s="2109"/>
      <c r="R84" s="2109"/>
      <c r="S84" s="2109"/>
      <c r="T84" s="2109"/>
      <c r="U84" s="2109"/>
      <c r="V84" s="2146" t="s">
        <v>2343</v>
      </c>
      <c r="W84" s="2146"/>
      <c r="X84" s="2146"/>
      <c r="Y84" s="2146"/>
      <c r="Z84" s="2146"/>
      <c r="AA84" s="2146"/>
      <c r="AB84" s="2079" t="s">
        <v>2366</v>
      </c>
      <c r="AC84" s="2079"/>
      <c r="AD84" s="2079"/>
      <c r="AE84" s="2079"/>
      <c r="AF84" s="2079"/>
      <c r="AG84" s="2079"/>
      <c r="AH84" s="2147"/>
      <c r="AI84" s="1190"/>
      <c r="AJ84" s="2134"/>
      <c r="AK84" s="2135"/>
      <c r="AL84" s="2135"/>
      <c r="AM84" s="2135"/>
      <c r="AN84" s="2135"/>
      <c r="AO84" s="2135"/>
      <c r="AP84" s="2135"/>
      <c r="AQ84" s="2135"/>
      <c r="AR84" s="2135"/>
      <c r="AS84" s="2135"/>
      <c r="AT84" s="2135"/>
      <c r="AU84" s="2135"/>
      <c r="AV84" s="2135"/>
      <c r="AW84" s="2135"/>
      <c r="AX84" s="2135"/>
      <c r="AY84" s="2150"/>
      <c r="AZ84" s="2150"/>
      <c r="BA84" s="2150"/>
      <c r="BB84" s="2151"/>
      <c r="BC84" s="1190"/>
      <c r="BD84" s="1190"/>
      <c r="BE84" s="1194"/>
      <c r="CK84" s="1188"/>
      <c r="CL84" s="1188"/>
      <c r="CM84" s="1188"/>
      <c r="CN84" s="1188"/>
      <c r="CO84" s="1188"/>
      <c r="CP84" s="1188"/>
    </row>
    <row r="85" spans="1:94" ht="15.75" customHeight="1">
      <c r="A85" s="1190"/>
      <c r="B85" s="2142"/>
      <c r="C85" s="2109"/>
      <c r="D85" s="2109"/>
      <c r="E85" s="2109"/>
      <c r="F85" s="2109"/>
      <c r="G85" s="2109"/>
      <c r="H85" s="2109"/>
      <c r="I85" s="2109"/>
      <c r="J85" s="2109"/>
      <c r="K85" s="2109"/>
      <c r="L85" s="2109"/>
      <c r="M85" s="2109"/>
      <c r="N85" s="2109"/>
      <c r="O85" s="2109"/>
      <c r="P85" s="2109"/>
      <c r="Q85" s="2109"/>
      <c r="R85" s="2109"/>
      <c r="S85" s="2109"/>
      <c r="T85" s="2109"/>
      <c r="U85" s="2109"/>
      <c r="V85" s="2146"/>
      <c r="W85" s="2146"/>
      <c r="X85" s="2146"/>
      <c r="Y85" s="2146"/>
      <c r="Z85" s="2146"/>
      <c r="AA85" s="2146"/>
      <c r="AB85" s="2079"/>
      <c r="AC85" s="2079"/>
      <c r="AD85" s="2079"/>
      <c r="AE85" s="2079"/>
      <c r="AF85" s="2079"/>
      <c r="AG85" s="2079"/>
      <c r="AH85" s="2147"/>
      <c r="AI85" s="1190"/>
      <c r="AJ85" s="2134"/>
      <c r="AK85" s="2135"/>
      <c r="AL85" s="2135"/>
      <c r="AM85" s="2135"/>
      <c r="AN85" s="2135"/>
      <c r="AO85" s="2135"/>
      <c r="AP85" s="2135"/>
      <c r="AQ85" s="2135"/>
      <c r="AR85" s="2135"/>
      <c r="AS85" s="2135"/>
      <c r="AT85" s="2135"/>
      <c r="AU85" s="2135"/>
      <c r="AV85" s="2135"/>
      <c r="AW85" s="2135"/>
      <c r="AX85" s="2135"/>
      <c r="AY85" s="2150"/>
      <c r="AZ85" s="2150"/>
      <c r="BA85" s="2150"/>
      <c r="BB85" s="2151"/>
      <c r="BC85" s="1190"/>
      <c r="BD85" s="1190"/>
      <c r="BE85" s="1194"/>
      <c r="CK85" s="1188"/>
      <c r="CL85" s="1188"/>
      <c r="CM85" s="1188"/>
      <c r="CN85" s="1188"/>
      <c r="CO85" s="1188"/>
      <c r="CP85" s="1188"/>
    </row>
    <row r="86" spans="1:94" ht="15.75" customHeight="1">
      <c r="A86" s="1190"/>
      <c r="B86" s="2142" t="s">
        <v>2365</v>
      </c>
      <c r="C86" s="2109"/>
      <c r="D86" s="2109"/>
      <c r="E86" s="2109"/>
      <c r="F86" s="2109"/>
      <c r="G86" s="2109"/>
      <c r="H86" s="2109"/>
      <c r="I86" s="2112">
        <v>4622</v>
      </c>
      <c r="J86" s="2082"/>
      <c r="K86" s="2082"/>
      <c r="L86" s="2082"/>
      <c r="M86" s="2082"/>
      <c r="N86" s="2082"/>
      <c r="O86" s="2082">
        <v>905</v>
      </c>
      <c r="P86" s="2082"/>
      <c r="Q86" s="2082"/>
      <c r="R86" s="2082"/>
      <c r="S86" s="2082"/>
      <c r="T86" s="2082"/>
      <c r="U86" s="2082"/>
      <c r="V86" s="2082">
        <v>682</v>
      </c>
      <c r="W86" s="2082"/>
      <c r="X86" s="2082"/>
      <c r="Y86" s="2082"/>
      <c r="Z86" s="2082"/>
      <c r="AA86" s="2082"/>
      <c r="AB86" s="2082">
        <v>0</v>
      </c>
      <c r="AC86" s="2082"/>
      <c r="AD86" s="2082"/>
      <c r="AE86" s="2082"/>
      <c r="AF86" s="2082"/>
      <c r="AG86" s="2082"/>
      <c r="AH86" s="2083"/>
      <c r="AI86" s="1190"/>
      <c r="AJ86" s="2134"/>
      <c r="AK86" s="2135"/>
      <c r="AL86" s="2135"/>
      <c r="AM86" s="2135"/>
      <c r="AN86" s="2135"/>
      <c r="AO86" s="2135"/>
      <c r="AP86" s="2135"/>
      <c r="AQ86" s="2135"/>
      <c r="AR86" s="2135"/>
      <c r="AS86" s="2135"/>
      <c r="AT86" s="2135"/>
      <c r="AU86" s="2135"/>
      <c r="AV86" s="2135"/>
      <c r="AW86" s="2135"/>
      <c r="AX86" s="2135"/>
      <c r="AY86" s="2150"/>
      <c r="AZ86" s="2150"/>
      <c r="BA86" s="2150"/>
      <c r="BB86" s="2151"/>
      <c r="BC86" s="1190"/>
      <c r="BD86" s="1190"/>
      <c r="BE86" s="1194"/>
      <c r="CK86" s="1188"/>
      <c r="CL86" s="1188"/>
      <c r="CM86" s="1188"/>
      <c r="CN86" s="1188"/>
      <c r="CO86" s="1188"/>
      <c r="CP86" s="1188"/>
    </row>
    <row r="87" spans="1:94" ht="15.75" customHeight="1">
      <c r="A87" s="1190"/>
      <c r="B87" s="2142" t="s">
        <v>2364</v>
      </c>
      <c r="C87" s="2109"/>
      <c r="D87" s="2109"/>
      <c r="E87" s="2109"/>
      <c r="F87" s="2109"/>
      <c r="G87" s="2109"/>
      <c r="H87" s="2109"/>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0"/>
      <c r="AJ87" s="2049" t="s">
        <v>2371</v>
      </c>
      <c r="AK87" s="2050"/>
      <c r="AL87" s="2050"/>
      <c r="AM87" s="2050"/>
      <c r="AN87" s="2050"/>
      <c r="AO87" s="2050"/>
      <c r="AP87" s="2050"/>
      <c r="AQ87" s="2050"/>
      <c r="AR87" s="2050"/>
      <c r="AS87" s="2050"/>
      <c r="AT87" s="2050"/>
      <c r="AU87" s="2050"/>
      <c r="AV87" s="2050"/>
      <c r="AW87" s="2050"/>
      <c r="AX87" s="2050"/>
      <c r="AY87" s="2050"/>
      <c r="AZ87" s="2050"/>
      <c r="BA87" s="2050"/>
      <c r="BB87" s="2051"/>
      <c r="BC87" s="1190"/>
      <c r="BD87" s="1190"/>
      <c r="BE87" s="1194"/>
      <c r="CK87" s="1188"/>
      <c r="CL87" s="1188"/>
      <c r="CM87" s="1188"/>
      <c r="CN87" s="1188"/>
      <c r="CO87" s="1188"/>
      <c r="CP87" s="1188"/>
    </row>
    <row r="88" spans="1:94" ht="15.75" customHeight="1" thickBot="1">
      <c r="A88" s="1190"/>
      <c r="B88" s="2140" t="s">
        <v>2363</v>
      </c>
      <c r="C88" s="2141"/>
      <c r="D88" s="2141"/>
      <c r="E88" s="2141"/>
      <c r="F88" s="2141"/>
      <c r="G88" s="2141"/>
      <c r="H88" s="2141"/>
      <c r="I88" s="2076">
        <v>4622</v>
      </c>
      <c r="J88" s="2076"/>
      <c r="K88" s="2076"/>
      <c r="L88" s="2076"/>
      <c r="M88" s="2076"/>
      <c r="N88" s="2076"/>
      <c r="O88" s="2076">
        <v>905</v>
      </c>
      <c r="P88" s="2076"/>
      <c r="Q88" s="2076"/>
      <c r="R88" s="2076"/>
      <c r="S88" s="2076"/>
      <c r="T88" s="2076"/>
      <c r="U88" s="2076"/>
      <c r="V88" s="2076">
        <v>682</v>
      </c>
      <c r="W88" s="2076"/>
      <c r="X88" s="2076"/>
      <c r="Y88" s="2076"/>
      <c r="Z88" s="2076"/>
      <c r="AA88" s="2076"/>
      <c r="AB88" s="2076">
        <v>0</v>
      </c>
      <c r="AC88" s="2076"/>
      <c r="AD88" s="2076"/>
      <c r="AE88" s="2076"/>
      <c r="AF88" s="2076"/>
      <c r="AG88" s="2076"/>
      <c r="AH88" s="2077"/>
      <c r="AI88" s="1190"/>
      <c r="AJ88" s="2052"/>
      <c r="AK88" s="2053"/>
      <c r="AL88" s="2053"/>
      <c r="AM88" s="2053"/>
      <c r="AN88" s="2053"/>
      <c r="AO88" s="2053"/>
      <c r="AP88" s="2053"/>
      <c r="AQ88" s="2053"/>
      <c r="AR88" s="2053"/>
      <c r="AS88" s="2053"/>
      <c r="AT88" s="2053"/>
      <c r="AU88" s="2053"/>
      <c r="AV88" s="2053"/>
      <c r="AW88" s="2053"/>
      <c r="AX88" s="2053"/>
      <c r="AY88" s="2053"/>
      <c r="AZ88" s="2053"/>
      <c r="BA88" s="2053"/>
      <c r="BB88" s="205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52"/>
      <c r="G92" s="2153"/>
      <c r="H92" s="2153"/>
      <c r="I92" s="2153"/>
      <c r="J92" s="2153"/>
      <c r="K92" s="2153"/>
      <c r="L92" s="2153"/>
      <c r="M92" s="2153"/>
      <c r="N92" s="2153"/>
      <c r="O92" s="2153"/>
      <c r="P92" s="2153"/>
      <c r="Q92" s="2153"/>
      <c r="R92" s="2153"/>
      <c r="S92" s="2153"/>
      <c r="T92" s="21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5" t="s">
        <v>2375</v>
      </c>
      <c r="C93" s="2156"/>
      <c r="D93" s="2156"/>
      <c r="E93" s="2156"/>
      <c r="F93" s="2156"/>
      <c r="G93" s="2156"/>
      <c r="H93" s="2156"/>
      <c r="I93" s="2156"/>
      <c r="J93" s="2156"/>
      <c r="K93" s="2156"/>
      <c r="L93" s="2156"/>
      <c r="M93" s="2156"/>
      <c r="N93" s="2156"/>
      <c r="O93" s="2156"/>
      <c r="P93" s="2156"/>
      <c r="Q93" s="2157"/>
      <c r="R93" s="2158" t="str">
        <f>IFERROR(INDEX(BR96:BR98,MATCH(F92,$BQ$96:$BQ$98,0))/SUM($BR$96:$BR$98),"")</f>
        <v/>
      </c>
      <c r="S93" s="2159"/>
      <c r="T93" s="216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1" t="s">
        <v>2374</v>
      </c>
      <c r="C94" s="2162"/>
      <c r="D94" s="2162"/>
      <c r="E94" s="2162"/>
      <c r="F94" s="2162"/>
      <c r="G94" s="2162"/>
      <c r="H94" s="2162"/>
      <c r="I94" s="2162"/>
      <c r="J94" s="2162"/>
      <c r="K94" s="2162"/>
      <c r="L94" s="2162"/>
      <c r="M94" s="2162"/>
      <c r="N94" s="2162"/>
      <c r="O94" s="2162"/>
      <c r="P94" s="2162"/>
      <c r="Q94" s="2163"/>
      <c r="R94" s="2143" t="s">
        <v>2187</v>
      </c>
      <c r="S94" s="2144"/>
      <c r="T94" s="214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4" t="s">
        <v>2373</v>
      </c>
      <c r="C96" s="2165"/>
      <c r="D96" s="2165"/>
      <c r="E96" s="2165"/>
      <c r="F96" s="2165"/>
      <c r="G96" s="2165"/>
      <c r="H96" s="2165"/>
      <c r="I96" s="2165"/>
      <c r="J96" s="2165"/>
      <c r="K96" s="2165"/>
      <c r="L96" s="2165"/>
      <c r="M96" s="2165"/>
      <c r="N96" s="2165"/>
      <c r="O96" s="2165"/>
      <c r="P96" s="2165"/>
      <c r="Q96" s="2165"/>
      <c r="R96" s="2165"/>
      <c r="S96" s="2165"/>
      <c r="T96" s="2165"/>
      <c r="U96" s="2165"/>
      <c r="V96" s="2165"/>
      <c r="W96" s="2165"/>
      <c r="X96" s="2165"/>
      <c r="Y96" s="2165"/>
      <c r="Z96" s="2165"/>
      <c r="AA96" s="2165"/>
      <c r="AB96" s="2165"/>
      <c r="AC96" s="2165"/>
      <c r="AD96" s="2165"/>
      <c r="AE96" s="2165"/>
      <c r="AF96" s="2165"/>
      <c r="AG96" s="2165"/>
      <c r="AH96" s="2166"/>
      <c r="AI96" s="1190"/>
      <c r="AJ96" s="2131" t="s">
        <v>2372</v>
      </c>
      <c r="AK96" s="2132"/>
      <c r="AL96" s="2132"/>
      <c r="AM96" s="2132"/>
      <c r="AN96" s="2132"/>
      <c r="AO96" s="2132"/>
      <c r="AP96" s="2132"/>
      <c r="AQ96" s="2132"/>
      <c r="AR96" s="2132"/>
      <c r="AS96" s="2132"/>
      <c r="AT96" s="2132"/>
      <c r="AU96" s="2132"/>
      <c r="AV96" s="2132"/>
      <c r="AW96" s="2132"/>
      <c r="AX96" s="2132"/>
      <c r="AY96" s="2148" t="s">
        <v>2385</v>
      </c>
      <c r="AZ96" s="2148"/>
      <c r="BA96" s="2148"/>
      <c r="BB96" s="2149"/>
      <c r="BC96" s="1190"/>
      <c r="BD96" s="1190"/>
      <c r="BE96" s="1194"/>
      <c r="BQ96" s="1256" t="str">
        <f>Application!M243&amp;IF(TRIM(Application!AA249)&lt;&gt;""," ("&amp;Application!AA249&amp;")","")</f>
        <v>Owls Landing LLC (Eden Housing, Inc.)</v>
      </c>
      <c r="BR96" s="1259">
        <f>Application!AH246</f>
        <v>0.01</v>
      </c>
      <c r="CM96" s="1188"/>
      <c r="CN96" s="1188"/>
      <c r="CO96" s="1188"/>
      <c r="CP96" s="1188"/>
    </row>
    <row r="97" spans="1:94" ht="15.75" customHeight="1">
      <c r="A97" s="1190"/>
      <c r="B97" s="2142"/>
      <c r="C97" s="2109"/>
      <c r="D97" s="2109"/>
      <c r="E97" s="2109"/>
      <c r="F97" s="2109"/>
      <c r="G97" s="2109"/>
      <c r="H97" s="2109"/>
      <c r="I97" s="2109" t="s">
        <v>2367</v>
      </c>
      <c r="J97" s="2109"/>
      <c r="K97" s="2109"/>
      <c r="L97" s="2109"/>
      <c r="M97" s="2109"/>
      <c r="N97" s="2109"/>
      <c r="O97" s="2109" t="s">
        <v>2344</v>
      </c>
      <c r="P97" s="2109"/>
      <c r="Q97" s="2109"/>
      <c r="R97" s="2109"/>
      <c r="S97" s="2109"/>
      <c r="T97" s="2109"/>
      <c r="U97" s="2109"/>
      <c r="V97" s="2146" t="s">
        <v>2343</v>
      </c>
      <c r="W97" s="2146"/>
      <c r="X97" s="2146"/>
      <c r="Y97" s="2146"/>
      <c r="Z97" s="2146"/>
      <c r="AA97" s="2146"/>
      <c r="AB97" s="2079" t="s">
        <v>2366</v>
      </c>
      <c r="AC97" s="2079"/>
      <c r="AD97" s="2079"/>
      <c r="AE97" s="2079"/>
      <c r="AF97" s="2079"/>
      <c r="AG97" s="2079"/>
      <c r="AH97" s="2147"/>
      <c r="AI97" s="1190"/>
      <c r="AJ97" s="2134"/>
      <c r="AK97" s="2135"/>
      <c r="AL97" s="2135"/>
      <c r="AM97" s="2135"/>
      <c r="AN97" s="2135"/>
      <c r="AO97" s="2135"/>
      <c r="AP97" s="2135"/>
      <c r="AQ97" s="2135"/>
      <c r="AR97" s="2135"/>
      <c r="AS97" s="2135"/>
      <c r="AT97" s="2135"/>
      <c r="AU97" s="2135"/>
      <c r="AV97" s="2135"/>
      <c r="AW97" s="2135"/>
      <c r="AX97" s="2135"/>
      <c r="AY97" s="2150"/>
      <c r="AZ97" s="2150"/>
      <c r="BA97" s="2150"/>
      <c r="BB97" s="2151"/>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42"/>
      <c r="C98" s="2109"/>
      <c r="D98" s="2109"/>
      <c r="E98" s="2109"/>
      <c r="F98" s="2109"/>
      <c r="G98" s="2109"/>
      <c r="H98" s="2109"/>
      <c r="I98" s="2109"/>
      <c r="J98" s="2109"/>
      <c r="K98" s="2109"/>
      <c r="L98" s="2109"/>
      <c r="M98" s="2109"/>
      <c r="N98" s="2109"/>
      <c r="O98" s="2109"/>
      <c r="P98" s="2109"/>
      <c r="Q98" s="2109"/>
      <c r="R98" s="2109"/>
      <c r="S98" s="2109"/>
      <c r="T98" s="2109"/>
      <c r="U98" s="2109"/>
      <c r="V98" s="2146"/>
      <c r="W98" s="2146"/>
      <c r="X98" s="2146"/>
      <c r="Y98" s="2146"/>
      <c r="Z98" s="2146"/>
      <c r="AA98" s="2146"/>
      <c r="AB98" s="2079"/>
      <c r="AC98" s="2079"/>
      <c r="AD98" s="2079"/>
      <c r="AE98" s="2079"/>
      <c r="AF98" s="2079"/>
      <c r="AG98" s="2079"/>
      <c r="AH98" s="2147"/>
      <c r="AI98" s="1190"/>
      <c r="AJ98" s="2134"/>
      <c r="AK98" s="2135"/>
      <c r="AL98" s="2135"/>
      <c r="AM98" s="2135"/>
      <c r="AN98" s="2135"/>
      <c r="AO98" s="2135"/>
      <c r="AP98" s="2135"/>
      <c r="AQ98" s="2135"/>
      <c r="AR98" s="2135"/>
      <c r="AS98" s="2135"/>
      <c r="AT98" s="2135"/>
      <c r="AU98" s="2135"/>
      <c r="AV98" s="2135"/>
      <c r="AW98" s="2135"/>
      <c r="AX98" s="2135"/>
      <c r="AY98" s="2150"/>
      <c r="AZ98" s="2150"/>
      <c r="BA98" s="2150"/>
      <c r="BB98" s="215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42" t="s">
        <v>2365</v>
      </c>
      <c r="C99" s="2109"/>
      <c r="D99" s="2109"/>
      <c r="E99" s="2109"/>
      <c r="F99" s="2109"/>
      <c r="G99" s="2109"/>
      <c r="H99" s="2109"/>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0"/>
      <c r="AJ99" s="2134"/>
      <c r="AK99" s="2135"/>
      <c r="AL99" s="2135"/>
      <c r="AM99" s="2135"/>
      <c r="AN99" s="2135"/>
      <c r="AO99" s="2135"/>
      <c r="AP99" s="2135"/>
      <c r="AQ99" s="2135"/>
      <c r="AR99" s="2135"/>
      <c r="AS99" s="2135"/>
      <c r="AT99" s="2135"/>
      <c r="AU99" s="2135"/>
      <c r="AV99" s="2135"/>
      <c r="AW99" s="2135"/>
      <c r="AX99" s="2135"/>
      <c r="AY99" s="2150"/>
      <c r="AZ99" s="2150"/>
      <c r="BA99" s="2150"/>
      <c r="BB99" s="2151"/>
      <c r="BC99" s="1190"/>
      <c r="BD99" s="1190"/>
      <c r="BE99" s="1194"/>
      <c r="CM99" s="1188"/>
      <c r="CN99" s="1188"/>
      <c r="CO99" s="1188"/>
      <c r="CP99" s="1188"/>
    </row>
    <row r="100" spans="1:94" ht="15.75" customHeight="1">
      <c r="A100" s="1190"/>
      <c r="B100" s="2142" t="s">
        <v>2364</v>
      </c>
      <c r="C100" s="2109"/>
      <c r="D100" s="2109"/>
      <c r="E100" s="2109"/>
      <c r="F100" s="2109"/>
      <c r="G100" s="2109"/>
      <c r="H100" s="2109"/>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0"/>
      <c r="AJ100" s="2049" t="s">
        <v>2750</v>
      </c>
      <c r="AK100" s="2050"/>
      <c r="AL100" s="2050"/>
      <c r="AM100" s="2050"/>
      <c r="AN100" s="2050"/>
      <c r="AO100" s="2050"/>
      <c r="AP100" s="2050"/>
      <c r="AQ100" s="2050"/>
      <c r="AR100" s="2050"/>
      <c r="AS100" s="2050"/>
      <c r="AT100" s="2050"/>
      <c r="AU100" s="2050"/>
      <c r="AV100" s="2050"/>
      <c r="AW100" s="2050"/>
      <c r="AX100" s="2050"/>
      <c r="AY100" s="2050"/>
      <c r="AZ100" s="2050"/>
      <c r="BA100" s="2050"/>
      <c r="BB100" s="2051"/>
      <c r="BC100" s="1190"/>
      <c r="BD100" s="1190"/>
      <c r="BE100" s="1194"/>
      <c r="CM100" s="1188"/>
      <c r="CN100" s="1188"/>
      <c r="CO100" s="1188"/>
      <c r="CP100" s="1188"/>
    </row>
    <row r="101" spans="1:94" ht="15.75" customHeight="1" thickBot="1">
      <c r="A101" s="1190"/>
      <c r="B101" s="2140" t="s">
        <v>2363</v>
      </c>
      <c r="C101" s="2141"/>
      <c r="D101" s="2141"/>
      <c r="E101" s="2141"/>
      <c r="F101" s="2141"/>
      <c r="G101" s="2141"/>
      <c r="H101" s="2141"/>
      <c r="I101" s="2076">
        <v>0</v>
      </c>
      <c r="J101" s="2076"/>
      <c r="K101" s="2076"/>
      <c r="L101" s="2076"/>
      <c r="M101" s="2076"/>
      <c r="N101" s="2076"/>
      <c r="O101" s="2076">
        <v>0</v>
      </c>
      <c r="P101" s="2076"/>
      <c r="Q101" s="2076"/>
      <c r="R101" s="2076"/>
      <c r="S101" s="2076"/>
      <c r="T101" s="2076"/>
      <c r="U101" s="2076"/>
      <c r="V101" s="2076">
        <v>0</v>
      </c>
      <c r="W101" s="2076"/>
      <c r="X101" s="2076"/>
      <c r="Y101" s="2076"/>
      <c r="Z101" s="2076"/>
      <c r="AA101" s="2076"/>
      <c r="AB101" s="2076">
        <v>0</v>
      </c>
      <c r="AC101" s="2076"/>
      <c r="AD101" s="2076"/>
      <c r="AE101" s="2076"/>
      <c r="AF101" s="2076"/>
      <c r="AG101" s="2076"/>
      <c r="AH101" s="2077"/>
      <c r="AI101" s="1190"/>
      <c r="AJ101" s="2052"/>
      <c r="AK101" s="2053"/>
      <c r="AL101" s="2053"/>
      <c r="AM101" s="2053"/>
      <c r="AN101" s="2053"/>
      <c r="AO101" s="2053"/>
      <c r="AP101" s="2053"/>
      <c r="AQ101" s="2053"/>
      <c r="AR101" s="2053"/>
      <c r="AS101" s="2053"/>
      <c r="AT101" s="2053"/>
      <c r="AU101" s="2053"/>
      <c r="AV101" s="2053"/>
      <c r="AW101" s="2053"/>
      <c r="AX101" s="2053"/>
      <c r="AY101" s="2053"/>
      <c r="AZ101" s="2053"/>
      <c r="BA101" s="2053"/>
      <c r="BB101" s="2054"/>
      <c r="BC101" s="1190"/>
      <c r="BD101" s="1190"/>
      <c r="BE101" s="1194"/>
      <c r="BQ101" s="1256" t="str">
        <f>Application!AA335</f>
        <v>Eden Housing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143" t="str">
        <f>IFERROR(INDEX(BR96:BR98,MATCH(F104,$BQ$96:$BQ$98,0))/SUM($BR$96:$BR$98),"")</f>
        <v/>
      </c>
      <c r="P105" s="2144"/>
      <c r="Q105" s="2144"/>
      <c r="R105" s="214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2" t="s">
        <v>2368</v>
      </c>
      <c r="C107" s="2033"/>
      <c r="D107" s="2033"/>
      <c r="E107" s="2033"/>
      <c r="F107" s="2033"/>
      <c r="G107" s="2033"/>
      <c r="H107" s="2033"/>
      <c r="I107" s="2033"/>
      <c r="J107" s="2033"/>
      <c r="K107" s="2033"/>
      <c r="L107" s="2033"/>
      <c r="M107" s="2033"/>
      <c r="N107" s="2033"/>
      <c r="O107" s="2033"/>
      <c r="P107" s="2033"/>
      <c r="Q107" s="2033"/>
      <c r="R107" s="2033"/>
      <c r="S107" s="2033"/>
      <c r="T107" s="2033"/>
      <c r="U107" s="2033"/>
      <c r="V107" s="2033"/>
      <c r="W107" s="2033"/>
      <c r="X107" s="2033"/>
      <c r="Y107" s="2033"/>
      <c r="Z107" s="2033"/>
      <c r="AA107" s="2033"/>
      <c r="AB107" s="2033"/>
      <c r="AC107" s="2033"/>
      <c r="AD107" s="2033"/>
      <c r="AE107" s="2033"/>
      <c r="AF107" s="2033"/>
      <c r="AG107" s="2033"/>
      <c r="AH107" s="204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2"/>
      <c r="C108" s="2109"/>
      <c r="D108" s="2109"/>
      <c r="E108" s="2109"/>
      <c r="F108" s="2109"/>
      <c r="G108" s="2109"/>
      <c r="H108" s="2109"/>
      <c r="I108" s="2109" t="s">
        <v>2367</v>
      </c>
      <c r="J108" s="2109"/>
      <c r="K108" s="2109"/>
      <c r="L108" s="2109"/>
      <c r="M108" s="2109"/>
      <c r="N108" s="2109"/>
      <c r="O108" s="2109" t="s">
        <v>2344</v>
      </c>
      <c r="P108" s="2109"/>
      <c r="Q108" s="2109"/>
      <c r="R108" s="2109"/>
      <c r="S108" s="2109"/>
      <c r="T108" s="2109"/>
      <c r="U108" s="2109"/>
      <c r="V108" s="2146" t="s">
        <v>2343</v>
      </c>
      <c r="W108" s="2146"/>
      <c r="X108" s="2146"/>
      <c r="Y108" s="2146"/>
      <c r="Z108" s="2146"/>
      <c r="AA108" s="2146"/>
      <c r="AB108" s="2079" t="s">
        <v>2366</v>
      </c>
      <c r="AC108" s="2079"/>
      <c r="AD108" s="2079"/>
      <c r="AE108" s="2079"/>
      <c r="AF108" s="2079"/>
      <c r="AG108" s="2079"/>
      <c r="AH108" s="214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2"/>
      <c r="C109" s="2109"/>
      <c r="D109" s="2109"/>
      <c r="E109" s="2109"/>
      <c r="F109" s="2109"/>
      <c r="G109" s="2109"/>
      <c r="H109" s="2109"/>
      <c r="I109" s="2109"/>
      <c r="J109" s="2109"/>
      <c r="K109" s="2109"/>
      <c r="L109" s="2109"/>
      <c r="M109" s="2109"/>
      <c r="N109" s="2109"/>
      <c r="O109" s="2109"/>
      <c r="P109" s="2109"/>
      <c r="Q109" s="2109"/>
      <c r="R109" s="2109"/>
      <c r="S109" s="2109"/>
      <c r="T109" s="2109"/>
      <c r="U109" s="2109"/>
      <c r="V109" s="2146"/>
      <c r="W109" s="2146"/>
      <c r="X109" s="2146"/>
      <c r="Y109" s="2146"/>
      <c r="Z109" s="2146"/>
      <c r="AA109" s="2146"/>
      <c r="AB109" s="2079"/>
      <c r="AC109" s="2079"/>
      <c r="AD109" s="2079"/>
      <c r="AE109" s="2079"/>
      <c r="AF109" s="2079"/>
      <c r="AG109" s="2079"/>
      <c r="AH109" s="214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2" t="s">
        <v>2365</v>
      </c>
      <c r="C110" s="2109"/>
      <c r="D110" s="2109"/>
      <c r="E110" s="2109"/>
      <c r="F110" s="2109"/>
      <c r="G110" s="2109"/>
      <c r="H110" s="2109"/>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2" t="s">
        <v>2364</v>
      </c>
      <c r="C111" s="2109"/>
      <c r="D111" s="2109"/>
      <c r="E111" s="2109"/>
      <c r="F111" s="2109"/>
      <c r="G111" s="2109"/>
      <c r="H111" s="2109"/>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0" t="s">
        <v>2363</v>
      </c>
      <c r="C112" s="2141"/>
      <c r="D112" s="2141"/>
      <c r="E112" s="2141"/>
      <c r="F112" s="2141"/>
      <c r="G112" s="2141"/>
      <c r="H112" s="2141"/>
      <c r="I112" s="2076">
        <v>0</v>
      </c>
      <c r="J112" s="2076"/>
      <c r="K112" s="2076"/>
      <c r="L112" s="2076"/>
      <c r="M112" s="2076"/>
      <c r="N112" s="2076"/>
      <c r="O112" s="2076">
        <v>0</v>
      </c>
      <c r="P112" s="2076"/>
      <c r="Q112" s="2076"/>
      <c r="R112" s="2076"/>
      <c r="S112" s="2076"/>
      <c r="T112" s="2076"/>
      <c r="U112" s="2076"/>
      <c r="V112" s="2076">
        <v>0</v>
      </c>
      <c r="W112" s="2076"/>
      <c r="X112" s="2076"/>
      <c r="Y112" s="2076"/>
      <c r="Z112" s="2076"/>
      <c r="AA112" s="2076"/>
      <c r="AB112" s="2076">
        <v>0</v>
      </c>
      <c r="AC112" s="2076"/>
      <c r="AD112" s="2076"/>
      <c r="AE112" s="2076"/>
      <c r="AF112" s="2076"/>
      <c r="AG112" s="2076"/>
      <c r="AH112" s="207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3" t="s">
        <v>2670</v>
      </c>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2361</v>
      </c>
      <c r="C117" s="2116"/>
      <c r="D117" s="2116"/>
      <c r="E117" s="2116"/>
      <c r="F117" s="2116"/>
      <c r="G117" s="2116"/>
      <c r="H117" s="2116"/>
      <c r="I117" s="2116"/>
      <c r="J117" s="2116"/>
      <c r="K117" s="2116"/>
      <c r="L117" s="2116"/>
      <c r="M117" s="2116"/>
      <c r="N117" s="2116"/>
      <c r="O117" s="2116"/>
      <c r="P117" s="2116"/>
      <c r="Q117" s="2116"/>
      <c r="R117" s="2116"/>
      <c r="S117" s="2116"/>
      <c r="T117" s="2116"/>
      <c r="U117" s="2119" t="s">
        <v>545</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2361</v>
      </c>
      <c r="C121" s="2124"/>
      <c r="D121" s="2124"/>
      <c r="E121" s="2124"/>
      <c r="F121" s="2124"/>
      <c r="G121" s="2124"/>
      <c r="H121" s="2124"/>
      <c r="I121" s="2124"/>
      <c r="J121" s="2124"/>
      <c r="K121" s="2124"/>
      <c r="L121" s="2124"/>
      <c r="M121" s="2124"/>
      <c r="N121" s="2124"/>
      <c r="O121" s="2124"/>
      <c r="P121" s="2124"/>
      <c r="Q121" s="2124"/>
      <c r="R121" s="2124"/>
      <c r="S121" s="2124"/>
      <c r="T121" s="2124"/>
      <c r="U121" s="2127" t="s">
        <v>545</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1" t="s">
        <v>2359</v>
      </c>
      <c r="Y125" s="2132"/>
      <c r="Z125" s="2132"/>
      <c r="AA125" s="2132"/>
      <c r="AB125" s="2132"/>
      <c r="AC125" s="2132"/>
      <c r="AD125" s="2132"/>
      <c r="AE125" s="2132"/>
      <c r="AF125" s="2132"/>
      <c r="AG125" s="2132"/>
      <c r="AH125" s="2132"/>
      <c r="AI125" s="2132"/>
      <c r="AJ125" s="2132"/>
      <c r="AK125" s="2132"/>
      <c r="AL125" s="2132"/>
      <c r="AM125" s="2132"/>
      <c r="AN125" s="2132"/>
      <c r="AO125" s="2132"/>
      <c r="AP125" s="2132"/>
      <c r="AQ125" s="2132"/>
      <c r="AR125" s="2132"/>
      <c r="AS125" s="2132"/>
      <c r="AT125" s="2132"/>
      <c r="AU125" s="2132"/>
      <c r="AV125" s="2132"/>
      <c r="AW125" s="2132"/>
      <c r="AX125" s="2132"/>
      <c r="AY125" s="2132"/>
      <c r="AZ125" s="2132"/>
      <c r="BA125" s="2132"/>
      <c r="BB125" s="2132"/>
      <c r="BC125" s="2132"/>
      <c r="BD125" s="2133"/>
      <c r="BE125" s="1194"/>
    </row>
    <row r="126" spans="1:57" ht="15.75" customHeight="1">
      <c r="A126" s="1190"/>
      <c r="B126" s="2137" t="s">
        <v>1575</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134"/>
      <c r="Y126" s="2135"/>
      <c r="Z126" s="2135"/>
      <c r="AA126" s="2135"/>
      <c r="AB126" s="2135"/>
      <c r="AC126" s="2135"/>
      <c r="AD126" s="2135"/>
      <c r="AE126" s="2135"/>
      <c r="AF126" s="2135"/>
      <c r="AG126" s="2135"/>
      <c r="AH126" s="2135"/>
      <c r="AI126" s="2135"/>
      <c r="AJ126" s="2135"/>
      <c r="AK126" s="2135"/>
      <c r="AL126" s="2135"/>
      <c r="AM126" s="2135"/>
      <c r="AN126" s="2135"/>
      <c r="AO126" s="2135"/>
      <c r="AP126" s="2135"/>
      <c r="AQ126" s="2135"/>
      <c r="AR126" s="2135"/>
      <c r="AS126" s="2135"/>
      <c r="AT126" s="2135"/>
      <c r="AU126" s="2135"/>
      <c r="AV126" s="2135"/>
      <c r="AW126" s="2135"/>
      <c r="AX126" s="2135"/>
      <c r="AY126" s="2135"/>
      <c r="AZ126" s="2135"/>
      <c r="BA126" s="2135"/>
      <c r="BB126" s="2135"/>
      <c r="BC126" s="2135"/>
      <c r="BD126" s="2136"/>
      <c r="BE126" s="1194"/>
    </row>
    <row r="127" spans="1:57" ht="15.75" customHeight="1">
      <c r="A127" s="1190"/>
      <c r="B127" s="2046"/>
      <c r="C127" s="2047"/>
      <c r="D127" s="2047"/>
      <c r="E127" s="2047"/>
      <c r="F127" s="2047"/>
      <c r="G127" s="2047"/>
      <c r="H127" s="2047"/>
      <c r="I127" s="2109" t="s">
        <v>2358</v>
      </c>
      <c r="J127" s="2109"/>
      <c r="K127" s="2109"/>
      <c r="L127" s="2109"/>
      <c r="M127" s="2109"/>
      <c r="N127" s="2109"/>
      <c r="O127" s="2110" t="s">
        <v>2357</v>
      </c>
      <c r="P127" s="2110"/>
      <c r="Q127" s="2110"/>
      <c r="R127" s="2110"/>
      <c r="S127" s="2110"/>
      <c r="T127" s="2110"/>
      <c r="U127" s="2111"/>
      <c r="V127" s="1190"/>
      <c r="W127" s="1190"/>
      <c r="X127" s="2049" t="s">
        <v>2328</v>
      </c>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194"/>
    </row>
    <row r="128" spans="1:57" ht="15.75" customHeight="1">
      <c r="A128" s="1190"/>
      <c r="B128" s="2080" t="s">
        <v>2342</v>
      </c>
      <c r="C128" s="2081"/>
      <c r="D128" s="2081"/>
      <c r="E128" s="2081"/>
      <c r="F128" s="2081"/>
      <c r="G128" s="2081"/>
      <c r="H128" s="2081"/>
      <c r="I128" s="2112">
        <v>9385</v>
      </c>
      <c r="J128" s="2082"/>
      <c r="K128" s="2082"/>
      <c r="L128" s="2082"/>
      <c r="M128" s="2082"/>
      <c r="N128" s="2082"/>
      <c r="O128" s="2082">
        <v>0</v>
      </c>
      <c r="P128" s="2082"/>
      <c r="Q128" s="2082"/>
      <c r="R128" s="2082"/>
      <c r="S128" s="2082"/>
      <c r="T128" s="2082"/>
      <c r="U128" s="2083"/>
      <c r="V128" s="1190"/>
      <c r="W128" s="1190"/>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194"/>
    </row>
    <row r="129" spans="1:57" ht="15.75" customHeight="1" thickBot="1">
      <c r="A129" s="1190"/>
      <c r="B129" s="2074" t="s">
        <v>2341</v>
      </c>
      <c r="C129" s="2075"/>
      <c r="D129" s="2075"/>
      <c r="E129" s="2075"/>
      <c r="F129" s="2075"/>
      <c r="G129" s="2075"/>
      <c r="H129" s="2075"/>
      <c r="I129" s="2076">
        <v>0</v>
      </c>
      <c r="J129" s="2076"/>
      <c r="K129" s="2076"/>
      <c r="L129" s="2076"/>
      <c r="M129" s="2076"/>
      <c r="N129" s="2076"/>
      <c r="O129" s="2113"/>
      <c r="P129" s="2113"/>
      <c r="Q129" s="2113"/>
      <c r="R129" s="2113"/>
      <c r="S129" s="2113"/>
      <c r="T129" s="2113"/>
      <c r="U129" s="2114"/>
      <c r="V129" s="1190"/>
      <c r="W129" s="1190"/>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194"/>
    </row>
    <row r="133" spans="1:57" ht="15.75" customHeight="1">
      <c r="A133" s="1190"/>
      <c r="B133" s="2106" t="s">
        <v>2355</v>
      </c>
      <c r="C133" s="2107"/>
      <c r="D133" s="2107"/>
      <c r="E133" s="2107"/>
      <c r="F133" s="2107"/>
      <c r="G133" s="2107"/>
      <c r="H133" s="2107"/>
      <c r="I133" s="2107"/>
      <c r="J133" s="2107"/>
      <c r="K133" s="2107"/>
      <c r="L133" s="2107"/>
      <c r="M133" s="2107"/>
      <c r="N133" s="2107"/>
      <c r="O133" s="2107"/>
      <c r="P133" s="2107"/>
      <c r="Q133" s="2107"/>
      <c r="R133" s="2107"/>
      <c r="S133" s="2107"/>
      <c r="T133" s="2107"/>
      <c r="U133" s="2108"/>
      <c r="V133" s="1190"/>
      <c r="W133" s="1190"/>
      <c r="X133" s="2049"/>
      <c r="Y133" s="2050"/>
      <c r="Z133" s="2050"/>
      <c r="AA133" s="2050"/>
      <c r="AB133" s="2050"/>
      <c r="AC133" s="2050"/>
      <c r="AD133" s="2050"/>
      <c r="AE133" s="2050"/>
      <c r="AF133" s="2050"/>
      <c r="AG133" s="2050"/>
      <c r="AH133" s="2050"/>
      <c r="AI133" s="2050"/>
      <c r="AJ133" s="2050"/>
      <c r="AK133" s="2050"/>
      <c r="AL133" s="2050"/>
      <c r="AM133" s="2050"/>
      <c r="AN133" s="2050"/>
      <c r="AO133" s="2050"/>
      <c r="AP133" s="2050"/>
      <c r="AQ133" s="2050"/>
      <c r="AR133" s="2050"/>
      <c r="AS133" s="2050"/>
      <c r="AT133" s="2050"/>
      <c r="AU133" s="2050"/>
      <c r="AV133" s="2050"/>
      <c r="AW133" s="2050"/>
      <c r="AX133" s="2050"/>
      <c r="AY133" s="2050"/>
      <c r="AZ133" s="2050"/>
      <c r="BA133" s="2050"/>
      <c r="BB133" s="2050"/>
      <c r="BC133" s="2050"/>
      <c r="BD133" s="2051"/>
      <c r="BE133" s="1194"/>
    </row>
    <row r="134" spans="1:57" ht="15.75" customHeight="1">
      <c r="A134" s="1190"/>
      <c r="B134" s="2046"/>
      <c r="C134" s="2047"/>
      <c r="D134" s="2047"/>
      <c r="E134" s="2047"/>
      <c r="F134" s="2047"/>
      <c r="G134" s="2047"/>
      <c r="H134" s="2047"/>
      <c r="I134" s="2084" t="s">
        <v>2344</v>
      </c>
      <c r="J134" s="2084"/>
      <c r="K134" s="2084"/>
      <c r="L134" s="2084"/>
      <c r="M134" s="2084"/>
      <c r="N134" s="2084"/>
      <c r="O134" s="2084"/>
      <c r="P134" s="2084" t="s">
        <v>2343</v>
      </c>
      <c r="Q134" s="2084"/>
      <c r="R134" s="2084"/>
      <c r="S134" s="2084"/>
      <c r="T134" s="2084"/>
      <c r="U134" s="2085"/>
      <c r="V134" s="1190"/>
      <c r="W134" s="1190"/>
      <c r="X134" s="2049"/>
      <c r="Y134" s="2050"/>
      <c r="Z134" s="2050"/>
      <c r="AA134" s="2050"/>
      <c r="AB134" s="2050"/>
      <c r="AC134" s="2050"/>
      <c r="AD134" s="2050"/>
      <c r="AE134" s="2050"/>
      <c r="AF134" s="2050"/>
      <c r="AG134" s="2050"/>
      <c r="AH134" s="2050"/>
      <c r="AI134" s="2050"/>
      <c r="AJ134" s="2050"/>
      <c r="AK134" s="2050"/>
      <c r="AL134" s="2050"/>
      <c r="AM134" s="2050"/>
      <c r="AN134" s="2050"/>
      <c r="AO134" s="2050"/>
      <c r="AP134" s="2050"/>
      <c r="AQ134" s="2050"/>
      <c r="AR134" s="2050"/>
      <c r="AS134" s="2050"/>
      <c r="AT134" s="2050"/>
      <c r="AU134" s="2050"/>
      <c r="AV134" s="2050"/>
      <c r="AW134" s="2050"/>
      <c r="AX134" s="2050"/>
      <c r="AY134" s="2050"/>
      <c r="AZ134" s="2050"/>
      <c r="BA134" s="2050"/>
      <c r="BB134" s="2050"/>
      <c r="BC134" s="2050"/>
      <c r="BD134" s="2051"/>
      <c r="BE134" s="1194"/>
    </row>
    <row r="135" spans="1:57" ht="15.75" customHeight="1">
      <c r="A135" s="1190"/>
      <c r="B135" s="2046"/>
      <c r="C135" s="2047"/>
      <c r="D135" s="2047"/>
      <c r="E135" s="2047"/>
      <c r="F135" s="2047"/>
      <c r="G135" s="2047"/>
      <c r="H135" s="2047"/>
      <c r="I135" s="2084"/>
      <c r="J135" s="2084"/>
      <c r="K135" s="2084"/>
      <c r="L135" s="2084"/>
      <c r="M135" s="2084"/>
      <c r="N135" s="2084"/>
      <c r="O135" s="2084"/>
      <c r="P135" s="2084"/>
      <c r="Q135" s="2084"/>
      <c r="R135" s="2084"/>
      <c r="S135" s="2084"/>
      <c r="T135" s="2084"/>
      <c r="U135" s="2085"/>
      <c r="V135" s="1190"/>
      <c r="W135" s="1190"/>
      <c r="X135" s="2049"/>
      <c r="Y135" s="2050"/>
      <c r="Z135" s="2050"/>
      <c r="AA135" s="2050"/>
      <c r="AB135" s="2050"/>
      <c r="AC135" s="2050"/>
      <c r="AD135" s="2050"/>
      <c r="AE135" s="2050"/>
      <c r="AF135" s="2050"/>
      <c r="AG135" s="2050"/>
      <c r="AH135" s="2050"/>
      <c r="AI135" s="2050"/>
      <c r="AJ135" s="2050"/>
      <c r="AK135" s="2050"/>
      <c r="AL135" s="2050"/>
      <c r="AM135" s="2050"/>
      <c r="AN135" s="2050"/>
      <c r="AO135" s="2050"/>
      <c r="AP135" s="2050"/>
      <c r="AQ135" s="2050"/>
      <c r="AR135" s="2050"/>
      <c r="AS135" s="2050"/>
      <c r="AT135" s="2050"/>
      <c r="AU135" s="2050"/>
      <c r="AV135" s="2050"/>
      <c r="AW135" s="2050"/>
      <c r="AX135" s="2050"/>
      <c r="AY135" s="2050"/>
      <c r="AZ135" s="2050"/>
      <c r="BA135" s="2050"/>
      <c r="BB135" s="2050"/>
      <c r="BC135" s="2050"/>
      <c r="BD135" s="2051"/>
      <c r="BE135" s="1194"/>
    </row>
    <row r="136" spans="1:57" ht="15.75" customHeight="1">
      <c r="A136" s="1190"/>
      <c r="B136" s="2080" t="s">
        <v>2342</v>
      </c>
      <c r="C136" s="2081"/>
      <c r="D136" s="2081"/>
      <c r="E136" s="2081"/>
      <c r="F136" s="2081"/>
      <c r="G136" s="2081"/>
      <c r="H136" s="2081"/>
      <c r="I136" s="2082">
        <v>0</v>
      </c>
      <c r="J136" s="2082"/>
      <c r="K136" s="2082"/>
      <c r="L136" s="2082"/>
      <c r="M136" s="2082"/>
      <c r="N136" s="2082"/>
      <c r="O136" s="2082"/>
      <c r="P136" s="2082">
        <v>0</v>
      </c>
      <c r="Q136" s="2082"/>
      <c r="R136" s="2082"/>
      <c r="S136" s="2082"/>
      <c r="T136" s="2082"/>
      <c r="U136" s="2083"/>
      <c r="V136" s="1190"/>
      <c r="W136" s="1190"/>
      <c r="X136" s="2049"/>
      <c r="Y136" s="2050"/>
      <c r="Z136" s="2050"/>
      <c r="AA136" s="2050"/>
      <c r="AB136" s="2050"/>
      <c r="AC136" s="2050"/>
      <c r="AD136" s="2050"/>
      <c r="AE136" s="2050"/>
      <c r="AF136" s="2050"/>
      <c r="AG136" s="2050"/>
      <c r="AH136" s="2050"/>
      <c r="AI136" s="2050"/>
      <c r="AJ136" s="2050"/>
      <c r="AK136" s="2050"/>
      <c r="AL136" s="2050"/>
      <c r="AM136" s="2050"/>
      <c r="AN136" s="2050"/>
      <c r="AO136" s="2050"/>
      <c r="AP136" s="2050"/>
      <c r="AQ136" s="2050"/>
      <c r="AR136" s="2050"/>
      <c r="AS136" s="2050"/>
      <c r="AT136" s="2050"/>
      <c r="AU136" s="2050"/>
      <c r="AV136" s="2050"/>
      <c r="AW136" s="2050"/>
      <c r="AX136" s="2050"/>
      <c r="AY136" s="2050"/>
      <c r="AZ136" s="2050"/>
      <c r="BA136" s="2050"/>
      <c r="BB136" s="2050"/>
      <c r="BC136" s="2050"/>
      <c r="BD136" s="2051"/>
      <c r="BE136" s="1194"/>
    </row>
    <row r="137" spans="1:57" ht="15.75" customHeight="1" thickBot="1">
      <c r="A137" s="1190"/>
      <c r="B137" s="2074" t="s">
        <v>2341</v>
      </c>
      <c r="C137" s="2075"/>
      <c r="D137" s="2075"/>
      <c r="E137" s="2075"/>
      <c r="F137" s="2075"/>
      <c r="G137" s="2075"/>
      <c r="H137" s="2075"/>
      <c r="I137" s="2076">
        <v>0</v>
      </c>
      <c r="J137" s="2076"/>
      <c r="K137" s="2076"/>
      <c r="L137" s="2076"/>
      <c r="M137" s="2076"/>
      <c r="N137" s="2076"/>
      <c r="O137" s="2076"/>
      <c r="P137" s="2076">
        <v>0</v>
      </c>
      <c r="Q137" s="2076"/>
      <c r="R137" s="2076"/>
      <c r="S137" s="2076"/>
      <c r="T137" s="2076"/>
      <c r="U137" s="2077"/>
      <c r="V137" s="1190"/>
      <c r="W137" s="1190"/>
      <c r="X137" s="2052"/>
      <c r="Y137" s="2053"/>
      <c r="Z137" s="2053"/>
      <c r="AA137" s="2053"/>
      <c r="AB137" s="2053"/>
      <c r="AC137" s="2053"/>
      <c r="AD137" s="2053"/>
      <c r="AE137" s="2053"/>
      <c r="AF137" s="2053"/>
      <c r="AG137" s="2053"/>
      <c r="AH137" s="2053"/>
      <c r="AI137" s="2053"/>
      <c r="AJ137" s="2053"/>
      <c r="AK137" s="2053"/>
      <c r="AL137" s="2053"/>
      <c r="AM137" s="2053"/>
      <c r="AN137" s="2053"/>
      <c r="AO137" s="2053"/>
      <c r="AP137" s="2053"/>
      <c r="AQ137" s="2053"/>
      <c r="AR137" s="2053"/>
      <c r="AS137" s="2053"/>
      <c r="AT137" s="2053"/>
      <c r="AU137" s="2053"/>
      <c r="AV137" s="2053"/>
      <c r="AW137" s="2053"/>
      <c r="AX137" s="2053"/>
      <c r="AY137" s="2053"/>
      <c r="AZ137" s="2053"/>
      <c r="BA137" s="2053"/>
      <c r="BB137" s="2053"/>
      <c r="BC137" s="2053"/>
      <c r="BD137" s="205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1" t="s">
        <v>2354</v>
      </c>
      <c r="C139" s="2102"/>
      <c r="D139" s="2102"/>
      <c r="E139" s="2102"/>
      <c r="F139" s="2102"/>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089" t="s">
        <v>545</v>
      </c>
      <c r="AI139" s="2089"/>
      <c r="AJ139" s="2089"/>
      <c r="AK139" s="2089"/>
      <c r="AL139" s="2089"/>
      <c r="AM139" s="2089"/>
      <c r="AN139" s="2089"/>
      <c r="AO139" s="2089"/>
      <c r="AP139" s="2089"/>
      <c r="AQ139" s="2089"/>
      <c r="AR139" s="2089"/>
      <c r="AS139" s="2089"/>
      <c r="AT139" s="2089"/>
      <c r="AU139" s="2089"/>
      <c r="AV139" s="2089"/>
      <c r="AW139" s="2089"/>
      <c r="AX139" s="2090"/>
      <c r="AY139" s="1190"/>
      <c r="AZ139" s="1190"/>
      <c r="BA139" s="1190"/>
      <c r="BB139" s="1190"/>
      <c r="BC139" s="1190"/>
      <c r="BD139" s="1190"/>
      <c r="BE139" s="1194"/>
    </row>
    <row r="140" spans="1:57" ht="15.75" customHeight="1" thickBot="1">
      <c r="A140" s="1190"/>
      <c r="B140" s="2086" t="s">
        <v>2353</v>
      </c>
      <c r="C140" s="2087"/>
      <c r="D140" s="2087"/>
      <c r="E140" s="2087"/>
      <c r="F140" s="2087"/>
      <c r="G140" s="2087"/>
      <c r="H140" s="2087"/>
      <c r="I140" s="2087"/>
      <c r="J140" s="2087"/>
      <c r="K140" s="2087"/>
      <c r="L140" s="2087"/>
      <c r="M140" s="2087"/>
      <c r="N140" s="2087"/>
      <c r="O140" s="2087"/>
      <c r="P140" s="2087"/>
      <c r="Q140" s="2087"/>
      <c r="R140" s="2087"/>
      <c r="S140" s="2087"/>
      <c r="T140" s="2087"/>
      <c r="U140" s="2087"/>
      <c r="V140" s="2087"/>
      <c r="W140" s="2087"/>
      <c r="X140" s="2087"/>
      <c r="Y140" s="2087"/>
      <c r="Z140" s="2087"/>
      <c r="AA140" s="2087"/>
      <c r="AB140" s="2087"/>
      <c r="AC140" s="2087"/>
      <c r="AD140" s="2087"/>
      <c r="AE140" s="2087"/>
      <c r="AF140" s="2087"/>
      <c r="AG140" s="2088"/>
      <c r="AH140" s="2103" t="s">
        <v>2730</v>
      </c>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086" t="s">
        <v>2352</v>
      </c>
      <c r="C141" s="2087"/>
      <c r="D141" s="2087"/>
      <c r="E141" s="2087"/>
      <c r="F141" s="2087"/>
      <c r="G141" s="2087"/>
      <c r="H141" s="2087"/>
      <c r="I141" s="2087"/>
      <c r="J141" s="2087"/>
      <c r="K141" s="2087"/>
      <c r="L141" s="2087"/>
      <c r="M141" s="2087"/>
      <c r="N141" s="2087"/>
      <c r="O141" s="2087"/>
      <c r="P141" s="2087"/>
      <c r="Q141" s="2087"/>
      <c r="R141" s="2087"/>
      <c r="S141" s="2087"/>
      <c r="T141" s="2087"/>
      <c r="U141" s="2087"/>
      <c r="V141" s="2087"/>
      <c r="W141" s="2087"/>
      <c r="X141" s="2087"/>
      <c r="Y141" s="2087"/>
      <c r="Z141" s="2087"/>
      <c r="AA141" s="2087"/>
      <c r="AB141" s="2087"/>
      <c r="AC141" s="2087"/>
      <c r="AD141" s="2087"/>
      <c r="AE141" s="2087"/>
      <c r="AF141" s="2087"/>
      <c r="AG141" s="2088"/>
      <c r="AH141" s="2089" t="s">
        <v>669</v>
      </c>
      <c r="AI141" s="2089"/>
      <c r="AJ141" s="2089"/>
      <c r="AK141" s="2089"/>
      <c r="AL141" s="2089"/>
      <c r="AM141" s="2089"/>
      <c r="AN141" s="2089"/>
      <c r="AO141" s="2089"/>
      <c r="AP141" s="2089"/>
      <c r="AQ141" s="2089"/>
      <c r="AR141" s="2089"/>
      <c r="AS141" s="2089"/>
      <c r="AT141" s="2089"/>
      <c r="AU141" s="2089"/>
      <c r="AV141" s="2089"/>
      <c r="AW141" s="2089"/>
      <c r="AX141" s="2090"/>
      <c r="AY141" s="1190"/>
      <c r="AZ141" s="1190"/>
      <c r="BA141" s="1190"/>
      <c r="BB141" s="1190"/>
      <c r="BC141" s="1190"/>
      <c r="BD141" s="1190"/>
      <c r="BE141" s="1194"/>
    </row>
    <row r="142" spans="1:57" ht="15.75" customHeight="1">
      <c r="A142" s="1190"/>
      <c r="B142" s="2091" t="s">
        <v>2351</v>
      </c>
      <c r="C142" s="2092"/>
      <c r="D142" s="2092"/>
      <c r="E142" s="2092"/>
      <c r="F142" s="2092"/>
      <c r="G142" s="2092"/>
      <c r="H142" s="2092"/>
      <c r="I142" s="2092"/>
      <c r="J142" s="2092"/>
      <c r="K142" s="2092"/>
      <c r="L142" s="2092"/>
      <c r="M142" s="2092"/>
      <c r="N142" s="2092"/>
      <c r="O142" s="2092"/>
      <c r="P142" s="2092"/>
      <c r="Q142" s="2092"/>
      <c r="R142" s="2093" t="s">
        <v>2350</v>
      </c>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190"/>
      <c r="AZ142" s="1190"/>
      <c r="BA142" s="1190"/>
      <c r="BB142" s="1190"/>
      <c r="BC142" s="1190" t="s">
        <v>250</v>
      </c>
      <c r="BD142" s="1190"/>
      <c r="BE142" s="1194"/>
    </row>
    <row r="143" spans="1:57" ht="15.75" customHeight="1">
      <c r="A143" s="1190"/>
      <c r="B143" s="2095" t="s">
        <v>2731</v>
      </c>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190"/>
      <c r="AZ143" s="1190"/>
      <c r="BA143" s="1190"/>
      <c r="BB143" s="1190"/>
      <c r="BC143" s="1190"/>
      <c r="BD143" s="1190"/>
      <c r="BE143" s="1194"/>
    </row>
    <row r="144" spans="1:57" ht="15.75" customHeight="1">
      <c r="A144" s="1190"/>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190"/>
      <c r="AZ144" s="1190"/>
      <c r="BA144" s="1190"/>
      <c r="BB144" s="1190"/>
      <c r="BC144" s="1190"/>
      <c r="BD144" s="1190"/>
      <c r="BE144" s="1194"/>
    </row>
    <row r="145" spans="1:57" ht="15.75" customHeight="1">
      <c r="A145" s="1190"/>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190"/>
      <c r="AZ145" s="1190"/>
      <c r="BA145" s="1190"/>
      <c r="BB145" s="1190"/>
      <c r="BC145" s="1190"/>
      <c r="BD145" s="1190"/>
      <c r="BE145" s="1194"/>
    </row>
    <row r="146" spans="1:57" ht="15.75" customHeight="1">
      <c r="A146" s="1190"/>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190"/>
      <c r="AZ146" s="1190"/>
      <c r="BA146" s="1190"/>
      <c r="BB146" s="1190"/>
      <c r="BC146" s="1190"/>
      <c r="BD146" s="1190"/>
      <c r="BE146" s="1194"/>
    </row>
    <row r="147" spans="1:57" ht="15.75" customHeight="1">
      <c r="A147" s="1190"/>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190"/>
      <c r="AZ147" s="1190"/>
      <c r="BA147" s="1190"/>
      <c r="BB147" s="1190"/>
      <c r="BC147" s="1190"/>
      <c r="BD147" s="1190"/>
      <c r="BE147" s="1194"/>
    </row>
    <row r="148" spans="1:57" ht="15.75" customHeight="1">
      <c r="A148" s="1190"/>
      <c r="B148" s="2095"/>
      <c r="C148" s="2096"/>
      <c r="D148" s="2096"/>
      <c r="E148" s="2096"/>
      <c r="F148" s="2096"/>
      <c r="G148" s="2096"/>
      <c r="H148" s="2096"/>
      <c r="I148" s="2096"/>
      <c r="J148" s="2096"/>
      <c r="K148" s="2096"/>
      <c r="L148" s="2096"/>
      <c r="M148" s="2096"/>
      <c r="N148" s="2096"/>
      <c r="O148" s="2096"/>
      <c r="P148" s="2096"/>
      <c r="Q148" s="2096"/>
      <c r="R148" s="2096"/>
      <c r="S148" s="2096"/>
      <c r="T148" s="2096"/>
      <c r="U148" s="2096"/>
      <c r="V148" s="2096"/>
      <c r="W148" s="2096"/>
      <c r="X148" s="2096"/>
      <c r="Y148" s="2096"/>
      <c r="Z148" s="2096"/>
      <c r="AA148" s="2096"/>
      <c r="AB148" s="2096"/>
      <c r="AC148" s="2096"/>
      <c r="AD148" s="2096"/>
      <c r="AE148" s="2096"/>
      <c r="AF148" s="2096"/>
      <c r="AG148" s="2096"/>
      <c r="AH148" s="2096"/>
      <c r="AI148" s="2096"/>
      <c r="AJ148" s="2096"/>
      <c r="AK148" s="2096"/>
      <c r="AL148" s="2096"/>
      <c r="AM148" s="2096"/>
      <c r="AN148" s="2096"/>
      <c r="AO148" s="2096"/>
      <c r="AP148" s="2096"/>
      <c r="AQ148" s="2096"/>
      <c r="AR148" s="2096"/>
      <c r="AS148" s="2096"/>
      <c r="AT148" s="2096"/>
      <c r="AU148" s="2096"/>
      <c r="AV148" s="2096"/>
      <c r="AW148" s="2096"/>
      <c r="AX148" s="2097"/>
      <c r="AY148" s="1190"/>
      <c r="AZ148" s="1190"/>
      <c r="BA148" s="1190"/>
      <c r="BB148" s="1190"/>
      <c r="BC148" s="1190"/>
      <c r="BD148" s="1190"/>
      <c r="BE148" s="1194"/>
    </row>
    <row r="149" spans="1:57" ht="15.75" customHeight="1">
      <c r="A149" s="1190"/>
      <c r="B149" s="2095"/>
      <c r="C149" s="2096"/>
      <c r="D149" s="2096"/>
      <c r="E149" s="2096"/>
      <c r="F149" s="2096"/>
      <c r="G149" s="2096"/>
      <c r="H149" s="2096"/>
      <c r="I149" s="2096"/>
      <c r="J149" s="2096"/>
      <c r="K149" s="2096"/>
      <c r="L149" s="2096"/>
      <c r="M149" s="2096"/>
      <c r="N149" s="2096"/>
      <c r="O149" s="2096"/>
      <c r="P149" s="2096"/>
      <c r="Q149" s="2096"/>
      <c r="R149" s="2096"/>
      <c r="S149" s="2096"/>
      <c r="T149" s="2096"/>
      <c r="U149" s="2096"/>
      <c r="V149" s="2096"/>
      <c r="W149" s="2096"/>
      <c r="X149" s="2096"/>
      <c r="Y149" s="2096"/>
      <c r="Z149" s="2096"/>
      <c r="AA149" s="2096"/>
      <c r="AB149" s="2096"/>
      <c r="AC149" s="2096"/>
      <c r="AD149" s="2096"/>
      <c r="AE149" s="2096"/>
      <c r="AF149" s="2096"/>
      <c r="AG149" s="2096"/>
      <c r="AH149" s="2096"/>
      <c r="AI149" s="2096"/>
      <c r="AJ149" s="2096"/>
      <c r="AK149" s="2096"/>
      <c r="AL149" s="2096"/>
      <c r="AM149" s="2096"/>
      <c r="AN149" s="2096"/>
      <c r="AO149" s="2096"/>
      <c r="AP149" s="2096"/>
      <c r="AQ149" s="2096"/>
      <c r="AR149" s="2096"/>
      <c r="AS149" s="2096"/>
      <c r="AT149" s="2096"/>
      <c r="AU149" s="2096"/>
      <c r="AV149" s="2096"/>
      <c r="AW149" s="2096"/>
      <c r="AX149" s="2097"/>
      <c r="AY149" s="1190"/>
      <c r="AZ149" s="1190"/>
      <c r="BA149" s="1190"/>
      <c r="BB149" s="1190"/>
      <c r="BC149" s="1190"/>
      <c r="BD149" s="1190"/>
      <c r="BE149" s="1194"/>
    </row>
    <row r="150" spans="1:57" ht="15.75" customHeight="1">
      <c r="A150" s="1190"/>
      <c r="B150" s="2095"/>
      <c r="C150" s="2096"/>
      <c r="D150" s="2096"/>
      <c r="E150" s="2096"/>
      <c r="F150" s="2096"/>
      <c r="G150" s="2096"/>
      <c r="H150" s="2096"/>
      <c r="I150" s="2096"/>
      <c r="J150" s="2096"/>
      <c r="K150" s="2096"/>
      <c r="L150" s="2096"/>
      <c r="M150" s="2096"/>
      <c r="N150" s="2096"/>
      <c r="O150" s="2096"/>
      <c r="P150" s="2096"/>
      <c r="Q150" s="2096"/>
      <c r="R150" s="2096"/>
      <c r="S150" s="2096"/>
      <c r="T150" s="2096"/>
      <c r="U150" s="2096"/>
      <c r="V150" s="2096"/>
      <c r="W150" s="2096"/>
      <c r="X150" s="2096"/>
      <c r="Y150" s="2096"/>
      <c r="Z150" s="2096"/>
      <c r="AA150" s="2096"/>
      <c r="AB150" s="2096"/>
      <c r="AC150" s="2096"/>
      <c r="AD150" s="2096"/>
      <c r="AE150" s="2096"/>
      <c r="AF150" s="2096"/>
      <c r="AG150" s="2096"/>
      <c r="AH150" s="2096"/>
      <c r="AI150" s="2096"/>
      <c r="AJ150" s="2096"/>
      <c r="AK150" s="2096"/>
      <c r="AL150" s="2096"/>
      <c r="AM150" s="2096"/>
      <c r="AN150" s="2096"/>
      <c r="AO150" s="2096"/>
      <c r="AP150" s="2096"/>
      <c r="AQ150" s="2096"/>
      <c r="AR150" s="2096"/>
      <c r="AS150" s="2096"/>
      <c r="AT150" s="2096"/>
      <c r="AU150" s="2096"/>
      <c r="AV150" s="2096"/>
      <c r="AW150" s="2096"/>
      <c r="AX150" s="2097"/>
      <c r="AY150" s="1190"/>
      <c r="AZ150" s="1190"/>
      <c r="BA150" s="1190"/>
      <c r="BB150" s="1190"/>
      <c r="BC150" s="1190"/>
      <c r="BD150" s="1190"/>
      <c r="BE150" s="1194"/>
    </row>
    <row r="151" spans="1:57" ht="15.75" customHeight="1">
      <c r="A151" s="1190"/>
      <c r="B151" s="2095"/>
      <c r="C151" s="2096"/>
      <c r="D151" s="2096"/>
      <c r="E151" s="2096"/>
      <c r="F151" s="2096"/>
      <c r="G151" s="2096"/>
      <c r="H151" s="2096"/>
      <c r="I151" s="2096"/>
      <c r="J151" s="2096"/>
      <c r="K151" s="2096"/>
      <c r="L151" s="2096"/>
      <c r="M151" s="2096"/>
      <c r="N151" s="2096"/>
      <c r="O151" s="2096"/>
      <c r="P151" s="2096"/>
      <c r="Q151" s="2096"/>
      <c r="R151" s="2096"/>
      <c r="S151" s="2096"/>
      <c r="T151" s="2096"/>
      <c r="U151" s="2096"/>
      <c r="V151" s="2096"/>
      <c r="W151" s="2096"/>
      <c r="X151" s="2096"/>
      <c r="Y151" s="2096"/>
      <c r="Z151" s="2096"/>
      <c r="AA151" s="2096"/>
      <c r="AB151" s="2096"/>
      <c r="AC151" s="2096"/>
      <c r="AD151" s="2096"/>
      <c r="AE151" s="2096"/>
      <c r="AF151" s="2096"/>
      <c r="AG151" s="2096"/>
      <c r="AH151" s="2096"/>
      <c r="AI151" s="2096"/>
      <c r="AJ151" s="2096"/>
      <c r="AK151" s="2096"/>
      <c r="AL151" s="2096"/>
      <c r="AM151" s="2096"/>
      <c r="AN151" s="2096"/>
      <c r="AO151" s="2096"/>
      <c r="AP151" s="2096"/>
      <c r="AQ151" s="2096"/>
      <c r="AR151" s="2096"/>
      <c r="AS151" s="2096"/>
      <c r="AT151" s="2096"/>
      <c r="AU151" s="2096"/>
      <c r="AV151" s="2096"/>
      <c r="AW151" s="2096"/>
      <c r="AX151" s="2097"/>
      <c r="AY151" s="1190"/>
      <c r="AZ151" s="1190"/>
      <c r="BA151" s="1190"/>
      <c r="BB151" s="1190"/>
      <c r="BC151" s="1190"/>
      <c r="BD151" s="1190"/>
      <c r="BE151" s="1194"/>
    </row>
    <row r="152" spans="1:57" ht="15.75" customHeight="1" thickBot="1">
      <c r="A152" s="1190"/>
      <c r="B152" s="2098"/>
      <c r="C152" s="2099"/>
      <c r="D152" s="2099"/>
      <c r="E152" s="2099"/>
      <c r="F152" s="2099"/>
      <c r="G152" s="2099"/>
      <c r="H152" s="2099"/>
      <c r="I152" s="2099"/>
      <c r="J152" s="2099"/>
      <c r="K152" s="2099"/>
      <c r="L152" s="2099"/>
      <c r="M152" s="2099"/>
      <c r="N152" s="2099"/>
      <c r="O152" s="2099"/>
      <c r="P152" s="2099"/>
      <c r="Q152" s="2099"/>
      <c r="R152" s="2099"/>
      <c r="S152" s="2099"/>
      <c r="T152" s="2099"/>
      <c r="U152" s="2099"/>
      <c r="V152" s="2099"/>
      <c r="W152" s="2099"/>
      <c r="X152" s="2099"/>
      <c r="Y152" s="2099"/>
      <c r="Z152" s="2099"/>
      <c r="AA152" s="2099"/>
      <c r="AB152" s="2099"/>
      <c r="AC152" s="2099"/>
      <c r="AD152" s="2099"/>
      <c r="AE152" s="2099"/>
      <c r="AF152" s="2099"/>
      <c r="AG152" s="2099"/>
      <c r="AH152" s="2099"/>
      <c r="AI152" s="2099"/>
      <c r="AJ152" s="2099"/>
      <c r="AK152" s="2099"/>
      <c r="AL152" s="2099"/>
      <c r="AM152" s="2099"/>
      <c r="AN152" s="2099"/>
      <c r="AO152" s="2099"/>
      <c r="AP152" s="2099"/>
      <c r="AQ152" s="2099"/>
      <c r="AR152" s="2099"/>
      <c r="AS152" s="2099"/>
      <c r="AT152" s="2099"/>
      <c r="AU152" s="2099"/>
      <c r="AV152" s="2099"/>
      <c r="AW152" s="2099"/>
      <c r="AX152" s="210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8" t="s">
        <v>2347</v>
      </c>
      <c r="C156" s="2034"/>
      <c r="D156" s="2034"/>
      <c r="E156" s="2034"/>
      <c r="F156" s="2034"/>
      <c r="G156" s="2034"/>
      <c r="H156" s="2034"/>
      <c r="I156" s="2034"/>
      <c r="J156" s="2034"/>
      <c r="K156" s="2034"/>
      <c r="L156" s="2034"/>
      <c r="M156" s="2034"/>
      <c r="N156" s="2034"/>
      <c r="O156" s="2034"/>
      <c r="P156" s="2034"/>
      <c r="Q156" s="2034"/>
      <c r="R156" s="2034"/>
      <c r="S156" s="2034"/>
      <c r="T156" s="2034"/>
      <c r="U156" s="2035"/>
      <c r="V156" s="1190"/>
      <c r="W156" s="1192"/>
      <c r="X156" s="2078" t="s">
        <v>2346</v>
      </c>
      <c r="Y156" s="2034"/>
      <c r="Z156" s="2034"/>
      <c r="AA156" s="2034"/>
      <c r="AB156" s="2034"/>
      <c r="AC156" s="2034"/>
      <c r="AD156" s="2034"/>
      <c r="AE156" s="2034"/>
      <c r="AF156" s="2034"/>
      <c r="AG156" s="2034"/>
      <c r="AH156" s="2034"/>
      <c r="AI156" s="2034"/>
      <c r="AJ156" s="2034"/>
      <c r="AK156" s="2034"/>
      <c r="AL156" s="2034"/>
      <c r="AM156" s="2034"/>
      <c r="AN156" s="2034"/>
      <c r="AO156" s="2034"/>
      <c r="AP156" s="2034"/>
      <c r="AQ156" s="203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6"/>
      <c r="C157" s="2047"/>
      <c r="D157" s="2047"/>
      <c r="E157" s="2047"/>
      <c r="F157" s="2047"/>
      <c r="G157" s="2047"/>
      <c r="H157" s="2047"/>
      <c r="I157" s="2084" t="s">
        <v>2344</v>
      </c>
      <c r="J157" s="2084"/>
      <c r="K157" s="2084"/>
      <c r="L157" s="2084"/>
      <c r="M157" s="2084"/>
      <c r="N157" s="2084"/>
      <c r="O157" s="2084"/>
      <c r="P157" s="2084" t="s">
        <v>2345</v>
      </c>
      <c r="Q157" s="2084"/>
      <c r="R157" s="2084"/>
      <c r="S157" s="2084"/>
      <c r="T157" s="2084"/>
      <c r="U157" s="2085"/>
      <c r="V157" s="1190"/>
      <c r="W157" s="1190"/>
      <c r="X157" s="2046"/>
      <c r="Y157" s="2047"/>
      <c r="Z157" s="2047"/>
      <c r="AA157" s="2047"/>
      <c r="AB157" s="2047"/>
      <c r="AC157" s="2047"/>
      <c r="AD157" s="2047"/>
      <c r="AE157" s="2084" t="s">
        <v>2344</v>
      </c>
      <c r="AF157" s="2084"/>
      <c r="AG157" s="2084"/>
      <c r="AH157" s="2084"/>
      <c r="AI157" s="2084"/>
      <c r="AJ157" s="2084"/>
      <c r="AK157" s="2084"/>
      <c r="AL157" s="2084" t="s">
        <v>2343</v>
      </c>
      <c r="AM157" s="2084"/>
      <c r="AN157" s="2084"/>
      <c r="AO157" s="2084"/>
      <c r="AP157" s="2084"/>
      <c r="AQ157" s="208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6"/>
      <c r="C158" s="2047"/>
      <c r="D158" s="2047"/>
      <c r="E158" s="2047"/>
      <c r="F158" s="2047"/>
      <c r="G158" s="2047"/>
      <c r="H158" s="2047"/>
      <c r="I158" s="2084"/>
      <c r="J158" s="2084"/>
      <c r="K158" s="2084"/>
      <c r="L158" s="2084"/>
      <c r="M158" s="2084"/>
      <c r="N158" s="2084"/>
      <c r="O158" s="2084"/>
      <c r="P158" s="2084"/>
      <c r="Q158" s="2084"/>
      <c r="R158" s="2084"/>
      <c r="S158" s="2084"/>
      <c r="T158" s="2084"/>
      <c r="U158" s="2085"/>
      <c r="V158" s="1190"/>
      <c r="W158" s="1190"/>
      <c r="X158" s="2046"/>
      <c r="Y158" s="2047"/>
      <c r="Z158" s="2047"/>
      <c r="AA158" s="2047"/>
      <c r="AB158" s="2047"/>
      <c r="AC158" s="2047"/>
      <c r="AD158" s="2047"/>
      <c r="AE158" s="2084"/>
      <c r="AF158" s="2084"/>
      <c r="AG158" s="2084"/>
      <c r="AH158" s="2084"/>
      <c r="AI158" s="2084"/>
      <c r="AJ158" s="2084"/>
      <c r="AK158" s="2084"/>
      <c r="AL158" s="2084"/>
      <c r="AM158" s="2084"/>
      <c r="AN158" s="2084"/>
      <c r="AO158" s="2084"/>
      <c r="AP158" s="2084"/>
      <c r="AQ158" s="208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0" t="s">
        <v>2342</v>
      </c>
      <c r="C159" s="2081"/>
      <c r="D159" s="2081"/>
      <c r="E159" s="2081"/>
      <c r="F159" s="2081"/>
      <c r="G159" s="2081"/>
      <c r="H159" s="2081"/>
      <c r="I159" s="2082">
        <v>0</v>
      </c>
      <c r="J159" s="2082"/>
      <c r="K159" s="2082"/>
      <c r="L159" s="2082"/>
      <c r="M159" s="2082"/>
      <c r="N159" s="2082"/>
      <c r="O159" s="2082"/>
      <c r="P159" s="2082">
        <v>0</v>
      </c>
      <c r="Q159" s="2082"/>
      <c r="R159" s="2082"/>
      <c r="S159" s="2082"/>
      <c r="T159" s="2082"/>
      <c r="U159" s="2083"/>
      <c r="V159" s="1190"/>
      <c r="W159" s="1190"/>
      <c r="X159" s="2074" t="s">
        <v>2342</v>
      </c>
      <c r="Y159" s="2075"/>
      <c r="Z159" s="2075"/>
      <c r="AA159" s="2075"/>
      <c r="AB159" s="2075"/>
      <c r="AC159" s="2075"/>
      <c r="AD159" s="2075"/>
      <c r="AE159" s="2076">
        <v>0</v>
      </c>
      <c r="AF159" s="2076"/>
      <c r="AG159" s="2076"/>
      <c r="AH159" s="2076"/>
      <c r="AI159" s="2076"/>
      <c r="AJ159" s="2076"/>
      <c r="AK159" s="2076"/>
      <c r="AL159" s="2076">
        <v>0</v>
      </c>
      <c r="AM159" s="2076"/>
      <c r="AN159" s="2076"/>
      <c r="AO159" s="2076"/>
      <c r="AP159" s="2076"/>
      <c r="AQ159" s="207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4" t="s">
        <v>2341</v>
      </c>
      <c r="C160" s="2075"/>
      <c r="D160" s="2075"/>
      <c r="E160" s="2075"/>
      <c r="F160" s="2075"/>
      <c r="G160" s="2075"/>
      <c r="H160" s="2075"/>
      <c r="I160" s="2076">
        <v>0</v>
      </c>
      <c r="J160" s="2076"/>
      <c r="K160" s="2076"/>
      <c r="L160" s="2076"/>
      <c r="M160" s="2076"/>
      <c r="N160" s="2076"/>
      <c r="O160" s="2076"/>
      <c r="P160" s="2076">
        <v>0</v>
      </c>
      <c r="Q160" s="2076"/>
      <c r="R160" s="2076"/>
      <c r="S160" s="2076"/>
      <c r="T160" s="2076"/>
      <c r="U160" s="207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8" t="s">
        <v>2340</v>
      </c>
      <c r="D162" s="2034"/>
      <c r="E162" s="2034"/>
      <c r="F162" s="2034"/>
      <c r="G162" s="2034"/>
      <c r="H162" s="2034"/>
      <c r="I162" s="2034"/>
      <c r="J162" s="2034"/>
      <c r="K162" s="2034"/>
      <c r="L162" s="2034"/>
      <c r="M162" s="2034"/>
      <c r="N162" s="2034"/>
      <c r="O162" s="2034"/>
      <c r="P162" s="2034"/>
      <c r="Q162" s="2034"/>
      <c r="R162" s="2034"/>
      <c r="S162" s="2034"/>
      <c r="T162" s="2034"/>
      <c r="U162" s="2034"/>
      <c r="V162" s="2034"/>
      <c r="W162" s="2034"/>
      <c r="X162" s="2034"/>
      <c r="Y162" s="2034"/>
      <c r="Z162" s="2034"/>
      <c r="AA162" s="2034"/>
      <c r="AB162" s="2034"/>
      <c r="AC162" s="2034"/>
      <c r="AD162" s="2034"/>
      <c r="AE162" s="2034"/>
      <c r="AF162" s="2034"/>
      <c r="AG162" s="203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6" t="s">
        <v>2325</v>
      </c>
      <c r="D163" s="2047"/>
      <c r="E163" s="2047"/>
      <c r="F163" s="2047"/>
      <c r="G163" s="2047"/>
      <c r="H163" s="2047"/>
      <c r="I163" s="2047"/>
      <c r="J163" s="2047"/>
      <c r="K163" s="2047"/>
      <c r="L163" s="2047"/>
      <c r="M163" s="2047"/>
      <c r="N163" s="2047"/>
      <c r="O163" s="2047"/>
      <c r="P163" s="2047"/>
      <c r="Q163" s="2047" t="s">
        <v>2339</v>
      </c>
      <c r="R163" s="2047"/>
      <c r="S163" s="2047"/>
      <c r="T163" s="2079" t="s">
        <v>2338</v>
      </c>
      <c r="U163" s="2079"/>
      <c r="V163" s="2079"/>
      <c r="W163" s="2079"/>
      <c r="X163" s="2079"/>
      <c r="Y163" s="2079"/>
      <c r="Z163" s="2079"/>
      <c r="AA163" s="2079"/>
      <c r="AB163" s="2047" t="s">
        <v>2337</v>
      </c>
      <c r="AC163" s="2047"/>
      <c r="AD163" s="2047"/>
      <c r="AE163" s="2047"/>
      <c r="AF163" s="2047"/>
      <c r="AG163" s="204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1" t="s">
        <v>2336</v>
      </c>
      <c r="D164" s="2062"/>
      <c r="E164" s="2062"/>
      <c r="F164" s="2062"/>
      <c r="G164" s="2062"/>
      <c r="H164" s="2062"/>
      <c r="I164" s="2062"/>
      <c r="J164" s="2062"/>
      <c r="K164" s="2062"/>
      <c r="L164" s="2062"/>
      <c r="M164" s="2062"/>
      <c r="N164" s="2062"/>
      <c r="O164" s="2062"/>
      <c r="P164" s="2062"/>
      <c r="Q164" s="2004"/>
      <c r="R164" s="2004"/>
      <c r="S164" s="2004"/>
      <c r="T164" s="2055" t="s">
        <v>2723</v>
      </c>
      <c r="U164" s="2055"/>
      <c r="V164" s="2055"/>
      <c r="W164" s="2055"/>
      <c r="X164" s="2055"/>
      <c r="Y164" s="2055"/>
      <c r="Z164" s="2055"/>
      <c r="AA164" s="205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1" t="s">
        <v>2335</v>
      </c>
      <c r="D165" s="2062"/>
      <c r="E165" s="2062"/>
      <c r="F165" s="2062"/>
      <c r="G165" s="2062"/>
      <c r="H165" s="2062"/>
      <c r="I165" s="2062"/>
      <c r="J165" s="2062"/>
      <c r="K165" s="2062"/>
      <c r="L165" s="2062"/>
      <c r="M165" s="2062"/>
      <c r="N165" s="2062"/>
      <c r="O165" s="2062"/>
      <c r="P165" s="2062"/>
      <c r="Q165" s="2004"/>
      <c r="R165" s="2004"/>
      <c r="S165" s="2004"/>
      <c r="T165" s="2064"/>
      <c r="U165" s="2064"/>
      <c r="V165" s="2064"/>
      <c r="W165" s="2064"/>
      <c r="X165" s="2064"/>
      <c r="Y165" s="2064"/>
      <c r="Z165" s="2064"/>
      <c r="AA165" s="206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1" t="s">
        <v>2334</v>
      </c>
      <c r="D166" s="2062"/>
      <c r="E166" s="2062"/>
      <c r="F166" s="2062"/>
      <c r="G166" s="2062"/>
      <c r="H166" s="2062"/>
      <c r="I166" s="2062"/>
      <c r="J166" s="2062"/>
      <c r="K166" s="2062"/>
      <c r="L166" s="2062"/>
      <c r="M166" s="2062"/>
      <c r="N166" s="2062"/>
      <c r="O166" s="2062"/>
      <c r="P166" s="2062"/>
      <c r="Q166" s="2004"/>
      <c r="R166" s="2004"/>
      <c r="S166" s="2004"/>
      <c r="T166" s="2055"/>
      <c r="U166" s="2055"/>
      <c r="V166" s="2055"/>
      <c r="W166" s="2055"/>
      <c r="X166" s="2055"/>
      <c r="Y166" s="2055"/>
      <c r="Z166" s="2055"/>
      <c r="AA166" s="205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1" t="s">
        <v>2333</v>
      </c>
      <c r="D167" s="2062"/>
      <c r="E167" s="2062"/>
      <c r="F167" s="2062"/>
      <c r="G167" s="2062"/>
      <c r="H167" s="2062"/>
      <c r="I167" s="2062"/>
      <c r="J167" s="2062"/>
      <c r="K167" s="2062"/>
      <c r="L167" s="2062"/>
      <c r="M167" s="2062"/>
      <c r="N167" s="2062"/>
      <c r="O167" s="2062"/>
      <c r="P167" s="2062"/>
      <c r="Q167" s="2004">
        <v>55</v>
      </c>
      <c r="R167" s="2004"/>
      <c r="S167" s="2004"/>
      <c r="T167" s="2055"/>
      <c r="U167" s="2055"/>
      <c r="V167" s="2055"/>
      <c r="W167" s="2055"/>
      <c r="X167" s="2055"/>
      <c r="Y167" s="2055"/>
      <c r="Z167" s="2055"/>
      <c r="AA167" s="2055"/>
      <c r="AB167" s="2065">
        <v>0</v>
      </c>
      <c r="AC167" s="2065"/>
      <c r="AD167" s="2065"/>
      <c r="AE167" s="2065"/>
      <c r="AF167" s="2065"/>
      <c r="AG167" s="20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1" t="s">
        <v>170</v>
      </c>
      <c r="D168" s="2062"/>
      <c r="E168" s="2062"/>
      <c r="F168" s="2063" t="s">
        <v>2314</v>
      </c>
      <c r="G168" s="2063"/>
      <c r="H168" s="2063"/>
      <c r="I168" s="2063"/>
      <c r="J168" s="2063"/>
      <c r="K168" s="2063"/>
      <c r="L168" s="2063"/>
      <c r="M168" s="2063"/>
      <c r="N168" s="2063"/>
      <c r="O168" s="2063"/>
      <c r="P168" s="2063"/>
      <c r="Q168" s="2004">
        <v>55</v>
      </c>
      <c r="R168" s="2004"/>
      <c r="S168" s="2004"/>
      <c r="T168" s="2064"/>
      <c r="U168" s="2064"/>
      <c r="V168" s="2064"/>
      <c r="W168" s="2064"/>
      <c r="X168" s="2064"/>
      <c r="Y168" s="2064"/>
      <c r="Z168" s="2064"/>
      <c r="AA168" s="2064"/>
      <c r="AB168" s="2065">
        <v>0</v>
      </c>
      <c r="AC168" s="2065"/>
      <c r="AD168" s="2065"/>
      <c r="AE168" s="2065"/>
      <c r="AF168" s="2065"/>
      <c r="AG168" s="20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1" t="s">
        <v>170</v>
      </c>
      <c r="D169" s="2062"/>
      <c r="E169" s="2062"/>
      <c r="F169" s="2063" t="s">
        <v>2314</v>
      </c>
      <c r="G169" s="2063"/>
      <c r="H169" s="2063"/>
      <c r="I169" s="2063"/>
      <c r="J169" s="2063"/>
      <c r="K169" s="2063"/>
      <c r="L169" s="2063"/>
      <c r="M169" s="2063"/>
      <c r="N169" s="2063"/>
      <c r="O169" s="2063"/>
      <c r="P169" s="2063"/>
      <c r="Q169" s="2004">
        <v>55</v>
      </c>
      <c r="R169" s="2004"/>
      <c r="S169" s="2004"/>
      <c r="T169" s="2064"/>
      <c r="U169" s="2064"/>
      <c r="V169" s="2064"/>
      <c r="W169" s="2064"/>
      <c r="X169" s="2064"/>
      <c r="Y169" s="2064"/>
      <c r="Z169" s="2064"/>
      <c r="AA169" s="2064"/>
      <c r="AB169" s="2065">
        <v>0</v>
      </c>
      <c r="AC169" s="2065"/>
      <c r="AD169" s="2065"/>
      <c r="AE169" s="2065"/>
      <c r="AF169" s="2065"/>
      <c r="AG169" s="20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7" t="s">
        <v>170</v>
      </c>
      <c r="D170" s="2068"/>
      <c r="E170" s="2068"/>
      <c r="F170" s="2069" t="s">
        <v>2314</v>
      </c>
      <c r="G170" s="2069"/>
      <c r="H170" s="2069"/>
      <c r="I170" s="2069"/>
      <c r="J170" s="2069"/>
      <c r="K170" s="2069"/>
      <c r="L170" s="2069"/>
      <c r="M170" s="2069"/>
      <c r="N170" s="2069"/>
      <c r="O170" s="2069"/>
      <c r="P170" s="2069"/>
      <c r="Q170" s="2070">
        <v>55</v>
      </c>
      <c r="R170" s="2070"/>
      <c r="S170" s="2070"/>
      <c r="T170" s="2071"/>
      <c r="U170" s="2071"/>
      <c r="V170" s="2071"/>
      <c r="W170" s="2071"/>
      <c r="X170" s="2071"/>
      <c r="Y170" s="2071"/>
      <c r="Z170" s="2071"/>
      <c r="AA170" s="2071"/>
      <c r="AB170" s="2072">
        <v>0</v>
      </c>
      <c r="AC170" s="2072"/>
      <c r="AD170" s="2072"/>
      <c r="AE170" s="2072"/>
      <c r="AF170" s="2072"/>
      <c r="AG170" s="20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2" t="s">
        <v>2332</v>
      </c>
      <c r="D172" s="2033"/>
      <c r="E172" s="2033"/>
      <c r="F172" s="2033"/>
      <c r="G172" s="2033"/>
      <c r="H172" s="2033"/>
      <c r="I172" s="2033"/>
      <c r="J172" s="2033"/>
      <c r="K172" s="2033"/>
      <c r="L172" s="2033"/>
      <c r="M172" s="2033"/>
      <c r="N172" s="2042"/>
      <c r="O172" s="1190"/>
      <c r="P172" s="2043" t="s">
        <v>2331</v>
      </c>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6" t="s">
        <v>2330</v>
      </c>
      <c r="D173" s="2047"/>
      <c r="E173" s="2047"/>
      <c r="F173" s="2047"/>
      <c r="G173" s="2047"/>
      <c r="H173" s="2047"/>
      <c r="I173" s="2047" t="s">
        <v>2329</v>
      </c>
      <c r="J173" s="2047"/>
      <c r="K173" s="2047"/>
      <c r="L173" s="2047"/>
      <c r="M173" s="2047"/>
      <c r="N173" s="2048"/>
      <c r="O173" s="1190"/>
      <c r="P173" s="2049" t="s">
        <v>2328</v>
      </c>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4" t="s">
        <v>2723</v>
      </c>
      <c r="D174" s="1995"/>
      <c r="E174" s="1995"/>
      <c r="F174" s="1995"/>
      <c r="G174" s="1995"/>
      <c r="H174" s="1995"/>
      <c r="I174" s="2055"/>
      <c r="J174" s="2055"/>
      <c r="K174" s="2055"/>
      <c r="L174" s="2055"/>
      <c r="M174" s="2055"/>
      <c r="N174" s="2056"/>
      <c r="O174" s="1190"/>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4"/>
      <c r="D175" s="1995"/>
      <c r="E175" s="1995"/>
      <c r="F175" s="1995"/>
      <c r="G175" s="1995"/>
      <c r="H175" s="1995"/>
      <c r="I175" s="2055"/>
      <c r="J175" s="2055"/>
      <c r="K175" s="2055"/>
      <c r="L175" s="2055"/>
      <c r="M175" s="2055"/>
      <c r="N175" s="2056"/>
      <c r="O175" s="1190"/>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4"/>
      <c r="D176" s="1995"/>
      <c r="E176" s="1995"/>
      <c r="F176" s="1995"/>
      <c r="G176" s="1995"/>
      <c r="H176" s="1995"/>
      <c r="I176" s="2055"/>
      <c r="J176" s="2055"/>
      <c r="K176" s="2055"/>
      <c r="L176" s="2055"/>
      <c r="M176" s="2055"/>
      <c r="N176" s="2056"/>
      <c r="O176" s="1190"/>
      <c r="P176" s="2049"/>
      <c r="Q176" s="2050"/>
      <c r="R176" s="2050"/>
      <c r="S176" s="2050"/>
      <c r="T176" s="2050"/>
      <c r="U176" s="2050"/>
      <c r="V176" s="2050"/>
      <c r="W176" s="2050"/>
      <c r="X176" s="2050"/>
      <c r="Y176" s="2050"/>
      <c r="Z176" s="2050"/>
      <c r="AA176" s="2050"/>
      <c r="AB176" s="2050"/>
      <c r="AC176" s="2050"/>
      <c r="AD176" s="2050"/>
      <c r="AE176" s="2050"/>
      <c r="AF176" s="2050"/>
      <c r="AG176" s="2050"/>
      <c r="AH176" s="2050"/>
      <c r="AI176" s="2050"/>
      <c r="AJ176" s="2050"/>
      <c r="AK176" s="2050"/>
      <c r="AL176" s="2050"/>
      <c r="AM176" s="2050"/>
      <c r="AN176" s="2050"/>
      <c r="AO176" s="205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4"/>
      <c r="D177" s="1995"/>
      <c r="E177" s="1995"/>
      <c r="F177" s="1995"/>
      <c r="G177" s="1995"/>
      <c r="H177" s="1995"/>
      <c r="I177" s="2055"/>
      <c r="J177" s="2055"/>
      <c r="K177" s="2055"/>
      <c r="L177" s="2055"/>
      <c r="M177" s="2055"/>
      <c r="N177" s="2056"/>
      <c r="O177" s="1190"/>
      <c r="P177" s="2049"/>
      <c r="Q177" s="2050"/>
      <c r="R177" s="2050"/>
      <c r="S177" s="2050"/>
      <c r="T177" s="2050"/>
      <c r="U177" s="2050"/>
      <c r="V177" s="2050"/>
      <c r="W177" s="2050"/>
      <c r="X177" s="2050"/>
      <c r="Y177" s="2050"/>
      <c r="Z177" s="2050"/>
      <c r="AA177" s="2050"/>
      <c r="AB177" s="2050"/>
      <c r="AC177" s="2050"/>
      <c r="AD177" s="2050"/>
      <c r="AE177" s="2050"/>
      <c r="AF177" s="2050"/>
      <c r="AG177" s="2050"/>
      <c r="AH177" s="2050"/>
      <c r="AI177" s="2050"/>
      <c r="AJ177" s="2050"/>
      <c r="AK177" s="2050"/>
      <c r="AL177" s="2050"/>
      <c r="AM177" s="2050"/>
      <c r="AN177" s="2050"/>
      <c r="AO177" s="205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4"/>
      <c r="D178" s="1995"/>
      <c r="E178" s="1995"/>
      <c r="F178" s="1995"/>
      <c r="G178" s="1995"/>
      <c r="H178" s="1995"/>
      <c r="I178" s="2055"/>
      <c r="J178" s="2055"/>
      <c r="K178" s="2055"/>
      <c r="L178" s="2055"/>
      <c r="M178" s="2055"/>
      <c r="N178" s="2056"/>
      <c r="O178" s="1190"/>
      <c r="P178" s="2049"/>
      <c r="Q178" s="2050"/>
      <c r="R178" s="2050"/>
      <c r="S178" s="2050"/>
      <c r="T178" s="2050"/>
      <c r="U178" s="2050"/>
      <c r="V178" s="2050"/>
      <c r="W178" s="2050"/>
      <c r="X178" s="2050"/>
      <c r="Y178" s="2050"/>
      <c r="Z178" s="2050"/>
      <c r="AA178" s="2050"/>
      <c r="AB178" s="2050"/>
      <c r="AC178" s="2050"/>
      <c r="AD178" s="2050"/>
      <c r="AE178" s="2050"/>
      <c r="AF178" s="2050"/>
      <c r="AG178" s="2050"/>
      <c r="AH178" s="2050"/>
      <c r="AI178" s="2050"/>
      <c r="AJ178" s="2050"/>
      <c r="AK178" s="2050"/>
      <c r="AL178" s="2050"/>
      <c r="AM178" s="2050"/>
      <c r="AN178" s="2050"/>
      <c r="AO178" s="205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4"/>
      <c r="D179" s="1995"/>
      <c r="E179" s="1995"/>
      <c r="F179" s="1995"/>
      <c r="G179" s="1995"/>
      <c r="H179" s="1995"/>
      <c r="I179" s="2055"/>
      <c r="J179" s="2055"/>
      <c r="K179" s="2055"/>
      <c r="L179" s="2055"/>
      <c r="M179" s="2055"/>
      <c r="N179" s="2056"/>
      <c r="O179" s="1190"/>
      <c r="P179" s="2049"/>
      <c r="Q179" s="2050"/>
      <c r="R179" s="2050"/>
      <c r="S179" s="2050"/>
      <c r="T179" s="2050"/>
      <c r="U179" s="2050"/>
      <c r="V179" s="2050"/>
      <c r="W179" s="2050"/>
      <c r="X179" s="2050"/>
      <c r="Y179" s="2050"/>
      <c r="Z179" s="2050"/>
      <c r="AA179" s="2050"/>
      <c r="AB179" s="2050"/>
      <c r="AC179" s="2050"/>
      <c r="AD179" s="2050"/>
      <c r="AE179" s="2050"/>
      <c r="AF179" s="2050"/>
      <c r="AG179" s="2050"/>
      <c r="AH179" s="2050"/>
      <c r="AI179" s="2050"/>
      <c r="AJ179" s="2050"/>
      <c r="AK179" s="2050"/>
      <c r="AL179" s="2050"/>
      <c r="AM179" s="2050"/>
      <c r="AN179" s="2050"/>
      <c r="AO179" s="205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7"/>
      <c r="D180" s="2058"/>
      <c r="E180" s="2058"/>
      <c r="F180" s="2058"/>
      <c r="G180" s="2058"/>
      <c r="H180" s="2058"/>
      <c r="I180" s="2059"/>
      <c r="J180" s="2059"/>
      <c r="K180" s="2059"/>
      <c r="L180" s="2059"/>
      <c r="M180" s="2059"/>
      <c r="N180" s="2060"/>
      <c r="O180" s="1190"/>
      <c r="P180" s="2052"/>
      <c r="Q180" s="2053"/>
      <c r="R180" s="2053"/>
      <c r="S180" s="2053"/>
      <c r="T180" s="2053"/>
      <c r="U180" s="2053"/>
      <c r="V180" s="2053"/>
      <c r="W180" s="2053"/>
      <c r="X180" s="2053"/>
      <c r="Y180" s="2053"/>
      <c r="Z180" s="2053"/>
      <c r="AA180" s="2053"/>
      <c r="AB180" s="2053"/>
      <c r="AC180" s="2053"/>
      <c r="AD180" s="2053"/>
      <c r="AE180" s="2053"/>
      <c r="AF180" s="2053"/>
      <c r="AG180" s="2053"/>
      <c r="AH180" s="2053"/>
      <c r="AI180" s="2053"/>
      <c r="AJ180" s="2053"/>
      <c r="AK180" s="2053"/>
      <c r="AL180" s="2053"/>
      <c r="AM180" s="2053"/>
      <c r="AN180" s="2053"/>
      <c r="AO180" s="205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3" t="s">
        <v>2327</v>
      </c>
      <c r="D182" s="2024"/>
      <c r="E182" s="2024"/>
      <c r="F182" s="2024"/>
      <c r="G182" s="2024"/>
      <c r="H182" s="2024"/>
      <c r="I182" s="2024"/>
      <c r="J182" s="2024"/>
      <c r="K182" s="2024"/>
      <c r="L182" s="2024"/>
      <c r="M182" s="2024"/>
      <c r="N182" s="2024"/>
      <c r="O182" s="2024"/>
      <c r="P182" s="2024"/>
      <c r="Q182" s="2024"/>
      <c r="R182" s="2024"/>
      <c r="S182" s="2024"/>
      <c r="T182" s="2024"/>
      <c r="U182" s="2024"/>
      <c r="V182" s="2024"/>
      <c r="W182" s="2024"/>
      <c r="X182" s="2024"/>
      <c r="Y182" s="2024"/>
      <c r="Z182" s="2024"/>
      <c r="AA182" s="2024"/>
      <c r="AB182" s="2024"/>
      <c r="AC182" s="2024"/>
      <c r="AD182" s="2024"/>
      <c r="AE182" s="2025"/>
      <c r="AF182" s="1190"/>
      <c r="AG182" s="1190"/>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190"/>
      <c r="B183" s="1190"/>
      <c r="C183" s="2026"/>
      <c r="D183" s="2027"/>
      <c r="E183" s="2027"/>
      <c r="F183" s="2027"/>
      <c r="G183" s="2027"/>
      <c r="H183" s="2027"/>
      <c r="I183" s="2027"/>
      <c r="J183" s="2027"/>
      <c r="K183" s="2027"/>
      <c r="L183" s="2027"/>
      <c r="M183" s="2027"/>
      <c r="N183" s="2027"/>
      <c r="O183" s="2027"/>
      <c r="P183" s="2027"/>
      <c r="Q183" s="2027"/>
      <c r="R183" s="2027"/>
      <c r="S183" s="2027"/>
      <c r="T183" s="2027"/>
      <c r="U183" s="2027"/>
      <c r="V183" s="2027"/>
      <c r="W183" s="2027"/>
      <c r="X183" s="2027"/>
      <c r="Y183" s="2027"/>
      <c r="Z183" s="2027"/>
      <c r="AA183" s="2027"/>
      <c r="AB183" s="2027"/>
      <c r="AC183" s="2027"/>
      <c r="AD183" s="2027"/>
      <c r="AE183" s="2028"/>
      <c r="AF183" s="1190"/>
      <c r="AG183" s="1190"/>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c r="A184" s="1190"/>
      <c r="B184" s="1190"/>
      <c r="C184" s="2032" t="s">
        <v>2325</v>
      </c>
      <c r="D184" s="2033"/>
      <c r="E184" s="2033"/>
      <c r="F184" s="2033"/>
      <c r="G184" s="2033"/>
      <c r="H184" s="2033"/>
      <c r="I184" s="2033"/>
      <c r="J184" s="2033"/>
      <c r="K184" s="2033"/>
      <c r="L184" s="2033"/>
      <c r="M184" s="2033"/>
      <c r="N184" s="2033" t="s">
        <v>2326</v>
      </c>
      <c r="O184" s="2033"/>
      <c r="P184" s="2033"/>
      <c r="Q184" s="2033"/>
      <c r="R184" s="2033"/>
      <c r="S184" s="2033"/>
      <c r="T184" s="2033"/>
      <c r="U184" s="2034" t="s">
        <v>2325</v>
      </c>
      <c r="V184" s="2034"/>
      <c r="W184" s="2034"/>
      <c r="X184" s="2034"/>
      <c r="Y184" s="2034"/>
      <c r="Z184" s="2034"/>
      <c r="AA184" s="2034"/>
      <c r="AB184" s="2034"/>
      <c r="AC184" s="2034"/>
      <c r="AD184" s="2034"/>
      <c r="AE184" s="2035"/>
      <c r="AF184" s="1190"/>
      <c r="AG184" s="1190"/>
      <c r="AH184" s="1908"/>
      <c r="AI184" s="1908"/>
      <c r="AJ184" s="1908"/>
      <c r="AK184" s="1908"/>
      <c r="AL184" s="1908"/>
      <c r="AM184" s="1908"/>
      <c r="AN184" s="1908"/>
      <c r="AO184" s="1908"/>
      <c r="AP184" s="1908"/>
      <c r="AQ184" s="1908"/>
      <c r="AR184" s="1908"/>
      <c r="AS184" s="1908"/>
      <c r="AT184" s="1908"/>
      <c r="AU184" s="1908"/>
      <c r="AV184" s="1908"/>
      <c r="AW184" s="1908"/>
      <c r="AX184" s="1908"/>
      <c r="AY184" s="1908"/>
      <c r="AZ184" s="1908"/>
      <c r="BA184" s="1908"/>
      <c r="BB184" s="1908"/>
      <c r="BC184" s="1908"/>
      <c r="BD184" s="1908"/>
      <c r="BE184" s="1908"/>
    </row>
    <row r="185" spans="1:57" ht="15.75" customHeight="1">
      <c r="A185" s="1190"/>
      <c r="B185" s="1190"/>
      <c r="C185" s="2011" t="s">
        <v>2324</v>
      </c>
      <c r="D185" s="2012"/>
      <c r="E185" s="2012"/>
      <c r="F185" s="2012"/>
      <c r="G185" s="2012"/>
      <c r="H185" s="2012"/>
      <c r="I185" s="2012"/>
      <c r="J185" s="2012"/>
      <c r="K185" s="2012"/>
      <c r="L185" s="2012"/>
      <c r="M185" s="2012"/>
      <c r="N185" s="2022">
        <f>'Sources and Uses Budget'!B105</f>
        <v>35104456</v>
      </c>
      <c r="O185" s="2022"/>
      <c r="P185" s="2022"/>
      <c r="Q185" s="2022"/>
      <c r="R185" s="2022"/>
      <c r="S185" s="2022"/>
      <c r="T185" s="2022"/>
      <c r="U185" s="2036"/>
      <c r="V185" s="2036"/>
      <c r="W185" s="2036"/>
      <c r="X185" s="2036"/>
      <c r="Y185" s="2036"/>
      <c r="Z185" s="2036"/>
      <c r="AA185" s="2036"/>
      <c r="AB185" s="2036"/>
      <c r="AC185" s="2036"/>
      <c r="AD185" s="2036"/>
      <c r="AE185" s="2037"/>
      <c r="AF185" s="1190"/>
      <c r="AG185" s="1190"/>
      <c r="AH185" s="1908"/>
      <c r="AI185" s="1908"/>
      <c r="AJ185" s="1908"/>
      <c r="AK185" s="1908"/>
      <c r="AL185" s="1908"/>
      <c r="AM185" s="1908"/>
      <c r="AN185" s="1908"/>
      <c r="AO185" s="1908"/>
      <c r="AP185" s="1908"/>
      <c r="AQ185" s="1908"/>
      <c r="AR185" s="1908"/>
      <c r="AS185" s="1908"/>
      <c r="AT185" s="1908"/>
      <c r="AU185" s="1908"/>
      <c r="AV185" s="1908"/>
      <c r="AW185" s="1908"/>
      <c r="AX185" s="1908"/>
      <c r="AY185" s="1908"/>
      <c r="AZ185" s="1908"/>
      <c r="BA185" s="1908"/>
      <c r="BB185" s="1908"/>
      <c r="BC185" s="1908"/>
      <c r="BD185" s="1908"/>
      <c r="BE185" s="1908"/>
    </row>
    <row r="186" spans="1:57" ht="15.75" customHeight="1">
      <c r="A186" s="1190"/>
      <c r="B186" s="1190"/>
      <c r="C186" s="2011" t="s">
        <v>2323</v>
      </c>
      <c r="D186" s="2012"/>
      <c r="E186" s="2012"/>
      <c r="F186" s="2012"/>
      <c r="G186" s="2012"/>
      <c r="H186" s="2012"/>
      <c r="I186" s="2012"/>
      <c r="J186" s="2012"/>
      <c r="K186" s="2012"/>
      <c r="L186" s="2012"/>
      <c r="M186" s="2012"/>
      <c r="N186" s="2022">
        <f>N185/J29</f>
        <v>487561.88888888888</v>
      </c>
      <c r="O186" s="2022"/>
      <c r="P186" s="2022"/>
      <c r="Q186" s="2022"/>
      <c r="R186" s="2022"/>
      <c r="S186" s="2022"/>
      <c r="T186" s="2022"/>
      <c r="U186" s="1228"/>
      <c r="V186" s="1228"/>
      <c r="W186" s="1228"/>
      <c r="X186" s="1228"/>
      <c r="Y186" s="1228"/>
      <c r="Z186" s="1228"/>
      <c r="AA186" s="1228"/>
      <c r="AB186" s="1228"/>
      <c r="AC186" s="1228"/>
      <c r="AD186" s="1228"/>
      <c r="AE186" s="1229"/>
      <c r="AF186" s="1190"/>
      <c r="AG186" s="1190"/>
      <c r="AH186" s="1908"/>
      <c r="AI186" s="1908"/>
      <c r="AJ186" s="1908"/>
      <c r="AK186" s="1908"/>
      <c r="AL186" s="1908"/>
      <c r="AM186" s="1908"/>
      <c r="AN186" s="1908"/>
      <c r="AO186" s="1908"/>
      <c r="AP186" s="1908"/>
      <c r="AQ186" s="1908"/>
      <c r="AR186" s="1908"/>
      <c r="AS186" s="1908"/>
      <c r="AT186" s="1908"/>
      <c r="AU186" s="1908"/>
      <c r="AV186" s="1908"/>
      <c r="AW186" s="1908"/>
      <c r="AX186" s="1908"/>
      <c r="AY186" s="1908"/>
      <c r="AZ186" s="1908"/>
      <c r="BA186" s="1908"/>
      <c r="BB186" s="1908"/>
      <c r="BC186" s="1908"/>
      <c r="BD186" s="1908"/>
      <c r="BE186" s="1908"/>
    </row>
    <row r="187" spans="1:57" ht="15.75" customHeight="1">
      <c r="A187" s="1190"/>
      <c r="B187" s="1190"/>
      <c r="C187" s="2038" t="s">
        <v>2322</v>
      </c>
      <c r="D187" s="2039"/>
      <c r="E187" s="2039"/>
      <c r="F187" s="2039"/>
      <c r="G187" s="2039"/>
      <c r="H187" s="2039"/>
      <c r="I187" s="2039"/>
      <c r="J187" s="2039"/>
      <c r="K187" s="2039"/>
      <c r="L187" s="2039"/>
      <c r="M187" s="2039"/>
      <c r="N187" s="2040">
        <v>0</v>
      </c>
      <c r="O187" s="2040"/>
      <c r="P187" s="2040"/>
      <c r="Q187" s="2040"/>
      <c r="R187" s="2040"/>
      <c r="S187" s="2040"/>
      <c r="T187" s="2040"/>
      <c r="U187" s="1998"/>
      <c r="V187" s="1998"/>
      <c r="W187" s="1998"/>
      <c r="X187" s="1998"/>
      <c r="Y187" s="1998"/>
      <c r="Z187" s="1998"/>
      <c r="AA187" s="1998"/>
      <c r="AB187" s="1998"/>
      <c r="AC187" s="1998"/>
      <c r="AD187" s="1998"/>
      <c r="AE187" s="1999"/>
      <c r="AF187" s="1190"/>
      <c r="AG187" s="1190"/>
      <c r="AH187" s="1908"/>
      <c r="AI187" s="1908"/>
      <c r="AJ187" s="1908"/>
      <c r="AK187" s="1908"/>
      <c r="AL187" s="1908"/>
      <c r="AM187" s="1908"/>
      <c r="AN187" s="1908"/>
      <c r="AO187" s="1908"/>
      <c r="AP187" s="1908"/>
      <c r="AQ187" s="1908"/>
      <c r="AR187" s="1908"/>
      <c r="AS187" s="1908"/>
      <c r="AT187" s="1908"/>
      <c r="AU187" s="1908"/>
      <c r="AV187" s="1908"/>
      <c r="AW187" s="1908"/>
      <c r="AX187" s="1908"/>
      <c r="AY187" s="1908"/>
      <c r="AZ187" s="1908"/>
      <c r="BA187" s="1908"/>
      <c r="BB187" s="1908"/>
      <c r="BC187" s="1908"/>
      <c r="BD187" s="1908"/>
      <c r="BE187" s="1908"/>
    </row>
    <row r="188" spans="1:57" ht="15.75" customHeight="1" thickBot="1">
      <c r="A188" s="1190"/>
      <c r="B188" s="1190"/>
      <c r="C188" s="2011" t="s">
        <v>2321</v>
      </c>
      <c r="D188" s="2012"/>
      <c r="E188" s="2012"/>
      <c r="F188" s="2012"/>
      <c r="G188" s="2012"/>
      <c r="H188" s="2012"/>
      <c r="I188" s="2012"/>
      <c r="J188" s="2012"/>
      <c r="K188" s="2012"/>
      <c r="L188" s="2012"/>
      <c r="M188" s="2012"/>
      <c r="N188" s="2041">
        <f>SUM('Sources and Uses Budget'!B85:B86)</f>
        <v>144000</v>
      </c>
      <c r="O188" s="2041"/>
      <c r="P188" s="2041"/>
      <c r="Q188" s="2041"/>
      <c r="R188" s="2041"/>
      <c r="S188" s="2041"/>
      <c r="T188" s="2041"/>
      <c r="U188" s="1998"/>
      <c r="V188" s="1998"/>
      <c r="W188" s="1998"/>
      <c r="X188" s="1998"/>
      <c r="Y188" s="1998"/>
      <c r="Z188" s="1998"/>
      <c r="AA188" s="1998"/>
      <c r="AB188" s="1998"/>
      <c r="AC188" s="1998"/>
      <c r="AD188" s="1998"/>
      <c r="AE188" s="1999"/>
      <c r="AF188" s="1190"/>
      <c r="AG188" s="1190"/>
      <c r="AH188" s="1908"/>
      <c r="AI188" s="1908"/>
      <c r="AJ188" s="1908"/>
      <c r="AK188" s="1908"/>
      <c r="AL188" s="1908"/>
      <c r="AM188" s="1908"/>
      <c r="AN188" s="1908"/>
      <c r="AO188" s="1908"/>
      <c r="AP188" s="1908"/>
      <c r="AQ188" s="1908"/>
      <c r="AR188" s="1908"/>
      <c r="AS188" s="1908"/>
      <c r="AT188" s="1908"/>
      <c r="AU188" s="1908"/>
      <c r="AV188" s="1908"/>
      <c r="AW188" s="1908"/>
      <c r="AX188" s="1908"/>
      <c r="AY188" s="1908"/>
      <c r="AZ188" s="1908"/>
      <c r="BA188" s="1908"/>
      <c r="BB188" s="1908"/>
      <c r="BC188" s="1908"/>
      <c r="BD188" s="1908"/>
      <c r="BE188" s="1908"/>
    </row>
    <row r="189" spans="1:57" ht="15.75" customHeight="1" thickBot="1">
      <c r="A189" s="1190"/>
      <c r="B189" s="1190"/>
      <c r="C189" s="2011" t="s">
        <v>2320</v>
      </c>
      <c r="D189" s="2012"/>
      <c r="E189" s="2012"/>
      <c r="F189" s="2012"/>
      <c r="G189" s="2012"/>
      <c r="H189" s="2012"/>
      <c r="I189" s="2012"/>
      <c r="J189" s="2012"/>
      <c r="K189" s="2012"/>
      <c r="L189" s="2012"/>
      <c r="M189" s="2012"/>
      <c r="N189" s="2041">
        <f>'Sources and Uses Budget'!B8</f>
        <v>500000</v>
      </c>
      <c r="O189" s="2041"/>
      <c r="P189" s="2041"/>
      <c r="Q189" s="2041"/>
      <c r="R189" s="2041"/>
      <c r="S189" s="2041"/>
      <c r="T189" s="2041"/>
      <c r="U189" s="1998"/>
      <c r="V189" s="1998"/>
      <c r="W189" s="1998"/>
      <c r="X189" s="1998"/>
      <c r="Y189" s="1998"/>
      <c r="Z189" s="1998"/>
      <c r="AA189" s="1998"/>
      <c r="AB189" s="1998"/>
      <c r="AC189" s="1998"/>
      <c r="AD189" s="1998"/>
      <c r="AE189" s="1999"/>
      <c r="AF189" s="1190"/>
      <c r="AG189" s="1190"/>
      <c r="AH189" s="2008" t="s">
        <v>2318</v>
      </c>
      <c r="AI189" s="2009"/>
      <c r="AJ189" s="2009"/>
      <c r="AK189" s="2009"/>
      <c r="AL189" s="2009"/>
      <c r="AM189" s="2009"/>
      <c r="AN189" s="2009"/>
      <c r="AO189" s="2009"/>
      <c r="AP189" s="2009"/>
      <c r="AQ189" s="2009"/>
      <c r="AR189" s="2009"/>
      <c r="AS189" s="2009"/>
      <c r="AT189" s="2009"/>
      <c r="AU189" s="2009"/>
      <c r="AV189" s="2009"/>
      <c r="AW189" s="2009"/>
      <c r="AX189" s="2009"/>
      <c r="AY189" s="2009"/>
      <c r="AZ189" s="2009"/>
      <c r="BA189" s="2009"/>
      <c r="BB189" s="2009"/>
      <c r="BC189" s="2009"/>
      <c r="BD189" s="2009"/>
      <c r="BE189" s="2010"/>
    </row>
    <row r="190" spans="1:57" ht="15.75" customHeight="1">
      <c r="A190" s="1190"/>
      <c r="B190" s="1190"/>
      <c r="C190" s="2011" t="s">
        <v>2319</v>
      </c>
      <c r="D190" s="2012"/>
      <c r="E190" s="2012"/>
      <c r="F190" s="2012"/>
      <c r="G190" s="2012"/>
      <c r="H190" s="2012"/>
      <c r="I190" s="2012"/>
      <c r="J190" s="2012"/>
      <c r="K190" s="2012"/>
      <c r="L190" s="2012"/>
      <c r="M190" s="2012"/>
      <c r="N190" s="1997">
        <v>0</v>
      </c>
      <c r="O190" s="1997"/>
      <c r="P190" s="1997"/>
      <c r="Q190" s="1997"/>
      <c r="R190" s="1997"/>
      <c r="S190" s="1997"/>
      <c r="T190" s="1997"/>
      <c r="U190" s="1998"/>
      <c r="V190" s="1998"/>
      <c r="W190" s="1998"/>
      <c r="X190" s="1998"/>
      <c r="Y190" s="1998"/>
      <c r="Z190" s="1998"/>
      <c r="AA190" s="1998"/>
      <c r="AB190" s="1998"/>
      <c r="AC190" s="1998"/>
      <c r="AD190" s="1998"/>
      <c r="AE190" s="1999"/>
      <c r="AF190" s="1190"/>
      <c r="AG190" s="1190"/>
      <c r="AH190" s="2013" t="s">
        <v>2318</v>
      </c>
      <c r="AI190" s="2014"/>
      <c r="AJ190" s="2014"/>
      <c r="AK190" s="2014"/>
      <c r="AL190" s="2014"/>
      <c r="AM190" s="2014"/>
      <c r="AN190" s="2014"/>
      <c r="AO190" s="2014"/>
      <c r="AP190" s="2014"/>
      <c r="AQ190" s="2014"/>
      <c r="AR190" s="2014"/>
      <c r="AS190" s="2014"/>
      <c r="AT190" s="2014"/>
      <c r="AU190" s="2015">
        <v>428058</v>
      </c>
      <c r="AV190" s="2015"/>
      <c r="AW190" s="2015"/>
      <c r="AX190" s="2015"/>
      <c r="AY190" s="2015"/>
      <c r="AZ190" s="2015"/>
      <c r="BA190" s="2015"/>
      <c r="BB190" s="2015"/>
      <c r="BC190" s="2016"/>
      <c r="BD190" s="2017"/>
      <c r="BE190" s="2018"/>
    </row>
    <row r="191" spans="1:57" ht="15.75" customHeight="1">
      <c r="A191" s="1190"/>
      <c r="B191" s="1190"/>
      <c r="C191" s="2011" t="s">
        <v>2317</v>
      </c>
      <c r="D191" s="2012"/>
      <c r="E191" s="2012"/>
      <c r="F191" s="2012"/>
      <c r="G191" s="2012"/>
      <c r="H191" s="2012"/>
      <c r="I191" s="2012"/>
      <c r="J191" s="2012"/>
      <c r="K191" s="2012"/>
      <c r="L191" s="2012"/>
      <c r="M191" s="2012"/>
      <c r="N191" s="1997">
        <v>100</v>
      </c>
      <c r="O191" s="1997"/>
      <c r="P191" s="1997"/>
      <c r="Q191" s="1997"/>
      <c r="R191" s="1997"/>
      <c r="S191" s="1997"/>
      <c r="T191" s="1997"/>
      <c r="U191" s="1998"/>
      <c r="V191" s="1998"/>
      <c r="W191" s="1998"/>
      <c r="X191" s="1998"/>
      <c r="Y191" s="1998"/>
      <c r="Z191" s="1998"/>
      <c r="AA191" s="1998"/>
      <c r="AB191" s="1998"/>
      <c r="AC191" s="1998"/>
      <c r="AD191" s="1998"/>
      <c r="AE191" s="1999"/>
      <c r="AF191" s="1190"/>
      <c r="AG191" s="1190"/>
      <c r="AH191" s="2029" t="s">
        <v>2316</v>
      </c>
      <c r="AI191" s="2030"/>
      <c r="AJ191" s="2030"/>
      <c r="AK191" s="2030"/>
      <c r="AL191" s="2030"/>
      <c r="AM191" s="2030"/>
      <c r="AN191" s="2030"/>
      <c r="AO191" s="2030"/>
      <c r="AP191" s="2030"/>
      <c r="AQ191" s="2030"/>
      <c r="AR191" s="2030"/>
      <c r="AS191" s="2030"/>
      <c r="AT191" s="2030"/>
      <c r="AU191" s="2031">
        <v>2000000</v>
      </c>
      <c r="AV191" s="2031"/>
      <c r="AW191" s="2031"/>
      <c r="AX191" s="2031"/>
      <c r="AY191" s="2031"/>
      <c r="AZ191" s="2031"/>
      <c r="BA191" s="2031"/>
      <c r="BB191" s="2031"/>
      <c r="BC191" s="2019"/>
      <c r="BD191" s="2020"/>
      <c r="BE191" s="2021"/>
    </row>
    <row r="192" spans="1:57" ht="15.75" customHeight="1">
      <c r="A192" s="1190"/>
      <c r="B192" s="1190"/>
      <c r="C192" s="2003" t="s">
        <v>300</v>
      </c>
      <c r="D192" s="2004"/>
      <c r="E192" s="1996" t="s">
        <v>2314</v>
      </c>
      <c r="F192" s="1996"/>
      <c r="G192" s="1996"/>
      <c r="H192" s="1996"/>
      <c r="I192" s="1996"/>
      <c r="J192" s="1996"/>
      <c r="K192" s="1996"/>
      <c r="L192" s="1996"/>
      <c r="M192" s="1996"/>
      <c r="N192" s="1997">
        <v>0</v>
      </c>
      <c r="O192" s="1997"/>
      <c r="P192" s="1997"/>
      <c r="Q192" s="1997"/>
      <c r="R192" s="1997"/>
      <c r="S192" s="1997"/>
      <c r="T192" s="1997"/>
      <c r="U192" s="1998"/>
      <c r="V192" s="1998"/>
      <c r="W192" s="1998"/>
      <c r="X192" s="1998"/>
      <c r="Y192" s="1998"/>
      <c r="Z192" s="1998"/>
      <c r="AA192" s="1998"/>
      <c r="AB192" s="1998"/>
      <c r="AC192" s="1998"/>
      <c r="AD192" s="1998"/>
      <c r="AE192" s="1999"/>
      <c r="AF192" s="1190"/>
      <c r="AG192" s="1190"/>
      <c r="AH192" s="2005" t="s">
        <v>2315</v>
      </c>
      <c r="AI192" s="2006"/>
      <c r="AJ192" s="2006"/>
      <c r="AK192" s="2006"/>
      <c r="AL192" s="2006"/>
      <c r="AM192" s="2006"/>
      <c r="AN192" s="2006"/>
      <c r="AO192" s="2006"/>
      <c r="AP192" s="2006"/>
      <c r="AQ192" s="2006"/>
      <c r="AR192" s="2006"/>
      <c r="AS192" s="2006"/>
      <c r="AT192" s="2006"/>
      <c r="AU192" s="2007">
        <f>SUM(AU190:BB191)</f>
        <v>2428058</v>
      </c>
      <c r="AV192" s="2007"/>
      <c r="AW192" s="2007"/>
      <c r="AX192" s="2007"/>
      <c r="AY192" s="2007"/>
      <c r="AZ192" s="2007"/>
      <c r="BA192" s="2007"/>
      <c r="BB192" s="2007"/>
      <c r="BC192" s="2019"/>
      <c r="BD192" s="2020"/>
      <c r="BE192" s="2021"/>
    </row>
    <row r="193" spans="1:57" ht="15.75" customHeight="1" thickBot="1">
      <c r="A193" s="1190"/>
      <c r="B193" s="1190"/>
      <c r="C193" s="1994" t="s">
        <v>300</v>
      </c>
      <c r="D193" s="1995"/>
      <c r="E193" s="1996" t="s">
        <v>2314</v>
      </c>
      <c r="F193" s="1996"/>
      <c r="G193" s="1996"/>
      <c r="H193" s="1996"/>
      <c r="I193" s="1996"/>
      <c r="J193" s="1996"/>
      <c r="K193" s="1996"/>
      <c r="L193" s="1996"/>
      <c r="M193" s="1996"/>
      <c r="N193" s="1997">
        <v>0</v>
      </c>
      <c r="O193" s="1997"/>
      <c r="P193" s="1997"/>
      <c r="Q193" s="1997"/>
      <c r="R193" s="1997"/>
      <c r="S193" s="1997"/>
      <c r="T193" s="1997"/>
      <c r="U193" s="1998"/>
      <c r="V193" s="1998"/>
      <c r="W193" s="1998"/>
      <c r="X193" s="1998"/>
      <c r="Y193" s="1998"/>
      <c r="Z193" s="1998"/>
      <c r="AA193" s="1998"/>
      <c r="AB193" s="1998"/>
      <c r="AC193" s="1998"/>
      <c r="AD193" s="1998"/>
      <c r="AE193" s="199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0"/>
      <c r="BD193" s="2001"/>
      <c r="BE193" s="2002"/>
    </row>
    <row r="194" spans="1:57" ht="15.75" customHeight="1" thickBot="1">
      <c r="A194" s="1190"/>
      <c r="B194" s="1190"/>
      <c r="C194" s="1982" t="s">
        <v>300</v>
      </c>
      <c r="D194" s="1983"/>
      <c r="E194" s="1984" t="s">
        <v>2314</v>
      </c>
      <c r="F194" s="1984"/>
      <c r="G194" s="1984"/>
      <c r="H194" s="1984"/>
      <c r="I194" s="1984"/>
      <c r="J194" s="1984"/>
      <c r="K194" s="1984"/>
      <c r="L194" s="1984"/>
      <c r="M194" s="1985"/>
      <c r="N194" s="1986">
        <v>0</v>
      </c>
      <c r="O194" s="1986"/>
      <c r="P194" s="1986"/>
      <c r="Q194" s="1986"/>
      <c r="R194" s="1986"/>
      <c r="S194" s="1986"/>
      <c r="T194" s="1987"/>
      <c r="U194" s="1988"/>
      <c r="V194" s="1989"/>
      <c r="W194" s="1989"/>
      <c r="X194" s="1989"/>
      <c r="Y194" s="1989"/>
      <c r="Z194" s="1989"/>
      <c r="AA194" s="1989"/>
      <c r="AB194" s="1989"/>
      <c r="AC194" s="1989"/>
      <c r="AD194" s="1989"/>
      <c r="AE194" s="1990"/>
      <c r="AF194" s="1190"/>
      <c r="AG194" s="1190"/>
      <c r="AH194" s="1991" t="s">
        <v>2313</v>
      </c>
      <c r="AI194" s="1992"/>
      <c r="AJ194" s="1992"/>
      <c r="AK194" s="1992"/>
      <c r="AL194" s="1992"/>
      <c r="AM194" s="1992"/>
      <c r="AN194" s="1992"/>
      <c r="AO194" s="1992"/>
      <c r="AP194" s="1992"/>
      <c r="AQ194" s="1992"/>
      <c r="AR194" s="1992"/>
      <c r="AS194" s="1992"/>
      <c r="AT194" s="1992"/>
      <c r="AU194" s="1993">
        <v>100</v>
      </c>
      <c r="AV194" s="1993"/>
      <c r="AW194" s="1993"/>
      <c r="AX194" s="1993"/>
      <c r="AY194" s="1993"/>
      <c r="AZ194" s="1993"/>
      <c r="BA194" s="1993"/>
      <c r="BB194" s="1993"/>
      <c r="BC194" s="1171"/>
      <c r="BD194" s="1171"/>
      <c r="BE194" s="1232"/>
    </row>
    <row r="195" spans="1:57" ht="15.75" customHeight="1">
      <c r="A195" s="1190"/>
      <c r="B195" s="1190"/>
      <c r="C195" s="1965" t="s">
        <v>2312</v>
      </c>
      <c r="D195" s="1966"/>
      <c r="E195" s="1966"/>
      <c r="F195" s="1966"/>
      <c r="G195" s="1966"/>
      <c r="H195" s="1966"/>
      <c r="I195" s="1966"/>
      <c r="J195" s="1966"/>
      <c r="K195" s="1966"/>
      <c r="L195" s="1966"/>
      <c r="M195" s="1966"/>
      <c r="N195" s="1967">
        <f>SUM(N187:T194)</f>
        <v>644100</v>
      </c>
      <c r="O195" s="1967"/>
      <c r="P195" s="1967"/>
      <c r="Q195" s="1967"/>
      <c r="R195" s="1967"/>
      <c r="S195" s="1967"/>
      <c r="T195" s="1968"/>
      <c r="U195" s="1190"/>
      <c r="V195" s="1190"/>
      <c r="W195" s="1190"/>
      <c r="X195" s="1190"/>
      <c r="Y195" s="1190"/>
      <c r="Z195" s="1190"/>
      <c r="AA195" s="1190"/>
      <c r="AB195" s="1190"/>
      <c r="AC195" s="1190"/>
      <c r="AD195" s="1190"/>
      <c r="AE195" s="1190"/>
      <c r="AF195" s="1190"/>
      <c r="AG195" s="1190"/>
      <c r="AH195" s="1969" t="s">
        <v>2311</v>
      </c>
      <c r="AI195" s="1970"/>
      <c r="AJ195" s="1970"/>
      <c r="AK195" s="1970"/>
      <c r="AL195" s="1970"/>
      <c r="AM195" s="1970"/>
      <c r="AN195" s="1970"/>
      <c r="AO195" s="1970"/>
      <c r="AP195" s="1970"/>
      <c r="AQ195" s="1970"/>
      <c r="AR195" s="1970"/>
      <c r="AS195" s="1970"/>
      <c r="AT195" s="1970"/>
      <c r="AU195" s="1970"/>
      <c r="AV195" s="1970"/>
      <c r="AW195" s="1970"/>
      <c r="AX195" s="1970"/>
      <c r="AY195" s="1970"/>
      <c r="AZ195" s="1970"/>
      <c r="BA195" s="1970"/>
      <c r="BB195" s="1970"/>
      <c r="BC195" s="1970"/>
      <c r="BD195" s="1970"/>
      <c r="BE195" s="1971"/>
    </row>
    <row r="196" spans="1:57" ht="15.75" customHeight="1" thickBot="1">
      <c r="A196" s="1190"/>
      <c r="B196" s="1190"/>
      <c r="C196" s="1975" t="s">
        <v>2310</v>
      </c>
      <c r="D196" s="1976"/>
      <c r="E196" s="1976"/>
      <c r="F196" s="1976"/>
      <c r="G196" s="1976"/>
      <c r="H196" s="1976"/>
      <c r="I196" s="1976"/>
      <c r="J196" s="1976"/>
      <c r="K196" s="1976"/>
      <c r="L196" s="1976"/>
      <c r="M196" s="1976"/>
      <c r="N196" s="1977">
        <f>(N185-N195)/J29</f>
        <v>478616.05555555556</v>
      </c>
      <c r="O196" s="1978"/>
      <c r="P196" s="1978"/>
      <c r="Q196" s="1978"/>
      <c r="R196" s="1978"/>
      <c r="S196" s="1978"/>
      <c r="T196" s="1979"/>
      <c r="U196" s="1195"/>
      <c r="V196" s="1190"/>
      <c r="W196" s="1190"/>
      <c r="X196" s="1190"/>
      <c r="Y196" s="1190"/>
      <c r="Z196" s="1190"/>
      <c r="AA196" s="1190"/>
      <c r="AB196" s="1190"/>
      <c r="AC196" s="1190"/>
      <c r="AD196" s="1190"/>
      <c r="AE196" s="1190"/>
      <c r="AF196" s="1190"/>
      <c r="AG196" s="1190"/>
      <c r="AH196" s="1972"/>
      <c r="AI196" s="1973"/>
      <c r="AJ196" s="1973"/>
      <c r="AK196" s="1973"/>
      <c r="AL196" s="1973"/>
      <c r="AM196" s="1973"/>
      <c r="AN196" s="1973"/>
      <c r="AO196" s="1973"/>
      <c r="AP196" s="1973"/>
      <c r="AQ196" s="1973"/>
      <c r="AR196" s="1973"/>
      <c r="AS196" s="1973"/>
      <c r="AT196" s="1973"/>
      <c r="AU196" s="1973"/>
      <c r="AV196" s="1973"/>
      <c r="AW196" s="1973"/>
      <c r="AX196" s="1973"/>
      <c r="AY196" s="1973"/>
      <c r="AZ196" s="1973"/>
      <c r="BA196" s="1973"/>
      <c r="BB196" s="1973"/>
      <c r="BC196" s="1973"/>
      <c r="BD196" s="1973"/>
      <c r="BE196" s="197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0"/>
      <c r="AI197" s="1980"/>
      <c r="AJ197" s="1980"/>
      <c r="AK197" s="1980"/>
      <c r="AL197" s="1980"/>
      <c r="AM197" s="1980"/>
      <c r="AN197" s="1980"/>
      <c r="AO197" s="1980"/>
      <c r="AP197" s="1980"/>
      <c r="AQ197" s="1980"/>
      <c r="AR197" s="1980"/>
      <c r="AS197" s="1981"/>
      <c r="AT197" s="1981"/>
      <c r="AU197" s="1981"/>
      <c r="AV197" s="1981"/>
      <c r="AW197" s="1981"/>
      <c r="AX197" s="1981"/>
      <c r="AY197" s="1981"/>
      <c r="AZ197" s="1981"/>
      <c r="BA197" s="1981"/>
      <c r="BB197" s="1981"/>
      <c r="BC197" s="1981"/>
      <c r="BD197" s="198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0" t="s">
        <v>2309</v>
      </c>
      <c r="D199" s="1961"/>
      <c r="E199" s="1961"/>
      <c r="F199" s="1961"/>
      <c r="G199" s="1961"/>
      <c r="H199" s="1961"/>
      <c r="I199" s="1961"/>
      <c r="J199" s="1961"/>
      <c r="K199" s="1961"/>
      <c r="L199" s="1961"/>
      <c r="M199" s="1961"/>
      <c r="N199" s="1961"/>
      <c r="O199" s="1961"/>
      <c r="P199" s="1961"/>
      <c r="Q199" s="1961"/>
      <c r="R199" s="1961"/>
      <c r="S199" s="1961"/>
      <c r="T199" s="1961"/>
      <c r="U199" s="1961"/>
      <c r="V199" s="1961"/>
      <c r="W199" s="1961"/>
      <c r="X199" s="1961"/>
      <c r="Y199" s="1961"/>
      <c r="Z199" s="1961"/>
      <c r="AA199" s="1961"/>
      <c r="AB199" s="1961"/>
      <c r="AC199" s="1961"/>
      <c r="AD199" s="1961"/>
      <c r="AE199" s="196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3" t="s">
        <v>2308</v>
      </c>
      <c r="D200" s="1963"/>
      <c r="E200" s="1963"/>
      <c r="F200" s="1963"/>
      <c r="G200" s="1963"/>
      <c r="H200" s="1963"/>
      <c r="I200" s="1963"/>
      <c r="J200" s="1963"/>
      <c r="K200" s="1963"/>
      <c r="L200" s="1963"/>
      <c r="M200" s="1963"/>
      <c r="N200" s="1963"/>
      <c r="O200" s="1964" t="s">
        <v>2307</v>
      </c>
      <c r="P200" s="1964"/>
      <c r="Q200" s="1964"/>
      <c r="R200" s="1964"/>
      <c r="S200" s="1964"/>
      <c r="T200" s="1964"/>
      <c r="U200" s="1964"/>
      <c r="V200" s="1964"/>
      <c r="W200" s="1964"/>
      <c r="X200" s="1964" t="s">
        <v>2306</v>
      </c>
      <c r="Y200" s="1964"/>
      <c r="Z200" s="1964"/>
      <c r="AA200" s="1964"/>
      <c r="AB200" s="1964"/>
      <c r="AC200" s="1964"/>
      <c r="AD200" s="1964"/>
      <c r="AE200" s="196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5" t="s">
        <v>2305</v>
      </c>
      <c r="D201" s="1955"/>
      <c r="E201" s="1955"/>
      <c r="F201" s="1955"/>
      <c r="G201" s="1955"/>
      <c r="H201" s="1955"/>
      <c r="I201" s="1955"/>
      <c r="J201" s="1955"/>
      <c r="K201" s="1955"/>
      <c r="L201" s="1955"/>
      <c r="M201" s="1955"/>
      <c r="N201" s="1955"/>
      <c r="O201" s="1956">
        <v>7000</v>
      </c>
      <c r="P201" s="1956"/>
      <c r="Q201" s="1956"/>
      <c r="R201" s="1956"/>
      <c r="S201" s="1956"/>
      <c r="T201" s="1956"/>
      <c r="U201" s="1956"/>
      <c r="V201" s="1956"/>
      <c r="W201" s="1956"/>
      <c r="X201" s="1957">
        <v>0.03</v>
      </c>
      <c r="Y201" s="1957"/>
      <c r="Z201" s="1957"/>
      <c r="AA201" s="1957"/>
      <c r="AB201" s="1957"/>
      <c r="AC201" s="1957"/>
      <c r="AD201" s="1957"/>
      <c r="AE201" s="195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5" t="s">
        <v>854</v>
      </c>
      <c r="D202" s="1955"/>
      <c r="E202" s="1955"/>
      <c r="F202" s="1955"/>
      <c r="G202" s="1955"/>
      <c r="H202" s="1955"/>
      <c r="I202" s="1955"/>
      <c r="J202" s="1955"/>
      <c r="K202" s="1955"/>
      <c r="L202" s="1955"/>
      <c r="M202" s="1955"/>
      <c r="N202" s="1955"/>
      <c r="O202" s="1956">
        <v>31000</v>
      </c>
      <c r="P202" s="1956"/>
      <c r="Q202" s="1956"/>
      <c r="R202" s="1956"/>
      <c r="S202" s="1956"/>
      <c r="T202" s="1956"/>
      <c r="U202" s="1956"/>
      <c r="V202" s="1956"/>
      <c r="W202" s="1956"/>
      <c r="X202" s="1957">
        <v>0.03</v>
      </c>
      <c r="Y202" s="1957"/>
      <c r="Z202" s="1957"/>
      <c r="AA202" s="1957"/>
      <c r="AB202" s="1957"/>
      <c r="AC202" s="1957"/>
      <c r="AD202" s="1957"/>
      <c r="AE202" s="195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5" t="s">
        <v>2304</v>
      </c>
      <c r="D203" s="1955"/>
      <c r="E203" s="1955"/>
      <c r="F203" s="1955"/>
      <c r="G203" s="1955"/>
      <c r="H203" s="1955"/>
      <c r="I203" s="1955"/>
      <c r="J203" s="1955"/>
      <c r="K203" s="1955"/>
      <c r="L203" s="1955"/>
      <c r="M203" s="1955"/>
      <c r="N203" s="1955"/>
      <c r="O203" s="1958">
        <f>SUM(O201:W202)</f>
        <v>38000</v>
      </c>
      <c r="P203" s="1959"/>
      <c r="Q203" s="1959"/>
      <c r="R203" s="1959"/>
      <c r="S203" s="1959"/>
      <c r="T203" s="1959"/>
      <c r="U203" s="1959"/>
      <c r="V203" s="1959"/>
      <c r="W203" s="1959"/>
      <c r="X203" s="1959" t="s">
        <v>2303</v>
      </c>
      <c r="Y203" s="1959"/>
      <c r="Z203" s="1959"/>
      <c r="AA203" s="1959"/>
      <c r="AB203" s="1959"/>
      <c r="AC203" s="1959"/>
      <c r="AD203" s="1959"/>
      <c r="AE203" s="195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9" t="s">
        <v>2302</v>
      </c>
      <c r="D204" s="1929"/>
      <c r="E204" s="1929"/>
      <c r="F204" s="1929"/>
      <c r="G204" s="1929"/>
      <c r="H204" s="1929"/>
      <c r="I204" s="1929"/>
      <c r="J204" s="1929"/>
      <c r="K204" s="1929"/>
      <c r="L204" s="1929"/>
      <c r="M204" s="1929"/>
      <c r="N204" s="1929"/>
      <c r="O204" s="1929"/>
      <c r="P204" s="1929"/>
      <c r="Q204" s="1929"/>
      <c r="R204" s="1929"/>
      <c r="S204" s="1929"/>
      <c r="T204" s="1929"/>
      <c r="U204" s="1929"/>
      <c r="V204" s="1929"/>
      <c r="W204" s="1929"/>
      <c r="X204" s="1929"/>
      <c r="Y204" s="1929"/>
      <c r="Z204" s="1929"/>
      <c r="AA204" s="1929"/>
      <c r="AB204" s="1929"/>
      <c r="AC204" s="1929"/>
      <c r="AD204" s="1929"/>
      <c r="AE204" s="192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0" t="s">
        <v>2301</v>
      </c>
      <c r="D206" s="1931"/>
      <c r="E206" s="1931"/>
      <c r="F206" s="1931"/>
      <c r="G206" s="1931"/>
      <c r="H206" s="1931"/>
      <c r="I206" s="1931"/>
      <c r="J206" s="1931"/>
      <c r="K206" s="1931"/>
      <c r="L206" s="1931"/>
      <c r="M206" s="1931"/>
      <c r="N206" s="1931"/>
      <c r="O206" s="1931"/>
      <c r="P206" s="1931"/>
      <c r="Q206" s="1931"/>
      <c r="R206" s="1931"/>
      <c r="S206" s="1931"/>
      <c r="T206" s="1931"/>
      <c r="U206" s="1931"/>
      <c r="V206" s="1931"/>
      <c r="W206" s="1931"/>
      <c r="X206" s="1931"/>
      <c r="Y206" s="1931"/>
      <c r="Z206" s="1931"/>
      <c r="AA206" s="1931"/>
      <c r="AB206" s="1931"/>
      <c r="AC206" s="1931"/>
      <c r="AD206" s="1931"/>
      <c r="AE206" s="1931"/>
      <c r="AF206" s="1931"/>
      <c r="AG206" s="1931"/>
      <c r="AH206" s="1931"/>
      <c r="AI206" s="1931"/>
      <c r="AJ206" s="1931"/>
      <c r="AK206" s="193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3" t="s">
        <v>2300</v>
      </c>
      <c r="D207" s="1934"/>
      <c r="E207" s="1934"/>
      <c r="F207" s="1935"/>
      <c r="G207" s="1939" t="s">
        <v>2299</v>
      </c>
      <c r="H207" s="1934"/>
      <c r="I207" s="1934"/>
      <c r="J207" s="1934"/>
      <c r="K207" s="1934"/>
      <c r="L207" s="1934"/>
      <c r="M207" s="1934"/>
      <c r="N207" s="1934"/>
      <c r="O207" s="1935"/>
      <c r="P207" s="1941" t="s">
        <v>2298</v>
      </c>
      <c r="Q207" s="1942"/>
      <c r="R207" s="1942"/>
      <c r="S207" s="1942"/>
      <c r="T207" s="1943"/>
      <c r="U207" s="1947" t="s">
        <v>2297</v>
      </c>
      <c r="V207" s="1948"/>
      <c r="W207" s="1948"/>
      <c r="X207" s="1949"/>
      <c r="Y207" s="1947" t="s">
        <v>2296</v>
      </c>
      <c r="Z207" s="1948"/>
      <c r="AA207" s="1948"/>
      <c r="AB207" s="1949"/>
      <c r="AC207" s="1947" t="s">
        <v>2295</v>
      </c>
      <c r="AD207" s="1948"/>
      <c r="AE207" s="1948"/>
      <c r="AF207" s="1949"/>
      <c r="AG207" s="1939" t="s">
        <v>2294</v>
      </c>
      <c r="AH207" s="1934"/>
      <c r="AI207" s="1934"/>
      <c r="AJ207" s="1934"/>
      <c r="AK207" s="195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6"/>
      <c r="D208" s="1937"/>
      <c r="E208" s="1937"/>
      <c r="F208" s="1938"/>
      <c r="G208" s="1940"/>
      <c r="H208" s="1937"/>
      <c r="I208" s="1937"/>
      <c r="J208" s="1937"/>
      <c r="K208" s="1937"/>
      <c r="L208" s="1937"/>
      <c r="M208" s="1937"/>
      <c r="N208" s="1937"/>
      <c r="O208" s="1938"/>
      <c r="P208" s="1944"/>
      <c r="Q208" s="1945"/>
      <c r="R208" s="1945"/>
      <c r="S208" s="1945"/>
      <c r="T208" s="1946"/>
      <c r="U208" s="1950"/>
      <c r="V208" s="1951"/>
      <c r="W208" s="1951"/>
      <c r="X208" s="1952"/>
      <c r="Y208" s="1950"/>
      <c r="Z208" s="1951"/>
      <c r="AA208" s="1951"/>
      <c r="AB208" s="1952"/>
      <c r="AC208" s="1950"/>
      <c r="AD208" s="1951"/>
      <c r="AE208" s="1951"/>
      <c r="AF208" s="1952"/>
      <c r="AG208" s="1940"/>
      <c r="AH208" s="1937"/>
      <c r="AI208" s="1937"/>
      <c r="AJ208" s="1937"/>
      <c r="AK208" s="195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2">
        <v>1</v>
      </c>
      <c r="D209" s="1923"/>
      <c r="E209" s="1923"/>
      <c r="F209" s="1923"/>
      <c r="G209" s="1924" t="s">
        <v>2746</v>
      </c>
      <c r="H209" s="1924"/>
      <c r="I209" s="1924"/>
      <c r="J209" s="1924"/>
      <c r="K209" s="1924"/>
      <c r="L209" s="1924"/>
      <c r="M209" s="1924"/>
      <c r="N209" s="1924"/>
      <c r="O209" s="1924"/>
      <c r="P209" s="1925">
        <v>46143</v>
      </c>
      <c r="Q209" s="1928"/>
      <c r="R209" s="1928"/>
      <c r="S209" s="1928"/>
      <c r="T209" s="1928"/>
      <c r="U209" s="1926">
        <v>600000</v>
      </c>
      <c r="V209" s="1926"/>
      <c r="W209" s="1926"/>
      <c r="X209" s="1926"/>
      <c r="Y209" s="1926">
        <v>600000</v>
      </c>
      <c r="Z209" s="1926"/>
      <c r="AA209" s="1926"/>
      <c r="AB209" s="1926"/>
      <c r="AC209" s="1927">
        <v>0.3</v>
      </c>
      <c r="AD209" s="1927"/>
      <c r="AE209" s="1927"/>
      <c r="AF209" s="1927"/>
      <c r="AG209" s="1911" t="s">
        <v>2747</v>
      </c>
      <c r="AH209" s="1912"/>
      <c r="AI209" s="1912"/>
      <c r="AJ209" s="1912"/>
      <c r="AK209" s="191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2">
        <v>2</v>
      </c>
      <c r="D210" s="1923"/>
      <c r="E210" s="1923"/>
      <c r="F210" s="1923"/>
      <c r="G210" s="1924" t="s">
        <v>2748</v>
      </c>
      <c r="H210" s="1924"/>
      <c r="I210" s="1924"/>
      <c r="J210" s="1924"/>
      <c r="K210" s="1924"/>
      <c r="L210" s="1924"/>
      <c r="M210" s="1924"/>
      <c r="N210" s="1924"/>
      <c r="O210" s="1924"/>
      <c r="P210" s="1925">
        <v>46692</v>
      </c>
      <c r="Q210" s="1925"/>
      <c r="R210" s="1925"/>
      <c r="S210" s="1925"/>
      <c r="T210" s="1925"/>
      <c r="U210" s="1926">
        <v>9862903</v>
      </c>
      <c r="V210" s="1926"/>
      <c r="W210" s="1926"/>
      <c r="X210" s="1926"/>
      <c r="Y210" s="1926">
        <v>1200000</v>
      </c>
      <c r="Z210" s="1926"/>
      <c r="AA210" s="1926"/>
      <c r="AB210" s="1926"/>
      <c r="AC210" s="1927">
        <v>0.6</v>
      </c>
      <c r="AD210" s="1927"/>
      <c r="AE210" s="1927"/>
      <c r="AF210" s="1927"/>
      <c r="AG210" s="1911" t="s">
        <v>2747</v>
      </c>
      <c r="AH210" s="1912"/>
      <c r="AI210" s="1912"/>
      <c r="AJ210" s="1912"/>
      <c r="AK210" s="191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2">
        <v>3</v>
      </c>
      <c r="D211" s="1923"/>
      <c r="E211" s="1923"/>
      <c r="F211" s="1923"/>
      <c r="G211" s="1924" t="s">
        <v>2749</v>
      </c>
      <c r="H211" s="1924"/>
      <c r="I211" s="1924"/>
      <c r="J211" s="1924"/>
      <c r="K211" s="1924"/>
      <c r="L211" s="1924"/>
      <c r="M211" s="1924"/>
      <c r="N211" s="1924"/>
      <c r="O211" s="1924"/>
      <c r="P211" s="1925">
        <v>46844</v>
      </c>
      <c r="Q211" s="1925"/>
      <c r="R211" s="1925"/>
      <c r="S211" s="1925"/>
      <c r="T211" s="1925"/>
      <c r="U211" s="1926">
        <v>200000</v>
      </c>
      <c r="V211" s="1926"/>
      <c r="W211" s="1926"/>
      <c r="X211" s="1926"/>
      <c r="Y211" s="1926">
        <v>200000</v>
      </c>
      <c r="Z211" s="1926"/>
      <c r="AA211" s="1926"/>
      <c r="AB211" s="1926"/>
      <c r="AC211" s="1927">
        <v>0.1</v>
      </c>
      <c r="AD211" s="1927"/>
      <c r="AE211" s="1927"/>
      <c r="AF211" s="1927"/>
      <c r="AG211" s="1911" t="s">
        <v>2747</v>
      </c>
      <c r="AH211" s="1912"/>
      <c r="AI211" s="1912"/>
      <c r="AJ211" s="1912"/>
      <c r="AK211" s="191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2">
        <v>4</v>
      </c>
      <c r="D212" s="1923"/>
      <c r="E212" s="1923"/>
      <c r="F212" s="1923"/>
      <c r="G212" s="1924" t="s">
        <v>2318</v>
      </c>
      <c r="H212" s="1924"/>
      <c r="I212" s="1924"/>
      <c r="J212" s="1924"/>
      <c r="K212" s="1924"/>
      <c r="L212" s="1924"/>
      <c r="M212" s="1924"/>
      <c r="N212" s="1924"/>
      <c r="O212" s="1924"/>
      <c r="P212" s="1925"/>
      <c r="Q212" s="1925"/>
      <c r="R212" s="1925"/>
      <c r="S212" s="1925"/>
      <c r="T212" s="1925"/>
      <c r="U212" s="1926">
        <v>428058</v>
      </c>
      <c r="V212" s="1926"/>
      <c r="W212" s="1926"/>
      <c r="X212" s="1926"/>
      <c r="Y212" s="1926">
        <v>428058</v>
      </c>
      <c r="Z212" s="1926"/>
      <c r="AA212" s="1926"/>
      <c r="AB212" s="1926"/>
      <c r="AC212" s="1927"/>
      <c r="AD212" s="1927"/>
      <c r="AE212" s="1927"/>
      <c r="AF212" s="1927"/>
      <c r="AG212" s="1911" t="s">
        <v>458</v>
      </c>
      <c r="AH212" s="1912"/>
      <c r="AI212" s="1912"/>
      <c r="AJ212" s="1912"/>
      <c r="AK212" s="191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2">
        <v>5</v>
      </c>
      <c r="D213" s="1923"/>
      <c r="E213" s="1923"/>
      <c r="F213" s="1923"/>
      <c r="G213" s="1924" t="s">
        <v>1883</v>
      </c>
      <c r="H213" s="1924"/>
      <c r="I213" s="1924"/>
      <c r="J213" s="1924"/>
      <c r="K213" s="1924"/>
      <c r="L213" s="1924"/>
      <c r="M213" s="1924"/>
      <c r="N213" s="1924"/>
      <c r="O213" s="1924"/>
      <c r="P213" s="1925"/>
      <c r="Q213" s="1925"/>
      <c r="R213" s="1925"/>
      <c r="S213" s="1925"/>
      <c r="T213" s="1925"/>
      <c r="U213" s="1926"/>
      <c r="V213" s="1926"/>
      <c r="W213" s="1926"/>
      <c r="X213" s="1926"/>
      <c r="Y213" s="1926" t="s">
        <v>1883</v>
      </c>
      <c r="Z213" s="1926"/>
      <c r="AA213" s="1926"/>
      <c r="AB213" s="1926"/>
      <c r="AC213" s="1927" t="s">
        <v>1883</v>
      </c>
      <c r="AD213" s="1927"/>
      <c r="AE213" s="1927"/>
      <c r="AF213" s="1927"/>
      <c r="AG213" s="1911"/>
      <c r="AH213" s="1912"/>
      <c r="AI213" s="1912"/>
      <c r="AJ213" s="1912"/>
      <c r="AK213" s="191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2">
        <v>6</v>
      </c>
      <c r="D214" s="1923"/>
      <c r="E214" s="1923"/>
      <c r="F214" s="1923"/>
      <c r="G214" s="1924" t="s">
        <v>1883</v>
      </c>
      <c r="H214" s="1924"/>
      <c r="I214" s="1924"/>
      <c r="J214" s="1924"/>
      <c r="K214" s="1924"/>
      <c r="L214" s="1924"/>
      <c r="M214" s="1924"/>
      <c r="N214" s="1924"/>
      <c r="O214" s="1924"/>
      <c r="P214" s="1925"/>
      <c r="Q214" s="1925"/>
      <c r="R214" s="1925"/>
      <c r="S214" s="1925"/>
      <c r="T214" s="1925"/>
      <c r="U214" s="1926"/>
      <c r="V214" s="1926"/>
      <c r="W214" s="1926"/>
      <c r="X214" s="1926"/>
      <c r="Y214" s="1926"/>
      <c r="Z214" s="1926"/>
      <c r="AA214" s="1926"/>
      <c r="AB214" s="1926"/>
      <c r="AC214" s="1927" t="s">
        <v>1883</v>
      </c>
      <c r="AD214" s="1927"/>
      <c r="AE214" s="1927"/>
      <c r="AF214" s="1927"/>
      <c r="AG214" s="1911"/>
      <c r="AH214" s="1912"/>
      <c r="AI214" s="1912"/>
      <c r="AJ214" s="1912"/>
      <c r="AK214" s="191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2">
        <v>7</v>
      </c>
      <c r="D215" s="1923"/>
      <c r="E215" s="1923"/>
      <c r="F215" s="1923"/>
      <c r="G215" s="1924"/>
      <c r="H215" s="1924"/>
      <c r="I215" s="1924"/>
      <c r="J215" s="1924"/>
      <c r="K215" s="1924"/>
      <c r="L215" s="1924"/>
      <c r="M215" s="1924"/>
      <c r="N215" s="1924"/>
      <c r="O215" s="1924"/>
      <c r="P215" s="1925"/>
      <c r="Q215" s="1925"/>
      <c r="R215" s="1925"/>
      <c r="S215" s="1925"/>
      <c r="T215" s="1925"/>
      <c r="U215" s="1926"/>
      <c r="V215" s="1926"/>
      <c r="W215" s="1926"/>
      <c r="X215" s="1926"/>
      <c r="Y215" s="1926"/>
      <c r="Z215" s="1926"/>
      <c r="AA215" s="1926"/>
      <c r="AB215" s="1926"/>
      <c r="AC215" s="1927" t="s">
        <v>1883</v>
      </c>
      <c r="AD215" s="1927"/>
      <c r="AE215" s="1927"/>
      <c r="AF215" s="1927"/>
      <c r="AG215" s="1911"/>
      <c r="AH215" s="1912"/>
      <c r="AI215" s="1912"/>
      <c r="AJ215" s="1912"/>
      <c r="AK215" s="191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4" t="s">
        <v>2293</v>
      </c>
      <c r="D216" s="1915"/>
      <c r="E216" s="1915"/>
      <c r="F216" s="1915"/>
      <c r="G216" s="1915"/>
      <c r="H216" s="1915"/>
      <c r="I216" s="1915"/>
      <c r="J216" s="1915"/>
      <c r="K216" s="1915"/>
      <c r="L216" s="1915"/>
      <c r="M216" s="1915"/>
      <c r="N216" s="1915"/>
      <c r="O216" s="1915"/>
      <c r="P216" s="1916"/>
      <c r="Q216" s="1916"/>
      <c r="R216" s="1916"/>
      <c r="S216" s="1916"/>
      <c r="T216" s="1916"/>
      <c r="U216" s="1917">
        <f>-SUM(U209:U215)</f>
        <v>-11090961</v>
      </c>
      <c r="V216" s="1917"/>
      <c r="W216" s="1917"/>
      <c r="X216" s="1917"/>
      <c r="Y216" s="1917">
        <f>-SUM(Y209:Y215)</f>
        <v>-2428058</v>
      </c>
      <c r="Z216" s="1917"/>
      <c r="AA216" s="1917"/>
      <c r="AB216" s="1917"/>
      <c r="AC216" s="1918">
        <f>-SUM(AC209:AC215)</f>
        <v>-0.99999999999999989</v>
      </c>
      <c r="AD216" s="1918"/>
      <c r="AE216" s="1918"/>
      <c r="AF216" s="1918"/>
      <c r="AG216" s="1919"/>
      <c r="AH216" s="1920"/>
      <c r="AI216" s="1920"/>
      <c r="AJ216" s="1920"/>
      <c r="AK216" s="192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8" t="s">
        <v>2291</v>
      </c>
      <c r="C221" s="1899"/>
      <c r="D221" s="1899"/>
      <c r="E221" s="1899"/>
      <c r="F221" s="1899"/>
      <c r="G221" s="1899"/>
      <c r="H221" s="1899"/>
      <c r="I221" s="1899"/>
      <c r="J221" s="1899"/>
      <c r="K221" s="1899"/>
      <c r="L221" s="1899"/>
      <c r="M221" s="1899"/>
      <c r="N221" s="1899"/>
      <c r="O221" s="1899"/>
      <c r="P221" s="1899"/>
      <c r="Q221" s="1899"/>
      <c r="R221" s="1899"/>
      <c r="S221" s="1899"/>
      <c r="T221" s="1899"/>
      <c r="U221" s="1899"/>
      <c r="V221" s="1899"/>
      <c r="W221" s="1899"/>
      <c r="X221" s="1899"/>
      <c r="Y221" s="1899"/>
      <c r="Z221" s="1899"/>
      <c r="AA221" s="1899"/>
      <c r="AB221" s="1899"/>
      <c r="AC221" s="1899"/>
      <c r="AD221" s="1899"/>
      <c r="AE221" s="1899"/>
      <c r="AF221" s="1899"/>
      <c r="AG221" s="1899"/>
      <c r="AH221" s="1899"/>
      <c r="AI221" s="1899"/>
      <c r="AJ221" s="1899"/>
      <c r="AK221" s="1899"/>
      <c r="AL221" s="1899"/>
      <c r="AM221" s="1899"/>
      <c r="AN221" s="1899"/>
      <c r="AO221" s="1899"/>
      <c r="AP221" s="1899"/>
      <c r="AQ221" s="1899"/>
      <c r="AR221" s="1899"/>
      <c r="AS221" s="1899"/>
      <c r="AT221" s="1899"/>
      <c r="AU221" s="1899"/>
      <c r="AV221" s="1899"/>
      <c r="AW221" s="1899"/>
      <c r="AX221" s="1899"/>
      <c r="AY221" s="1899"/>
      <c r="AZ221" s="1899"/>
      <c r="BA221" s="1899"/>
      <c r="BB221" s="1899"/>
      <c r="BC221" s="1899"/>
      <c r="BD221" s="1900"/>
      <c r="BE221" s="1194"/>
    </row>
    <row r="222" spans="1:57" ht="15.75" customHeight="1">
      <c r="A222" s="1190"/>
      <c r="B222" s="1901"/>
      <c r="C222" s="1902"/>
      <c r="D222" s="1902"/>
      <c r="E222" s="1902"/>
      <c r="F222" s="1902"/>
      <c r="G222" s="1902"/>
      <c r="H222" s="1902"/>
      <c r="I222" s="1902"/>
      <c r="J222" s="1902"/>
      <c r="K222" s="1902"/>
      <c r="L222" s="1902"/>
      <c r="M222" s="1902"/>
      <c r="N222" s="1902"/>
      <c r="O222" s="1902"/>
      <c r="P222" s="1902"/>
      <c r="Q222" s="1902"/>
      <c r="R222" s="1902"/>
      <c r="S222" s="1902"/>
      <c r="T222" s="1902"/>
      <c r="U222" s="1902"/>
      <c r="V222" s="1902"/>
      <c r="W222" s="1902"/>
      <c r="X222" s="1902"/>
      <c r="Y222" s="1902"/>
      <c r="Z222" s="1902"/>
      <c r="AA222" s="1902"/>
      <c r="AB222" s="1902"/>
      <c r="AC222" s="1902"/>
      <c r="AD222" s="1902"/>
      <c r="AE222" s="1902"/>
      <c r="AF222" s="1902"/>
      <c r="AG222" s="1902"/>
      <c r="AH222" s="1902"/>
      <c r="AI222" s="1902"/>
      <c r="AJ222" s="1902"/>
      <c r="AK222" s="1902"/>
      <c r="AL222" s="1902"/>
      <c r="AM222" s="1902"/>
      <c r="AN222" s="1902"/>
      <c r="AO222" s="1902"/>
      <c r="AP222" s="1902"/>
      <c r="AQ222" s="1902"/>
      <c r="AR222" s="1902"/>
      <c r="AS222" s="1902"/>
      <c r="AT222" s="1902"/>
      <c r="AU222" s="1902"/>
      <c r="AV222" s="1902"/>
      <c r="AW222" s="1902"/>
      <c r="AX222" s="1902"/>
      <c r="AY222" s="1902"/>
      <c r="AZ222" s="1902"/>
      <c r="BA222" s="1902"/>
      <c r="BB222" s="1902"/>
      <c r="BC222" s="1902"/>
      <c r="BD222" s="1903"/>
      <c r="BE222" s="1194"/>
    </row>
    <row r="223" spans="1:57" ht="15.75" customHeight="1">
      <c r="A223" s="1190"/>
      <c r="B223" s="1904" t="s">
        <v>2290</v>
      </c>
      <c r="C223" s="1905"/>
      <c r="D223" s="1905"/>
      <c r="E223" s="1905"/>
      <c r="F223" s="1905"/>
      <c r="G223" s="1905"/>
      <c r="H223" s="1905"/>
      <c r="I223" s="1905"/>
      <c r="J223" s="1905"/>
      <c r="K223" s="1905"/>
      <c r="L223" s="1905"/>
      <c r="M223" s="1905"/>
      <c r="N223" s="1905"/>
      <c r="O223" s="1905"/>
      <c r="P223" s="1905"/>
      <c r="Q223" s="1905"/>
      <c r="R223" s="1905"/>
      <c r="S223" s="1905"/>
      <c r="T223" s="1905"/>
      <c r="U223" s="1905"/>
      <c r="V223" s="1905"/>
      <c r="W223" s="1905"/>
      <c r="X223" s="1905"/>
      <c r="Y223" s="1905"/>
      <c r="Z223" s="1905"/>
      <c r="AA223" s="1905"/>
      <c r="AB223" s="1905"/>
      <c r="AC223" s="1905"/>
      <c r="AD223" s="1905"/>
      <c r="AE223" s="1905"/>
      <c r="AF223" s="1905"/>
      <c r="AG223" s="1905"/>
      <c r="AH223" s="1905"/>
      <c r="AI223" s="1905"/>
      <c r="AJ223" s="1905"/>
      <c r="AK223" s="1905"/>
      <c r="AL223" s="1905"/>
      <c r="AM223" s="1905"/>
      <c r="AN223" s="1905"/>
      <c r="AO223" s="1905"/>
      <c r="AP223" s="1905"/>
      <c r="AQ223" s="1905"/>
      <c r="AR223" s="1905"/>
      <c r="AS223" s="1905"/>
      <c r="AT223" s="1905"/>
      <c r="AU223" s="1905"/>
      <c r="AV223" s="1905"/>
      <c r="AW223" s="1905"/>
      <c r="AX223" s="1905"/>
      <c r="AY223" s="1905"/>
      <c r="AZ223" s="1905"/>
      <c r="BA223" s="1905"/>
      <c r="BB223" s="1905"/>
      <c r="BC223" s="1905"/>
      <c r="BD223" s="1906"/>
      <c r="BE223" s="1194"/>
    </row>
    <row r="224" spans="1:57" ht="15.75" customHeight="1">
      <c r="A224" s="1190"/>
      <c r="B224" s="1904" t="s">
        <v>2289</v>
      </c>
      <c r="C224" s="1905"/>
      <c r="D224" s="1905"/>
      <c r="E224" s="1905"/>
      <c r="F224" s="1905"/>
      <c r="G224" s="1905"/>
      <c r="H224" s="1905"/>
      <c r="I224" s="1905"/>
      <c r="J224" s="1905"/>
      <c r="K224" s="1905"/>
      <c r="L224" s="1905"/>
      <c r="M224" s="1905"/>
      <c r="N224" s="1905"/>
      <c r="O224" s="1905"/>
      <c r="P224" s="1905"/>
      <c r="Q224" s="1905"/>
      <c r="R224" s="1905"/>
      <c r="S224" s="1905"/>
      <c r="T224" s="1905"/>
      <c r="U224" s="1905"/>
      <c r="V224" s="1905"/>
      <c r="W224" s="1905"/>
      <c r="X224" s="1905"/>
      <c r="Y224" s="1905"/>
      <c r="Z224" s="1905"/>
      <c r="AA224" s="1905"/>
      <c r="AB224" s="1905"/>
      <c r="AC224" s="1905"/>
      <c r="AD224" s="1905"/>
      <c r="AE224" s="1905"/>
      <c r="AF224" s="1905"/>
      <c r="AG224" s="1905"/>
      <c r="AH224" s="1905"/>
      <c r="AI224" s="1905"/>
      <c r="AJ224" s="1905"/>
      <c r="AK224" s="1905"/>
      <c r="AL224" s="1905"/>
      <c r="AM224" s="1905"/>
      <c r="AN224" s="1905"/>
      <c r="AO224" s="1905"/>
      <c r="AP224" s="1905"/>
      <c r="AQ224" s="1905"/>
      <c r="AR224" s="1905"/>
      <c r="AS224" s="1905"/>
      <c r="AT224" s="1905"/>
      <c r="AU224" s="1905"/>
      <c r="AV224" s="1905"/>
      <c r="AW224" s="1905"/>
      <c r="AX224" s="1905"/>
      <c r="AY224" s="1905"/>
      <c r="AZ224" s="1905"/>
      <c r="BA224" s="1905"/>
      <c r="BB224" s="1905"/>
      <c r="BC224" s="1905"/>
      <c r="BD224" s="190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7" t="s">
        <v>2288</v>
      </c>
      <c r="C226" s="1908"/>
      <c r="D226" s="1908"/>
      <c r="E226" s="1908"/>
      <c r="F226" s="1908"/>
      <c r="G226" s="1908"/>
      <c r="H226" s="1908"/>
      <c r="I226" s="1908"/>
      <c r="J226" s="1908"/>
      <c r="K226" s="1908"/>
      <c r="L226" s="1908"/>
      <c r="M226" s="1908"/>
      <c r="N226" s="1908"/>
      <c r="O226" s="1908"/>
      <c r="P226" s="1908"/>
      <c r="Q226" s="1908"/>
      <c r="R226" s="1908"/>
      <c r="S226" s="1908"/>
      <c r="T226" s="1908"/>
      <c r="U226" s="1908"/>
      <c r="V226" s="1908"/>
      <c r="W226" s="1908"/>
      <c r="X226" s="1908"/>
      <c r="Y226" s="1908"/>
      <c r="Z226" s="1908"/>
      <c r="AA226" s="1908"/>
      <c r="AB226" s="1908"/>
      <c r="AC226" s="1908"/>
      <c r="AD226" s="1908"/>
      <c r="AE226" s="1908"/>
      <c r="AF226" s="1908"/>
      <c r="AG226" s="1908"/>
      <c r="AH226" s="1908"/>
      <c r="AI226" s="1908"/>
      <c r="AJ226" s="1908"/>
      <c r="AK226" s="1908"/>
      <c r="AL226" s="1908"/>
      <c r="AM226" s="1908"/>
      <c r="AN226" s="1908"/>
      <c r="AO226" s="1908"/>
      <c r="AP226" s="1908"/>
      <c r="AQ226" s="1908"/>
      <c r="AR226" s="1908"/>
      <c r="AS226" s="1908"/>
      <c r="AT226" s="1908"/>
      <c r="AU226" s="1908"/>
      <c r="AV226" s="1908"/>
      <c r="AW226" s="1908"/>
      <c r="AX226" s="1908"/>
      <c r="AY226" s="1908"/>
      <c r="AZ226" s="1908"/>
      <c r="BA226" s="1908"/>
      <c r="BB226" s="1908"/>
      <c r="BC226" s="1908"/>
      <c r="BD226" s="190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0" t="s">
        <v>2286</v>
      </c>
      <c r="I230" s="1910"/>
      <c r="J230" s="1910"/>
      <c r="K230" s="1910"/>
      <c r="L230" s="1910"/>
      <c r="M230" s="1910"/>
      <c r="N230" s="1910"/>
      <c r="O230" s="1910"/>
      <c r="P230" s="1910"/>
      <c r="Q230" s="1910"/>
      <c r="R230" s="1910"/>
      <c r="S230" s="1910"/>
      <c r="T230" s="1910"/>
      <c r="U230" s="1910"/>
      <c r="V230" s="1910"/>
      <c r="W230" s="1910"/>
      <c r="X230" s="1910"/>
      <c r="Y230" s="1910"/>
      <c r="Z230" s="1910"/>
      <c r="AA230" s="1910"/>
      <c r="AB230" s="1910"/>
      <c r="AC230" s="1910"/>
      <c r="AD230" s="1910"/>
      <c r="AE230" s="1910"/>
      <c r="AF230" s="1910"/>
      <c r="AG230" s="1910"/>
      <c r="AH230" s="1910"/>
      <c r="AI230" s="1910"/>
      <c r="AJ230" s="1910"/>
      <c r="AK230" s="1910"/>
      <c r="AL230" s="1910"/>
      <c r="AM230" s="1910"/>
      <c r="AN230" s="1910"/>
      <c r="AO230" s="1910"/>
      <c r="AP230" s="1910"/>
      <c r="AQ230" s="1910"/>
      <c r="AR230" s="1910"/>
      <c r="AS230" s="1910"/>
      <c r="AT230" s="1910"/>
      <c r="AU230" s="1910"/>
      <c r="AV230" s="1910"/>
      <c r="AW230" s="1910"/>
      <c r="AX230" s="1910"/>
      <c r="AY230" s="191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3" t="s">
        <v>2285</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893"/>
      <c r="AX232" s="1893"/>
      <c r="AY232" s="1893"/>
      <c r="AZ232" s="1893"/>
      <c r="BA232" s="1190"/>
      <c r="BB232" s="1190"/>
      <c r="BC232" s="1190"/>
      <c r="BD232" s="1194"/>
      <c r="BE232" s="1194"/>
    </row>
    <row r="233" spans="1:57" ht="15.75" customHeight="1">
      <c r="A233" s="1190"/>
      <c r="B233" s="1189"/>
      <c r="C233" s="1190"/>
      <c r="D233" s="1190"/>
      <c r="E233" s="1190"/>
      <c r="F233" s="1190"/>
      <c r="G233" s="1190"/>
      <c r="H233" s="1893"/>
      <c r="I233" s="1893"/>
      <c r="J233" s="1893"/>
      <c r="K233" s="1893"/>
      <c r="L233" s="1893"/>
      <c r="M233" s="1893"/>
      <c r="N233" s="1893"/>
      <c r="O233" s="1893"/>
      <c r="P233" s="1893"/>
      <c r="Q233" s="1893"/>
      <c r="R233" s="1893"/>
      <c r="S233" s="1893"/>
      <c r="T233" s="1893"/>
      <c r="U233" s="1893"/>
      <c r="V233" s="1893"/>
      <c r="W233" s="1893"/>
      <c r="X233" s="1893"/>
      <c r="Y233" s="1893"/>
      <c r="Z233" s="1893"/>
      <c r="AA233" s="1893"/>
      <c r="AB233" s="1893"/>
      <c r="AC233" s="1893"/>
      <c r="AD233" s="1893"/>
      <c r="AE233" s="1893"/>
      <c r="AF233" s="1893"/>
      <c r="AG233" s="1893"/>
      <c r="AH233" s="1893"/>
      <c r="AI233" s="1893"/>
      <c r="AJ233" s="1893"/>
      <c r="AK233" s="1893"/>
      <c r="AL233" s="1893"/>
      <c r="AM233" s="1893"/>
      <c r="AN233" s="1893"/>
      <c r="AO233" s="1893"/>
      <c r="AP233" s="1893"/>
      <c r="AQ233" s="1893"/>
      <c r="AR233" s="1893"/>
      <c r="AS233" s="1893"/>
      <c r="AT233" s="1893"/>
      <c r="AU233" s="1893"/>
      <c r="AV233" s="1893"/>
      <c r="AW233" s="1893"/>
      <c r="AX233" s="1893"/>
      <c r="AY233" s="1893"/>
      <c r="AZ233" s="1893"/>
      <c r="BA233" s="1190"/>
      <c r="BB233" s="1190"/>
      <c r="BC233" s="1190"/>
      <c r="BD233" s="1194"/>
      <c r="BE233" s="1194"/>
    </row>
    <row r="234" spans="1:57" ht="15.75" customHeight="1">
      <c r="A234" s="1190"/>
      <c r="B234" s="1189"/>
      <c r="C234" s="1190"/>
      <c r="D234" s="1190"/>
      <c r="E234" s="1190"/>
      <c r="F234" s="1190"/>
      <c r="G234" s="1190"/>
      <c r="H234" s="1893"/>
      <c r="I234" s="1893"/>
      <c r="J234" s="1893"/>
      <c r="K234" s="1893"/>
      <c r="L234" s="1893"/>
      <c r="M234" s="1893"/>
      <c r="N234" s="1893"/>
      <c r="O234" s="1893"/>
      <c r="P234" s="1893"/>
      <c r="Q234" s="1893"/>
      <c r="R234" s="1893"/>
      <c r="S234" s="1893"/>
      <c r="T234" s="1893"/>
      <c r="U234" s="1893"/>
      <c r="V234" s="1893"/>
      <c r="W234" s="1893"/>
      <c r="X234" s="1893"/>
      <c r="Y234" s="1893"/>
      <c r="Z234" s="1893"/>
      <c r="AA234" s="1893"/>
      <c r="AB234" s="1893"/>
      <c r="AC234" s="1893"/>
      <c r="AD234" s="1893"/>
      <c r="AE234" s="1893"/>
      <c r="AF234" s="1893"/>
      <c r="AG234" s="1893"/>
      <c r="AH234" s="1893"/>
      <c r="AI234" s="1893"/>
      <c r="AJ234" s="1893"/>
      <c r="AK234" s="1893"/>
      <c r="AL234" s="1893"/>
      <c r="AM234" s="1893"/>
      <c r="AN234" s="1893"/>
      <c r="AO234" s="1893"/>
      <c r="AP234" s="1893"/>
      <c r="AQ234" s="1893"/>
      <c r="AR234" s="1893"/>
      <c r="AS234" s="1893"/>
      <c r="AT234" s="1893"/>
      <c r="AU234" s="1893"/>
      <c r="AV234" s="1893"/>
      <c r="AW234" s="1893"/>
      <c r="AX234" s="1893"/>
      <c r="AY234" s="1893"/>
      <c r="AZ234" s="1893"/>
      <c r="BA234" s="1190"/>
      <c r="BB234" s="1190"/>
      <c r="BC234" s="1190"/>
      <c r="BD234" s="1194"/>
      <c r="BE234" s="1194"/>
    </row>
    <row r="235" spans="1:57" ht="15.75" customHeight="1">
      <c r="A235" s="1190"/>
      <c r="B235" s="1189"/>
      <c r="C235" s="1190"/>
      <c r="D235" s="1190"/>
      <c r="E235" s="1190"/>
      <c r="F235" s="1190"/>
      <c r="G235" s="1190"/>
      <c r="H235" s="1893"/>
      <c r="I235" s="1893"/>
      <c r="J235" s="1893"/>
      <c r="K235" s="1893"/>
      <c r="L235" s="1893"/>
      <c r="M235" s="1893"/>
      <c r="N235" s="1893"/>
      <c r="O235" s="1893"/>
      <c r="P235" s="1893"/>
      <c r="Q235" s="1893"/>
      <c r="R235" s="1893"/>
      <c r="S235" s="1893"/>
      <c r="T235" s="1893"/>
      <c r="U235" s="1893"/>
      <c r="V235" s="1893"/>
      <c r="W235" s="1893"/>
      <c r="X235" s="1893"/>
      <c r="Y235" s="1893"/>
      <c r="Z235" s="1893"/>
      <c r="AA235" s="1893"/>
      <c r="AB235" s="1893"/>
      <c r="AC235" s="1893"/>
      <c r="AD235" s="1893"/>
      <c r="AE235" s="1893"/>
      <c r="AF235" s="1893"/>
      <c r="AG235" s="1893"/>
      <c r="AH235" s="1893"/>
      <c r="AI235" s="1893"/>
      <c r="AJ235" s="1893"/>
      <c r="AK235" s="1893"/>
      <c r="AL235" s="1893"/>
      <c r="AM235" s="1893"/>
      <c r="AN235" s="1893"/>
      <c r="AO235" s="1893"/>
      <c r="AP235" s="1893"/>
      <c r="AQ235" s="1893"/>
      <c r="AR235" s="1893"/>
      <c r="AS235" s="1893"/>
      <c r="AT235" s="1893"/>
      <c r="AU235" s="1893"/>
      <c r="AV235" s="1893"/>
      <c r="AW235" s="1893"/>
      <c r="AX235" s="1893"/>
      <c r="AY235" s="1893"/>
      <c r="AZ235" s="189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4" t="s">
        <v>2284</v>
      </c>
      <c r="I237" s="1894"/>
      <c r="J237" s="1894"/>
      <c r="K237" s="1894"/>
      <c r="L237" s="1894"/>
      <c r="M237" s="1894"/>
      <c r="N237" s="1894"/>
      <c r="O237" s="1894"/>
      <c r="P237" s="1894"/>
      <c r="Q237" s="1894"/>
      <c r="R237" s="1894"/>
      <c r="S237" s="1894"/>
      <c r="T237" s="1894"/>
      <c r="U237" s="1894"/>
      <c r="V237" s="1894"/>
      <c r="W237" s="1894"/>
      <c r="X237" s="1894"/>
      <c r="Y237" s="1894"/>
      <c r="Z237" s="1894"/>
      <c r="AA237" s="1894"/>
      <c r="AB237" s="1894"/>
      <c r="AC237" s="1894"/>
      <c r="AD237" s="1894"/>
      <c r="AE237" s="1894"/>
      <c r="AF237" s="1894"/>
      <c r="AG237" s="1894"/>
      <c r="AH237" s="1894"/>
      <c r="AI237" s="1894"/>
      <c r="AJ237" s="1894"/>
      <c r="AK237" s="1894"/>
      <c r="AL237" s="1894"/>
      <c r="AM237" s="1894"/>
      <c r="AN237" s="1894"/>
      <c r="AO237" s="1894"/>
      <c r="AP237" s="1894"/>
      <c r="AQ237" s="1894"/>
      <c r="AR237" s="1894"/>
      <c r="AS237" s="1894"/>
      <c r="AT237" s="1894"/>
      <c r="AU237" s="1894"/>
      <c r="AV237" s="189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4" t="s">
        <v>2283</v>
      </c>
      <c r="I239" s="1884"/>
      <c r="J239" s="1884"/>
      <c r="K239" s="1884"/>
      <c r="L239" s="1239"/>
      <c r="M239" s="1239"/>
      <c r="N239" s="1239"/>
      <c r="O239" s="1239"/>
      <c r="P239" s="1239"/>
      <c r="Q239" s="1239"/>
      <c r="R239" s="1239"/>
      <c r="S239" s="1895"/>
      <c r="T239" s="1896"/>
      <c r="U239" s="1896"/>
      <c r="V239" s="1896"/>
      <c r="W239" s="1896"/>
      <c r="X239" s="1896"/>
      <c r="Y239" s="1896"/>
      <c r="Z239" s="1896"/>
      <c r="AA239" s="1896"/>
      <c r="AB239" s="1896"/>
      <c r="AC239" s="1896"/>
      <c r="AD239" s="1896"/>
      <c r="AE239" s="1896"/>
      <c r="AF239" s="1896"/>
      <c r="AG239" s="1896"/>
      <c r="AH239" s="1896"/>
      <c r="AI239" s="1896"/>
      <c r="AJ239" s="189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4" t="s">
        <v>2282</v>
      </c>
      <c r="I241" s="1884"/>
      <c r="J241" s="1884"/>
      <c r="K241" s="1241"/>
      <c r="L241" s="1239"/>
      <c r="M241" s="1239"/>
      <c r="N241" s="1239"/>
      <c r="O241" s="1239"/>
      <c r="P241" s="1239"/>
      <c r="Q241" s="1239"/>
      <c r="R241" s="1239"/>
      <c r="S241" s="1885"/>
      <c r="T241" s="1886"/>
      <c r="U241" s="1886"/>
      <c r="V241" s="1886"/>
      <c r="W241" s="1886"/>
      <c r="X241" s="1886"/>
      <c r="Y241" s="1886"/>
      <c r="Z241" s="1886"/>
      <c r="AA241" s="1886"/>
      <c r="AB241" s="1886"/>
      <c r="AC241" s="1886"/>
      <c r="AD241" s="1886"/>
      <c r="AE241" s="1886"/>
      <c r="AF241" s="1886"/>
      <c r="AG241" s="1886"/>
      <c r="AH241" s="1886"/>
      <c r="AI241" s="1886"/>
      <c r="AJ241" s="188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4" t="s">
        <v>441</v>
      </c>
      <c r="I243" s="1884"/>
      <c r="J243" s="1241"/>
      <c r="K243" s="1241"/>
      <c r="L243" s="1239"/>
      <c r="M243" s="1239"/>
      <c r="N243" s="1239"/>
      <c r="O243" s="1239"/>
      <c r="P243" s="1239"/>
      <c r="Q243" s="1239"/>
      <c r="R243" s="1239"/>
      <c r="S243" s="1885"/>
      <c r="T243" s="1886"/>
      <c r="U243" s="1886"/>
      <c r="V243" s="1886"/>
      <c r="W243" s="1886"/>
      <c r="X243" s="1886"/>
      <c r="Y243" s="1886"/>
      <c r="Z243" s="1886"/>
      <c r="AA243" s="1886"/>
      <c r="AB243" s="1886"/>
      <c r="AC243" s="1886"/>
      <c r="AD243" s="1886"/>
      <c r="AE243" s="1886"/>
      <c r="AF243" s="1886"/>
      <c r="AG243" s="1886"/>
      <c r="AH243" s="1886"/>
      <c r="AI243" s="1886"/>
      <c r="AJ243" s="188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8" t="s">
        <v>2281</v>
      </c>
      <c r="I245" s="1888"/>
      <c r="J245" s="1888"/>
      <c r="K245" s="1888"/>
      <c r="L245" s="1888"/>
      <c r="M245" s="1888"/>
      <c r="N245" s="1888"/>
      <c r="O245" s="1888"/>
      <c r="P245" s="1239"/>
      <c r="Q245" s="1239"/>
      <c r="R245" s="1239"/>
      <c r="S245" s="1885"/>
      <c r="T245" s="1886"/>
      <c r="U245" s="1886"/>
      <c r="V245" s="1886"/>
      <c r="W245" s="1886"/>
      <c r="X245" s="1886"/>
      <c r="Y245" s="1886"/>
      <c r="Z245" s="1886"/>
      <c r="AA245" s="1886"/>
      <c r="AB245" s="1886"/>
      <c r="AC245" s="1886"/>
      <c r="AD245" s="1886"/>
      <c r="AE245" s="1886"/>
      <c r="AF245" s="1886"/>
      <c r="AG245" s="1886"/>
      <c r="AH245" s="1886"/>
      <c r="AI245" s="1886"/>
      <c r="AJ245" s="188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9" t="s">
        <v>2280</v>
      </c>
      <c r="I247" s="1889"/>
      <c r="J247" s="1239"/>
      <c r="K247" s="1239"/>
      <c r="L247" s="1239"/>
      <c r="M247" s="1239"/>
      <c r="N247" s="1239"/>
      <c r="O247" s="1239"/>
      <c r="P247" s="1239"/>
      <c r="Q247" s="1239"/>
      <c r="R247" s="1239"/>
      <c r="S247" s="1890"/>
      <c r="T247" s="1891"/>
      <c r="U247" s="1891"/>
      <c r="V247" s="1891"/>
      <c r="W247" s="1891"/>
      <c r="X247" s="1891"/>
      <c r="Y247" s="1891"/>
      <c r="Z247" s="1891"/>
      <c r="AA247" s="1891"/>
      <c r="AB247" s="1891"/>
      <c r="AC247" s="1891"/>
      <c r="AD247" s="1891"/>
      <c r="AE247" s="1891"/>
      <c r="AF247" s="1891"/>
      <c r="AG247" s="1891"/>
      <c r="AH247" s="1891"/>
      <c r="AI247" s="1891"/>
      <c r="AJ247" s="189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AB51" sqref="AB51"/>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84" t="s">
        <v>1279</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row>
    <row r="2" spans="1:40" ht="12.95" customHeight="1" thickBot="1">
      <c r="A2" s="2385"/>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NON-DDA/
NON-QCT Building(s)</v>
      </c>
      <c r="U7" s="2364"/>
      <c r="V7" s="2364"/>
      <c r="W7" s="2364"/>
      <c r="X7" s="2364"/>
      <c r="Y7" s="2364" t="str">
        <f>IF(T25=100%,"",'Sources and Basis Breakdown'!G2)</f>
        <v/>
      </c>
      <c r="Z7" s="2364"/>
      <c r="AA7" s="2364"/>
      <c r="AB7" s="2364"/>
      <c r="AC7" s="2364"/>
      <c r="AD7" s="2364" t="str">
        <f xml:space="preserve"> IF(T25=100%, 'Sources and Basis Breakdown'!J2,'Sources and Basis Breakdown'!I2)</f>
        <v>30% PVC for Acquisition
NON-DDA/
NON-QCT Building(s)</v>
      </c>
      <c r="AE7" s="2364"/>
      <c r="AF7" s="2364"/>
      <c r="AG7" s="2364"/>
      <c r="AH7" s="2364"/>
      <c r="AI7" s="2364" t="str">
        <f>IF(T25=100%,"",'Sources and Basis Breakdown'!J2)</f>
        <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50" t="s">
        <v>375</v>
      </c>
      <c r="C11" s="2351"/>
      <c r="D11" s="2351"/>
      <c r="E11" s="2351"/>
      <c r="F11" s="2351"/>
      <c r="G11" s="2351"/>
      <c r="H11" s="2351"/>
      <c r="I11" s="2351"/>
      <c r="J11" s="2351"/>
      <c r="K11" s="2351"/>
      <c r="L11" s="2351"/>
      <c r="M11" s="2351"/>
      <c r="N11" s="2351"/>
      <c r="O11" s="2351"/>
      <c r="P11" s="2351"/>
      <c r="Q11" s="2351"/>
      <c r="R11" s="2351"/>
      <c r="S11" s="2352"/>
      <c r="T11" s="2386">
        <f>IF('Sources and Basis Breakdown'!F107=0,'Sources and Basis Breakdown'!E107,'Sources and Basis Breakdown'!F107)</f>
        <v>10758405</v>
      </c>
      <c r="U11" s="2387"/>
      <c r="V11" s="2387"/>
      <c r="W11" s="2387"/>
      <c r="X11" s="2387"/>
      <c r="Y11" s="2386">
        <f>IF(Y7="",0,IF('Sources and Basis Breakdown'!G107+'Sources and Basis Breakdown'!F107='Sources and Basis Breakdown'!E107,'Sources and Basis Breakdown'!G107,0))</f>
        <v>0</v>
      </c>
      <c r="Z11" s="2387"/>
      <c r="AA11" s="2387"/>
      <c r="AB11" s="2387"/>
      <c r="AC11" s="2387"/>
      <c r="AD11" s="2387">
        <f>IF('Sources and Basis Breakdown'!I107=0,'Sources and Basis Breakdown'!H107,'Sources and Basis Breakdown'!I107)</f>
        <v>21520559</v>
      </c>
      <c r="AE11" s="2387"/>
      <c r="AF11" s="2387"/>
      <c r="AG11" s="2387"/>
      <c r="AH11" s="2387"/>
      <c r="AI11" s="2387">
        <f>IF(Y7="",0,IF('Sources and Basis Breakdown'!I107+'Sources and Basis Breakdown'!J107='Sources and Basis Breakdown'!H107,'Sources and Basis Breakdown'!J107,0))</f>
        <v>0</v>
      </c>
      <c r="AJ11" s="2387"/>
      <c r="AK11" s="2387"/>
      <c r="AL11" s="2387"/>
      <c r="AM11" s="2387"/>
    </row>
    <row r="12" spans="1:40" ht="12.95" customHeight="1">
      <c r="B12" s="2388" t="s">
        <v>497</v>
      </c>
      <c r="C12" s="1309"/>
      <c r="D12" s="1309"/>
      <c r="E12" s="1309"/>
      <c r="F12" s="1309"/>
      <c r="G12" s="1309"/>
      <c r="H12" s="1309"/>
      <c r="I12" s="1309"/>
      <c r="J12" s="1309"/>
      <c r="K12" s="1309"/>
      <c r="L12" s="1309"/>
      <c r="M12" s="1309"/>
      <c r="N12" s="1309"/>
      <c r="O12" s="1309"/>
      <c r="P12" s="1309"/>
      <c r="Q12" s="1309"/>
      <c r="R12" s="1309"/>
      <c r="S12" s="2389"/>
      <c r="T12" s="2379"/>
      <c r="U12" s="2380"/>
      <c r="V12" s="2380"/>
      <c r="W12" s="2380"/>
      <c r="X12" s="2381"/>
      <c r="Y12" s="2379"/>
      <c r="Z12" s="2380"/>
      <c r="AA12" s="2380"/>
      <c r="AB12" s="2380"/>
      <c r="AC12" s="2381"/>
      <c r="AD12" s="2379"/>
      <c r="AE12" s="2380"/>
      <c r="AF12" s="2380"/>
      <c r="AG12" s="2380"/>
      <c r="AH12" s="2381"/>
      <c r="AI12" s="2379"/>
      <c r="AJ12" s="2380"/>
      <c r="AK12" s="2380"/>
      <c r="AL12" s="2380"/>
      <c r="AM12" s="2381"/>
    </row>
    <row r="13" spans="1:40" ht="12.95" customHeight="1">
      <c r="B13" s="435"/>
      <c r="C13" s="2390" t="s">
        <v>498</v>
      </c>
      <c r="D13" s="2390"/>
      <c r="E13" s="2390"/>
      <c r="F13" s="2390"/>
      <c r="G13" s="2390"/>
      <c r="H13" s="2390"/>
      <c r="I13" s="2390"/>
      <c r="J13" s="2390"/>
      <c r="K13" s="2390"/>
      <c r="L13" s="2390"/>
      <c r="M13" s="2390"/>
      <c r="N13" s="2390"/>
      <c r="O13" s="2390"/>
      <c r="P13" s="2390"/>
      <c r="Q13" s="2390"/>
      <c r="R13" s="2390"/>
      <c r="S13" s="2391"/>
      <c r="T13" s="2382"/>
      <c r="U13" s="2383"/>
      <c r="V13" s="2383"/>
      <c r="W13" s="2383"/>
      <c r="X13" s="2383"/>
      <c r="Y13" s="2382"/>
      <c r="Z13" s="2383"/>
      <c r="AA13" s="2383"/>
      <c r="AB13" s="2383"/>
      <c r="AC13" s="2383"/>
      <c r="AD13" s="2383"/>
      <c r="AE13" s="2383"/>
      <c r="AF13" s="2383"/>
      <c r="AG13" s="2383"/>
      <c r="AH13" s="2383"/>
      <c r="AI13" s="2383"/>
      <c r="AJ13" s="2383"/>
      <c r="AK13" s="2383"/>
      <c r="AL13" s="2383"/>
      <c r="AM13" s="2383"/>
    </row>
    <row r="14" spans="1:40" ht="12.95" customHeight="1">
      <c r="B14" s="435"/>
      <c r="C14" s="2390" t="s">
        <v>499</v>
      </c>
      <c r="D14" s="2390"/>
      <c r="E14" s="2390"/>
      <c r="F14" s="2390"/>
      <c r="G14" s="2390"/>
      <c r="H14" s="2390"/>
      <c r="I14" s="2390"/>
      <c r="J14" s="2390"/>
      <c r="K14" s="2390"/>
      <c r="L14" s="2390"/>
      <c r="M14" s="2390"/>
      <c r="N14" s="2390"/>
      <c r="O14" s="2390"/>
      <c r="P14" s="2390"/>
      <c r="Q14" s="2390"/>
      <c r="R14" s="2390"/>
      <c r="S14" s="2391"/>
      <c r="T14" s="2372"/>
      <c r="U14" s="2373"/>
      <c r="V14" s="2373"/>
      <c r="W14" s="2373"/>
      <c r="X14" s="2373"/>
      <c r="Y14" s="2372"/>
      <c r="Z14" s="2373"/>
      <c r="AA14" s="2373"/>
      <c r="AB14" s="2373"/>
      <c r="AC14" s="2373"/>
      <c r="AD14" s="2373"/>
      <c r="AE14" s="2373"/>
      <c r="AF14" s="2373"/>
      <c r="AG14" s="2373"/>
      <c r="AH14" s="2373"/>
      <c r="AI14" s="2373"/>
      <c r="AJ14" s="2373"/>
      <c r="AK14" s="2373"/>
      <c r="AL14" s="2373"/>
      <c r="AM14" s="2373"/>
    </row>
    <row r="15" spans="1:40" ht="12.95" customHeight="1">
      <c r="B15" s="435"/>
      <c r="C15" s="2390" t="s">
        <v>500</v>
      </c>
      <c r="D15" s="2390"/>
      <c r="E15" s="2390"/>
      <c r="F15" s="2390"/>
      <c r="G15" s="2390"/>
      <c r="H15" s="2390"/>
      <c r="I15" s="2390"/>
      <c r="J15" s="2390"/>
      <c r="K15" s="2390"/>
      <c r="L15" s="2390"/>
      <c r="M15" s="2390"/>
      <c r="N15" s="2390"/>
      <c r="O15" s="2390"/>
      <c r="P15" s="2390"/>
      <c r="Q15" s="2390"/>
      <c r="R15" s="2390"/>
      <c r="S15" s="2391"/>
      <c r="T15" s="2372"/>
      <c r="U15" s="2373"/>
      <c r="V15" s="2373"/>
      <c r="W15" s="2373"/>
      <c r="X15" s="2373"/>
      <c r="Y15" s="2372"/>
      <c r="Z15" s="2373"/>
      <c r="AA15" s="2373"/>
      <c r="AB15" s="2373"/>
      <c r="AC15" s="2373"/>
      <c r="AD15" s="2373"/>
      <c r="AE15" s="2373"/>
      <c r="AF15" s="2373"/>
      <c r="AG15" s="2373"/>
      <c r="AH15" s="2373"/>
      <c r="AI15" s="2373"/>
      <c r="AJ15" s="2373"/>
      <c r="AK15" s="2373"/>
      <c r="AL15" s="2373"/>
      <c r="AM15" s="2373"/>
    </row>
    <row r="16" spans="1:40" ht="12.95" customHeight="1">
      <c r="B16" s="435"/>
      <c r="C16" s="2390" t="s">
        <v>805</v>
      </c>
      <c r="D16" s="2390"/>
      <c r="E16" s="2390"/>
      <c r="F16" s="2390"/>
      <c r="G16" s="2390"/>
      <c r="H16" s="2390"/>
      <c r="I16" s="2390"/>
      <c r="J16" s="2390"/>
      <c r="K16" s="2390"/>
      <c r="L16" s="2390"/>
      <c r="M16" s="2390"/>
      <c r="N16" s="2390"/>
      <c r="O16" s="2390"/>
      <c r="P16" s="2390"/>
      <c r="Q16" s="2390"/>
      <c r="R16" s="2390"/>
      <c r="S16" s="2391"/>
      <c r="T16" s="2372"/>
      <c r="U16" s="2373"/>
      <c r="V16" s="2373"/>
      <c r="W16" s="2373"/>
      <c r="X16" s="2373"/>
      <c r="Y16" s="2372"/>
      <c r="Z16" s="2373"/>
      <c r="AA16" s="2373"/>
      <c r="AB16" s="2373"/>
      <c r="AC16" s="2373"/>
      <c r="AD16" s="2373"/>
      <c r="AE16" s="2373"/>
      <c r="AF16" s="2373"/>
      <c r="AG16" s="2373"/>
      <c r="AH16" s="2373"/>
      <c r="AI16" s="2373"/>
      <c r="AJ16" s="2373"/>
      <c r="AK16" s="2373"/>
      <c r="AL16" s="2373"/>
      <c r="AM16" s="2373"/>
    </row>
    <row r="17" spans="1:40" ht="12.95" customHeight="1">
      <c r="B17" s="435"/>
      <c r="C17" s="2390" t="s">
        <v>501</v>
      </c>
      <c r="D17" s="2390"/>
      <c r="E17" s="2390"/>
      <c r="F17" s="2390"/>
      <c r="G17" s="2390"/>
      <c r="H17" s="2390"/>
      <c r="I17" s="2390"/>
      <c r="J17" s="2390"/>
      <c r="K17" s="2390"/>
      <c r="L17" s="2390"/>
      <c r="M17" s="2390"/>
      <c r="N17" s="2390"/>
      <c r="O17" s="2390"/>
      <c r="P17" s="2390"/>
      <c r="Q17" s="2390"/>
      <c r="R17" s="2390"/>
      <c r="S17" s="2391"/>
      <c r="T17" s="2372"/>
      <c r="U17" s="2373"/>
      <c r="V17" s="2373"/>
      <c r="W17" s="2373"/>
      <c r="X17" s="2373"/>
      <c r="Y17" s="2372"/>
      <c r="Z17" s="2373"/>
      <c r="AA17" s="2373"/>
      <c r="AB17" s="2373"/>
      <c r="AC17" s="2373"/>
      <c r="AD17" s="2373"/>
      <c r="AE17" s="2373"/>
      <c r="AF17" s="2373"/>
      <c r="AG17" s="2373"/>
      <c r="AH17" s="2373"/>
      <c r="AI17" s="2373"/>
      <c r="AJ17" s="2373"/>
      <c r="AK17" s="2373"/>
      <c r="AL17" s="2373"/>
      <c r="AM17" s="2373"/>
    </row>
    <row r="18" spans="1:40" ht="12.95" customHeight="1">
      <c r="A18"/>
      <c r="B18" s="1150"/>
      <c r="C18" s="1578" t="s">
        <v>959</v>
      </c>
      <c r="D18" s="1578"/>
      <c r="E18" s="1578"/>
      <c r="F18" s="1578"/>
      <c r="G18" s="1578"/>
      <c r="H18" s="1578"/>
      <c r="I18" s="1578"/>
      <c r="J18" s="1578"/>
      <c r="K18" s="1578"/>
      <c r="L18" s="1578"/>
      <c r="M18" s="1578"/>
      <c r="N18" s="1578"/>
      <c r="O18" s="1578"/>
      <c r="P18" s="1578"/>
      <c r="Q18" s="1578"/>
      <c r="R18" s="1578"/>
      <c r="S18" s="1579"/>
      <c r="T18" s="2372"/>
      <c r="U18" s="2373"/>
      <c r="V18" s="2373"/>
      <c r="W18" s="2373"/>
      <c r="X18" s="2373"/>
      <c r="Y18" s="2372"/>
      <c r="Z18" s="2373"/>
      <c r="AA18" s="2373"/>
      <c r="AB18" s="2373"/>
      <c r="AC18" s="2373"/>
      <c r="AD18" s="2373"/>
      <c r="AE18" s="2373"/>
      <c r="AF18" s="2373"/>
      <c r="AG18" s="2373"/>
      <c r="AH18" s="2373"/>
      <c r="AI18" s="2373"/>
      <c r="AJ18" s="2373"/>
      <c r="AK18" s="2373"/>
      <c r="AL18" s="2373"/>
      <c r="AM18" s="2373"/>
    </row>
    <row r="19" spans="1:40" ht="12.95" customHeight="1">
      <c r="B19" s="1150"/>
      <c r="C19" s="1578" t="s">
        <v>959</v>
      </c>
      <c r="D19" s="1578"/>
      <c r="E19" s="1578"/>
      <c r="F19" s="1578"/>
      <c r="G19" s="1578"/>
      <c r="H19" s="1578"/>
      <c r="I19" s="1578"/>
      <c r="J19" s="1578"/>
      <c r="K19" s="1578"/>
      <c r="L19" s="1578"/>
      <c r="M19" s="1578"/>
      <c r="N19" s="1578"/>
      <c r="O19" s="1578"/>
      <c r="P19" s="1578"/>
      <c r="Q19" s="1578"/>
      <c r="R19" s="1578"/>
      <c r="S19" s="1579"/>
      <c r="T19" s="2372"/>
      <c r="U19" s="2373"/>
      <c r="V19" s="2373"/>
      <c r="W19" s="2373"/>
      <c r="X19" s="2373"/>
      <c r="Y19" s="2372"/>
      <c r="Z19" s="2373"/>
      <c r="AA19" s="2373"/>
      <c r="AB19" s="2373"/>
      <c r="AC19" s="2373"/>
      <c r="AD19" s="2373"/>
      <c r="AE19" s="2373"/>
      <c r="AF19" s="2373"/>
      <c r="AG19" s="2373"/>
      <c r="AH19" s="2373"/>
      <c r="AI19" s="2373"/>
      <c r="AJ19" s="2373"/>
      <c r="AK19" s="2373"/>
      <c r="AL19" s="2373"/>
      <c r="AM19" s="2373"/>
    </row>
    <row r="20" spans="1:40" ht="12.95" customHeight="1">
      <c r="B20" s="2350" t="s">
        <v>502</v>
      </c>
      <c r="C20" s="2351"/>
      <c r="D20" s="2351"/>
      <c r="E20" s="2351"/>
      <c r="F20" s="2351"/>
      <c r="G20" s="2351"/>
      <c r="H20" s="2351"/>
      <c r="I20" s="2351"/>
      <c r="J20" s="2351"/>
      <c r="K20" s="2351"/>
      <c r="L20" s="2351"/>
      <c r="M20" s="2351"/>
      <c r="N20" s="2351"/>
      <c r="O20" s="2351"/>
      <c r="P20" s="2351"/>
      <c r="Q20" s="2351"/>
      <c r="R20" s="2351"/>
      <c r="S20" s="2352"/>
      <c r="T20" s="2363">
        <f>SUM(T13:X19)</f>
        <v>0</v>
      </c>
      <c r="U20" s="2344"/>
      <c r="V20" s="2344"/>
      <c r="W20" s="2344"/>
      <c r="X20" s="2344"/>
      <c r="Y20" s="2363">
        <f>SUM(Y13:AC19)</f>
        <v>0</v>
      </c>
      <c r="Z20" s="2344"/>
      <c r="AA20" s="2344"/>
      <c r="AB20" s="2344"/>
      <c r="AC20" s="2344"/>
      <c r="AD20" s="2354">
        <f>SUM(AD13:AH19)</f>
        <v>0</v>
      </c>
      <c r="AE20" s="2362"/>
      <c r="AF20" s="2362"/>
      <c r="AG20" s="2362"/>
      <c r="AH20" s="2363"/>
      <c r="AI20" s="2354">
        <f>SUM(AI13:AM19)</f>
        <v>0</v>
      </c>
      <c r="AJ20" s="2362"/>
      <c r="AK20" s="2362"/>
      <c r="AL20" s="2362"/>
      <c r="AM20" s="2363"/>
    </row>
    <row r="21" spans="1:40" ht="12.95" customHeight="1">
      <c r="B21" s="2350" t="s">
        <v>1262</v>
      </c>
      <c r="C21" s="2351"/>
      <c r="D21" s="2351"/>
      <c r="E21" s="2351"/>
      <c r="F21" s="2351"/>
      <c r="G21" s="2351"/>
      <c r="H21" s="2351"/>
      <c r="I21" s="2351"/>
      <c r="J21" s="2351"/>
      <c r="K21" s="2351"/>
      <c r="L21" s="2351"/>
      <c r="M21" s="2351"/>
      <c r="N21" s="2351"/>
      <c r="O21" s="2351"/>
      <c r="P21" s="2351"/>
      <c r="Q21" s="2351"/>
      <c r="R21" s="2351"/>
      <c r="S21" s="2352"/>
      <c r="T21" s="2372"/>
      <c r="U21" s="2373"/>
      <c r="V21" s="2373"/>
      <c r="W21" s="2373"/>
      <c r="X21" s="2373"/>
      <c r="Y21" s="2372"/>
      <c r="Z21" s="2373"/>
      <c r="AA21" s="2373"/>
      <c r="AB21" s="2373"/>
      <c r="AC21" s="2373"/>
      <c r="AD21" s="2379"/>
      <c r="AE21" s="2380"/>
      <c r="AF21" s="2380"/>
      <c r="AG21" s="2380"/>
      <c r="AH21" s="2381"/>
      <c r="AI21" s="2379"/>
      <c r="AJ21" s="2380"/>
      <c r="AK21" s="2380"/>
      <c r="AL21" s="2380"/>
      <c r="AM21" s="2381"/>
    </row>
    <row r="22" spans="1:40" ht="12.95" customHeight="1">
      <c r="B22" s="2350" t="s">
        <v>503</v>
      </c>
      <c r="C22" s="2351"/>
      <c r="D22" s="2351"/>
      <c r="E22" s="2351"/>
      <c r="F22" s="2351"/>
      <c r="G22" s="2351"/>
      <c r="H22" s="2351"/>
      <c r="I22" s="2351"/>
      <c r="J22" s="2351"/>
      <c r="K22" s="2351"/>
      <c r="L22" s="2351"/>
      <c r="M22" s="2351"/>
      <c r="N22" s="2351"/>
      <c r="O22" s="2351"/>
      <c r="P22" s="2351"/>
      <c r="Q22" s="2351"/>
      <c r="R22" s="2351"/>
      <c r="S22" s="2352"/>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50" t="s">
        <v>504</v>
      </c>
      <c r="C23" s="2351"/>
      <c r="D23" s="2351"/>
      <c r="E23" s="2351"/>
      <c r="F23" s="2351"/>
      <c r="G23" s="2351"/>
      <c r="H23" s="2351"/>
      <c r="I23" s="2351"/>
      <c r="J23" s="2351"/>
      <c r="K23" s="2351"/>
      <c r="L23" s="2351"/>
      <c r="M23" s="2351"/>
      <c r="N23" s="2351"/>
      <c r="O23" s="2351"/>
      <c r="P23" s="2351"/>
      <c r="Q23" s="2351"/>
      <c r="R23" s="2351"/>
      <c r="S23" s="2352"/>
      <c r="T23" s="2363">
        <f>T11+T22</f>
        <v>10758405</v>
      </c>
      <c r="U23" s="2344"/>
      <c r="V23" s="2344"/>
      <c r="W23" s="2344"/>
      <c r="X23" s="2344"/>
      <c r="Y23" s="2363">
        <f>Y11+Y22</f>
        <v>0</v>
      </c>
      <c r="Z23" s="2344"/>
      <c r="AA23" s="2344"/>
      <c r="AB23" s="2344"/>
      <c r="AC23" s="2344"/>
      <c r="AD23" s="2363">
        <f>AD11+AD22</f>
        <v>21520559</v>
      </c>
      <c r="AE23" s="2344"/>
      <c r="AF23" s="2344"/>
      <c r="AG23" s="2344"/>
      <c r="AH23" s="2344"/>
      <c r="AI23" s="2363">
        <f>AI11+AI22</f>
        <v>0</v>
      </c>
      <c r="AJ23" s="2344"/>
      <c r="AK23" s="2344"/>
      <c r="AL23" s="2344"/>
      <c r="AM23" s="2344"/>
    </row>
    <row r="24" spans="1:40" ht="12.95" customHeight="1">
      <c r="B24" s="2350" t="s">
        <v>960</v>
      </c>
      <c r="C24" s="2351"/>
      <c r="D24" s="2351"/>
      <c r="E24" s="2351"/>
      <c r="F24" s="2351"/>
      <c r="G24" s="2351"/>
      <c r="H24" s="2351"/>
      <c r="I24" s="2351"/>
      <c r="J24" s="2351"/>
      <c r="K24" s="2351"/>
      <c r="L24" s="2351"/>
      <c r="M24" s="2351"/>
      <c r="N24" s="2351"/>
      <c r="O24" s="2351"/>
      <c r="P24" s="2351"/>
      <c r="Q24" s="2351"/>
      <c r="R24" s="2351"/>
      <c r="S24" s="2352"/>
      <c r="T24" s="2354">
        <f>Application!AJ1053</f>
        <v>72004444.400000006</v>
      </c>
      <c r="U24" s="2362"/>
      <c r="V24" s="2362"/>
      <c r="W24" s="2362"/>
      <c r="X24" s="2362"/>
      <c r="Y24" s="2362"/>
      <c r="Z24" s="2362"/>
      <c r="AA24" s="2362"/>
      <c r="AB24" s="2362"/>
      <c r="AC24" s="2362"/>
      <c r="AD24" s="2362"/>
      <c r="AE24" s="2362"/>
      <c r="AF24" s="2362"/>
      <c r="AG24" s="2362"/>
      <c r="AH24" s="2362"/>
      <c r="AI24" s="2362"/>
      <c r="AJ24" s="2362"/>
      <c r="AK24" s="2362"/>
      <c r="AL24" s="2362"/>
      <c r="AM24" s="2363"/>
    </row>
    <row r="25" spans="1:40" ht="12.95" customHeight="1">
      <c r="B25" s="2394" t="s">
        <v>1263</v>
      </c>
      <c r="C25" s="2395"/>
      <c r="D25" s="2395"/>
      <c r="E25" s="2395"/>
      <c r="F25" s="2395"/>
      <c r="G25" s="2395"/>
      <c r="H25" s="2395"/>
      <c r="I25" s="2395"/>
      <c r="J25" s="2395"/>
      <c r="K25" s="2395"/>
      <c r="L25" s="2395"/>
      <c r="M25" s="2395"/>
      <c r="N25" s="2395"/>
      <c r="O25" s="2395"/>
      <c r="P25" s="2395"/>
      <c r="Q25" s="2395"/>
      <c r="R25" s="2395"/>
      <c r="S25" s="2396"/>
      <c r="T25" s="2376">
        <f>IF(OR(Application!T196="yes",Application!T195="yes"),1.3,1)</f>
        <v>1</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2.95" customHeight="1">
      <c r="B26" s="2350" t="s">
        <v>505</v>
      </c>
      <c r="C26" s="2351"/>
      <c r="D26" s="2351"/>
      <c r="E26" s="2351"/>
      <c r="F26" s="2351"/>
      <c r="G26" s="2351"/>
      <c r="H26" s="2351"/>
      <c r="I26" s="2351"/>
      <c r="J26" s="2351"/>
      <c r="K26" s="2351"/>
      <c r="L26" s="2351"/>
      <c r="M26" s="2351"/>
      <c r="N26" s="2351"/>
      <c r="O26" s="2351"/>
      <c r="P26" s="2351"/>
      <c r="Q26" s="2351"/>
      <c r="R26" s="2351"/>
      <c r="S26" s="2352"/>
      <c r="T26" s="2363">
        <f>T23*T25</f>
        <v>10758405</v>
      </c>
      <c r="U26" s="2344"/>
      <c r="V26" s="2344"/>
      <c r="W26" s="2344"/>
      <c r="X26" s="2344"/>
      <c r="Y26" s="2363">
        <f>Y23*Y25</f>
        <v>0</v>
      </c>
      <c r="Z26" s="2344"/>
      <c r="AA26" s="2344"/>
      <c r="AB26" s="2344"/>
      <c r="AC26" s="2344"/>
      <c r="AD26" s="2363">
        <f>AD23*AD25</f>
        <v>21520559</v>
      </c>
      <c r="AE26" s="2344"/>
      <c r="AF26" s="2344"/>
      <c r="AG26" s="2344"/>
      <c r="AH26" s="2344"/>
      <c r="AI26" s="2363">
        <f>AI23*AI25</f>
        <v>0</v>
      </c>
      <c r="AJ26" s="2344"/>
      <c r="AK26" s="2344"/>
      <c r="AL26" s="2344"/>
      <c r="AM26" s="2344"/>
    </row>
    <row r="27" spans="1:40" ht="12.95" customHeight="1">
      <c r="A27" s="410"/>
      <c r="B27" s="2397" t="s">
        <v>426</v>
      </c>
      <c r="C27" s="2398"/>
      <c r="D27" s="2398"/>
      <c r="E27" s="2398"/>
      <c r="F27" s="2398"/>
      <c r="G27" s="2398"/>
      <c r="H27" s="2398"/>
      <c r="I27" s="2398"/>
      <c r="J27" s="2398"/>
      <c r="K27" s="2398"/>
      <c r="L27" s="2398"/>
      <c r="M27" s="2398"/>
      <c r="N27" s="2398"/>
      <c r="O27" s="2398"/>
      <c r="P27" s="2398"/>
      <c r="Q27" s="2398"/>
      <c r="R27" s="2398"/>
      <c r="S27" s="2399"/>
      <c r="T27" s="2374">
        <f>Application!$AG$445</f>
        <v>1</v>
      </c>
      <c r="U27" s="2375"/>
      <c r="V27" s="2375"/>
      <c r="W27" s="2375"/>
      <c r="X27" s="2375"/>
      <c r="Y27" s="2374">
        <f>Application!$AG$445</f>
        <v>1</v>
      </c>
      <c r="Z27" s="2375"/>
      <c r="AA27" s="2375"/>
      <c r="AB27" s="2375"/>
      <c r="AC27" s="2375"/>
      <c r="AD27" s="2374">
        <f>Application!$AG$445</f>
        <v>1</v>
      </c>
      <c r="AE27" s="2375"/>
      <c r="AF27" s="2375"/>
      <c r="AG27" s="2375"/>
      <c r="AH27" s="2375"/>
      <c r="AI27" s="2374">
        <f>Application!$AG$445</f>
        <v>1</v>
      </c>
      <c r="AJ27" s="2375"/>
      <c r="AK27" s="2375"/>
      <c r="AL27" s="2375"/>
      <c r="AM27" s="2375"/>
    </row>
    <row r="28" spans="1:40" ht="12.95" customHeight="1">
      <c r="A28" s="404"/>
      <c r="B28" s="2350" t="s">
        <v>506</v>
      </c>
      <c r="C28" s="2351"/>
      <c r="D28" s="2351"/>
      <c r="E28" s="2351"/>
      <c r="F28" s="2351"/>
      <c r="G28" s="2351"/>
      <c r="H28" s="2351"/>
      <c r="I28" s="2351"/>
      <c r="J28" s="2351"/>
      <c r="K28" s="2351"/>
      <c r="L28" s="2351"/>
      <c r="M28" s="2351"/>
      <c r="N28" s="2351"/>
      <c r="O28" s="2351"/>
      <c r="P28" s="2351"/>
      <c r="Q28" s="2351"/>
      <c r="R28" s="2351"/>
      <c r="S28" s="2352"/>
      <c r="T28" s="2363">
        <f>IF(ISERROR((T26*T27)),0,(T26*T27))</f>
        <v>10758405</v>
      </c>
      <c r="U28" s="2344"/>
      <c r="V28" s="2344"/>
      <c r="W28" s="2344"/>
      <c r="X28" s="2344"/>
      <c r="Y28" s="2363">
        <f>IF(ISERROR((Y26*Y27)),0,(Y26*Y27))</f>
        <v>0</v>
      </c>
      <c r="Z28" s="2344"/>
      <c r="AA28" s="2344"/>
      <c r="AB28" s="2344"/>
      <c r="AC28" s="2344"/>
      <c r="AD28" s="2363">
        <f>IF(ISERROR((AD26*AD27)),0,(AD26*AD27))</f>
        <v>21520559</v>
      </c>
      <c r="AE28" s="2344"/>
      <c r="AF28" s="2344"/>
      <c r="AG28" s="2344"/>
      <c r="AH28" s="2344"/>
      <c r="AI28" s="2363">
        <f>IF(ISERROR((AI26*AI27)),0,(AI26*AI27))</f>
        <v>0</v>
      </c>
      <c r="AJ28" s="2344"/>
      <c r="AK28" s="2344"/>
      <c r="AL28" s="2344"/>
      <c r="AM28" s="2344"/>
    </row>
    <row r="29" spans="1:40" ht="12.95" customHeight="1">
      <c r="B29" s="2350" t="s">
        <v>523</v>
      </c>
      <c r="C29" s="2351"/>
      <c r="D29" s="2351"/>
      <c r="E29" s="2351"/>
      <c r="F29" s="2351"/>
      <c r="G29" s="2351"/>
      <c r="H29" s="2351"/>
      <c r="I29" s="2351"/>
      <c r="J29" s="2351"/>
      <c r="K29" s="2351"/>
      <c r="L29" s="2351"/>
      <c r="M29" s="2351"/>
      <c r="N29" s="2351"/>
      <c r="O29" s="2351"/>
      <c r="P29" s="2351"/>
      <c r="Q29" s="2351"/>
      <c r="R29" s="2351"/>
      <c r="S29" s="2352"/>
      <c r="T29" s="2354">
        <f>T28+Y28+AD28+AI28</f>
        <v>32278964</v>
      </c>
      <c r="U29" s="2362"/>
      <c r="V29" s="2362"/>
      <c r="W29" s="2362"/>
      <c r="X29" s="2362"/>
      <c r="Y29" s="2362"/>
      <c r="Z29" s="2362"/>
      <c r="AA29" s="2362"/>
      <c r="AB29" s="2362"/>
      <c r="AC29" s="2362"/>
      <c r="AD29" s="2362"/>
      <c r="AE29" s="2362"/>
      <c r="AF29" s="2362"/>
      <c r="AG29" s="2362"/>
      <c r="AH29" s="2362"/>
      <c r="AI29" s="2362"/>
      <c r="AJ29" s="2362"/>
      <c r="AK29" s="2362"/>
      <c r="AL29" s="2362"/>
      <c r="AM29" s="2363"/>
    </row>
    <row r="30" spans="1:40" ht="12.95" customHeight="1">
      <c r="B30" s="2367" t="s">
        <v>1265</v>
      </c>
      <c r="C30" s="2367"/>
      <c r="D30" s="2367"/>
      <c r="E30" s="2367"/>
      <c r="F30" s="2367"/>
      <c r="G30" s="2367"/>
      <c r="H30" s="2367"/>
      <c r="I30" s="2367"/>
      <c r="J30" s="2367"/>
      <c r="K30" s="2367"/>
      <c r="L30" s="236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row>
    <row r="31" spans="1:40" ht="12.95" customHeight="1">
      <c r="B31" s="2367" t="s">
        <v>1264</v>
      </c>
      <c r="C31" s="2367"/>
      <c r="D31" s="2367"/>
      <c r="E31" s="2367"/>
      <c r="F31" s="2367"/>
      <c r="G31" s="2367"/>
      <c r="H31" s="2367"/>
      <c r="I31" s="2367"/>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65" t="s">
        <v>369</v>
      </c>
      <c r="AE35" s="2365"/>
      <c r="AF35" s="2365"/>
      <c r="AG35" s="2365"/>
      <c r="AH35" s="2365"/>
    </row>
    <row r="36" spans="1:76" ht="12.95" customHeight="1">
      <c r="B36" s="407"/>
      <c r="X36" s="412"/>
      <c r="Y36" s="2364"/>
      <c r="Z36" s="2364"/>
      <c r="AA36" s="2364"/>
      <c r="AB36" s="2364"/>
      <c r="AC36" s="2364"/>
      <c r="AD36" s="2365"/>
      <c r="AE36" s="2365"/>
      <c r="AF36" s="2365"/>
      <c r="AG36" s="2365"/>
      <c r="AH36" s="236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65"/>
      <c r="AE37" s="2365"/>
      <c r="AF37" s="2365"/>
      <c r="AG37" s="2365"/>
      <c r="AH37" s="2365"/>
    </row>
    <row r="38" spans="1:76" ht="12.95" customHeight="1">
      <c r="A38" s="404"/>
      <c r="B38" s="2350" t="s">
        <v>506</v>
      </c>
      <c r="C38" s="2351"/>
      <c r="D38" s="2351"/>
      <c r="E38" s="2351"/>
      <c r="F38" s="2351"/>
      <c r="G38" s="2351"/>
      <c r="H38" s="2351"/>
      <c r="I38" s="2351"/>
      <c r="J38" s="2351"/>
      <c r="K38" s="2351"/>
      <c r="L38" s="2351"/>
      <c r="M38" s="2351"/>
      <c r="N38" s="2351"/>
      <c r="O38" s="2351"/>
      <c r="P38" s="2351"/>
      <c r="Q38" s="2351"/>
      <c r="R38" s="2351"/>
      <c r="S38" s="2351"/>
      <c r="T38" s="2351"/>
      <c r="U38" s="2351"/>
      <c r="V38" s="2351"/>
      <c r="W38" s="2351"/>
      <c r="X38" s="2352"/>
      <c r="Y38" s="2344">
        <f>IF(T24&gt;=(T23+Y23+AD23+AI23),T28+Y28,0)</f>
        <v>10758405</v>
      </c>
      <c r="Z38" s="2344"/>
      <c r="AA38" s="2344"/>
      <c r="AB38" s="2344"/>
      <c r="AC38" s="2344"/>
      <c r="AD38" s="2344">
        <f>IF(T24&gt;=(T23+Y23+AD23+AI23),AD28+AI28,0)</f>
        <v>21520559</v>
      </c>
      <c r="AE38" s="2344"/>
      <c r="AF38" s="2344"/>
      <c r="AG38" s="2344"/>
      <c r="AH38" s="2344"/>
    </row>
    <row r="39" spans="1:76" ht="12.95" customHeight="1">
      <c r="B39" s="2350" t="s">
        <v>1690</v>
      </c>
      <c r="C39" s="2351"/>
      <c r="D39" s="2351"/>
      <c r="E39" s="2351"/>
      <c r="F39" s="2351"/>
      <c r="G39" s="2351"/>
      <c r="H39" s="2351"/>
      <c r="I39" s="2351"/>
      <c r="J39" s="2351"/>
      <c r="K39" s="2351"/>
      <c r="L39" s="2351"/>
      <c r="M39" s="2351"/>
      <c r="N39" s="2351"/>
      <c r="O39" s="2351"/>
      <c r="P39" s="2351"/>
      <c r="Q39" s="2351"/>
      <c r="R39" s="2351"/>
      <c r="S39" s="2351"/>
      <c r="T39" s="2351"/>
      <c r="U39" s="2351"/>
      <c r="V39" s="2351"/>
      <c r="W39" s="2351"/>
      <c r="X39" s="2352"/>
      <c r="Y39" s="2366">
        <v>0.04</v>
      </c>
      <c r="Z39" s="2366"/>
      <c r="AA39" s="2366"/>
      <c r="AB39" s="2366"/>
      <c r="AC39" s="2366"/>
      <c r="AD39" s="2366">
        <v>0.04</v>
      </c>
      <c r="AE39" s="2366"/>
      <c r="AF39" s="2366"/>
      <c r="AG39" s="2366"/>
      <c r="AH39" s="2366"/>
    </row>
    <row r="40" spans="1:76" ht="12.95" customHeight="1">
      <c r="A40" s="404"/>
      <c r="B40" s="2350" t="s">
        <v>642</v>
      </c>
      <c r="C40" s="2351"/>
      <c r="D40" s="2351"/>
      <c r="E40" s="2351"/>
      <c r="F40" s="2351"/>
      <c r="G40" s="2351"/>
      <c r="H40" s="2351"/>
      <c r="I40" s="2351"/>
      <c r="J40" s="2351"/>
      <c r="K40" s="2351"/>
      <c r="L40" s="2351"/>
      <c r="M40" s="2351"/>
      <c r="N40" s="2351"/>
      <c r="O40" s="2351"/>
      <c r="P40" s="2351"/>
      <c r="Q40" s="2351"/>
      <c r="R40" s="2351"/>
      <c r="S40" s="2351"/>
      <c r="T40" s="2351"/>
      <c r="U40" s="2351"/>
      <c r="V40" s="2351"/>
      <c r="W40" s="2351"/>
      <c r="X40" s="2352"/>
      <c r="Y40" s="2344">
        <f>ROUND(Y38*Y39,0)</f>
        <v>430336</v>
      </c>
      <c r="Z40" s="2344"/>
      <c r="AA40" s="2344"/>
      <c r="AB40" s="2344"/>
      <c r="AC40" s="2344"/>
      <c r="AD40" s="2363">
        <f>ROUND(AD38*AD39,0)</f>
        <v>860822</v>
      </c>
      <c r="AE40" s="2344"/>
      <c r="AF40" s="2344"/>
      <c r="AG40" s="2344"/>
      <c r="AH40" s="2344"/>
    </row>
    <row r="41" spans="1:76" ht="12.95" customHeight="1">
      <c r="B41" s="2350" t="s">
        <v>643</v>
      </c>
      <c r="C41" s="2351"/>
      <c r="D41" s="2351"/>
      <c r="E41" s="2351"/>
      <c r="F41" s="2351"/>
      <c r="G41" s="2351"/>
      <c r="H41" s="2351"/>
      <c r="I41" s="2351"/>
      <c r="J41" s="2351"/>
      <c r="K41" s="2351"/>
      <c r="L41" s="2351"/>
      <c r="M41" s="2351"/>
      <c r="N41" s="2351"/>
      <c r="O41" s="2351"/>
      <c r="P41" s="2351"/>
      <c r="Q41" s="2351"/>
      <c r="R41" s="2351"/>
      <c r="S41" s="2351"/>
      <c r="T41" s="2351"/>
      <c r="U41" s="2351"/>
      <c r="V41" s="2351"/>
      <c r="W41" s="2351"/>
      <c r="X41" s="2352"/>
      <c r="Y41" s="2354">
        <f>Y40+AD40</f>
        <v>1291158</v>
      </c>
      <c r="Z41" s="2362"/>
      <c r="AA41" s="2362"/>
      <c r="AB41" s="2362"/>
      <c r="AC41" s="2362"/>
      <c r="AD41" s="2362"/>
      <c r="AE41" s="2362"/>
      <c r="AF41" s="2362"/>
      <c r="AG41" s="2362"/>
      <c r="AH41" s="236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61" t="s">
        <v>1275</v>
      </c>
      <c r="B44" s="2361"/>
      <c r="C44" s="2361"/>
      <c r="D44" s="2361"/>
      <c r="E44" s="2361"/>
      <c r="F44" s="2361"/>
      <c r="G44" s="2361"/>
      <c r="H44" s="2361"/>
      <c r="I44" s="2361"/>
      <c r="J44" s="2361"/>
      <c r="K44" s="2361"/>
      <c r="L44" s="2361"/>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c r="AS44" s="2361"/>
      <c r="AT44" s="2361"/>
      <c r="AU44" s="2361"/>
      <c r="AV44" s="2361"/>
      <c r="AW44" s="2361"/>
      <c r="AX44" s="2361"/>
      <c r="AY44" s="2361"/>
      <c r="AZ44" s="2361"/>
      <c r="BA44" s="2361"/>
      <c r="BB44" s="2361"/>
      <c r="BC44" s="2361"/>
      <c r="BD44" s="2361"/>
      <c r="BE44" s="2361"/>
      <c r="BF44" s="2361"/>
      <c r="BG44" s="2361"/>
      <c r="BH44" s="2361"/>
      <c r="BI44" s="2361"/>
      <c r="BJ44" s="2361"/>
      <c r="BK44" s="2361"/>
      <c r="BL44" s="2361"/>
      <c r="BM44" s="2361"/>
      <c r="BN44" s="2361"/>
      <c r="BO44" s="2361"/>
      <c r="BP44" s="2361"/>
      <c r="BQ44" s="2361"/>
      <c r="BR44" s="2361"/>
      <c r="BS44" s="2361"/>
      <c r="BT44" s="2361"/>
      <c r="BU44" s="2361"/>
      <c r="BV44" s="2361"/>
      <c r="BW44" s="2361"/>
      <c r="BX44" s="2361"/>
    </row>
    <row r="45" spans="1:76" s="204" customFormat="1" ht="12.95" customHeight="1" thickTop="1"/>
    <row r="46" spans="1:76" ht="12.95" customHeight="1">
      <c r="A46" s="404" t="s">
        <v>586</v>
      </c>
      <c r="C46" s="404" t="s">
        <v>282</v>
      </c>
    </row>
    <row r="47" spans="1:76" ht="12.95" customHeight="1">
      <c r="D47" s="404" t="s">
        <v>283</v>
      </c>
      <c r="AB47" s="2358">
        <f>'Sources and Uses Budget'!B105-MAX(IF('Sources and Uses Budget'!B15="",0,'Sources and Uses Budget'!B15),IF(Application!AG394="",0,Application!AG394))</f>
        <v>35104456</v>
      </c>
      <c r="AC47" s="2359"/>
      <c r="AD47" s="2359"/>
      <c r="AE47" s="2359"/>
      <c r="AF47" s="2360"/>
    </row>
    <row r="48" spans="1:76" ht="12.95" customHeight="1">
      <c r="D48" s="404" t="s">
        <v>21</v>
      </c>
      <c r="AB48" s="2358">
        <f>Application!AO639-MAX(IF('Sources and Uses Budget'!B15="",0,'Sources and Uses Budget'!B15),IF(Application!AG394="",0,Application!AG394))</f>
        <v>24013495</v>
      </c>
      <c r="AC48" s="2359"/>
      <c r="AD48" s="2359"/>
      <c r="AE48" s="2359"/>
      <c r="AF48" s="2360"/>
    </row>
    <row r="49" spans="1:76" ht="12.95" customHeight="1">
      <c r="D49" s="404" t="s">
        <v>91</v>
      </c>
      <c r="AB49" s="2358">
        <f>AB47-AB48</f>
        <v>11090961</v>
      </c>
      <c r="AC49" s="2359"/>
      <c r="AD49" s="2359"/>
      <c r="AE49" s="2359"/>
      <c r="AF49" s="2360"/>
    </row>
    <row r="50" spans="1:76" ht="12.95" customHeight="1">
      <c r="D50" s="404" t="s">
        <v>681</v>
      </c>
      <c r="AA50" s="415"/>
      <c r="AB50" s="2346">
        <f>AB49/(Y41*10)</f>
        <v>0.85899332227349401</v>
      </c>
      <c r="AC50" s="2347"/>
      <c r="AD50" s="2347"/>
      <c r="AE50" s="2347"/>
      <c r="AF50" s="2348"/>
    </row>
    <row r="51" spans="1:76" s="417" customFormat="1" ht="12.95" customHeight="1">
      <c r="A51" s="402"/>
      <c r="B51" s="402"/>
      <c r="C51" s="402"/>
      <c r="D51" s="402"/>
      <c r="E51" s="2357" t="s">
        <v>2603</v>
      </c>
      <c r="F51" s="2357"/>
      <c r="G51" s="2357"/>
      <c r="H51" s="2357"/>
      <c r="I51" s="2357"/>
      <c r="J51" s="2357"/>
      <c r="K51" s="2357"/>
      <c r="L51" s="2357"/>
      <c r="M51" s="2357"/>
      <c r="N51" s="2357"/>
      <c r="O51" s="2357"/>
      <c r="P51" s="2357"/>
      <c r="Q51" s="2357"/>
      <c r="R51" s="2357"/>
      <c r="S51" s="2357"/>
      <c r="T51" s="2357"/>
      <c r="U51" s="2357"/>
      <c r="V51" s="2357"/>
      <c r="W51" s="2357"/>
      <c r="X51" s="2357"/>
      <c r="Y51" s="2357"/>
      <c r="Z51" s="235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7"/>
      <c r="F52" s="2357"/>
      <c r="G52" s="2357"/>
      <c r="H52" s="2357"/>
      <c r="I52" s="2357"/>
      <c r="J52" s="2357"/>
      <c r="K52" s="2357"/>
      <c r="L52" s="2357"/>
      <c r="M52" s="2357"/>
      <c r="N52" s="2357"/>
      <c r="O52" s="2357"/>
      <c r="P52" s="2357"/>
      <c r="Q52" s="2357"/>
      <c r="R52" s="2357"/>
      <c r="S52" s="2357"/>
      <c r="T52" s="2357"/>
      <c r="U52" s="2357"/>
      <c r="V52" s="2357"/>
      <c r="W52" s="2357"/>
      <c r="X52" s="2357"/>
      <c r="Y52" s="2357"/>
      <c r="Z52" s="235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8">
        <f>ROUND(IF(ISERROR((AB49/AB50)),0,(AB49/AB50)),0)</f>
        <v>12911580</v>
      </c>
      <c r="AC54" s="2359"/>
      <c r="AD54" s="2359"/>
      <c r="AE54" s="2359"/>
      <c r="AF54" s="2360"/>
    </row>
    <row r="55" spans="1:76" ht="12.95" customHeight="1">
      <c r="D55" s="404" t="s">
        <v>333</v>
      </c>
      <c r="AB55" s="2358">
        <f>(AB54/10)</f>
        <v>1291158</v>
      </c>
      <c r="AC55" s="2359"/>
      <c r="AD55" s="2359"/>
      <c r="AE55" s="2359"/>
      <c r="AF55" s="2360"/>
    </row>
    <row r="56" spans="1:76" ht="12.95" customHeight="1">
      <c r="D56" s="404" t="s">
        <v>756</v>
      </c>
      <c r="AB56" s="2358">
        <f>ROUND((IF((Y41&lt;AB55),Y41,AB55)),0)</f>
        <v>1291158</v>
      </c>
      <c r="AC56" s="2359"/>
      <c r="AD56" s="2359"/>
      <c r="AE56" s="2359"/>
      <c r="AF56" s="2360"/>
    </row>
    <row r="57" spans="1:76" ht="12.95" customHeight="1">
      <c r="D57" s="404" t="s">
        <v>755</v>
      </c>
      <c r="AB57" s="2358">
        <f>ROUND((10*AB56*AB50),0)</f>
        <v>11090961</v>
      </c>
      <c r="AC57" s="2359"/>
      <c r="AD57" s="2359"/>
      <c r="AE57" s="2359"/>
      <c r="AF57" s="2360"/>
    </row>
    <row r="58" spans="1:76" ht="12.95" customHeight="1">
      <c r="D58" s="404"/>
      <c r="AB58" s="423"/>
      <c r="AC58" s="423"/>
      <c r="AD58" s="423"/>
      <c r="AE58" s="423"/>
      <c r="AF58" s="423"/>
    </row>
    <row r="59" spans="1:76" ht="12.95" customHeight="1">
      <c r="D59" s="404" t="s">
        <v>754</v>
      </c>
      <c r="AB59" s="2342">
        <f>AB49-AB57</f>
        <v>0</v>
      </c>
      <c r="AC59" s="2342"/>
      <c r="AD59" s="2342"/>
      <c r="AE59" s="2342"/>
      <c r="AF59" s="2342"/>
    </row>
    <row r="60" spans="1:76" ht="12.95" customHeight="1">
      <c r="D60" s="404"/>
      <c r="AB60" s="423"/>
      <c r="AC60" s="423"/>
      <c r="AD60" s="423"/>
      <c r="AE60" s="423"/>
      <c r="AF60" s="423"/>
    </row>
    <row r="61" spans="1:76" s="204" customFormat="1" ht="12.95" customHeight="1" thickBot="1">
      <c r="A61" s="2361" t="str">
        <f>IF(Application!AP205="yes","Farmworker State Credit", "State Credit" )</f>
        <v>State Credit</v>
      </c>
      <c r="B61" s="2361"/>
      <c r="C61" s="2361"/>
      <c r="D61" s="2361"/>
      <c r="E61" s="2361"/>
      <c r="F61" s="2361"/>
      <c r="G61" s="2361"/>
      <c r="H61" s="2361"/>
      <c r="I61" s="2361"/>
      <c r="J61" s="2361"/>
      <c r="K61" s="2361"/>
      <c r="L61" s="2361"/>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c r="AS61" s="2361"/>
      <c r="AT61" s="2361"/>
      <c r="AU61" s="2361"/>
      <c r="AV61" s="2361"/>
      <c r="AW61" s="2361"/>
      <c r="AX61" s="2361"/>
      <c r="AY61" s="2361"/>
      <c r="AZ61" s="2361"/>
      <c r="BA61" s="2361"/>
      <c r="BB61" s="2361"/>
      <c r="BC61" s="2361"/>
      <c r="BD61" s="2361"/>
      <c r="BE61" s="2361"/>
      <c r="BF61" s="2361"/>
      <c r="BG61" s="2361"/>
      <c r="BH61" s="2361"/>
      <c r="BI61" s="2361"/>
      <c r="BJ61" s="2361"/>
      <c r="BK61" s="2361"/>
      <c r="BL61" s="2361"/>
      <c r="BM61" s="2361"/>
      <c r="BN61" s="2361"/>
      <c r="BO61" s="2361"/>
      <c r="BP61" s="2361"/>
      <c r="BQ61" s="2361"/>
      <c r="BR61" s="2361"/>
      <c r="BS61" s="2361"/>
      <c r="BT61" s="2361"/>
      <c r="BU61" s="2361"/>
      <c r="BV61" s="2361"/>
      <c r="BW61" s="2361"/>
      <c r="BX61" s="2361"/>
    </row>
    <row r="62" spans="1:76" s="204" customFormat="1" ht="12.95" customHeight="1" thickTop="1"/>
    <row r="63" spans="1:76" ht="12.95" customHeight="1">
      <c r="A63" s="404" t="s">
        <v>589</v>
      </c>
      <c r="C63" s="205" t="s">
        <v>1247</v>
      </c>
      <c r="Y63" s="2353" t="s">
        <v>983</v>
      </c>
      <c r="Z63" s="2353"/>
      <c r="AA63" s="2353"/>
      <c r="AB63" s="2353"/>
      <c r="AC63" s="2353"/>
      <c r="AD63" s="2353" t="s">
        <v>369</v>
      </c>
      <c r="AE63" s="2353"/>
      <c r="AF63" s="2353"/>
      <c r="AG63" s="2353"/>
      <c r="AH63" s="2353"/>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4">
        <f>IF(Application!$Z$205="(select)",0,((T23*T27)+Y28))</f>
        <v>0</v>
      </c>
      <c r="Z64" s="2355"/>
      <c r="AA64" s="2355"/>
      <c r="AB64" s="2355"/>
      <c r="AC64" s="2356"/>
      <c r="AD64" s="2354">
        <f>IF(AND(OR(Application!D211="At-Risk",Application!D211="At-Risk and Special Needs"),Application!M358="yes"),AD28+AI28,0)</f>
        <v>0</v>
      </c>
      <c r="AE64" s="2355"/>
      <c r="AF64" s="2355"/>
      <c r="AG64" s="2355"/>
      <c r="AH64" s="2356"/>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3">
        <f>IF(OR(Application!Z205="State Farmworker Credit",Application!Z205="$500M (Farmworker Housing)"),0.75,IF(Application!Z205="15% set-aside",0.13,IF(Application!Z205="15% set-aside with qualifying low value rehab",0.95,IF(Application!Z205="$500M",0.3,0))))</f>
        <v>0</v>
      </c>
      <c r="Z67" s="2343"/>
      <c r="AA67" s="2343"/>
      <c r="AB67" s="2343"/>
      <c r="AC67" s="2343"/>
      <c r="AD67" s="2343">
        <f>IF(Application!Z205="15% set-aside with qualifying low value rehab", 0.95,IF(OR(Application!D211="At-Risk",'Points System'!B13="Yes"),0.13,0))</f>
        <v>0</v>
      </c>
      <c r="AE67" s="2343"/>
      <c r="AF67" s="2343"/>
      <c r="AG67" s="2343"/>
      <c r="AH67" s="2343"/>
    </row>
    <row r="68" spans="1:36" ht="12.95" customHeight="1">
      <c r="C68" s="404"/>
      <c r="D68" s="205" t="s">
        <v>2223</v>
      </c>
      <c r="Y68" s="2344">
        <f>ROUND(Y64*Y67,0)</f>
        <v>0</v>
      </c>
      <c r="Z68" s="2345"/>
      <c r="AA68" s="2345"/>
      <c r="AB68" s="2345"/>
      <c r="AC68" s="2345"/>
      <c r="AD68" s="2344">
        <f>ROUND(AD64*AD67,0)</f>
        <v>0</v>
      </c>
      <c r="AE68" s="2345"/>
      <c r="AF68" s="2345"/>
      <c r="AG68" s="2345"/>
      <c r="AH68" s="2345"/>
    </row>
    <row r="69" spans="1:36" ht="12.95" customHeight="1">
      <c r="C69" s="404"/>
      <c r="D69" s="205" t="s">
        <v>2224</v>
      </c>
      <c r="Y69" s="2344">
        <f>IF(OR(Application!Z205="State Farmworker Credit",Application!Z205="$500M (Farmworker Housing)"),Y68+AD68,MIN(Y68+AD68,200000*(Application!G753+Application!O777)))</f>
        <v>0</v>
      </c>
      <c r="Z69" s="2344"/>
      <c r="AA69" s="2344"/>
      <c r="AB69" s="2344"/>
      <c r="AC69" s="2344"/>
      <c r="AD69" s="2344"/>
      <c r="AE69" s="2344"/>
      <c r="AF69" s="2344"/>
      <c r="AG69" s="2344"/>
      <c r="AH69" s="2344"/>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1249</v>
      </c>
      <c r="AB72" s="2346"/>
      <c r="AC72" s="2347"/>
      <c r="AD72" s="2347"/>
      <c r="AE72" s="2347"/>
      <c r="AF72" s="2348"/>
    </row>
    <row r="73" spans="1:36" ht="12.95" customHeight="1">
      <c r="A73" s="404"/>
      <c r="C73" s="404"/>
      <c r="D73" s="404"/>
      <c r="E73" s="2349" t="s">
        <v>1250</v>
      </c>
      <c r="F73" s="2349"/>
      <c r="G73" s="2349"/>
      <c r="H73" s="2349"/>
      <c r="I73" s="2349"/>
      <c r="J73" s="2349"/>
      <c r="K73" s="2349"/>
      <c r="L73" s="2349"/>
      <c r="M73" s="2349"/>
      <c r="N73" s="2349"/>
      <c r="O73" s="2349"/>
      <c r="P73" s="2349"/>
      <c r="Q73" s="2349"/>
      <c r="R73" s="2349"/>
      <c r="S73" s="2349"/>
      <c r="T73" s="2349"/>
      <c r="U73" s="2349"/>
      <c r="V73" s="2349"/>
      <c r="W73" s="2349"/>
      <c r="X73" s="2349"/>
      <c r="Y73" s="2349"/>
      <c r="Z73" s="2349"/>
      <c r="AA73" s="2349"/>
      <c r="AB73" s="438"/>
      <c r="AC73" s="438"/>
    </row>
    <row r="74" spans="1:36" ht="12.95" customHeight="1">
      <c r="A74" s="404"/>
      <c r="C74" s="404"/>
      <c r="D74" s="404"/>
      <c r="E74" s="2349"/>
      <c r="F74" s="2349"/>
      <c r="G74" s="2349"/>
      <c r="H74" s="2349"/>
      <c r="I74" s="2349"/>
      <c r="J74" s="2349"/>
      <c r="K74" s="2349"/>
      <c r="L74" s="2349"/>
      <c r="M74" s="2349"/>
      <c r="N74" s="2349"/>
      <c r="O74" s="2349"/>
      <c r="P74" s="2349"/>
      <c r="Q74" s="2349"/>
      <c r="R74" s="2349"/>
      <c r="S74" s="2349"/>
      <c r="T74" s="2349"/>
      <c r="U74" s="2349"/>
      <c r="V74" s="2349"/>
      <c r="W74" s="2349"/>
      <c r="X74" s="2349"/>
      <c r="Y74" s="2349"/>
      <c r="Z74" s="2349"/>
      <c r="AA74" s="2349"/>
      <c r="AB74" s="438"/>
      <c r="AC74" s="438"/>
    </row>
    <row r="75" spans="1:36" ht="12.95" customHeight="1">
      <c r="A75" s="404"/>
      <c r="C75" s="404"/>
      <c r="D75" s="404"/>
      <c r="E75" s="2349"/>
      <c r="F75" s="2349"/>
      <c r="G75" s="2349"/>
      <c r="H75" s="2349"/>
      <c r="I75" s="2349"/>
      <c r="J75" s="2349"/>
      <c r="K75" s="2349"/>
      <c r="L75" s="2349"/>
      <c r="M75" s="2349"/>
      <c r="N75" s="2349"/>
      <c r="O75" s="2349"/>
      <c r="P75" s="2349"/>
      <c r="Q75" s="2349"/>
      <c r="R75" s="2349"/>
      <c r="S75" s="2349"/>
      <c r="T75" s="2349"/>
      <c r="U75" s="2349"/>
      <c r="V75" s="2349"/>
      <c r="W75" s="2349"/>
      <c r="X75" s="2349"/>
      <c r="Y75" s="2349"/>
      <c r="Z75" s="2349"/>
      <c r="AA75" s="234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37">
        <f>ROUND(IF(ISERROR((AB59/AB72)),0,(AB59/AB72)),0)</f>
        <v>0</v>
      </c>
      <c r="AC77" s="2337"/>
      <c r="AD77" s="2337"/>
      <c r="AE77" s="2337"/>
      <c r="AF77" s="2337"/>
    </row>
    <row r="78" spans="1:36" ht="12.95" customHeight="1">
      <c r="C78" s="404"/>
      <c r="D78" s="205" t="s">
        <v>1252</v>
      </c>
      <c r="AB78" s="2338">
        <f>ROUNDUP(MIN(Y69,AB77),0)</f>
        <v>0</v>
      </c>
      <c r="AC78" s="2339"/>
      <c r="AD78" s="2339"/>
      <c r="AE78" s="2339"/>
      <c r="AF78" s="2340"/>
    </row>
    <row r="79" spans="1:36" ht="12.95" customHeight="1">
      <c r="C79" s="404"/>
      <c r="D79" s="205" t="s">
        <v>1253</v>
      </c>
      <c r="AB79" s="2341">
        <f>AB78*AB72</f>
        <v>0</v>
      </c>
      <c r="AC79" s="2341"/>
      <c r="AD79" s="2341"/>
      <c r="AE79" s="2341"/>
      <c r="AF79" s="2341"/>
    </row>
    <row r="80" spans="1:36" ht="12.95" customHeight="1">
      <c r="C80" s="404"/>
      <c r="D80" s="404"/>
      <c r="AB80" s="425"/>
      <c r="AC80" s="425"/>
      <c r="AD80" s="425"/>
      <c r="AE80" s="425"/>
      <c r="AF80" s="425"/>
    </row>
    <row r="81" spans="1:78" ht="12.95" customHeight="1">
      <c r="D81" s="404" t="s">
        <v>754</v>
      </c>
      <c r="AB81" s="2342">
        <f>AB49-(AB57+AB79)</f>
        <v>0</v>
      </c>
      <c r="AC81" s="2342"/>
      <c r="AD81" s="2342"/>
      <c r="AE81" s="2342"/>
      <c r="AF81" s="2342"/>
    </row>
    <row r="82" spans="1:78" ht="12.95" customHeight="1">
      <c r="F82" s="522"/>
      <c r="J82" s="522" t="str">
        <f>IF(AB81&gt;0,"FUNDING GAP MUST NOT EXCEED ZERO","")</f>
        <v/>
      </c>
    </row>
    <row r="83" spans="1:78" ht="12.95" customHeight="1">
      <c r="D83" s="523"/>
    </row>
    <row r="84" spans="1:78" ht="12.95" customHeight="1" thickBot="1">
      <c r="A84" s="2361"/>
      <c r="B84" s="2361"/>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c r="AA84" s="2361"/>
      <c r="AB84" s="2361"/>
      <c r="AC84" s="2361"/>
      <c r="AD84" s="2361"/>
      <c r="AE84" s="2361"/>
      <c r="AF84" s="2361"/>
      <c r="AG84" s="2361"/>
      <c r="AH84" s="2361"/>
      <c r="AI84" s="2361"/>
      <c r="AJ84" s="2361"/>
      <c r="AK84" s="2361"/>
      <c r="AL84" s="2361"/>
      <c r="AM84" s="2361"/>
      <c r="AN84" s="2361"/>
      <c r="AO84" s="2361"/>
      <c r="AP84" s="2361"/>
      <c r="AQ84" s="2361"/>
      <c r="AR84" s="2361"/>
      <c r="AS84" s="2361"/>
      <c r="AT84" s="2361"/>
      <c r="AU84" s="2361"/>
      <c r="AV84" s="2361"/>
      <c r="AW84" s="2361"/>
      <c r="AX84" s="2361"/>
      <c r="AY84" s="2361"/>
      <c r="AZ84" s="2361"/>
      <c r="BA84" s="2361"/>
      <c r="BB84" s="2361"/>
      <c r="BC84" s="2361"/>
      <c r="BD84" s="2361"/>
      <c r="BE84" s="2361"/>
      <c r="BF84" s="2361"/>
      <c r="BG84" s="2361"/>
      <c r="BH84" s="2361"/>
      <c r="BI84" s="2361"/>
      <c r="BJ84" s="2361"/>
      <c r="BK84" s="2361"/>
      <c r="BL84" s="2361"/>
      <c r="BM84" s="2361"/>
      <c r="BN84" s="2361"/>
      <c r="BO84" s="2361"/>
      <c r="BP84" s="2361"/>
      <c r="BQ84" s="2361"/>
      <c r="BR84" s="2361"/>
      <c r="BS84" s="2361"/>
      <c r="BT84" s="2361"/>
      <c r="BU84" s="2361"/>
      <c r="BV84" s="2361"/>
      <c r="BW84" s="2361"/>
      <c r="BX84" s="2361"/>
    </row>
    <row r="85" spans="1:78" ht="12.95" customHeight="1" thickTop="1"/>
    <row r="86" spans="1:78" ht="12.95" customHeight="1">
      <c r="A86" s="404"/>
      <c r="C86" s="205"/>
    </row>
    <row r="87" spans="1:78" ht="12.95" customHeight="1">
      <c r="D87" s="205"/>
      <c r="AB87" s="2393"/>
      <c r="AC87" s="2393"/>
      <c r="AD87" s="2393"/>
      <c r="AE87" s="2393"/>
      <c r="AF87" s="2393"/>
    </row>
    <row r="88" spans="1:78" ht="12.95" customHeight="1" thickBot="1">
      <c r="D88" s="205"/>
      <c r="AB88" s="2392"/>
      <c r="AC88" s="2392"/>
      <c r="AD88" s="2392"/>
      <c r="AE88" s="2392"/>
      <c r="AF88" s="239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780" workbookViewId="0">
      <selection activeCell="B150" sqref="B150:AC1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35" t="s">
        <v>1299</v>
      </c>
      <c r="B1" s="2435"/>
      <c r="C1" s="2435"/>
      <c r="D1" s="2435"/>
      <c r="E1" s="2435"/>
      <c r="F1" s="2435"/>
      <c r="G1" s="2435"/>
      <c r="H1" s="2435"/>
      <c r="I1" s="2435"/>
      <c r="J1" s="2435"/>
      <c r="K1" s="2435"/>
      <c r="L1" s="2435"/>
      <c r="M1" s="2435"/>
      <c r="N1" s="2435"/>
      <c r="O1" s="2435"/>
      <c r="P1" s="2435"/>
      <c r="Q1" s="2435"/>
      <c r="R1" s="2435"/>
      <c r="S1" s="2435"/>
      <c r="T1" s="2435"/>
      <c r="U1" s="2435"/>
      <c r="V1" s="2435"/>
      <c r="W1" s="2435"/>
      <c r="X1" s="2435"/>
      <c r="Y1" s="2435"/>
      <c r="Z1" s="2435"/>
      <c r="AA1" s="2435"/>
      <c r="AB1" s="2435"/>
      <c r="AC1" s="2435"/>
      <c r="AD1" s="2435"/>
      <c r="AE1" s="2435"/>
      <c r="AF1" s="2435"/>
      <c r="AG1" s="2435"/>
      <c r="AH1" s="2435"/>
      <c r="AI1" s="2435"/>
      <c r="AJ1" s="2435"/>
      <c r="AK1" s="2435"/>
      <c r="AL1" s="2435"/>
      <c r="AM1" s="2435"/>
    </row>
    <row r="2" spans="1:42" s="536" customFormat="1" ht="12.75" customHeight="1" thickBot="1">
      <c r="A2" s="2436"/>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1304</v>
      </c>
      <c r="AF7" s="2416"/>
      <c r="AG7" s="2416"/>
      <c r="AH7" s="2416"/>
      <c r="AI7" s="2416"/>
      <c r="AJ7" s="2416"/>
      <c r="AK7" s="2416"/>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6" t="s">
        <v>591</v>
      </c>
      <c r="C13" s="2406"/>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7"/>
      <c r="AH13" s="2437"/>
      <c r="AI13" s="2437"/>
      <c r="AJ13" s="243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6" t="s">
        <v>591</v>
      </c>
      <c r="C16" s="2406"/>
      <c r="D16" s="547"/>
      <c r="E16" s="2417" t="s">
        <v>1306</v>
      </c>
      <c r="F16" s="2418"/>
      <c r="G16" s="2418"/>
      <c r="H16" s="2418"/>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9"/>
      <c r="AK16" s="540"/>
      <c r="AL16" s="540"/>
      <c r="AM16" s="540"/>
      <c r="AN16" s="535"/>
      <c r="AO16" s="550">
        <f>IF($B25="yes",20,0)</f>
        <v>0</v>
      </c>
      <c r="AP16" s="14"/>
    </row>
    <row r="17" spans="1:42" s="536" customFormat="1" ht="12.75" customHeight="1">
      <c r="A17" s="540"/>
      <c r="B17" s="540"/>
      <c r="C17" s="540"/>
      <c r="D17" s="551"/>
      <c r="E17" s="2420"/>
      <c r="F17" s="2421"/>
      <c r="G17" s="2421"/>
      <c r="H17" s="2421"/>
      <c r="I17" s="2421"/>
      <c r="J17" s="2421"/>
      <c r="K17" s="2421"/>
      <c r="L17" s="2421"/>
      <c r="M17" s="2421"/>
      <c r="N17" s="2421"/>
      <c r="O17" s="2421"/>
      <c r="P17" s="2421"/>
      <c r="Q17" s="2421"/>
      <c r="R17" s="2421"/>
      <c r="S17" s="2421"/>
      <c r="T17" s="2421"/>
      <c r="U17" s="2421"/>
      <c r="V17" s="2421"/>
      <c r="W17" s="2421"/>
      <c r="X17" s="2421"/>
      <c r="Y17" s="2421"/>
      <c r="Z17" s="2421"/>
      <c r="AA17" s="2421"/>
      <c r="AB17" s="2421"/>
      <c r="AC17" s="2421"/>
      <c r="AD17" s="2421"/>
      <c r="AE17" s="2421"/>
      <c r="AF17" s="2421"/>
      <c r="AG17" s="2421"/>
      <c r="AH17" s="2421"/>
      <c r="AI17" s="2421"/>
      <c r="AJ17" s="2422"/>
      <c r="AK17" s="540"/>
      <c r="AL17" s="540"/>
      <c r="AM17" s="540"/>
      <c r="AN17" s="535"/>
      <c r="AO17" s="550">
        <f>IF($B28="yes",20,0)</f>
        <v>0</v>
      </c>
    </row>
    <row r="18" spans="1:42" s="536" customFormat="1" ht="12.75" customHeight="1">
      <c r="A18" s="540"/>
      <c r="B18" s="540"/>
      <c r="C18" s="540"/>
      <c r="D18" s="551"/>
      <c r="E18" s="2420"/>
      <c r="F18" s="2421"/>
      <c r="G18" s="2421"/>
      <c r="H18" s="2421"/>
      <c r="I18" s="2421"/>
      <c r="J18" s="2421"/>
      <c r="K18" s="2421"/>
      <c r="L18" s="2421"/>
      <c r="M18" s="2421"/>
      <c r="N18" s="2421"/>
      <c r="O18" s="2421"/>
      <c r="P18" s="2421"/>
      <c r="Q18" s="2421"/>
      <c r="R18" s="2421"/>
      <c r="S18" s="2421"/>
      <c r="T18" s="2421"/>
      <c r="U18" s="2421"/>
      <c r="V18" s="2421"/>
      <c r="W18" s="2421"/>
      <c r="X18" s="2421"/>
      <c r="Y18" s="2421"/>
      <c r="Z18" s="2421"/>
      <c r="AA18" s="2421"/>
      <c r="AB18" s="2421"/>
      <c r="AC18" s="2421"/>
      <c r="AD18" s="2421"/>
      <c r="AE18" s="2421"/>
      <c r="AF18" s="2421"/>
      <c r="AG18" s="2421"/>
      <c r="AH18" s="2421"/>
      <c r="AI18" s="2421"/>
      <c r="AJ18" s="2422"/>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8"/>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6" t="s">
        <v>591</v>
      </c>
      <c r="C22" s="2406"/>
      <c r="D22" s="547"/>
      <c r="E22" s="2442" t="s">
        <v>1309</v>
      </c>
      <c r="F22" s="2443"/>
      <c r="G22" s="2443"/>
      <c r="H22" s="2443"/>
      <c r="I22" s="2443"/>
      <c r="J22" s="2443"/>
      <c r="K22" s="2443"/>
      <c r="L22" s="2443"/>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4"/>
      <c r="AK22" s="540"/>
      <c r="AL22" s="540"/>
      <c r="AM22" s="540"/>
      <c r="AN22" s="535"/>
      <c r="AO22" s="550">
        <f>IF($B40="yes",14,0)</f>
        <v>0</v>
      </c>
    </row>
    <row r="23" spans="1:42" s="536" customFormat="1" ht="12.75" customHeight="1">
      <c r="A23" s="540"/>
      <c r="B23" s="540"/>
      <c r="C23" s="540"/>
      <c r="D23" s="550"/>
      <c r="E23" s="2445"/>
      <c r="F23" s="2446"/>
      <c r="G23" s="2446"/>
      <c r="H23" s="2446"/>
      <c r="I23" s="2446"/>
      <c r="J23" s="2446"/>
      <c r="K23" s="2446"/>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6" t="s">
        <v>591</v>
      </c>
      <c r="C25" s="2406"/>
      <c r="D25" s="547"/>
      <c r="E25" s="2407" t="s">
        <v>2032</v>
      </c>
      <c r="F25" s="2408"/>
      <c r="G25" s="2408"/>
      <c r="H25" s="2408"/>
      <c r="I25" s="2408"/>
      <c r="J25" s="2408"/>
      <c r="K25" s="2408"/>
      <c r="L25" s="24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9"/>
      <c r="AK25" s="540"/>
      <c r="AL25" s="540"/>
      <c r="AM25" s="540"/>
      <c r="AN25" s="535"/>
      <c r="AO25" s="550">
        <f>IF($B45="yes",6,0)</f>
        <v>0</v>
      </c>
    </row>
    <row r="26" spans="1:42" s="536" customFormat="1" ht="12.75" customHeight="1">
      <c r="A26" s="540"/>
      <c r="B26" s="540"/>
      <c r="C26" s="540"/>
      <c r="D26" s="550"/>
      <c r="E26" s="2410"/>
      <c r="F26" s="2411"/>
      <c r="G26" s="2411"/>
      <c r="H26" s="2411"/>
      <c r="I26" s="2411"/>
      <c r="J26" s="2411"/>
      <c r="K26" s="2411"/>
      <c r="L26" s="24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6" t="s">
        <v>591</v>
      </c>
      <c r="C28" s="2406"/>
      <c r="D28" s="547"/>
      <c r="E28" s="2430" t="s">
        <v>2247</v>
      </c>
      <c r="F28" s="2431"/>
      <c r="G28" s="2431"/>
      <c r="H28" s="2431"/>
      <c r="I28" s="2431"/>
      <c r="J28" s="2431"/>
      <c r="K28" s="2431"/>
      <c r="L28" s="2431"/>
      <c r="M28" s="2431"/>
      <c r="N28" s="2431"/>
      <c r="O28" s="2431"/>
      <c r="P28" s="2431"/>
      <c r="Q28" s="2431"/>
      <c r="R28" s="2431"/>
      <c r="S28" s="2431"/>
      <c r="T28" s="2431"/>
      <c r="U28" s="2431"/>
      <c r="V28" s="2431"/>
      <c r="W28" s="2431"/>
      <c r="X28" s="2431"/>
      <c r="Y28" s="2431"/>
      <c r="Z28" s="2431"/>
      <c r="AA28" s="2431"/>
      <c r="AB28" s="2431"/>
      <c r="AC28" s="2431"/>
      <c r="AD28" s="2431"/>
      <c r="AE28" s="2431"/>
      <c r="AF28" s="2431"/>
      <c r="AG28" s="2431"/>
      <c r="AH28" s="2431"/>
      <c r="AI28" s="2431"/>
      <c r="AJ28" s="243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406" t="s">
        <v>591</v>
      </c>
      <c r="C33" s="2406"/>
      <c r="D33" s="547"/>
      <c r="E33" s="2442" t="s">
        <v>2249</v>
      </c>
      <c r="F33" s="2443"/>
      <c r="G33" s="2443"/>
      <c r="H33" s="2443"/>
      <c r="I33" s="2443"/>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4"/>
      <c r="AK33" s="540"/>
      <c r="AL33" s="540"/>
      <c r="AM33" s="540"/>
      <c r="AN33" s="535"/>
      <c r="AO33" s="550"/>
    </row>
    <row r="34" spans="1:41" s="536" customFormat="1" ht="12.75" customHeight="1">
      <c r="A34" s="540"/>
      <c r="B34" s="540"/>
      <c r="C34" s="540"/>
      <c r="E34" s="2445"/>
      <c r="F34" s="2446"/>
      <c r="G34" s="2446"/>
      <c r="H34" s="2446"/>
      <c r="I34" s="2446"/>
      <c r="J34" s="2446"/>
      <c r="K34" s="2446"/>
      <c r="L34" s="2446"/>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6" t="s">
        <v>591</v>
      </c>
      <c r="C36" s="2406"/>
      <c r="D36" s="547"/>
      <c r="E36" s="2407" t="s">
        <v>2250</v>
      </c>
      <c r="F36" s="2408"/>
      <c r="G36" s="2408"/>
      <c r="H36" s="2408"/>
      <c r="I36" s="2408"/>
      <c r="J36" s="2408"/>
      <c r="K36" s="2408"/>
      <c r="L36" s="24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9"/>
      <c r="AK36" s="540"/>
      <c r="AL36" s="540"/>
      <c r="AM36" s="540"/>
      <c r="AN36" s="535"/>
    </row>
    <row r="37" spans="1:41" s="536" customFormat="1" ht="12.75" customHeight="1">
      <c r="A37" s="540"/>
      <c r="B37" s="540"/>
      <c r="C37" s="540"/>
      <c r="E37" s="2413"/>
      <c r="F37" s="2414"/>
      <c r="G37" s="2414"/>
      <c r="H37" s="2414"/>
      <c r="I37" s="2414"/>
      <c r="J37" s="2414"/>
      <c r="K37" s="2414"/>
      <c r="L37" s="2414"/>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5"/>
      <c r="AK37" s="540"/>
      <c r="AL37" s="540"/>
      <c r="AM37" s="540"/>
      <c r="AN37" s="535"/>
    </row>
    <row r="38" spans="1:41" s="536" customFormat="1" ht="12.75" customHeight="1">
      <c r="A38" s="540"/>
      <c r="B38" s="540"/>
      <c r="C38" s="540"/>
      <c r="E38" s="2410"/>
      <c r="F38" s="2411"/>
      <c r="G38" s="2411"/>
      <c r="H38" s="2411"/>
      <c r="I38" s="2411"/>
      <c r="J38" s="2411"/>
      <c r="K38" s="2411"/>
      <c r="L38" s="24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406" t="s">
        <v>591</v>
      </c>
      <c r="C40" s="2406"/>
      <c r="D40" s="547"/>
      <c r="E40" s="2407" t="s">
        <v>2248</v>
      </c>
      <c r="F40" s="2408"/>
      <c r="G40" s="2408"/>
      <c r="H40" s="2408"/>
      <c r="I40" s="2408"/>
      <c r="J40" s="2408"/>
      <c r="K40" s="2408"/>
      <c r="L40" s="24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9"/>
      <c r="AK40" s="540"/>
      <c r="AL40" s="540"/>
      <c r="AM40" s="540"/>
      <c r="AN40" s="535"/>
    </row>
    <row r="41" spans="1:41" s="536" customFormat="1" ht="12.75" customHeight="1">
      <c r="A41" s="540"/>
      <c r="B41" s="540"/>
      <c r="C41" s="540"/>
      <c r="E41" s="2410"/>
      <c r="F41" s="2411"/>
      <c r="G41" s="2411"/>
      <c r="H41" s="2411"/>
      <c r="I41" s="2411"/>
      <c r="J41" s="2411"/>
      <c r="K41" s="2411"/>
      <c r="L41" s="24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6" t="s">
        <v>591</v>
      </c>
      <c r="C45" s="2406"/>
      <c r="D45" s="1142"/>
      <c r="E45" s="2407" t="s">
        <v>2007</v>
      </c>
      <c r="F45" s="2408"/>
      <c r="G45" s="2408"/>
      <c r="H45" s="2408"/>
      <c r="I45" s="2408"/>
      <c r="J45" s="2408"/>
      <c r="K45" s="2408"/>
      <c r="L45" s="240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9"/>
      <c r="AK45" s="1142"/>
      <c r="AL45" s="540"/>
      <c r="AM45" s="540"/>
      <c r="AN45" s="535"/>
    </row>
    <row r="46" spans="1:41" s="536" customFormat="1" ht="12.75" customHeight="1">
      <c r="A46" s="540"/>
      <c r="B46" s="540"/>
      <c r="C46" s="540"/>
      <c r="E46" s="2413"/>
      <c r="F46" s="2414"/>
      <c r="G46" s="2414"/>
      <c r="H46" s="2414"/>
      <c r="I46" s="2414"/>
      <c r="J46" s="2414"/>
      <c r="K46" s="2414"/>
      <c r="L46" s="2414"/>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5"/>
      <c r="AK46" s="540"/>
      <c r="AL46" s="540"/>
      <c r="AM46" s="540"/>
      <c r="AN46" s="535"/>
    </row>
    <row r="47" spans="1:41" s="536" customFormat="1" ht="12.75" customHeight="1">
      <c r="A47" s="540"/>
      <c r="D47" s="547"/>
      <c r="E47" s="2410"/>
      <c r="F47" s="2411"/>
      <c r="G47" s="2411"/>
      <c r="H47" s="2411"/>
      <c r="I47" s="2411"/>
      <c r="J47" s="2411"/>
      <c r="K47" s="2411"/>
      <c r="L47" s="241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6" t="s">
        <v>545</v>
      </c>
      <c r="C52" s="2406"/>
      <c r="D52" s="540"/>
      <c r="E52" s="2407" t="s">
        <v>2012</v>
      </c>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9"/>
      <c r="AK52" s="540"/>
      <c r="AL52" s="540"/>
      <c r="AM52" s="540"/>
      <c r="AN52" s="535"/>
      <c r="AO52" s="559"/>
    </row>
    <row r="53" spans="1:50" s="536" customFormat="1" ht="12.75" customHeight="1">
      <c r="A53" s="540"/>
      <c r="D53" s="547"/>
      <c r="E53" s="2413"/>
      <c r="F53" s="2414"/>
      <c r="G53" s="2414"/>
      <c r="H53" s="2414"/>
      <c r="I53" s="2414"/>
      <c r="J53" s="2414"/>
      <c r="K53" s="2414"/>
      <c r="L53" s="2414"/>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5"/>
      <c r="AK53" s="540"/>
      <c r="AL53" s="540"/>
      <c r="AM53" s="540"/>
      <c r="AN53" s="535"/>
      <c r="AO53" s="559"/>
    </row>
    <row r="54" spans="1:50" s="536" customFormat="1" ht="12.75" customHeight="1">
      <c r="A54" s="540"/>
      <c r="D54" s="540"/>
      <c r="E54" s="2410"/>
      <c r="F54" s="2411"/>
      <c r="G54" s="2411"/>
      <c r="H54" s="2411"/>
      <c r="I54" s="2411"/>
      <c r="J54" s="2411"/>
      <c r="K54" s="2411"/>
      <c r="L54" s="241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6" t="s">
        <v>545</v>
      </c>
      <c r="C56" s="2406"/>
      <c r="D56" s="540"/>
      <c r="E56" s="2427" t="s">
        <v>2013</v>
      </c>
      <c r="F56" s="2428"/>
      <c r="G56" s="2428"/>
      <c r="H56" s="2428"/>
      <c r="I56" s="2428"/>
      <c r="J56" s="2428"/>
      <c r="K56" s="2428"/>
      <c r="L56" s="2428"/>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6" t="s">
        <v>545</v>
      </c>
      <c r="C58" s="2406"/>
      <c r="D58" s="540"/>
      <c r="E58" s="2407" t="s">
        <v>2014</v>
      </c>
      <c r="F58" s="2408"/>
      <c r="G58" s="2408"/>
      <c r="H58" s="2408"/>
      <c r="I58" s="2408"/>
      <c r="J58" s="2408"/>
      <c r="K58" s="2408"/>
      <c r="L58" s="240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9"/>
      <c r="AK58" s="540"/>
      <c r="AL58" s="540"/>
      <c r="AM58" s="540"/>
      <c r="AN58" s="535"/>
    </row>
    <row r="59" spans="1:50" s="536" customFormat="1" ht="12.75" customHeight="1">
      <c r="A59" s="540"/>
      <c r="B59" s="547"/>
      <c r="C59" s="547"/>
      <c r="D59" s="547"/>
      <c r="E59" s="2410"/>
      <c r="F59" s="2411"/>
      <c r="G59" s="2411"/>
      <c r="H59" s="2411"/>
      <c r="I59" s="2411"/>
      <c r="J59" s="2411"/>
      <c r="K59" s="2411"/>
      <c r="L59" s="241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9">
        <f>AO39</f>
        <v>20</v>
      </c>
      <c r="AL62" s="2440"/>
      <c r="AM62" s="244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6" t="s">
        <v>1313</v>
      </c>
      <c r="AF65" s="2416"/>
      <c r="AG65" s="2416"/>
      <c r="AH65" s="2416"/>
      <c r="AI65" s="2416"/>
      <c r="AJ65" s="2416"/>
      <c r="AK65" s="2416"/>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6" t="s">
        <v>591</v>
      </c>
      <c r="C68" s="2406"/>
      <c r="D68" s="547" t="s">
        <v>1314</v>
      </c>
      <c r="E68" s="2417" t="s">
        <v>2015</v>
      </c>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50">
        <f>IF($B68="yes",10,0)</f>
        <v>0</v>
      </c>
    </row>
    <row r="69" spans="1:42" s="536" customFormat="1" ht="12.75" customHeight="1">
      <c r="A69" s="538"/>
      <c r="B69" s="540"/>
      <c r="C69" s="540"/>
      <c r="D69" s="551"/>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50">
        <f>IF($B74="yes",10,0)</f>
        <v>0</v>
      </c>
    </row>
    <row r="70" spans="1:42" s="536" customFormat="1" ht="12.75" customHeight="1">
      <c r="A70" s="538"/>
      <c r="B70" s="540"/>
      <c r="C70" s="540"/>
      <c r="D70" s="551"/>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50">
        <f>IF($B81="yes",10,0)</f>
        <v>0</v>
      </c>
    </row>
    <row r="71" spans="1:42" s="536" customFormat="1" ht="12.75" customHeight="1">
      <c r="A71" s="538"/>
      <c r="B71" s="540"/>
      <c r="C71" s="540"/>
      <c r="D71" s="551"/>
      <c r="E71" s="2420"/>
      <c r="F71" s="2421"/>
      <c r="G71" s="2421"/>
      <c r="H71" s="2421"/>
      <c r="I71" s="2421"/>
      <c r="J71" s="2421"/>
      <c r="K71" s="2421"/>
      <c r="L71" s="2421"/>
      <c r="M71" s="2421"/>
      <c r="N71" s="2421"/>
      <c r="O71" s="2421"/>
      <c r="P71" s="2421"/>
      <c r="Q71" s="2421"/>
      <c r="R71" s="2421"/>
      <c r="S71" s="2421"/>
      <c r="T71" s="2421"/>
      <c r="U71" s="2421"/>
      <c r="V71" s="2421"/>
      <c r="W71" s="2421"/>
      <c r="X71" s="2421"/>
      <c r="Y71" s="2421"/>
      <c r="Z71" s="2421"/>
      <c r="AA71" s="2421"/>
      <c r="AB71" s="2421"/>
      <c r="AC71" s="2421"/>
      <c r="AD71" s="2421"/>
      <c r="AE71" s="2421"/>
      <c r="AF71" s="2421"/>
      <c r="AG71" s="2421"/>
      <c r="AH71" s="2421"/>
      <c r="AI71" s="2421"/>
      <c r="AJ71" s="2422"/>
      <c r="AK71" s="543"/>
      <c r="AL71" s="540"/>
      <c r="AM71" s="540"/>
      <c r="AN71" s="535"/>
      <c r="AO71" s="536">
        <f>IF(SUM(AO68:AO70)&gt;10,10,(SUM(AO68:AO70)))</f>
        <v>0</v>
      </c>
      <c r="AP71" s="574" t="s">
        <v>1315</v>
      </c>
    </row>
    <row r="72" spans="1:42" s="536" customFormat="1" ht="12.75" customHeight="1">
      <c r="A72" s="538"/>
      <c r="B72" s="540"/>
      <c r="C72" s="540"/>
      <c r="D72" s="551"/>
      <c r="E72" s="2423"/>
      <c r="F72" s="2424"/>
      <c r="G72" s="2424"/>
      <c r="H72" s="2424"/>
      <c r="I72" s="2424"/>
      <c r="J72" s="2424"/>
      <c r="K72" s="2424"/>
      <c r="L72" s="2424"/>
      <c r="M72" s="2424"/>
      <c r="N72" s="2424"/>
      <c r="O72" s="2424"/>
      <c r="P72" s="2424"/>
      <c r="Q72" s="2424"/>
      <c r="R72" s="2424"/>
      <c r="S72" s="2424"/>
      <c r="T72" s="2424"/>
      <c r="U72" s="2424"/>
      <c r="V72" s="2424"/>
      <c r="W72" s="2424"/>
      <c r="X72" s="2424"/>
      <c r="Y72" s="2424"/>
      <c r="Z72" s="2424"/>
      <c r="AA72" s="2424"/>
      <c r="AB72" s="2424"/>
      <c r="AC72" s="2424"/>
      <c r="AD72" s="2424"/>
      <c r="AE72" s="2424"/>
      <c r="AF72" s="2424"/>
      <c r="AG72" s="2424"/>
      <c r="AH72" s="2424"/>
      <c r="AI72" s="2424"/>
      <c r="AJ72" s="242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6" t="s">
        <v>591</v>
      </c>
      <c r="C74" s="2406"/>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6" t="s">
        <v>591</v>
      </c>
      <c r="F75" s="2406"/>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4" t="s">
        <v>591</v>
      </c>
      <c r="F76" s="2405"/>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4" t="s">
        <v>591</v>
      </c>
      <c r="F77" s="2405"/>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6" t="s">
        <v>591</v>
      </c>
      <c r="F79" s="2406"/>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6" t="s">
        <v>591</v>
      </c>
      <c r="C81" s="2406"/>
      <c r="D81" s="547" t="s">
        <v>1319</v>
      </c>
      <c r="E81" s="2407" t="s">
        <v>1739</v>
      </c>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c r="AI81" s="2408"/>
      <c r="AJ81" s="2409"/>
      <c r="AK81" s="543"/>
      <c r="AL81" s="540"/>
      <c r="AM81" s="540"/>
      <c r="AN81" s="535"/>
    </row>
    <row r="82" spans="1:43" s="536" customFormat="1" ht="12.75" customHeight="1">
      <c r="A82" s="538"/>
      <c r="B82" s="540"/>
      <c r="C82" s="540"/>
      <c r="D82" s="550"/>
      <c r="E82" s="2410"/>
      <c r="F82" s="2411"/>
      <c r="G82" s="2411"/>
      <c r="H82" s="2411"/>
      <c r="I82" s="2411"/>
      <c r="J82" s="2411"/>
      <c r="K82" s="2411"/>
      <c r="L82" s="2411"/>
      <c r="M82" s="2411"/>
      <c r="N82" s="2411"/>
      <c r="O82" s="2411"/>
      <c r="P82" s="2411"/>
      <c r="Q82" s="2411"/>
      <c r="R82" s="2411"/>
      <c r="S82" s="2411"/>
      <c r="T82" s="2411"/>
      <c r="U82" s="2411"/>
      <c r="V82" s="2411"/>
      <c r="W82" s="2411"/>
      <c r="X82" s="2411"/>
      <c r="Y82" s="2411"/>
      <c r="Z82" s="2411"/>
      <c r="AA82" s="2411"/>
      <c r="AB82" s="2411"/>
      <c r="AC82" s="2411"/>
      <c r="AD82" s="2411"/>
      <c r="AE82" s="2411"/>
      <c r="AF82" s="2411"/>
      <c r="AG82" s="2411"/>
      <c r="AH82" s="2411"/>
      <c r="AI82" s="2411"/>
      <c r="AJ82" s="241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9">
        <f>IF(AK62&gt;0,0,AO71)</f>
        <v>0</v>
      </c>
      <c r="AL84" s="2440"/>
      <c r="AM84" s="244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6" t="s">
        <v>1304</v>
      </c>
      <c r="AF87" s="2416"/>
      <c r="AG87" s="2416"/>
      <c r="AH87" s="2416"/>
      <c r="AI87" s="2416"/>
      <c r="AJ87" s="2416"/>
      <c r="AK87" s="2416"/>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6" t="s">
        <v>591</v>
      </c>
      <c r="C90" s="2406"/>
      <c r="D90" s="547" t="s">
        <v>1314</v>
      </c>
      <c r="E90" s="2417" t="s">
        <v>1324</v>
      </c>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2420"/>
      <c r="F91" s="2421"/>
      <c r="G91" s="2421"/>
      <c r="H91" s="2421"/>
      <c r="I91" s="2421"/>
      <c r="J91" s="2421"/>
      <c r="K91" s="2421"/>
      <c r="L91" s="2421"/>
      <c r="M91" s="2421"/>
      <c r="N91" s="2421"/>
      <c r="O91" s="2421"/>
      <c r="P91" s="2421"/>
      <c r="Q91" s="2421"/>
      <c r="R91" s="2421"/>
      <c r="S91" s="2421"/>
      <c r="T91" s="2421"/>
      <c r="U91" s="2421"/>
      <c r="V91" s="2421"/>
      <c r="W91" s="2421"/>
      <c r="X91" s="2421"/>
      <c r="Y91" s="2421"/>
      <c r="Z91" s="2421"/>
      <c r="AA91" s="2421"/>
      <c r="AB91" s="2421"/>
      <c r="AC91" s="2421"/>
      <c r="AD91" s="2421"/>
      <c r="AE91" s="2421"/>
      <c r="AF91" s="2421"/>
      <c r="AG91" s="2421"/>
      <c r="AH91" s="2421"/>
      <c r="AI91" s="2421"/>
      <c r="AJ91" s="242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0">
        <f>Application!AC753</f>
        <v>0.55352112676056331</v>
      </c>
      <c r="F93" s="2401"/>
      <c r="G93" s="2401"/>
      <c r="H93" s="240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2">
        <f>0.6-ROUNDUP(E93,2)</f>
        <v>3.9999999999999925E-2</v>
      </c>
      <c r="F94" s="2403"/>
      <c r="G94" s="2403"/>
      <c r="H94" s="2403"/>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3">
        <f>IF(E94*200&gt;20,20,E94*200)</f>
        <v>7.9999999999999849</v>
      </c>
      <c r="F95" s="2434"/>
      <c r="G95" s="2434"/>
      <c r="H95" s="2434"/>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6" t="s">
        <v>545</v>
      </c>
      <c r="C98" s="2406"/>
      <c r="D98" s="547" t="s">
        <v>1316</v>
      </c>
      <c r="E98" s="2417" t="s">
        <v>1724</v>
      </c>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2420"/>
      <c r="F101" s="2421"/>
      <c r="G101" s="2421"/>
      <c r="H101" s="2421"/>
      <c r="I101" s="2421"/>
      <c r="J101" s="2421"/>
      <c r="K101" s="2421"/>
      <c r="L101" s="2421"/>
      <c r="M101" s="2421"/>
      <c r="N101" s="2421"/>
      <c r="O101" s="2421"/>
      <c r="P101" s="2421"/>
      <c r="Q101" s="2421"/>
      <c r="R101" s="2421"/>
      <c r="S101" s="2421"/>
      <c r="T101" s="2421"/>
      <c r="U101" s="2421"/>
      <c r="V101" s="2421"/>
      <c r="W101" s="2421"/>
      <c r="X101" s="2421"/>
      <c r="Y101" s="2421"/>
      <c r="Z101" s="2421"/>
      <c r="AA101" s="2421"/>
      <c r="AB101" s="2421"/>
      <c r="AC101" s="2421"/>
      <c r="AD101" s="2421"/>
      <c r="AE101" s="2421"/>
      <c r="AF101" s="2421"/>
      <c r="AG101" s="2421"/>
      <c r="AH101" s="2421"/>
      <c r="AI101" s="2421"/>
      <c r="AJ101" s="242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0">
        <f>Application!AC753</f>
        <v>0.55352112676056331</v>
      </c>
      <c r="F103" s="2401"/>
      <c r="G103" s="2401"/>
      <c r="H103" s="240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0">
        <f ca="1">SUMIF(Application!AC718:AG752,0.2,Application!G718:J752)/Application!G753+SUMIF(Application!AC718:AG752,0.25,Application!G718:J752)/Application!G753+SUMIF(Application!AC718:AG752,0.3,Application!G718:J752)/Application!G753</f>
        <v>0.11267605633802817</v>
      </c>
      <c r="F104" s="2401"/>
      <c r="G104" s="2401"/>
      <c r="H104" s="240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0">
        <f ca="1">SUMIF(Application!AC718:AG752,0.35,Application!G718:J752)/Application!G753+SUMIF(Application!AC718:AG752,0.4,Application!G718:J752)/Application!G753+SUMIF(Application!AC718:AG752,0.45,Application!G718:J752)/Application!G753+SUMIF(Application!AC718:AG752,0.5,Application!G718:J752)/Application!G753</f>
        <v>0.12676056338028169</v>
      </c>
      <c r="F105" s="2401"/>
      <c r="G105" s="2401"/>
      <c r="H105" s="240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8">
        <f ca="1">IF(AND(E103&lt;=0.6,OR(AND(E104&gt;=0.1,E105&gt;=0.1),AND(E104&gt;0.1,(E104+E105)&gt;=0.2))),20,0)</f>
        <v>20</v>
      </c>
      <c r="F106" s="2459"/>
      <c r="G106" s="2459"/>
      <c r="H106" s="245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9">
        <f ca="1">MAX(AP95,AP106)</f>
        <v>20</v>
      </c>
      <c r="AL109" s="2440"/>
      <c r="AM109" s="244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6" t="s">
        <v>1313</v>
      </c>
      <c r="AF112" s="2416"/>
      <c r="AG112" s="2416"/>
      <c r="AH112" s="2416"/>
      <c r="AI112" s="2416"/>
      <c r="AJ112" s="2416"/>
      <c r="AK112" s="2416"/>
      <c r="AL112" s="540"/>
      <c r="AM112" s="540"/>
      <c r="AN112" s="535"/>
      <c r="AO112" s="536" t="str">
        <f>Application!B718</f>
        <v>1 Bedroom</v>
      </c>
      <c r="AQ112" s="536">
        <f>Application!O718</f>
        <v>802</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948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1083</v>
      </c>
    </row>
    <row r="115" spans="1:52" s="536" customFormat="1" ht="12.75" customHeight="1">
      <c r="A115" s="540"/>
      <c r="B115" s="2406" t="s">
        <v>545</v>
      </c>
      <c r="C115" s="2406"/>
      <c r="D115" s="547" t="s">
        <v>1314</v>
      </c>
      <c r="E115" s="2417" t="s">
        <v>1856</v>
      </c>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t="str">
        <f>Application!B721</f>
        <v>1 Bedroom</v>
      </c>
      <c r="AQ115" s="536">
        <f>Application!O721</f>
        <v>1206</v>
      </c>
      <c r="AU115" s="536" t="s">
        <v>1839</v>
      </c>
      <c r="AV115" s="595" t="s">
        <v>1840</v>
      </c>
      <c r="AW115" s="536" t="s">
        <v>1841</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Application!B722</f>
        <v>2 Bedrooms</v>
      </c>
      <c r="AQ116" s="536">
        <f>Application!O722</f>
        <v>1258.25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Application!B723</f>
        <v>3 Bedrooms</v>
      </c>
      <c r="AQ117" s="536">
        <f>Application!O723</f>
        <v>1533</v>
      </c>
      <c r="AU117" s="856" t="str">
        <f>J124</f>
        <v>1-bedroom</v>
      </c>
      <c r="AV117" s="536">
        <f t="array" ref="AV117">SUM(IF(Application!B718:F752="1 Bedroom",Application!G718:J752))</f>
        <v>6</v>
      </c>
      <c r="AW117" s="1011">
        <f>AV117/AV122</f>
        <v>8.4507042253521125E-2</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Application!B724</f>
        <v>1 Bedroom</v>
      </c>
      <c r="AQ118" s="536">
        <f>Application!O724</f>
        <v>1455</v>
      </c>
      <c r="AU118" s="856" t="str">
        <f>O124</f>
        <v>2-bedroom</v>
      </c>
      <c r="AV118" s="536">
        <f t="array" ref="AV118">SUM(IF(Application!B718:F752="2 Bedrooms",Application!G718:J752))</f>
        <v>28</v>
      </c>
      <c r="AW118" s="1011">
        <f>AV118/AV122</f>
        <v>0.39436619718309857</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Application!B725</f>
        <v>2 Bedrooms</v>
      </c>
      <c r="AQ119" s="536">
        <f>Application!O725</f>
        <v>1773</v>
      </c>
      <c r="AU119" s="856" t="str">
        <f>T124</f>
        <v>3-bedroom</v>
      </c>
      <c r="AV119" s="536">
        <f t="array" ref="AV119">SUM(IF(Application!B718:F752="3 Bedrooms",Application!G718:J752))</f>
        <v>37</v>
      </c>
      <c r="AW119" s="1011">
        <f>AV119/AV122</f>
        <v>0.52112676056338025</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Application!B726</f>
        <v>3 Bedrooms</v>
      </c>
      <c r="AQ120" s="536">
        <f>Application!O726</f>
        <v>1994.53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0"/>
      <c r="F122" s="2421"/>
      <c r="G122" s="2421"/>
      <c r="H122" s="2421"/>
      <c r="I122" s="2421"/>
      <c r="J122" s="2421"/>
      <c r="K122" s="2421"/>
      <c r="L122" s="2421"/>
      <c r="M122" s="2421"/>
      <c r="N122" s="2421"/>
      <c r="O122" s="2421"/>
      <c r="P122" s="2421"/>
      <c r="Q122" s="2421"/>
      <c r="R122" s="2421"/>
      <c r="S122" s="2421"/>
      <c r="T122" s="2421"/>
      <c r="U122" s="2421"/>
      <c r="V122" s="2421"/>
      <c r="W122" s="2421"/>
      <c r="X122" s="2421"/>
      <c r="Y122" s="2421"/>
      <c r="Z122" s="2421"/>
      <c r="AA122" s="2421"/>
      <c r="AB122" s="2421"/>
      <c r="AC122" s="2421"/>
      <c r="AD122" s="2421"/>
      <c r="AE122" s="2421"/>
      <c r="AF122" s="2421"/>
      <c r="AG122" s="2421"/>
      <c r="AH122" s="2421"/>
      <c r="AI122" s="2421"/>
      <c r="AJ122" s="2422"/>
      <c r="AK122" s="540"/>
      <c r="AL122" s="540"/>
      <c r="AM122" s="540"/>
      <c r="AN122" s="535"/>
      <c r="AO122" s="536">
        <f>Application!B728</f>
        <v>0</v>
      </c>
      <c r="AQ122" s="536">
        <f>Application!O728</f>
        <v>0</v>
      </c>
      <c r="AV122" s="536">
        <f>SUM(AV116:AV121)</f>
        <v>71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400" t="s">
        <v>1587</v>
      </c>
      <c r="F124" s="2401"/>
      <c r="G124" s="2401"/>
      <c r="H124" s="2401"/>
      <c r="I124" s="577"/>
      <c r="J124" s="2401" t="s">
        <v>1630</v>
      </c>
      <c r="K124" s="2401"/>
      <c r="L124" s="2401"/>
      <c r="M124" s="2401"/>
      <c r="N124" s="577"/>
      <c r="O124" s="2401" t="s">
        <v>1631</v>
      </c>
      <c r="P124" s="2401"/>
      <c r="Q124" s="2401"/>
      <c r="R124" s="2401"/>
      <c r="S124" s="577"/>
      <c r="T124" s="2401" t="s">
        <v>1333</v>
      </c>
      <c r="U124" s="2401"/>
      <c r="V124" s="2401"/>
      <c r="W124" s="2401"/>
      <c r="X124" s="577"/>
      <c r="Y124" s="2401" t="s">
        <v>1632</v>
      </c>
      <c r="Z124" s="2401"/>
      <c r="AA124" s="2401"/>
      <c r="AB124" s="2401"/>
      <c r="AC124" s="577"/>
      <c r="AD124" s="2401" t="s">
        <v>1633</v>
      </c>
      <c r="AE124" s="2401"/>
      <c r="AF124" s="2401"/>
      <c r="AG124" s="24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60">
        <v>0</v>
      </c>
      <c r="F127" s="2461"/>
      <c r="G127" s="2461"/>
      <c r="H127" s="2461"/>
      <c r="I127" s="864"/>
      <c r="J127" s="2461">
        <v>2933</v>
      </c>
      <c r="K127" s="2461"/>
      <c r="L127" s="2461"/>
      <c r="M127" s="2461"/>
      <c r="N127" s="864"/>
      <c r="O127" s="2461">
        <v>3030</v>
      </c>
      <c r="P127" s="2461"/>
      <c r="Q127" s="2461"/>
      <c r="R127" s="2461"/>
      <c r="S127" s="864"/>
      <c r="T127" s="2461">
        <v>3839</v>
      </c>
      <c r="U127" s="2461"/>
      <c r="V127" s="2461"/>
      <c r="W127" s="2461"/>
      <c r="X127" s="864"/>
      <c r="Y127" s="2461">
        <v>0</v>
      </c>
      <c r="Z127" s="2461"/>
      <c r="AA127" s="2461"/>
      <c r="AB127" s="2461"/>
      <c r="AC127" s="864"/>
      <c r="AD127" s="2461">
        <v>0</v>
      </c>
      <c r="AE127" s="2461"/>
      <c r="AF127" s="2461"/>
      <c r="AG127" s="246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3">
        <f>Application!DX670</f>
        <v>0</v>
      </c>
      <c r="F130" s="2454"/>
      <c r="G130" s="2454"/>
      <c r="H130" s="2454"/>
      <c r="I130" s="864"/>
      <c r="J130" s="2454">
        <f>Application!EC670</f>
        <v>1263.1666666666665</v>
      </c>
      <c r="K130" s="2454"/>
      <c r="L130" s="2454"/>
      <c r="M130" s="2454"/>
      <c r="N130" s="864"/>
      <c r="O130" s="2454">
        <f>Application!EH670</f>
        <v>1640.5357142857142</v>
      </c>
      <c r="P130" s="2454"/>
      <c r="Q130" s="2454"/>
      <c r="R130" s="2454"/>
      <c r="S130" s="868"/>
      <c r="T130" s="2454">
        <f>Application!EM670</f>
        <v>1833.928918918919</v>
      </c>
      <c r="U130" s="2454"/>
      <c r="V130" s="2454"/>
      <c r="W130" s="2454"/>
      <c r="X130" s="868"/>
      <c r="Y130" s="2454">
        <f>Application!ER670</f>
        <v>0</v>
      </c>
      <c r="Z130" s="2454"/>
      <c r="AA130" s="2454"/>
      <c r="AB130" s="2454"/>
      <c r="AC130" s="868"/>
      <c r="AD130" s="2454">
        <f>Application!EW670</f>
        <v>0</v>
      </c>
      <c r="AE130" s="2454"/>
      <c r="AF130" s="2454"/>
      <c r="AG130" s="245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2" t="e">
        <f>(E127-E130)/E127</f>
        <v>#DIV/0!</v>
      </c>
      <c r="F133" s="2403"/>
      <c r="G133" s="2403"/>
      <c r="H133" s="2653"/>
      <c r="I133" s="577"/>
      <c r="J133" s="2652">
        <f>(J127-J130)/J127</f>
        <v>0.56932605977952044</v>
      </c>
      <c r="K133" s="2403"/>
      <c r="L133" s="2403"/>
      <c r="M133" s="2653"/>
      <c r="N133" s="577"/>
      <c r="O133" s="2652">
        <f>(O127-O130)/O127</f>
        <v>0.45856907119283358</v>
      </c>
      <c r="P133" s="2403"/>
      <c r="Q133" s="2403"/>
      <c r="R133" s="2653"/>
      <c r="S133" s="577"/>
      <c r="T133" s="2652">
        <f>(T127-T130)/T127</f>
        <v>0.52228994037016963</v>
      </c>
      <c r="U133" s="2403"/>
      <c r="V133" s="2403"/>
      <c r="W133" s="2653"/>
      <c r="X133" s="577"/>
      <c r="Y133" s="2652" t="e">
        <f>(Y127-Y130)/Y127</f>
        <v>#DIV/0!</v>
      </c>
      <c r="Z133" s="2403"/>
      <c r="AA133" s="2403"/>
      <c r="AB133" s="2653"/>
      <c r="AC133" s="577"/>
      <c r="AD133" s="2652" t="e">
        <f>(AD127-AD130)/AD127</f>
        <v>#DIV/0!</v>
      </c>
      <c r="AE133" s="2403"/>
      <c r="AF133" s="2403"/>
      <c r="AG133" s="265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5" t="e">
        <f>IF(((E133-0.1)*AW116)&gt;0,((E133-0.1)*AW116),0)</f>
        <v>#DIV/0!</v>
      </c>
      <c r="F136" s="2456"/>
      <c r="G136" s="2456"/>
      <c r="H136" s="2457"/>
      <c r="I136" s="577"/>
      <c r="J136" s="2455">
        <f>IF(((J133-0.1)*AW117)&gt;0,((J133-0.1)*AW117),0)</f>
        <v>3.9661357164466518E-2</v>
      </c>
      <c r="K136" s="2456"/>
      <c r="L136" s="2456"/>
      <c r="M136" s="2457"/>
      <c r="N136" s="577"/>
      <c r="O136" s="2455">
        <f>IF(((O133-0.1)*AW118)&gt;0,((O133-0.1)*AW118),0)</f>
        <v>0.1414075210337935</v>
      </c>
      <c r="P136" s="2456"/>
      <c r="Q136" s="2456"/>
      <c r="R136" s="2457"/>
      <c r="S136" s="577"/>
      <c r="T136" s="2455">
        <f>IF(((T133-0.1)*AW119)&gt;0,((T133-0.1)*AW119),0)</f>
        <v>0.22006658864360953</v>
      </c>
      <c r="U136" s="2456"/>
      <c r="V136" s="2456"/>
      <c r="W136" s="2457"/>
      <c r="X136" s="577"/>
      <c r="Y136" s="2455" t="e">
        <f>IF(((Y133-0.1)*AW120)&gt;0,((Y133-0.1)*AW120),0)</f>
        <v>#DIV/0!</v>
      </c>
      <c r="Z136" s="2456"/>
      <c r="AA136" s="2456"/>
      <c r="AB136" s="2457"/>
      <c r="AC136" s="577"/>
      <c r="AD136" s="2455" t="e">
        <f>IF(((AD133-0.1)*AW121)&gt;0,((AD133-0.1)*AW121),0)</f>
        <v>#DIV/0!</v>
      </c>
      <c r="AE136" s="2456"/>
      <c r="AF136" s="2456"/>
      <c r="AG136" s="245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2">
        <f>ROUNDDOWN(SUMIF(E136:AG136,"&gt;0"),2)</f>
        <v>0.4</v>
      </c>
      <c r="F138" s="2403"/>
      <c r="G138" s="2403"/>
      <c r="H138" s="265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9">
        <f>IF((E138*100)&gt;10,10,E138*100)</f>
        <v>10</v>
      </c>
      <c r="F139" s="2440"/>
      <c r="G139" s="2440"/>
      <c r="H139" s="2441"/>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9">
        <f>E139</f>
        <v>10</v>
      </c>
      <c r="AL143" s="2440"/>
      <c r="AM143" s="244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6" t="s">
        <v>1313</v>
      </c>
      <c r="AF146" s="2416"/>
      <c r="AG146" s="2416"/>
      <c r="AH146" s="2416"/>
      <c r="AI146" s="2416"/>
      <c r="AJ146" s="2416"/>
      <c r="AK146" s="241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1" t="s">
        <v>1337</v>
      </c>
      <c r="AG148" s="2451"/>
      <c r="AH148" s="2451"/>
      <c r="AI148" s="2451"/>
      <c r="AJ148" s="2451"/>
      <c r="AK148" s="2451"/>
      <c r="AL148" s="245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2" t="s">
        <v>2766</v>
      </c>
      <c r="C150" s="2452"/>
      <c r="D150" s="2452"/>
      <c r="E150" s="2452"/>
      <c r="F150" s="2452"/>
      <c r="G150" s="2452"/>
      <c r="H150" s="2452"/>
      <c r="I150" s="2452"/>
      <c r="J150" s="2452"/>
      <c r="K150" s="2452"/>
      <c r="L150" s="2452"/>
      <c r="M150" s="2452"/>
      <c r="N150" s="2452"/>
      <c r="O150" s="2452"/>
      <c r="P150" s="2452"/>
      <c r="Q150" s="2452"/>
      <c r="R150" s="2452"/>
      <c r="S150" s="2452"/>
      <c r="T150" s="2452"/>
      <c r="U150" s="2452"/>
      <c r="V150" s="2452"/>
      <c r="W150" s="2452"/>
      <c r="X150" s="2452"/>
      <c r="Y150" s="2452"/>
      <c r="Z150" s="2452"/>
      <c r="AA150" s="2452"/>
      <c r="AB150" s="2452"/>
      <c r="AC150" s="245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8" t="s">
        <v>1340</v>
      </c>
      <c r="C153" s="2478"/>
      <c r="D153" s="2478"/>
      <c r="E153" s="2478"/>
      <c r="F153" s="2478"/>
      <c r="G153" s="2478"/>
      <c r="H153" s="2478"/>
      <c r="I153" s="2478"/>
      <c r="J153" s="2478"/>
      <c r="K153" s="2478"/>
      <c r="L153" s="2478"/>
      <c r="M153" s="2478"/>
      <c r="N153" s="2478"/>
      <c r="O153" s="2478"/>
      <c r="P153" s="2478"/>
      <c r="Q153" s="2478"/>
      <c r="R153" s="2478"/>
      <c r="S153" s="2478"/>
      <c r="T153" s="2478"/>
      <c r="U153" s="2478"/>
      <c r="V153" s="2478"/>
      <c r="W153" s="2478"/>
      <c r="X153" s="2478"/>
      <c r="Y153" s="2478"/>
      <c r="Z153" s="2478"/>
      <c r="AA153" s="2478"/>
      <c r="AB153" s="2478"/>
      <c r="AC153" s="2478"/>
      <c r="AD153" s="2478"/>
      <c r="AE153" s="2478"/>
      <c r="AF153" s="2478"/>
      <c r="AG153" s="2478"/>
      <c r="AH153" s="2478"/>
      <c r="AI153" s="2478"/>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9" t="s">
        <v>591</v>
      </c>
      <c r="AC155" s="247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8" t="s">
        <v>1342</v>
      </c>
      <c r="C158" s="2478"/>
      <c r="D158" s="2478"/>
      <c r="E158" s="2478"/>
      <c r="F158" s="2478"/>
      <c r="G158" s="2478"/>
      <c r="H158" s="2478"/>
      <c r="I158" s="2478"/>
      <c r="J158" s="2478"/>
      <c r="K158" s="2478"/>
      <c r="L158" s="2478"/>
      <c r="M158" s="2478"/>
      <c r="N158" s="2478"/>
      <c r="O158" s="2478"/>
      <c r="P158" s="2478"/>
      <c r="Q158" s="2478"/>
      <c r="R158" s="2478"/>
      <c r="S158" s="2478"/>
      <c r="T158" s="2478"/>
      <c r="U158" s="2478"/>
      <c r="V158" s="2478"/>
      <c r="W158" s="2478"/>
      <c r="X158" s="2478"/>
      <c r="Y158" s="2478"/>
      <c r="Z158" s="2478"/>
      <c r="AA158" s="2478"/>
      <c r="AB158" s="2478"/>
      <c r="AC158" s="2478"/>
      <c r="AD158" s="2478"/>
      <c r="AE158" s="2478"/>
      <c r="AF158" s="2478"/>
      <c r="AG158" s="2478"/>
      <c r="AH158" s="2478"/>
      <c r="AI158" s="2478"/>
      <c r="AJ158" s="2478"/>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9" t="s">
        <v>2467</v>
      </c>
      <c r="C161" s="2639"/>
      <c r="D161" s="2639"/>
      <c r="E161" s="2639"/>
      <c r="F161" s="2639"/>
      <c r="G161" s="2639"/>
      <c r="H161" s="2639"/>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39"/>
      <c r="AD161" s="2639"/>
      <c r="AE161" s="2639"/>
      <c r="AF161" s="2639"/>
      <c r="AG161" s="2639"/>
      <c r="AH161" s="2639"/>
      <c r="AI161" s="2639"/>
      <c r="AJ161" s="2639"/>
      <c r="AK161" s="1180"/>
      <c r="AM161" s="539"/>
      <c r="AN161" s="535"/>
      <c r="AO161" s="476"/>
      <c r="AP161" s="489"/>
    </row>
    <row r="162" spans="1:42" s="536" customFormat="1" ht="12.75" customHeight="1">
      <c r="B162" s="2639"/>
      <c r="C162" s="2639"/>
      <c r="D162" s="2639"/>
      <c r="E162" s="2639"/>
      <c r="F162" s="2639"/>
      <c r="G162" s="2639"/>
      <c r="H162" s="2639"/>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39"/>
      <c r="AD162" s="2639"/>
      <c r="AE162" s="2639"/>
      <c r="AF162" s="2639"/>
      <c r="AG162" s="2639"/>
      <c r="AH162" s="2639"/>
      <c r="AI162" s="2639"/>
      <c r="AJ162" s="2639"/>
      <c r="AK162" s="1180"/>
      <c r="AM162" s="539"/>
      <c r="AN162" s="535"/>
      <c r="AO162" s="476"/>
      <c r="AP162" s="489"/>
    </row>
    <row r="163" spans="1:42" s="536" customFormat="1" ht="12.75" customHeight="1">
      <c r="C163" s="2542" t="s">
        <v>2468</v>
      </c>
      <c r="D163" s="2542"/>
      <c r="E163" s="2542"/>
      <c r="F163" s="2542"/>
      <c r="G163" s="2542"/>
      <c r="H163" s="2542"/>
      <c r="I163" s="2542"/>
      <c r="J163" s="2542"/>
      <c r="K163" s="2542"/>
      <c r="L163" s="2542"/>
      <c r="M163" s="2542"/>
      <c r="N163" s="2542"/>
      <c r="O163" s="2542"/>
      <c r="P163" s="2542"/>
      <c r="Q163" s="2542"/>
      <c r="R163" s="2542"/>
      <c r="S163" s="2542"/>
      <c r="T163" s="2542"/>
      <c r="U163" s="2542"/>
      <c r="V163" s="2542"/>
      <c r="W163" s="2542"/>
      <c r="X163" s="2542"/>
      <c r="Y163" s="2542"/>
      <c r="Z163" s="2542"/>
      <c r="AA163" s="2542"/>
      <c r="AB163" s="2542"/>
      <c r="AC163" s="2542"/>
      <c r="AD163" s="2542"/>
      <c r="AE163" s="2542"/>
      <c r="AF163" s="2542"/>
      <c r="AG163" s="2542"/>
      <c r="AH163" s="2542"/>
      <c r="AI163" s="2542"/>
      <c r="AJ163" s="2542"/>
      <c r="AK163" s="1180"/>
      <c r="AM163" s="539"/>
      <c r="AN163" s="535"/>
      <c r="AO163" s="476"/>
      <c r="AP163" s="489"/>
    </row>
    <row r="164" spans="1:42" s="536" customFormat="1" ht="12.75" customHeight="1">
      <c r="B164" s="1180"/>
      <c r="C164" s="2477" t="s">
        <v>2466</v>
      </c>
      <c r="D164" s="2477"/>
      <c r="E164" s="2477"/>
      <c r="F164" s="2477"/>
      <c r="G164" s="2477"/>
      <c r="H164" s="2477"/>
      <c r="I164" s="2477"/>
      <c r="J164" s="2477"/>
      <c r="K164" s="2477"/>
      <c r="L164" s="2477"/>
      <c r="M164" s="2477"/>
      <c r="N164" s="2477"/>
      <c r="O164" s="2477"/>
      <c r="P164" s="2477"/>
      <c r="Q164" s="2477"/>
      <c r="R164" s="2477"/>
      <c r="S164" s="2477"/>
      <c r="T164" s="2477"/>
      <c r="U164" s="2477"/>
      <c r="V164" s="2477"/>
      <c r="W164" s="2477"/>
      <c r="X164" s="2477"/>
      <c r="Y164" s="2477"/>
      <c r="Z164" s="2477"/>
      <c r="AA164" s="1170"/>
      <c r="AB164" s="1170"/>
      <c r="AC164" s="1170"/>
      <c r="AD164" s="1170"/>
      <c r="AE164" s="1170"/>
      <c r="AF164" s="1170"/>
      <c r="AG164" s="1170"/>
      <c r="AH164" s="1170"/>
      <c r="AJ164" s="2479" t="s">
        <v>591</v>
      </c>
      <c r="AK164" s="247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1" t="s">
        <v>1351</v>
      </c>
      <c r="AG168" s="2451"/>
      <c r="AH168" s="2451"/>
      <c r="AI168" s="2451"/>
      <c r="AJ168" s="2451"/>
      <c r="AK168" s="2451"/>
      <c r="AL168" s="2451"/>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8" t="s">
        <v>1349</v>
      </c>
      <c r="D170" s="2478"/>
      <c r="E170" s="2478"/>
      <c r="F170" s="2478"/>
      <c r="G170" s="2478"/>
      <c r="H170" s="2478"/>
      <c r="I170" s="2478"/>
      <c r="J170" s="2478"/>
      <c r="K170" s="2478"/>
      <c r="L170" s="2478"/>
      <c r="M170" s="2478"/>
      <c r="N170" s="2478"/>
      <c r="O170" s="2478"/>
      <c r="P170" s="2478"/>
      <c r="Q170" s="2478"/>
      <c r="R170" s="2478"/>
      <c r="S170" s="2478"/>
      <c r="T170" s="2478"/>
      <c r="U170" s="2478"/>
      <c r="V170" s="2478"/>
      <c r="W170" s="2478"/>
      <c r="X170" s="2478"/>
      <c r="Y170" s="2478"/>
      <c r="Z170" s="2478"/>
      <c r="AA170" s="2478"/>
      <c r="AB170" s="2478"/>
      <c r="AC170" s="2478"/>
      <c r="AD170" s="2478"/>
      <c r="AE170" s="2478"/>
      <c r="AF170" s="2478"/>
      <c r="AG170" s="2478"/>
      <c r="AH170" s="2478"/>
      <c r="AI170" s="247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9" t="s">
        <v>591</v>
      </c>
      <c r="AG172" s="2479"/>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8" t="s">
        <v>1342</v>
      </c>
      <c r="D174" s="2478"/>
      <c r="E174" s="2478"/>
      <c r="F174" s="2478"/>
      <c r="G174" s="2478"/>
      <c r="H174" s="2478"/>
      <c r="I174" s="2478"/>
      <c r="J174" s="2478"/>
      <c r="K174" s="2478"/>
      <c r="L174" s="2478"/>
      <c r="M174" s="2478"/>
      <c r="N174" s="2478"/>
      <c r="O174" s="2478"/>
      <c r="P174" s="2478"/>
      <c r="Q174" s="2478"/>
      <c r="R174" s="2478"/>
      <c r="S174" s="2478"/>
      <c r="T174" s="2478"/>
      <c r="U174" s="2478"/>
      <c r="V174" s="2478"/>
      <c r="W174" s="2478"/>
      <c r="X174" s="2478"/>
      <c r="Y174" s="2478"/>
      <c r="Z174" s="2478"/>
      <c r="AA174" s="2478"/>
      <c r="AB174" s="2478"/>
      <c r="AC174" s="2478"/>
      <c r="AD174" s="2478"/>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80" t="str">
        <f>Application!AA335</f>
        <v>Eden Housing Management, Inc.</v>
      </c>
      <c r="D178" s="2480"/>
      <c r="E178" s="2480"/>
      <c r="F178" s="2480"/>
      <c r="G178" s="2480"/>
      <c r="H178" s="2480"/>
      <c r="I178" s="2480"/>
      <c r="J178" s="2480"/>
      <c r="K178" s="2480"/>
      <c r="L178" s="2480"/>
      <c r="M178" s="2480"/>
      <c r="N178" s="2480"/>
      <c r="O178" s="2480"/>
      <c r="P178" s="2480"/>
      <c r="Q178" s="2480"/>
      <c r="R178" s="2480"/>
      <c r="S178" s="2480"/>
      <c r="T178" s="2480"/>
      <c r="U178" s="2480"/>
      <c r="V178" s="2480"/>
      <c r="W178" s="2480"/>
      <c r="X178" s="2480"/>
      <c r="Y178" s="2480"/>
      <c r="Z178" s="2480"/>
      <c r="AA178" s="2480"/>
      <c r="AB178" s="2480"/>
      <c r="AC178" s="2480"/>
      <c r="AD178" s="2480"/>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9">
        <f>$AJ$166+$AJ$180</f>
        <v>10</v>
      </c>
      <c r="AL183" s="2440"/>
      <c r="AM183" s="244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6" t="s">
        <v>1313</v>
      </c>
      <c r="AF186" s="2416"/>
      <c r="AG186" s="2416"/>
      <c r="AH186" s="2416"/>
      <c r="AI186" s="2416"/>
      <c r="AJ186" s="2416"/>
      <c r="AK186" s="2416"/>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6" t="s">
        <v>1040</v>
      </c>
      <c r="C188" s="2476"/>
      <c r="D188" s="2476"/>
      <c r="E188" s="2476"/>
      <c r="F188" s="2476"/>
      <c r="G188" s="2476"/>
      <c r="H188" s="2476"/>
      <c r="I188" s="2476"/>
      <c r="J188" s="2476"/>
      <c r="K188" s="2476"/>
      <c r="L188" s="2476"/>
      <c r="M188" s="2476"/>
      <c r="N188" s="2476"/>
      <c r="O188" s="2476"/>
      <c r="P188" s="2476"/>
      <c r="Q188" s="2476"/>
      <c r="R188" s="2476"/>
      <c r="S188" s="2476"/>
      <c r="T188" s="2476"/>
      <c r="U188" s="2476"/>
      <c r="V188" s="2476"/>
      <c r="W188" s="2476"/>
      <c r="X188" s="2476"/>
      <c r="Y188" s="2476"/>
      <c r="Z188" s="2476"/>
      <c r="AA188" s="2476"/>
      <c r="AB188" s="2476"/>
      <c r="AC188" s="2476"/>
      <c r="AD188" s="536"/>
      <c r="AE188" s="536"/>
      <c r="AF188" s="2451" t="s">
        <v>1362</v>
      </c>
      <c r="AG188" s="2451"/>
      <c r="AH188" s="2451"/>
      <c r="AI188" s="2451"/>
      <c r="AJ188" s="2451"/>
      <c r="AK188" s="2451"/>
      <c r="AL188" s="2451"/>
      <c r="AN188" s="597"/>
      <c r="AP188" s="550" t="s">
        <v>1042</v>
      </c>
      <c r="AQ188" s="550">
        <v>10</v>
      </c>
    </row>
    <row r="189" spans="1:73" s="550" customFormat="1" ht="12.75" customHeight="1">
      <c r="A189" s="536"/>
      <c r="B189" s="2477" t="s">
        <v>1725</v>
      </c>
      <c r="C189" s="2477"/>
      <c r="D189" s="2477"/>
      <c r="E189" s="2477"/>
      <c r="F189" s="2477"/>
      <c r="G189" s="2477"/>
      <c r="H189" s="2477"/>
      <c r="I189" s="2477"/>
      <c r="J189" s="2477"/>
      <c r="K189" s="2477"/>
      <c r="L189" s="2477"/>
      <c r="M189" s="2477"/>
      <c r="N189" s="2477"/>
      <c r="O189" s="2477"/>
      <c r="P189" s="2477"/>
      <c r="Q189" s="2477"/>
      <c r="R189" s="2477"/>
      <c r="S189" s="2477"/>
      <c r="T189" s="2452" t="s">
        <v>591</v>
      </c>
      <c r="U189" s="2452"/>
      <c r="V189" s="2452"/>
      <c r="W189" s="2452"/>
      <c r="X189" s="2452"/>
      <c r="Y189" s="2452"/>
      <c r="Z189" s="2452"/>
      <c r="AA189" s="2452"/>
      <c r="AB189" s="2452"/>
      <c r="AC189" s="2452"/>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6">
        <f>IF(AK84&gt;0,VLOOKUP($B$188,AP185:AQ191,2,FALSE),0)</f>
        <v>0</v>
      </c>
      <c r="AL191" s="2487"/>
      <c r="AM191" s="248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6" t="s">
        <v>1371</v>
      </c>
      <c r="AF194" s="2416"/>
      <c r="AG194" s="2416"/>
      <c r="AH194" s="2416"/>
      <c r="AI194" s="2416"/>
      <c r="AJ194" s="2416"/>
      <c r="AK194" s="241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3" t="s">
        <v>2736</v>
      </c>
      <c r="C199" s="2463"/>
      <c r="D199" s="2463"/>
      <c r="E199" s="2463"/>
      <c r="F199" s="2463"/>
      <c r="G199" s="2463"/>
      <c r="H199" s="2463"/>
      <c r="I199" s="2463"/>
      <c r="J199" s="2463"/>
      <c r="K199" s="2463"/>
      <c r="L199" s="2463"/>
      <c r="M199" s="2463"/>
      <c r="N199" s="2463"/>
      <c r="O199" s="2463"/>
      <c r="P199" s="2463"/>
      <c r="Q199" s="2463"/>
      <c r="R199" s="2463"/>
      <c r="S199" s="2463"/>
      <c r="T199" s="2463"/>
      <c r="U199" s="2463"/>
      <c r="V199" s="2463"/>
      <c r="W199" s="2463"/>
      <c r="X199" s="2463"/>
      <c r="Y199" s="2463"/>
      <c r="Z199" s="2463"/>
      <c r="AA199" s="2463"/>
      <c r="AB199" s="2463"/>
      <c r="AC199" s="846"/>
      <c r="AD199" s="2464">
        <f>Application!AM556</f>
        <v>2824516</v>
      </c>
      <c r="AE199" s="2464"/>
      <c r="AF199" s="2464"/>
      <c r="AG199" s="2464"/>
      <c r="AH199" s="2464"/>
      <c r="AI199" s="2464"/>
      <c r="AJ199" s="2464"/>
      <c r="AK199" s="610"/>
    </row>
    <row r="200" spans="1:40">
      <c r="A200" s="605"/>
      <c r="B200" s="2463"/>
      <c r="C200" s="2463"/>
      <c r="D200" s="2463"/>
      <c r="E200" s="2463"/>
      <c r="F200" s="2463"/>
      <c r="G200" s="2463"/>
      <c r="H200" s="2463"/>
      <c r="I200" s="2463"/>
      <c r="J200" s="2463"/>
      <c r="K200" s="2463"/>
      <c r="L200" s="2463"/>
      <c r="M200" s="2463"/>
      <c r="N200" s="2463"/>
      <c r="O200" s="2463"/>
      <c r="P200" s="2463"/>
      <c r="Q200" s="2463"/>
      <c r="R200" s="2463"/>
      <c r="S200" s="2463"/>
      <c r="T200" s="2463"/>
      <c r="U200" s="2463"/>
      <c r="V200" s="2463"/>
      <c r="W200" s="2463"/>
      <c r="X200" s="2463"/>
      <c r="Y200" s="2463"/>
      <c r="Z200" s="2463"/>
      <c r="AA200" s="2463"/>
      <c r="AB200" s="2463"/>
      <c r="AC200" s="846"/>
      <c r="AD200" s="2464"/>
      <c r="AE200" s="2464"/>
      <c r="AF200" s="2464"/>
      <c r="AG200" s="2464"/>
      <c r="AH200" s="2464"/>
      <c r="AI200" s="2464"/>
      <c r="AJ200" s="2464"/>
      <c r="AK200" s="610"/>
    </row>
    <row r="201" spans="1:40">
      <c r="A201" s="605"/>
      <c r="B201" s="2463"/>
      <c r="C201" s="2463"/>
      <c r="D201" s="2463"/>
      <c r="E201" s="2463"/>
      <c r="F201" s="2463"/>
      <c r="G201" s="2463"/>
      <c r="H201" s="2463"/>
      <c r="I201" s="2463"/>
      <c r="J201" s="2463"/>
      <c r="K201" s="2463"/>
      <c r="L201" s="2463"/>
      <c r="M201" s="2463"/>
      <c r="N201" s="2463"/>
      <c r="O201" s="2463"/>
      <c r="P201" s="2463"/>
      <c r="Q201" s="2463"/>
      <c r="R201" s="2463"/>
      <c r="S201" s="2463"/>
      <c r="T201" s="2463"/>
      <c r="U201" s="2463"/>
      <c r="V201" s="2463"/>
      <c r="W201" s="2463"/>
      <c r="X201" s="2463"/>
      <c r="Y201" s="2463"/>
      <c r="Z201" s="2463"/>
      <c r="AA201" s="2463"/>
      <c r="AB201" s="2463"/>
      <c r="AC201" s="846"/>
      <c r="AD201" s="2464"/>
      <c r="AE201" s="2464"/>
      <c r="AF201" s="2464"/>
      <c r="AG201" s="2464"/>
      <c r="AH201" s="2464"/>
      <c r="AI201" s="2464"/>
      <c r="AJ201" s="2464"/>
      <c r="AK201" s="610"/>
    </row>
    <row r="202" spans="1:40">
      <c r="A202" s="605"/>
      <c r="B202" s="2463"/>
      <c r="C202" s="2463"/>
      <c r="D202" s="2463"/>
      <c r="E202" s="2463"/>
      <c r="F202" s="2463"/>
      <c r="G202" s="2463"/>
      <c r="H202" s="2463"/>
      <c r="I202" s="2463"/>
      <c r="J202" s="2463"/>
      <c r="K202" s="2463"/>
      <c r="L202" s="2463"/>
      <c r="M202" s="2463"/>
      <c r="N202" s="2463"/>
      <c r="O202" s="2463"/>
      <c r="P202" s="2463"/>
      <c r="Q202" s="2463"/>
      <c r="R202" s="2463"/>
      <c r="S202" s="2463"/>
      <c r="T202" s="2463"/>
      <c r="U202" s="2463"/>
      <c r="V202" s="2463"/>
      <c r="W202" s="2463"/>
      <c r="X202" s="2463"/>
      <c r="Y202" s="2463"/>
      <c r="Z202" s="2463"/>
      <c r="AA202" s="2463"/>
      <c r="AB202" s="2463"/>
      <c r="AC202" s="846"/>
      <c r="AD202" s="2464"/>
      <c r="AE202" s="2464"/>
      <c r="AF202" s="2464"/>
      <c r="AG202" s="2464"/>
      <c r="AH202" s="2464"/>
      <c r="AI202" s="2464"/>
      <c r="AJ202" s="2464"/>
      <c r="AK202" s="610"/>
    </row>
    <row r="203" spans="1:40">
      <c r="A203" s="605"/>
      <c r="B203" s="2463"/>
      <c r="C203" s="2463"/>
      <c r="D203" s="2463"/>
      <c r="E203" s="2463"/>
      <c r="F203" s="2463"/>
      <c r="G203" s="2463"/>
      <c r="H203" s="2463"/>
      <c r="I203" s="2463"/>
      <c r="J203" s="2463"/>
      <c r="K203" s="2463"/>
      <c r="L203" s="2463"/>
      <c r="M203" s="2463"/>
      <c r="N203" s="2463"/>
      <c r="O203" s="2463"/>
      <c r="P203" s="2463"/>
      <c r="Q203" s="2463"/>
      <c r="R203" s="2463"/>
      <c r="S203" s="2463"/>
      <c r="T203" s="2463"/>
      <c r="U203" s="2463"/>
      <c r="V203" s="2463"/>
      <c r="W203" s="2463"/>
      <c r="X203" s="2463"/>
      <c r="Y203" s="2463"/>
      <c r="Z203" s="2463"/>
      <c r="AA203" s="2463"/>
      <c r="AB203" s="2463"/>
      <c r="AC203" s="846"/>
      <c r="AD203" s="2464"/>
      <c r="AE203" s="2464"/>
      <c r="AF203" s="2464"/>
      <c r="AG203" s="2464"/>
      <c r="AH203" s="2464"/>
      <c r="AI203" s="2464"/>
      <c r="AJ203" s="2464"/>
      <c r="AK203" s="610"/>
    </row>
    <row r="204" spans="1:40">
      <c r="A204" s="605"/>
      <c r="B204" s="2463"/>
      <c r="C204" s="2463"/>
      <c r="D204" s="2463"/>
      <c r="E204" s="2463"/>
      <c r="F204" s="2463"/>
      <c r="G204" s="2463"/>
      <c r="H204" s="2463"/>
      <c r="I204" s="2463"/>
      <c r="J204" s="2463"/>
      <c r="K204" s="2463"/>
      <c r="L204" s="2463"/>
      <c r="M204" s="2463"/>
      <c r="N204" s="2463"/>
      <c r="O204" s="2463"/>
      <c r="P204" s="2463"/>
      <c r="Q204" s="2463"/>
      <c r="R204" s="2463"/>
      <c r="S204" s="2463"/>
      <c r="T204" s="2463"/>
      <c r="U204" s="2463"/>
      <c r="V204" s="2463"/>
      <c r="W204" s="2463"/>
      <c r="X204" s="2463"/>
      <c r="Y204" s="2463"/>
      <c r="Z204" s="2463"/>
      <c r="AA204" s="2463"/>
      <c r="AB204" s="2463"/>
      <c r="AC204" s="846"/>
      <c r="AD204" s="2464"/>
      <c r="AE204" s="2464"/>
      <c r="AF204" s="2464"/>
      <c r="AG204" s="2464"/>
      <c r="AH204" s="2464"/>
      <c r="AI204" s="2464"/>
      <c r="AJ204" s="2464"/>
      <c r="AK204" s="610"/>
    </row>
    <row r="205" spans="1:40">
      <c r="A205" s="605"/>
      <c r="B205" s="2463"/>
      <c r="C205" s="2463"/>
      <c r="D205" s="2463"/>
      <c r="E205" s="2463"/>
      <c r="F205" s="2463"/>
      <c r="G205" s="2463"/>
      <c r="H205" s="2463"/>
      <c r="I205" s="2463"/>
      <c r="J205" s="2463"/>
      <c r="K205" s="2463"/>
      <c r="L205" s="2463"/>
      <c r="M205" s="2463"/>
      <c r="N205" s="2463"/>
      <c r="O205" s="2463"/>
      <c r="P205" s="2463"/>
      <c r="Q205" s="2463"/>
      <c r="R205" s="2463"/>
      <c r="S205" s="2463"/>
      <c r="T205" s="2463"/>
      <c r="U205" s="2463"/>
      <c r="V205" s="2463"/>
      <c r="W205" s="2463"/>
      <c r="X205" s="2463"/>
      <c r="Y205" s="2463"/>
      <c r="Z205" s="2463"/>
      <c r="AA205" s="2463"/>
      <c r="AB205" s="2463"/>
      <c r="AC205" s="846"/>
      <c r="AD205" s="2464"/>
      <c r="AE205" s="2464"/>
      <c r="AF205" s="2464"/>
      <c r="AG205" s="2464"/>
      <c r="AH205" s="2464"/>
      <c r="AI205" s="2464"/>
      <c r="AJ205" s="2464"/>
      <c r="AK205" s="610"/>
    </row>
    <row r="206" spans="1:40">
      <c r="A206" s="605"/>
      <c r="B206" s="2463"/>
      <c r="C206" s="2463"/>
      <c r="D206" s="2463"/>
      <c r="E206" s="2463"/>
      <c r="F206" s="2463"/>
      <c r="G206" s="2463"/>
      <c r="H206" s="2463"/>
      <c r="I206" s="2463"/>
      <c r="J206" s="2463"/>
      <c r="K206" s="2463"/>
      <c r="L206" s="2463"/>
      <c r="M206" s="2463"/>
      <c r="N206" s="2463"/>
      <c r="O206" s="2463"/>
      <c r="P206" s="2463"/>
      <c r="Q206" s="2463"/>
      <c r="R206" s="2463"/>
      <c r="S206" s="2463"/>
      <c r="T206" s="2463"/>
      <c r="U206" s="2463"/>
      <c r="V206" s="2463"/>
      <c r="W206" s="2463"/>
      <c r="X206" s="2463"/>
      <c r="Y206" s="2463"/>
      <c r="Z206" s="2463"/>
      <c r="AA206" s="2463"/>
      <c r="AB206" s="2463"/>
      <c r="AC206" s="846"/>
      <c r="AD206" s="2464"/>
      <c r="AE206" s="2464"/>
      <c r="AF206" s="2464"/>
      <c r="AG206" s="2464"/>
      <c r="AH206" s="2464"/>
      <c r="AI206" s="2464"/>
      <c r="AJ206" s="2464"/>
      <c r="AK206" s="610"/>
    </row>
    <row r="207" spans="1:40">
      <c r="A207" s="605"/>
      <c r="B207" s="2463"/>
      <c r="C207" s="2463"/>
      <c r="D207" s="2463"/>
      <c r="E207" s="2463"/>
      <c r="F207" s="2463"/>
      <c r="G207" s="2463"/>
      <c r="H207" s="2463"/>
      <c r="I207" s="2463"/>
      <c r="J207" s="2463"/>
      <c r="K207" s="2463"/>
      <c r="L207" s="2463"/>
      <c r="M207" s="2463"/>
      <c r="N207" s="2463"/>
      <c r="O207" s="2463"/>
      <c r="P207" s="2463"/>
      <c r="Q207" s="2463"/>
      <c r="R207" s="2463"/>
      <c r="S207" s="2463"/>
      <c r="T207" s="2463"/>
      <c r="U207" s="2463"/>
      <c r="V207" s="2463"/>
      <c r="W207" s="2463"/>
      <c r="X207" s="2463"/>
      <c r="Y207" s="2463"/>
      <c r="Z207" s="2463"/>
      <c r="AA207" s="2463"/>
      <c r="AB207" s="2463"/>
      <c r="AC207" s="846"/>
      <c r="AD207" s="2464"/>
      <c r="AE207" s="2464"/>
      <c r="AF207" s="2464"/>
      <c r="AG207" s="2464"/>
      <c r="AH207" s="2464"/>
      <c r="AI207" s="2464"/>
      <c r="AJ207" s="2464"/>
      <c r="AK207" s="610"/>
    </row>
    <row r="208" spans="1:40">
      <c r="A208" s="605"/>
      <c r="B208" s="2463"/>
      <c r="C208" s="2463"/>
      <c r="D208" s="2463"/>
      <c r="E208" s="2463"/>
      <c r="F208" s="2463"/>
      <c r="G208" s="2463"/>
      <c r="H208" s="2463"/>
      <c r="I208" s="2463"/>
      <c r="J208" s="2463"/>
      <c r="K208" s="2463"/>
      <c r="L208" s="2463"/>
      <c r="M208" s="2463"/>
      <c r="N208" s="2463"/>
      <c r="O208" s="2463"/>
      <c r="P208" s="2463"/>
      <c r="Q208" s="2463"/>
      <c r="R208" s="2463"/>
      <c r="S208" s="2463"/>
      <c r="T208" s="2463"/>
      <c r="U208" s="2463"/>
      <c r="V208" s="2463"/>
      <c r="W208" s="2463"/>
      <c r="X208" s="2463"/>
      <c r="Y208" s="2463"/>
      <c r="Z208" s="2463"/>
      <c r="AA208" s="2463"/>
      <c r="AB208" s="2463"/>
      <c r="AC208" s="846"/>
      <c r="AD208" s="2464"/>
      <c r="AE208" s="2464"/>
      <c r="AF208" s="2464"/>
      <c r="AG208" s="2464"/>
      <c r="AH208" s="2464"/>
      <c r="AI208" s="2464"/>
      <c r="AJ208" s="2464"/>
      <c r="AK208" s="610"/>
    </row>
    <row r="209" spans="1:37">
      <c r="A209" s="605"/>
      <c r="B209" s="2474" t="s">
        <v>1626</v>
      </c>
      <c r="C209" s="2474"/>
      <c r="D209" s="2474"/>
      <c r="E209" s="2474"/>
      <c r="F209" s="2474"/>
      <c r="G209" s="2474"/>
      <c r="H209" s="2474"/>
      <c r="I209" s="2474"/>
      <c r="J209" s="2474"/>
      <c r="K209" s="2474"/>
      <c r="L209" s="2474"/>
      <c r="M209" s="2474"/>
      <c r="N209" s="2474"/>
      <c r="O209" s="2474"/>
      <c r="P209" s="2474"/>
      <c r="Q209" s="2474"/>
      <c r="R209" s="2474"/>
      <c r="S209" s="2474"/>
      <c r="T209" s="2474"/>
      <c r="U209" s="2474"/>
      <c r="V209" s="2474"/>
      <c r="W209" s="2474"/>
      <c r="X209" s="2474"/>
      <c r="Y209" s="2474"/>
      <c r="Z209" s="2474"/>
      <c r="AA209" s="2474"/>
      <c r="AB209" s="2474"/>
      <c r="AC209" s="536"/>
      <c r="AD209" s="2493">
        <f>AB260</f>
        <v>0</v>
      </c>
      <c r="AE209" s="2493"/>
      <c r="AF209" s="2493"/>
      <c r="AG209" s="2493"/>
      <c r="AH209" s="2493"/>
      <c r="AI209" s="2493"/>
      <c r="AJ209" s="2493"/>
      <c r="AK209" s="610"/>
    </row>
    <row r="210" spans="1:37">
      <c r="A210" s="605"/>
      <c r="B210" s="2620" t="s">
        <v>1589</v>
      </c>
      <c r="C210" s="2620"/>
      <c r="D210" s="2620"/>
      <c r="E210" s="2620"/>
      <c r="F210" s="2620"/>
      <c r="G210" s="2620"/>
      <c r="H210" s="2620"/>
      <c r="I210" s="2620"/>
      <c r="J210" s="2620"/>
      <c r="K210" s="2620"/>
      <c r="L210" s="2620"/>
      <c r="M210" s="2620"/>
      <c r="N210" s="2620"/>
      <c r="O210" s="2620"/>
      <c r="P210" s="2620"/>
      <c r="Q210" s="2620"/>
      <c r="R210" s="2620"/>
      <c r="S210" s="2620"/>
      <c r="T210" s="2620"/>
      <c r="U210" s="2620"/>
      <c r="V210" s="2620"/>
      <c r="W210" s="2620"/>
      <c r="X210" s="2620"/>
      <c r="Y210" s="2620"/>
      <c r="Z210" s="2620"/>
      <c r="AA210" s="2620"/>
      <c r="AB210" s="2620"/>
      <c r="AC210" s="846"/>
      <c r="AD210" s="2494">
        <f>'Sources and Uses Budget'!B15</f>
        <v>0</v>
      </c>
      <c r="AE210" s="2494"/>
      <c r="AF210" s="2494"/>
      <c r="AG210" s="2494"/>
      <c r="AH210" s="2494"/>
      <c r="AI210" s="2494"/>
      <c r="AJ210" s="249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8">
        <f>SUM(AD199:AJ209)-AD210</f>
        <v>2824516</v>
      </c>
      <c r="AE211" s="2498"/>
      <c r="AF211" s="2498"/>
      <c r="AG211" s="2498"/>
      <c r="AH211" s="2498"/>
      <c r="AI211" s="2498"/>
      <c r="AJ211" s="249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7" t="s">
        <v>1606</v>
      </c>
      <c r="J222" s="2467"/>
      <c r="K222" s="2467"/>
      <c r="L222" s="536"/>
      <c r="M222" s="536"/>
      <c r="N222" s="536"/>
      <c r="O222" s="536"/>
      <c r="P222" s="536"/>
      <c r="Q222" s="536"/>
      <c r="R222" s="536"/>
      <c r="S222" s="536"/>
      <c r="T222" s="2655" t="s">
        <v>1600</v>
      </c>
      <c r="U222" s="2655"/>
      <c r="V222" s="2655"/>
      <c r="W222" s="2655"/>
      <c r="X222" s="2655"/>
      <c r="Y222" s="2655"/>
      <c r="Z222" s="849"/>
      <c r="AA222" s="489"/>
      <c r="AB222" s="2462" t="s">
        <v>1601</v>
      </c>
      <c r="AC222" s="2462"/>
      <c r="AD222" s="2462"/>
      <c r="AE222" s="2462"/>
      <c r="AF222" s="2462"/>
      <c r="AG222" s="2462"/>
      <c r="AH222" s="827"/>
      <c r="AI222" s="827"/>
      <c r="AJ222" s="827"/>
      <c r="AK222" s="610"/>
    </row>
    <row r="223" spans="1:37">
      <c r="A223" s="605"/>
      <c r="B223" s="2465" t="s">
        <v>1586</v>
      </c>
      <c r="C223" s="2465"/>
      <c r="D223" s="2465"/>
      <c r="E223" s="2465"/>
      <c r="F223" s="2465"/>
      <c r="G223" s="2465"/>
      <c r="I223" s="2466" t="s">
        <v>1607</v>
      </c>
      <c r="J223" s="2466"/>
      <c r="K223" s="2466"/>
      <c r="L223" s="1008"/>
      <c r="N223" s="2472" t="s">
        <v>1602</v>
      </c>
      <c r="O223" s="2472"/>
      <c r="P223" s="2472"/>
      <c r="Q223" s="2472"/>
      <c r="R223" s="2472"/>
      <c r="T223" s="2472" t="s">
        <v>1603</v>
      </c>
      <c r="U223" s="2472"/>
      <c r="V223" s="2472"/>
      <c r="W223" s="2472"/>
      <c r="X223" s="2472"/>
      <c r="Y223" s="2472"/>
      <c r="Z223" s="850"/>
      <c r="AA223" s="489"/>
      <c r="AB223" s="2609" t="s">
        <v>1604</v>
      </c>
      <c r="AC223" s="2609"/>
      <c r="AD223" s="2609"/>
      <c r="AE223" s="2609"/>
      <c r="AF223" s="2609"/>
      <c r="AG223" s="2609"/>
      <c r="AH223" s="827"/>
      <c r="AI223" s="827"/>
      <c r="AJ223" s="827"/>
      <c r="AK223" s="610"/>
    </row>
    <row r="224" spans="1:37">
      <c r="A224" s="605"/>
      <c r="B224" s="2469" t="s">
        <v>1183</v>
      </c>
      <c r="C224" s="2469"/>
      <c r="D224" s="2469"/>
      <c r="E224" s="2469"/>
      <c r="F224" s="2469"/>
      <c r="G224" s="2469"/>
      <c r="H224" s="852"/>
      <c r="I224" s="2468"/>
      <c r="J224" s="2468"/>
      <c r="K224" s="2468"/>
      <c r="L224" s="1008"/>
      <c r="N224" s="2473"/>
      <c r="O224" s="2473"/>
      <c r="P224" s="2473"/>
      <c r="Q224" s="2473"/>
      <c r="R224" s="2473"/>
      <c r="T224" s="2621"/>
      <c r="U224" s="2621"/>
      <c r="V224" s="2621"/>
      <c r="W224" s="2621"/>
      <c r="X224" s="2621"/>
      <c r="Y224" s="2621"/>
      <c r="Z224" s="851"/>
      <c r="AA224" s="851"/>
      <c r="AB224" s="2470">
        <f t="shared" ref="AB224:AB233" si="0">MAX(($T224-$N224)*$I224*12,0)</f>
        <v>0</v>
      </c>
      <c r="AC224" s="2470"/>
      <c r="AD224" s="2470"/>
      <c r="AE224" s="2470"/>
      <c r="AF224" s="2470"/>
      <c r="AG224" s="2470"/>
      <c r="AH224" s="827"/>
      <c r="AI224" s="827"/>
      <c r="AJ224" s="827"/>
      <c r="AK224" s="610"/>
    </row>
    <row r="225" spans="1:37">
      <c r="A225" s="605"/>
      <c r="B225" s="2469" t="s">
        <v>1183</v>
      </c>
      <c r="C225" s="2469"/>
      <c r="D225" s="2469"/>
      <c r="E225" s="2469"/>
      <c r="F225" s="2469"/>
      <c r="G225" s="2469"/>
      <c r="I225" s="2468"/>
      <c r="J225" s="2468"/>
      <c r="K225" s="2468"/>
      <c r="L225" s="1008"/>
      <c r="N225" s="2473"/>
      <c r="O225" s="2473"/>
      <c r="P225" s="2473"/>
      <c r="Q225" s="2473"/>
      <c r="R225" s="2473"/>
      <c r="T225" s="2621"/>
      <c r="U225" s="2621"/>
      <c r="V225" s="2621"/>
      <c r="W225" s="2621"/>
      <c r="X225" s="2621"/>
      <c r="Y225" s="2621"/>
      <c r="Z225" s="851"/>
      <c r="AA225" s="851"/>
      <c r="AB225" s="2470">
        <f t="shared" si="0"/>
        <v>0</v>
      </c>
      <c r="AC225" s="2470"/>
      <c r="AD225" s="2470"/>
      <c r="AE225" s="2470"/>
      <c r="AF225" s="2470"/>
      <c r="AG225" s="2470"/>
      <c r="AH225" s="827"/>
      <c r="AI225" s="827"/>
      <c r="AJ225" s="827"/>
      <c r="AK225" s="610"/>
    </row>
    <row r="226" spans="1:37">
      <c r="A226" s="605"/>
      <c r="B226" s="2469" t="s">
        <v>1183</v>
      </c>
      <c r="C226" s="2469"/>
      <c r="D226" s="2469"/>
      <c r="E226" s="2469"/>
      <c r="F226" s="2469"/>
      <c r="G226" s="2469"/>
      <c r="I226" s="2468"/>
      <c r="J226" s="2468"/>
      <c r="K226" s="2468"/>
      <c r="L226" s="1008"/>
      <c r="N226" s="2473"/>
      <c r="O226" s="2473"/>
      <c r="P226" s="2473"/>
      <c r="Q226" s="2473"/>
      <c r="R226" s="2473"/>
      <c r="T226" s="2621"/>
      <c r="U226" s="2621"/>
      <c r="V226" s="2621"/>
      <c r="W226" s="2621"/>
      <c r="X226" s="2621"/>
      <c r="Y226" s="2621"/>
      <c r="Z226" s="851"/>
      <c r="AA226" s="851"/>
      <c r="AB226" s="2470">
        <f t="shared" si="0"/>
        <v>0</v>
      </c>
      <c r="AC226" s="2470"/>
      <c r="AD226" s="2470"/>
      <c r="AE226" s="2470"/>
      <c r="AF226" s="2470"/>
      <c r="AG226" s="2470"/>
      <c r="AH226" s="827"/>
      <c r="AI226" s="827"/>
      <c r="AJ226" s="827"/>
      <c r="AK226" s="610"/>
    </row>
    <row r="227" spans="1:37">
      <c r="A227" s="605"/>
      <c r="B227" s="2469" t="s">
        <v>1183</v>
      </c>
      <c r="C227" s="2469"/>
      <c r="D227" s="2469"/>
      <c r="E227" s="2469"/>
      <c r="F227" s="2469"/>
      <c r="G227" s="2469"/>
      <c r="I227" s="2468"/>
      <c r="J227" s="2468"/>
      <c r="K227" s="2468"/>
      <c r="L227" s="1008"/>
      <c r="N227" s="2473"/>
      <c r="O227" s="2473"/>
      <c r="P227" s="2473"/>
      <c r="Q227" s="2473"/>
      <c r="R227" s="2473"/>
      <c r="T227" s="2621"/>
      <c r="U227" s="2621"/>
      <c r="V227" s="2621"/>
      <c r="W227" s="2621"/>
      <c r="X227" s="2621"/>
      <c r="Y227" s="2621"/>
      <c r="Z227" s="851"/>
      <c r="AA227" s="851"/>
      <c r="AB227" s="2470">
        <f t="shared" si="0"/>
        <v>0</v>
      </c>
      <c r="AC227" s="2470"/>
      <c r="AD227" s="2470"/>
      <c r="AE227" s="2470"/>
      <c r="AF227" s="2470"/>
      <c r="AG227" s="2470"/>
      <c r="AH227" s="827"/>
      <c r="AI227" s="827"/>
      <c r="AJ227" s="827"/>
      <c r="AK227" s="610"/>
    </row>
    <row r="228" spans="1:37">
      <c r="A228" s="605"/>
      <c r="B228" s="2469" t="s">
        <v>1183</v>
      </c>
      <c r="C228" s="2469"/>
      <c r="D228" s="2469"/>
      <c r="E228" s="2469"/>
      <c r="F228" s="2469"/>
      <c r="G228" s="2469"/>
      <c r="I228" s="2468"/>
      <c r="J228" s="2468"/>
      <c r="K228" s="2468"/>
      <c r="L228" s="1015"/>
      <c r="N228" s="2473"/>
      <c r="O228" s="2473"/>
      <c r="P228" s="2473"/>
      <c r="Q228" s="2473"/>
      <c r="R228" s="2473"/>
      <c r="T228" s="2621"/>
      <c r="U228" s="2621"/>
      <c r="V228" s="2621"/>
      <c r="W228" s="2621"/>
      <c r="X228" s="2621"/>
      <c r="Y228" s="2621"/>
      <c r="Z228" s="851"/>
      <c r="AA228" s="851"/>
      <c r="AB228" s="2470">
        <f t="shared" si="0"/>
        <v>0</v>
      </c>
      <c r="AC228" s="2470"/>
      <c r="AD228" s="2470"/>
      <c r="AE228" s="2470"/>
      <c r="AF228" s="2470"/>
      <c r="AG228" s="2470"/>
      <c r="AH228" s="827"/>
      <c r="AI228" s="827"/>
      <c r="AJ228" s="827"/>
      <c r="AK228" s="610"/>
    </row>
    <row r="229" spans="1:37">
      <c r="A229" s="605"/>
      <c r="B229" s="2469" t="s">
        <v>1183</v>
      </c>
      <c r="C229" s="2469"/>
      <c r="D229" s="2469"/>
      <c r="E229" s="2469"/>
      <c r="F229" s="2469"/>
      <c r="G229" s="2469"/>
      <c r="I229" s="2468"/>
      <c r="J229" s="2468"/>
      <c r="K229" s="2468"/>
      <c r="L229" s="1015"/>
      <c r="N229" s="2473"/>
      <c r="O229" s="2473"/>
      <c r="P229" s="2473"/>
      <c r="Q229" s="2473"/>
      <c r="R229" s="2473"/>
      <c r="T229" s="2621"/>
      <c r="U229" s="2621"/>
      <c r="V229" s="2621"/>
      <c r="W229" s="2621"/>
      <c r="X229" s="2621"/>
      <c r="Y229" s="2621"/>
      <c r="Z229" s="851"/>
      <c r="AA229" s="851"/>
      <c r="AB229" s="2470">
        <f t="shared" si="0"/>
        <v>0</v>
      </c>
      <c r="AC229" s="2470"/>
      <c r="AD229" s="2470"/>
      <c r="AE229" s="2470"/>
      <c r="AF229" s="2470"/>
      <c r="AG229" s="2470"/>
      <c r="AH229" s="827"/>
      <c r="AI229" s="827"/>
      <c r="AJ229" s="827"/>
      <c r="AK229" s="610"/>
    </row>
    <row r="230" spans="1:37">
      <c r="A230" s="605"/>
      <c r="B230" s="2469" t="s">
        <v>1183</v>
      </c>
      <c r="C230" s="2469"/>
      <c r="D230" s="2469"/>
      <c r="E230" s="2469"/>
      <c r="F230" s="2469"/>
      <c r="G230" s="2469"/>
      <c r="I230" s="2468"/>
      <c r="J230" s="2468"/>
      <c r="K230" s="2468"/>
      <c r="L230" s="1015"/>
      <c r="N230" s="2473"/>
      <c r="O230" s="2473"/>
      <c r="P230" s="2473"/>
      <c r="Q230" s="2473"/>
      <c r="R230" s="2473"/>
      <c r="T230" s="2621"/>
      <c r="U230" s="2621"/>
      <c r="V230" s="2621"/>
      <c r="W230" s="2621"/>
      <c r="X230" s="2621"/>
      <c r="Y230" s="2621"/>
      <c r="Z230" s="851"/>
      <c r="AA230" s="851"/>
      <c r="AB230" s="2470">
        <f t="shared" si="0"/>
        <v>0</v>
      </c>
      <c r="AC230" s="2470"/>
      <c r="AD230" s="2470"/>
      <c r="AE230" s="2470"/>
      <c r="AF230" s="2470"/>
      <c r="AG230" s="2470"/>
      <c r="AH230" s="827"/>
      <c r="AI230" s="827"/>
      <c r="AJ230" s="827"/>
      <c r="AK230" s="610"/>
    </row>
    <row r="231" spans="1:37">
      <c r="A231" s="605"/>
      <c r="B231" s="2469" t="s">
        <v>1183</v>
      </c>
      <c r="C231" s="2469"/>
      <c r="D231" s="2469"/>
      <c r="E231" s="2469"/>
      <c r="F231" s="2469"/>
      <c r="G231" s="2469"/>
      <c r="I231" s="2468"/>
      <c r="J231" s="2468"/>
      <c r="K231" s="2468"/>
      <c r="L231" s="1015"/>
      <c r="N231" s="2473"/>
      <c r="O231" s="2473"/>
      <c r="P231" s="2473"/>
      <c r="Q231" s="2473"/>
      <c r="R231" s="2473"/>
      <c r="T231" s="2621"/>
      <c r="U231" s="2621"/>
      <c r="V231" s="2621"/>
      <c r="W231" s="2621"/>
      <c r="X231" s="2621"/>
      <c r="Y231" s="2621"/>
      <c r="Z231" s="851"/>
      <c r="AA231" s="851"/>
      <c r="AB231" s="2470">
        <f t="shared" si="0"/>
        <v>0</v>
      </c>
      <c r="AC231" s="2470"/>
      <c r="AD231" s="2470"/>
      <c r="AE231" s="2470"/>
      <c r="AF231" s="2470"/>
      <c r="AG231" s="2470"/>
      <c r="AH231" s="827"/>
      <c r="AI231" s="827"/>
      <c r="AJ231" s="827"/>
      <c r="AK231" s="610"/>
    </row>
    <row r="232" spans="1:37">
      <c r="A232" s="605"/>
      <c r="B232" s="2469" t="s">
        <v>1183</v>
      </c>
      <c r="C232" s="2469"/>
      <c r="D232" s="2469"/>
      <c r="E232" s="2469"/>
      <c r="F232" s="2469"/>
      <c r="G232" s="2469"/>
      <c r="I232" s="2468"/>
      <c r="J232" s="2468"/>
      <c r="K232" s="2468"/>
      <c r="L232" s="1015"/>
      <c r="N232" s="2473"/>
      <c r="O232" s="2473"/>
      <c r="P232" s="2473"/>
      <c r="Q232" s="2473"/>
      <c r="R232" s="2473"/>
      <c r="T232" s="2621"/>
      <c r="U232" s="2621"/>
      <c r="V232" s="2621"/>
      <c r="W232" s="2621"/>
      <c r="X232" s="2621"/>
      <c r="Y232" s="2621"/>
      <c r="Z232" s="851"/>
      <c r="AA232" s="851"/>
      <c r="AB232" s="2470">
        <f t="shared" si="0"/>
        <v>0</v>
      </c>
      <c r="AC232" s="2470"/>
      <c r="AD232" s="2470"/>
      <c r="AE232" s="2470"/>
      <c r="AF232" s="2470"/>
      <c r="AG232" s="2470"/>
      <c r="AH232" s="827"/>
      <c r="AI232" s="827"/>
      <c r="AJ232" s="827"/>
      <c r="AK232" s="610"/>
    </row>
    <row r="233" spans="1:37">
      <c r="A233" s="605"/>
      <c r="B233" s="2469" t="s">
        <v>1183</v>
      </c>
      <c r="C233" s="2469"/>
      <c r="D233" s="2469"/>
      <c r="E233" s="2469"/>
      <c r="F233" s="2469"/>
      <c r="G233" s="2469"/>
      <c r="I233" s="2471"/>
      <c r="J233" s="2471"/>
      <c r="K233" s="2471"/>
      <c r="L233" s="1015"/>
      <c r="N233" s="2473"/>
      <c r="O233" s="2473"/>
      <c r="P233" s="2473"/>
      <c r="Q233" s="2473"/>
      <c r="R233" s="2473"/>
      <c r="T233" s="2621"/>
      <c r="U233" s="2621"/>
      <c r="V233" s="2621"/>
      <c r="W233" s="2621"/>
      <c r="X233" s="2621"/>
      <c r="Y233" s="2621"/>
      <c r="Z233" s="851"/>
      <c r="AA233" s="851"/>
      <c r="AB233" s="2619">
        <f t="shared" si="0"/>
        <v>0</v>
      </c>
      <c r="AC233" s="2619"/>
      <c r="AD233" s="2619"/>
      <c r="AE233" s="2619"/>
      <c r="AF233" s="2619"/>
      <c r="AG233" s="26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70">
        <f>SUM(AB224:AB233)</f>
        <v>0</v>
      </c>
      <c r="AC234" s="2470"/>
      <c r="AD234" s="2470"/>
      <c r="AE234" s="2470"/>
      <c r="AF234" s="2470"/>
      <c r="AG234" s="247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2"/>
      <c r="AC240" s="2622"/>
      <c r="AD240" s="2622"/>
      <c r="AE240" s="2622"/>
      <c r="AF240" s="2622"/>
      <c r="AG240" s="262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2"/>
      <c r="AC243" s="2622"/>
      <c r="AD243" s="2622"/>
      <c r="AE243" s="2622"/>
      <c r="AF243" s="2622"/>
      <c r="AG243" s="262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4"/>
      <c r="AC244" s="2654"/>
      <c r="AD244" s="2654"/>
      <c r="AE244" s="2654"/>
      <c r="AF244" s="2654"/>
      <c r="AG244" s="265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6">
        <f>IFERROR(AB243/AB244,0)</f>
        <v>0</v>
      </c>
      <c r="AC245" s="2636"/>
      <c r="AD245" s="2636"/>
      <c r="AE245" s="2636"/>
      <c r="AF245" s="2636"/>
      <c r="AG245" s="263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9">
        <f>MAX(AB240,AB245)</f>
        <v>0</v>
      </c>
      <c r="AC247" s="2619"/>
      <c r="AD247" s="2619"/>
      <c r="AE247" s="2619"/>
      <c r="AF247" s="2619"/>
      <c r="AG247" s="26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0">
        <f>AB234+AB247</f>
        <v>0</v>
      </c>
      <c r="AC250" s="2470"/>
      <c r="AD250" s="2470"/>
      <c r="AE250" s="2470"/>
      <c r="AF250" s="2470"/>
      <c r="AG250" s="247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2">
        <v>0.05</v>
      </c>
      <c r="AC251" s="2502"/>
      <c r="AD251" s="2502"/>
      <c r="AE251" s="2502"/>
      <c r="AF251" s="2502"/>
      <c r="AG251" s="2502"/>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3">
        <f>AB250-(AB250*AB251)</f>
        <v>0</v>
      </c>
      <c r="AC252" s="2503"/>
      <c r="AD252" s="2503"/>
      <c r="AE252" s="2503"/>
      <c r="AF252" s="2503"/>
      <c r="AG252" s="2503"/>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0">
        <f>AB252/AB258</f>
        <v>0</v>
      </c>
      <c r="AC254" s="2470"/>
      <c r="AD254" s="2470"/>
      <c r="AE254" s="2470"/>
      <c r="AF254" s="2470"/>
      <c r="AG254" s="247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2">
        <v>15</v>
      </c>
      <c r="AC256" s="2462"/>
      <c r="AD256" s="2462"/>
      <c r="AE256" s="2462"/>
      <c r="AF256" s="2462"/>
      <c r="AG256" s="246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4">
        <v>0.04</v>
      </c>
      <c r="AC257" s="2504"/>
      <c r="AD257" s="2504"/>
      <c r="AE257" s="2504"/>
      <c r="AF257" s="2504"/>
      <c r="AG257" s="250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5">
        <v>1.1499999999999999</v>
      </c>
      <c r="AC258" s="2475"/>
      <c r="AD258" s="2475"/>
      <c r="AE258" s="2475"/>
      <c r="AF258" s="2475"/>
      <c r="AG258" s="247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5">
        <f>PV(AB257/12,AB256*12,-AB254/12, ,0)</f>
        <v>0</v>
      </c>
      <c r="AC260" s="2496"/>
      <c r="AD260" s="2496"/>
      <c r="AE260" s="2496"/>
      <c r="AF260" s="2496"/>
      <c r="AG260" s="249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9">
        <f>IFERROR(('Sources and Uses Budget'!D105/'Sources and Uses Budget'!B105),0)</f>
        <v>0</v>
      </c>
      <c r="AC266" s="2500"/>
      <c r="AD266" s="2500"/>
      <c r="AE266" s="2500"/>
      <c r="AF266" s="2500"/>
      <c r="AG266" s="250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9">
        <f>AD211*(1-AB266)</f>
        <v>2824516</v>
      </c>
      <c r="AH268" s="2489"/>
      <c r="AI268" s="2489"/>
      <c r="AJ268" s="2489"/>
      <c r="AK268" s="248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9">
        <f>'Sources and Uses Budget'!C105</f>
        <v>35104456</v>
      </c>
      <c r="AH269" s="2489"/>
      <c r="AI269" s="2489"/>
      <c r="AJ269" s="2489"/>
      <c r="AK269" s="248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0">
        <f>ROUNDDOWN(IF(AND(C292="Yes",AK84=10),((AG268*2)/AG269),AG268/AG269),2)</f>
        <v>0.08</v>
      </c>
      <c r="AH270" s="2490"/>
      <c r="AI270" s="2490"/>
      <c r="AJ270" s="2490"/>
      <c r="AK270" s="2490"/>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91">
        <f>IFERROR(IF(AG270=0,0,IF((AG270*100)&gt;8,8,(AG270*100))),0)</f>
        <v>8</v>
      </c>
      <c r="AL273" s="2491"/>
      <c r="AM273" s="249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83" t="s">
        <v>545</v>
      </c>
      <c r="D278" s="2483"/>
      <c r="E278" s="547"/>
      <c r="F278" s="2640" t="s">
        <v>2023</v>
      </c>
      <c r="G278" s="2641"/>
      <c r="H278" s="2641"/>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41"/>
      <c r="AD278" s="2642"/>
      <c r="AE278" s="550"/>
      <c r="AF278" s="635"/>
      <c r="AG278" s="2484" t="s">
        <v>1362</v>
      </c>
      <c r="AH278" s="2484"/>
      <c r="AI278" s="2484"/>
      <c r="AJ278" s="2484"/>
      <c r="AK278" s="550"/>
      <c r="AL278" s="550"/>
      <c r="AM278" s="550"/>
      <c r="AO278" s="550"/>
    </row>
    <row r="279" spans="1:52" ht="13.7" customHeight="1">
      <c r="A279" s="550"/>
      <c r="B279" s="596"/>
      <c r="C279" s="636"/>
      <c r="D279" s="550"/>
      <c r="E279" s="547"/>
      <c r="F279" s="2643"/>
      <c r="G279" s="2644"/>
      <c r="H279" s="2644"/>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44"/>
      <c r="AD279" s="2645"/>
      <c r="AE279" s="550"/>
      <c r="AF279" s="635"/>
      <c r="AG279" s="635"/>
      <c r="AH279" s="635"/>
      <c r="AI279" s="635"/>
      <c r="AJ279" s="550"/>
      <c r="AK279" s="550"/>
      <c r="AL279" s="550"/>
      <c r="AM279" s="550"/>
      <c r="AO279" s="550"/>
    </row>
    <row r="280" spans="1:52">
      <c r="A280" s="550"/>
      <c r="B280" s="596"/>
      <c r="C280" s="636"/>
      <c r="D280" s="550"/>
      <c r="E280" s="547"/>
      <c r="F280" s="2643"/>
      <c r="G280" s="2644"/>
      <c r="H280" s="2644"/>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44"/>
      <c r="AD280" s="2645"/>
      <c r="AE280" s="550"/>
      <c r="AF280" s="635"/>
      <c r="AG280" s="635"/>
      <c r="AH280" s="635"/>
      <c r="AI280" s="635"/>
      <c r="AJ280" s="550"/>
      <c r="AK280" s="550"/>
      <c r="AL280" s="550"/>
      <c r="AM280" s="550"/>
      <c r="AO280" s="550"/>
      <c r="AP280" s="637"/>
    </row>
    <row r="281" spans="1:52">
      <c r="A281" s="550"/>
      <c r="B281" s="596"/>
      <c r="C281" s="636"/>
      <c r="D281" s="550"/>
      <c r="E281" s="547"/>
      <c r="F281" s="2643"/>
      <c r="G281" s="2644"/>
      <c r="H281" s="2644"/>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44"/>
      <c r="AD281" s="2645"/>
      <c r="AE281" s="550"/>
      <c r="AF281" s="635"/>
      <c r="AG281" s="635"/>
      <c r="AH281" s="635"/>
      <c r="AI281" s="635"/>
      <c r="AJ281" s="550"/>
      <c r="AK281" s="550"/>
      <c r="AL281" s="550"/>
      <c r="AM281" s="550"/>
      <c r="AO281" s="550"/>
      <c r="AP281" s="637"/>
    </row>
    <row r="282" spans="1:52" ht="13.7" customHeight="1">
      <c r="A282" s="550"/>
      <c r="B282" s="596"/>
      <c r="C282" s="2485"/>
      <c r="D282" s="2485"/>
      <c r="E282" s="547"/>
      <c r="F282" s="2646"/>
      <c r="G282" s="2647"/>
      <c r="H282" s="2647"/>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47"/>
      <c r="AD282" s="2648"/>
      <c r="AE282" s="550"/>
      <c r="AF282" s="635"/>
      <c r="AG282" s="2484"/>
      <c r="AH282" s="2484"/>
      <c r="AI282" s="2484"/>
      <c r="AJ282" s="248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91">
        <f>IF($C$278="yes",10,0)</f>
        <v>10</v>
      </c>
      <c r="AL285" s="2491"/>
      <c r="AM285" s="249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2" t="s">
        <v>1381</v>
      </c>
      <c r="B292" s="1642"/>
      <c r="C292" s="2479" t="s">
        <v>591</v>
      </c>
      <c r="D292" s="2483"/>
      <c r="E292" s="547"/>
      <c r="F292" s="2511" t="s">
        <v>1382</v>
      </c>
      <c r="G292" s="2512"/>
      <c r="H292" s="2512"/>
      <c r="I292" s="2512"/>
      <c r="J292" s="2512"/>
      <c r="K292" s="2512"/>
      <c r="L292" s="2512"/>
      <c r="M292" s="2512"/>
      <c r="N292" s="2512"/>
      <c r="O292" s="2512"/>
      <c r="P292" s="2512"/>
      <c r="Q292" s="2512"/>
      <c r="R292" s="2512"/>
      <c r="S292" s="2512"/>
      <c r="T292" s="2512"/>
      <c r="U292" s="2512"/>
      <c r="V292" s="2512"/>
      <c r="W292" s="2512"/>
      <c r="X292" s="2512"/>
      <c r="Y292" s="2512"/>
      <c r="Z292" s="2512"/>
      <c r="AA292" s="2512"/>
      <c r="AB292" s="2512"/>
      <c r="AC292" s="2512"/>
      <c r="AD292" s="2513"/>
      <c r="AE292" s="642"/>
      <c r="AF292" s="550"/>
      <c r="AG292" s="2514" t="s">
        <v>2016</v>
      </c>
      <c r="AH292" s="2514"/>
      <c r="AI292" s="2514"/>
      <c r="AJ292" s="2514"/>
      <c r="AK292" s="2514"/>
      <c r="AL292" s="550"/>
      <c r="AM292" s="550"/>
      <c r="AN292" s="73"/>
      <c r="AO292" s="14"/>
      <c r="AP292" s="30"/>
      <c r="AS292" s="570"/>
      <c r="AT292" s="570"/>
      <c r="AU292" s="570"/>
      <c r="AV292" s="32"/>
      <c r="AW292" s="32"/>
    </row>
    <row r="293" spans="1:49">
      <c r="A293" s="640"/>
      <c r="B293" s="596"/>
      <c r="F293" s="2505"/>
      <c r="G293" s="2506"/>
      <c r="H293" s="2506"/>
      <c r="I293" s="2506"/>
      <c r="J293" s="2506"/>
      <c r="K293" s="2506"/>
      <c r="L293" s="2506"/>
      <c r="M293" s="2506"/>
      <c r="N293" s="2506"/>
      <c r="O293" s="2506"/>
      <c r="P293" s="2506"/>
      <c r="Q293" s="2506"/>
      <c r="R293" s="2506"/>
      <c r="S293" s="2506"/>
      <c r="T293" s="2506"/>
      <c r="U293" s="2506"/>
      <c r="V293" s="2506"/>
      <c r="W293" s="2506"/>
      <c r="X293" s="2506"/>
      <c r="Y293" s="2506"/>
      <c r="Z293" s="2506"/>
      <c r="AA293" s="2506"/>
      <c r="AB293" s="2506"/>
      <c r="AC293" s="2506"/>
      <c r="AD293" s="250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5"/>
      <c r="G294" s="2506"/>
      <c r="H294" s="2506"/>
      <c r="I294" s="2506"/>
      <c r="J294" s="2506"/>
      <c r="K294" s="2506"/>
      <c r="L294" s="2506"/>
      <c r="M294" s="2506"/>
      <c r="N294" s="2506"/>
      <c r="O294" s="2506"/>
      <c r="P294" s="2506"/>
      <c r="Q294" s="2506"/>
      <c r="R294" s="2506"/>
      <c r="S294" s="2506"/>
      <c r="T294" s="2506"/>
      <c r="U294" s="2506"/>
      <c r="V294" s="2506"/>
      <c r="W294" s="2506"/>
      <c r="X294" s="2506"/>
      <c r="Y294" s="2506"/>
      <c r="Z294" s="2506"/>
      <c r="AA294" s="2506"/>
      <c r="AB294" s="2506"/>
      <c r="AC294" s="2506"/>
      <c r="AD294" s="250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5" t="s">
        <v>2024</v>
      </c>
      <c r="G295" s="2506"/>
      <c r="H295" s="2506"/>
      <c r="I295" s="2506"/>
      <c r="J295" s="2506"/>
      <c r="K295" s="2506"/>
      <c r="L295" s="2506"/>
      <c r="M295" s="2506"/>
      <c r="N295" s="2506"/>
      <c r="O295" s="2506"/>
      <c r="P295" s="2506"/>
      <c r="Q295" s="2506"/>
      <c r="R295" s="2506"/>
      <c r="S295" s="2506"/>
      <c r="T295" s="2506"/>
      <c r="U295" s="2506"/>
      <c r="V295" s="2506"/>
      <c r="W295" s="2506"/>
      <c r="X295" s="2506"/>
      <c r="Y295" s="2506"/>
      <c r="Z295" s="2506"/>
      <c r="AA295" s="2506"/>
      <c r="AB295" s="2506"/>
      <c r="AC295" s="2506"/>
      <c r="AD295" s="2507"/>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c r="A296" s="640"/>
      <c r="B296" s="596"/>
      <c r="F296" s="2505"/>
      <c r="G296" s="2506"/>
      <c r="H296" s="2506"/>
      <c r="I296" s="2506"/>
      <c r="J296" s="2506"/>
      <c r="K296" s="2506"/>
      <c r="L296" s="2506"/>
      <c r="M296" s="2506"/>
      <c r="N296" s="2506"/>
      <c r="O296" s="2506"/>
      <c r="P296" s="2506"/>
      <c r="Q296" s="2506"/>
      <c r="R296" s="2506"/>
      <c r="S296" s="2506"/>
      <c r="T296" s="2506"/>
      <c r="U296" s="2506"/>
      <c r="V296" s="2506"/>
      <c r="W296" s="2506"/>
      <c r="X296" s="2506"/>
      <c r="Y296" s="2506"/>
      <c r="Z296" s="2506"/>
      <c r="AA296" s="2506"/>
      <c r="AB296" s="2506"/>
      <c r="AC296" s="2506"/>
      <c r="AD296" s="250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5" t="s">
        <v>1383</v>
      </c>
      <c r="G297" s="2506"/>
      <c r="H297" s="2506"/>
      <c r="I297" s="2506"/>
      <c r="J297" s="2506"/>
      <c r="K297" s="2506"/>
      <c r="L297" s="2506"/>
      <c r="M297" s="2506"/>
      <c r="N297" s="2506"/>
      <c r="O297" s="2506"/>
      <c r="P297" s="2506"/>
      <c r="Q297" s="2506"/>
      <c r="R297" s="2506"/>
      <c r="S297" s="2506"/>
      <c r="T297" s="2506"/>
      <c r="U297" s="2506"/>
      <c r="V297" s="2506"/>
      <c r="W297" s="2506"/>
      <c r="X297" s="2506"/>
      <c r="Y297" s="2506"/>
      <c r="Z297" s="2506"/>
      <c r="AA297" s="2506"/>
      <c r="AB297" s="2506"/>
      <c r="AC297" s="2506"/>
      <c r="AD297" s="250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5"/>
      <c r="G298" s="2506"/>
      <c r="H298" s="2506"/>
      <c r="I298" s="2506"/>
      <c r="J298" s="2506"/>
      <c r="K298" s="2506"/>
      <c r="L298" s="2506"/>
      <c r="M298" s="2506"/>
      <c r="N298" s="2506"/>
      <c r="O298" s="2506"/>
      <c r="P298" s="2506"/>
      <c r="Q298" s="2506"/>
      <c r="R298" s="2506"/>
      <c r="S298" s="2506"/>
      <c r="T298" s="2506"/>
      <c r="U298" s="2506"/>
      <c r="V298" s="2506"/>
      <c r="W298" s="2506"/>
      <c r="X298" s="2506"/>
      <c r="Y298" s="2506"/>
      <c r="Z298" s="2506"/>
      <c r="AA298" s="2506"/>
      <c r="AB298" s="2506"/>
      <c r="AC298" s="2506"/>
      <c r="AD298" s="250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5" t="s">
        <v>1384</v>
      </c>
      <c r="G299" s="2506"/>
      <c r="H299" s="2506"/>
      <c r="I299" s="2506"/>
      <c r="J299" s="2506"/>
      <c r="K299" s="2506"/>
      <c r="L299" s="2506"/>
      <c r="M299" s="2506"/>
      <c r="N299" s="2506"/>
      <c r="O299" s="2506"/>
      <c r="P299" s="2506"/>
      <c r="Q299" s="2506"/>
      <c r="R299" s="2506"/>
      <c r="S299" s="2506"/>
      <c r="T299" s="2506"/>
      <c r="U299" s="2506"/>
      <c r="V299" s="2506"/>
      <c r="W299" s="2506"/>
      <c r="X299" s="2506"/>
      <c r="Y299" s="2506"/>
      <c r="Z299" s="2506"/>
      <c r="AA299" s="2506"/>
      <c r="AB299" s="2506"/>
      <c r="AC299" s="2506"/>
      <c r="AD299" s="250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8"/>
      <c r="G300" s="2509"/>
      <c r="H300" s="2509"/>
      <c r="I300" s="2509"/>
      <c r="J300" s="2509"/>
      <c r="K300" s="2509"/>
      <c r="L300" s="2509"/>
      <c r="M300" s="2509"/>
      <c r="N300" s="2509"/>
      <c r="O300" s="2509"/>
      <c r="P300" s="2509"/>
      <c r="Q300" s="2509"/>
      <c r="R300" s="2509"/>
      <c r="S300" s="2509"/>
      <c r="T300" s="2509"/>
      <c r="U300" s="2509"/>
      <c r="V300" s="2509"/>
      <c r="W300" s="2509"/>
      <c r="X300" s="2509"/>
      <c r="Y300" s="2509"/>
      <c r="Z300" s="2509"/>
      <c r="AA300" s="2509"/>
      <c r="AB300" s="2509"/>
      <c r="AC300" s="2509"/>
      <c r="AD300" s="251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2" t="s">
        <v>1385</v>
      </c>
      <c r="B302" s="1642"/>
      <c r="C302" s="2483" t="s">
        <v>591</v>
      </c>
      <c r="D302" s="2483"/>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13" t="s">
        <v>2018</v>
      </c>
      <c r="G303" s="2414"/>
      <c r="H303" s="2414"/>
      <c r="I303" s="2414"/>
      <c r="J303" s="2414"/>
      <c r="K303" s="2414"/>
      <c r="L303" s="2414"/>
      <c r="M303" s="2414"/>
      <c r="N303" s="2414"/>
      <c r="O303" s="2414"/>
      <c r="P303" s="2414"/>
      <c r="Q303" s="2414"/>
      <c r="R303" s="2414"/>
      <c r="S303" s="2414"/>
      <c r="T303" s="2414"/>
      <c r="U303" s="2414"/>
      <c r="V303" s="2414"/>
      <c r="W303" s="2414"/>
      <c r="X303" s="2414"/>
      <c r="Y303" s="2414"/>
      <c r="Z303" s="2414"/>
      <c r="AA303" s="2414"/>
      <c r="AB303" s="2414"/>
      <c r="AC303" s="2414"/>
      <c r="AD303" s="2415"/>
      <c r="AE303" s="551"/>
      <c r="AF303" s="551"/>
      <c r="AG303" s="551"/>
      <c r="AH303" s="551"/>
      <c r="AI303" s="551"/>
      <c r="AJ303" s="550"/>
      <c r="AK303" s="550"/>
      <c r="AL303" s="550"/>
      <c r="AM303" s="550"/>
      <c r="AR303" s="648"/>
    </row>
    <row r="304" spans="1:49" ht="15" customHeight="1">
      <c r="A304" s="550"/>
      <c r="B304" s="551"/>
      <c r="C304" s="550"/>
      <c r="D304" s="551"/>
      <c r="E304" s="550"/>
      <c r="F304" s="2413"/>
      <c r="G304" s="2414"/>
      <c r="H304" s="2414"/>
      <c r="I304" s="2414"/>
      <c r="J304" s="2414"/>
      <c r="K304" s="2414"/>
      <c r="L304" s="2414"/>
      <c r="M304" s="2414"/>
      <c r="N304" s="2414"/>
      <c r="O304" s="2414"/>
      <c r="P304" s="2414"/>
      <c r="Q304" s="2414"/>
      <c r="R304" s="2414"/>
      <c r="S304" s="2414"/>
      <c r="T304" s="2414"/>
      <c r="U304" s="2414"/>
      <c r="V304" s="2414"/>
      <c r="W304" s="2414"/>
      <c r="X304" s="2414"/>
      <c r="Y304" s="2414"/>
      <c r="Z304" s="2414"/>
      <c r="AA304" s="2414"/>
      <c r="AB304" s="2414"/>
      <c r="AC304" s="2414"/>
      <c r="AD304" s="2415"/>
      <c r="AE304" s="551"/>
      <c r="AF304" s="551"/>
      <c r="AG304" s="551"/>
      <c r="AH304" s="551"/>
      <c r="AI304" s="551"/>
      <c r="AJ304" s="550"/>
      <c r="AK304" s="550"/>
      <c r="AL304" s="550"/>
      <c r="AM304" s="550"/>
      <c r="AR304" s="648"/>
    </row>
    <row r="305" spans="1:44">
      <c r="A305" s="550"/>
      <c r="B305" s="551"/>
      <c r="C305" s="550"/>
      <c r="D305" s="551"/>
      <c r="E305" s="550"/>
      <c r="F305" s="2413"/>
      <c r="G305" s="2414"/>
      <c r="H305" s="2414"/>
      <c r="I305" s="2414"/>
      <c r="J305" s="2414"/>
      <c r="K305" s="2414"/>
      <c r="L305" s="2414"/>
      <c r="M305" s="2414"/>
      <c r="N305" s="2414"/>
      <c r="O305" s="2414"/>
      <c r="P305" s="2414"/>
      <c r="Q305" s="2414"/>
      <c r="R305" s="2414"/>
      <c r="S305" s="2414"/>
      <c r="T305" s="2414"/>
      <c r="U305" s="2414"/>
      <c r="V305" s="2414"/>
      <c r="W305" s="2414"/>
      <c r="X305" s="2414"/>
      <c r="Y305" s="2414"/>
      <c r="Z305" s="2414"/>
      <c r="AA305" s="2414"/>
      <c r="AB305" s="2414"/>
      <c r="AC305" s="2414"/>
      <c r="AD305" s="241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0"/>
      <c r="G306" s="2411"/>
      <c r="H306" s="2411"/>
      <c r="I306" s="2411"/>
      <c r="J306" s="2411"/>
      <c r="K306" s="2411"/>
      <c r="L306" s="2411"/>
      <c r="M306" s="2411"/>
      <c r="N306" s="2411"/>
      <c r="O306" s="2411"/>
      <c r="P306" s="2411"/>
      <c r="Q306" s="2411"/>
      <c r="R306" s="2411"/>
      <c r="S306" s="2411"/>
      <c r="T306" s="2411"/>
      <c r="U306" s="2411"/>
      <c r="V306" s="2411"/>
      <c r="W306" s="2411"/>
      <c r="X306" s="2411"/>
      <c r="Y306" s="2411"/>
      <c r="Z306" s="2411"/>
      <c r="AA306" s="2411"/>
      <c r="AB306" s="2411"/>
      <c r="AC306" s="2411"/>
      <c r="AD306" s="241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2" t="s">
        <v>1388</v>
      </c>
      <c r="B310" s="1642"/>
      <c r="C310" s="2483" t="s">
        <v>591</v>
      </c>
      <c r="D310" s="2483"/>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505" t="s">
        <v>2025</v>
      </c>
      <c r="G311" s="2506"/>
      <c r="H311" s="2506"/>
      <c r="I311" s="2506"/>
      <c r="J311" s="2506"/>
      <c r="K311" s="2506"/>
      <c r="L311" s="2506"/>
      <c r="M311" s="2506"/>
      <c r="N311" s="2506"/>
      <c r="O311" s="2506"/>
      <c r="P311" s="2506"/>
      <c r="Q311" s="2506"/>
      <c r="R311" s="2506"/>
      <c r="S311" s="2506"/>
      <c r="T311" s="2506"/>
      <c r="U311" s="2506"/>
      <c r="V311" s="2506"/>
      <c r="W311" s="2506"/>
      <c r="X311" s="2506"/>
      <c r="Y311" s="2506"/>
      <c r="Z311" s="2506"/>
      <c r="AA311" s="2506"/>
      <c r="AB311" s="2506"/>
      <c r="AC311" s="2506"/>
      <c r="AD311" s="2507"/>
      <c r="AE311" s="551"/>
      <c r="AF311" s="551"/>
      <c r="AG311" s="539"/>
      <c r="AH311" s="551"/>
      <c r="AI311" s="551"/>
      <c r="AJ311" s="550"/>
      <c r="AK311" s="550"/>
      <c r="AL311" s="550"/>
      <c r="AM311" s="550"/>
      <c r="AN311" s="73"/>
      <c r="AO311" s="14"/>
      <c r="AP311" s="557" t="s">
        <v>1183</v>
      </c>
    </row>
    <row r="312" spans="1:44" hidden="1">
      <c r="F312" s="2505"/>
      <c r="G312" s="2506"/>
      <c r="H312" s="2506"/>
      <c r="I312" s="2506"/>
      <c r="J312" s="2506"/>
      <c r="K312" s="2506"/>
      <c r="L312" s="2506"/>
      <c r="M312" s="2506"/>
      <c r="N312" s="2506"/>
      <c r="O312" s="2506"/>
      <c r="P312" s="2506"/>
      <c r="Q312" s="2506"/>
      <c r="R312" s="2506"/>
      <c r="S312" s="2506"/>
      <c r="T312" s="2506"/>
      <c r="U312" s="2506"/>
      <c r="V312" s="2506"/>
      <c r="W312" s="2506"/>
      <c r="X312" s="2506"/>
      <c r="Y312" s="2506"/>
      <c r="Z312" s="2506"/>
      <c r="AA312" s="2506"/>
      <c r="AB312" s="2506"/>
      <c r="AC312" s="2506"/>
      <c r="AD312" s="2507"/>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5" t="s">
        <v>1183</v>
      </c>
      <c r="G316" s="2516"/>
      <c r="H316" s="2516"/>
      <c r="I316" s="2516"/>
      <c r="J316" s="2516"/>
      <c r="K316" s="2516"/>
      <c r="L316" s="2516"/>
      <c r="M316" s="2516"/>
      <c r="N316" s="2516"/>
      <c r="O316" s="2516"/>
      <c r="P316" s="2516"/>
      <c r="Q316" s="2516"/>
      <c r="R316" s="2516"/>
      <c r="S316" s="2516"/>
      <c r="T316" s="2516"/>
      <c r="U316" s="2516"/>
      <c r="V316" s="2516"/>
      <c r="W316" s="2516"/>
      <c r="X316" s="2516"/>
      <c r="Y316" s="2516"/>
      <c r="Z316" s="2516"/>
      <c r="AA316" s="2516"/>
      <c r="AB316" s="2516"/>
      <c r="AC316" s="2516"/>
      <c r="AD316" s="2517"/>
      <c r="AE316" s="642"/>
      <c r="AF316" s="642"/>
      <c r="AG316" s="642"/>
      <c r="AH316" s="642"/>
      <c r="AI316" s="642"/>
      <c r="AJ316" s="642"/>
      <c r="AK316" s="642"/>
      <c r="AL316" s="550"/>
      <c r="AM316" s="550"/>
      <c r="AN316" s="73"/>
      <c r="AO316" s="14"/>
      <c r="AP316" s="30"/>
    </row>
    <row r="317" spans="1:44" hidden="1">
      <c r="A317" s="550"/>
      <c r="B317" s="551"/>
      <c r="C317" s="730"/>
      <c r="D317" s="730"/>
      <c r="E317" s="547"/>
      <c r="F317" s="2515"/>
      <c r="G317" s="2516"/>
      <c r="H317" s="2516"/>
      <c r="I317" s="2516"/>
      <c r="J317" s="2516"/>
      <c r="K317" s="2516"/>
      <c r="L317" s="2516"/>
      <c r="M317" s="2516"/>
      <c r="N317" s="2516"/>
      <c r="O317" s="2516"/>
      <c r="P317" s="2516"/>
      <c r="Q317" s="2516"/>
      <c r="R317" s="2516"/>
      <c r="S317" s="2516"/>
      <c r="T317" s="2516"/>
      <c r="U317" s="2516"/>
      <c r="V317" s="2516"/>
      <c r="W317" s="2516"/>
      <c r="X317" s="2516"/>
      <c r="Y317" s="2516"/>
      <c r="Z317" s="2516"/>
      <c r="AA317" s="2516"/>
      <c r="AB317" s="2516"/>
      <c r="AC317" s="2516"/>
      <c r="AD317" s="2517"/>
      <c r="AE317" s="551"/>
      <c r="AF317" s="551"/>
      <c r="AG317" s="539"/>
      <c r="AH317" s="551"/>
      <c r="AI317" s="551"/>
      <c r="AJ317" s="550"/>
      <c r="AK317" s="550"/>
      <c r="AL317" s="550"/>
      <c r="AM317" s="550"/>
      <c r="AN317" s="73"/>
      <c r="AO317" s="14"/>
      <c r="AP317" s="30"/>
    </row>
    <row r="318" spans="1:44" hidden="1">
      <c r="A318" s="550"/>
      <c r="B318" s="551"/>
      <c r="C318" s="730"/>
      <c r="D318" s="730"/>
      <c r="E318" s="547"/>
      <c r="F318" s="2515"/>
      <c r="G318" s="2516"/>
      <c r="H318" s="2516"/>
      <c r="I318" s="2516"/>
      <c r="J318" s="2516"/>
      <c r="K318" s="2516"/>
      <c r="L318" s="2516"/>
      <c r="M318" s="2516"/>
      <c r="N318" s="2516"/>
      <c r="O318" s="2516"/>
      <c r="P318" s="2516"/>
      <c r="Q318" s="2516"/>
      <c r="R318" s="2516"/>
      <c r="S318" s="2516"/>
      <c r="T318" s="2516"/>
      <c r="U318" s="2516"/>
      <c r="V318" s="2516"/>
      <c r="W318" s="2516"/>
      <c r="X318" s="2516"/>
      <c r="Y318" s="2516"/>
      <c r="Z318" s="2516"/>
      <c r="AA318" s="2516"/>
      <c r="AB318" s="2516"/>
      <c r="AC318" s="2516"/>
      <c r="AD318" s="2517"/>
      <c r="AE318" s="551"/>
      <c r="AF318" s="551"/>
      <c r="AG318" s="539"/>
      <c r="AH318" s="551"/>
      <c r="AI318" s="551"/>
      <c r="AJ318" s="550"/>
      <c r="AK318" s="550"/>
      <c r="AL318" s="550"/>
      <c r="AM318" s="550"/>
      <c r="AN318" s="73"/>
      <c r="AO318" s="14"/>
      <c r="AP318" s="30"/>
    </row>
    <row r="319" spans="1:44" hidden="1">
      <c r="A319" s="550"/>
      <c r="B319" s="551"/>
      <c r="C319" s="730"/>
      <c r="D319" s="730"/>
      <c r="E319" s="547"/>
      <c r="F319" s="2515"/>
      <c r="G319" s="2516"/>
      <c r="H319" s="2516"/>
      <c r="I319" s="2516"/>
      <c r="J319" s="2516"/>
      <c r="K319" s="2516"/>
      <c r="L319" s="2516"/>
      <c r="M319" s="2516"/>
      <c r="N319" s="2516"/>
      <c r="O319" s="2516"/>
      <c r="P319" s="2516"/>
      <c r="Q319" s="2516"/>
      <c r="R319" s="2516"/>
      <c r="S319" s="2516"/>
      <c r="T319" s="2516"/>
      <c r="U319" s="2516"/>
      <c r="V319" s="2516"/>
      <c r="W319" s="2516"/>
      <c r="X319" s="2516"/>
      <c r="Y319" s="2516"/>
      <c r="Z319" s="2516"/>
      <c r="AA319" s="2516"/>
      <c r="AB319" s="2516"/>
      <c r="AC319" s="2516"/>
      <c r="AD319" s="2517"/>
      <c r="AE319" s="551"/>
      <c r="AF319" s="551"/>
      <c r="AG319" s="539"/>
      <c r="AH319" s="551"/>
      <c r="AI319" s="551"/>
      <c r="AJ319" s="550"/>
      <c r="AK319" s="550"/>
      <c r="AL319" s="550"/>
      <c r="AM319" s="550"/>
      <c r="AN319" s="73"/>
      <c r="AO319" s="14"/>
      <c r="AP319" s="30"/>
    </row>
    <row r="320" spans="1:44" hidden="1">
      <c r="A320" s="550"/>
      <c r="B320" s="551"/>
      <c r="C320" s="730"/>
      <c r="D320" s="730"/>
      <c r="E320" s="547"/>
      <c r="F320" s="2518"/>
      <c r="G320" s="2519"/>
      <c r="H320" s="2519"/>
      <c r="I320" s="2519"/>
      <c r="J320" s="2519"/>
      <c r="K320" s="2519"/>
      <c r="L320" s="2519"/>
      <c r="M320" s="2519"/>
      <c r="N320" s="2519"/>
      <c r="O320" s="2519"/>
      <c r="P320" s="2519"/>
      <c r="Q320" s="2519"/>
      <c r="R320" s="2519"/>
      <c r="S320" s="2519"/>
      <c r="T320" s="2519"/>
      <c r="U320" s="2519"/>
      <c r="V320" s="2519"/>
      <c r="W320" s="2519"/>
      <c r="X320" s="2519"/>
      <c r="Y320" s="2519"/>
      <c r="Z320" s="2519"/>
      <c r="AA320" s="2519"/>
      <c r="AB320" s="2519"/>
      <c r="AC320" s="2519"/>
      <c r="AD320" s="252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21" t="s">
        <v>1183</v>
      </c>
      <c r="J324" s="2521"/>
      <c r="K324" s="2521"/>
      <c r="L324" s="2521"/>
      <c r="M324" s="2521"/>
      <c r="N324" s="2521"/>
      <c r="O324" s="2521"/>
      <c r="P324" s="2521"/>
      <c r="Q324" s="2521"/>
      <c r="R324" s="2521"/>
      <c r="S324" s="2521"/>
      <c r="T324" s="2521"/>
      <c r="U324" s="2521"/>
      <c r="V324" s="2521"/>
      <c r="W324" s="2521"/>
      <c r="X324" s="2521"/>
      <c r="Y324" s="2521"/>
      <c r="Z324" s="2521"/>
      <c r="AA324" s="2521"/>
      <c r="AB324" s="2521"/>
      <c r="AC324" s="2521"/>
      <c r="AD324" s="2522"/>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21"/>
      <c r="J325" s="2521"/>
      <c r="K325" s="2521"/>
      <c r="L325" s="2521"/>
      <c r="M325" s="2521"/>
      <c r="N325" s="2521"/>
      <c r="O325" s="2521"/>
      <c r="P325" s="2521"/>
      <c r="Q325" s="2521"/>
      <c r="R325" s="2521"/>
      <c r="S325" s="2521"/>
      <c r="T325" s="2521"/>
      <c r="U325" s="2521"/>
      <c r="V325" s="2521"/>
      <c r="W325" s="2521"/>
      <c r="X325" s="2521"/>
      <c r="Y325" s="2521"/>
      <c r="Z325" s="2521"/>
      <c r="AA325" s="2521"/>
      <c r="AB325" s="2521"/>
      <c r="AC325" s="2521"/>
      <c r="AD325" s="2522"/>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21"/>
      <c r="J326" s="2521"/>
      <c r="K326" s="2521"/>
      <c r="L326" s="2521"/>
      <c r="M326" s="2521"/>
      <c r="N326" s="2521"/>
      <c r="O326" s="2521"/>
      <c r="P326" s="2521"/>
      <c r="Q326" s="2521"/>
      <c r="R326" s="2521"/>
      <c r="S326" s="2521"/>
      <c r="T326" s="2521"/>
      <c r="U326" s="2521"/>
      <c r="V326" s="2521"/>
      <c r="W326" s="2521"/>
      <c r="X326" s="2521"/>
      <c r="Y326" s="2521"/>
      <c r="Z326" s="2521"/>
      <c r="AA326" s="2521"/>
      <c r="AB326" s="2521"/>
      <c r="AC326" s="2521"/>
      <c r="AD326" s="2522"/>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23"/>
      <c r="J327" s="2523"/>
      <c r="K327" s="2523"/>
      <c r="L327" s="2523"/>
      <c r="M327" s="2523"/>
      <c r="N327" s="2523"/>
      <c r="O327" s="2523"/>
      <c r="P327" s="2523"/>
      <c r="Q327" s="2523"/>
      <c r="R327" s="2523"/>
      <c r="S327" s="2523"/>
      <c r="T327" s="2523"/>
      <c r="U327" s="2523"/>
      <c r="V327" s="2523"/>
      <c r="W327" s="2523"/>
      <c r="X327" s="2523"/>
      <c r="Y327" s="2523"/>
      <c r="Z327" s="2523"/>
      <c r="AA327" s="2523"/>
      <c r="AB327" s="2523"/>
      <c r="AC327" s="2523"/>
      <c r="AD327" s="2524"/>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21" t="s">
        <v>1183</v>
      </c>
      <c r="J329" s="2521"/>
      <c r="K329" s="2521"/>
      <c r="L329" s="2521"/>
      <c r="M329" s="2521"/>
      <c r="N329" s="2521"/>
      <c r="O329" s="2521"/>
      <c r="P329" s="2521"/>
      <c r="Q329" s="2521"/>
      <c r="R329" s="2521"/>
      <c r="S329" s="2521"/>
      <c r="T329" s="2521"/>
      <c r="U329" s="2521"/>
      <c r="V329" s="2521"/>
      <c r="W329" s="2521"/>
      <c r="X329" s="2521"/>
      <c r="Y329" s="2521"/>
      <c r="Z329" s="2521"/>
      <c r="AA329" s="2521"/>
      <c r="AB329" s="2521"/>
      <c r="AC329" s="2521"/>
      <c r="AD329" s="252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21"/>
      <c r="J330" s="2521"/>
      <c r="K330" s="2521"/>
      <c r="L330" s="2521"/>
      <c r="M330" s="2521"/>
      <c r="N330" s="2521"/>
      <c r="O330" s="2521"/>
      <c r="P330" s="2521"/>
      <c r="Q330" s="2521"/>
      <c r="R330" s="2521"/>
      <c r="S330" s="2521"/>
      <c r="T330" s="2521"/>
      <c r="U330" s="2521"/>
      <c r="V330" s="2521"/>
      <c r="W330" s="2521"/>
      <c r="X330" s="2521"/>
      <c r="Y330" s="2521"/>
      <c r="Z330" s="2521"/>
      <c r="AA330" s="2521"/>
      <c r="AB330" s="2521"/>
      <c r="AC330" s="2521"/>
      <c r="AD330" s="2522"/>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23"/>
      <c r="J331" s="2523"/>
      <c r="K331" s="2523"/>
      <c r="L331" s="2523"/>
      <c r="M331" s="2523"/>
      <c r="N331" s="2523"/>
      <c r="O331" s="2523"/>
      <c r="P331" s="2523"/>
      <c r="Q331" s="2523"/>
      <c r="R331" s="2523"/>
      <c r="S331" s="2523"/>
      <c r="T331" s="2523"/>
      <c r="U331" s="2523"/>
      <c r="V331" s="2523"/>
      <c r="W331" s="2523"/>
      <c r="X331" s="2523"/>
      <c r="Y331" s="2523"/>
      <c r="Z331" s="2523"/>
      <c r="AA331" s="2523"/>
      <c r="AB331" s="2523"/>
      <c r="AC331" s="2523"/>
      <c r="AD331" s="252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2" t="s">
        <v>1391</v>
      </c>
      <c r="B333" s="1642"/>
      <c r="C333" s="2483" t="s">
        <v>591</v>
      </c>
      <c r="D333" s="2483"/>
      <c r="E333" s="547"/>
      <c r="F333" s="2407" t="s">
        <v>2026</v>
      </c>
      <c r="G333" s="2408"/>
      <c r="H333" s="2408"/>
      <c r="I333" s="2408"/>
      <c r="J333" s="2408"/>
      <c r="K333" s="2408"/>
      <c r="L333" s="2408"/>
      <c r="M333" s="2408"/>
      <c r="N333" s="2408"/>
      <c r="O333" s="2408"/>
      <c r="P333" s="2408"/>
      <c r="Q333" s="2408"/>
      <c r="R333" s="2408"/>
      <c r="S333" s="2408"/>
      <c r="T333" s="2408"/>
      <c r="U333" s="2408"/>
      <c r="V333" s="2408"/>
      <c r="W333" s="2408"/>
      <c r="X333" s="2408"/>
      <c r="Y333" s="2408"/>
      <c r="Z333" s="2408"/>
      <c r="AA333" s="2408"/>
      <c r="AB333" s="2408"/>
      <c r="AC333" s="2408"/>
      <c r="AD333" s="2409"/>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13"/>
      <c r="G334" s="2414"/>
      <c r="H334" s="2414"/>
      <c r="I334" s="2414"/>
      <c r="J334" s="2414"/>
      <c r="K334" s="2414"/>
      <c r="L334" s="2414"/>
      <c r="M334" s="2414"/>
      <c r="N334" s="2414"/>
      <c r="O334" s="2414"/>
      <c r="P334" s="2414"/>
      <c r="Q334" s="2414"/>
      <c r="R334" s="2414"/>
      <c r="S334" s="2414"/>
      <c r="T334" s="2414"/>
      <c r="U334" s="2414"/>
      <c r="V334" s="2414"/>
      <c r="W334" s="2414"/>
      <c r="X334" s="2414"/>
      <c r="Y334" s="2414"/>
      <c r="Z334" s="2414"/>
      <c r="AA334" s="2414"/>
      <c r="AB334" s="2414"/>
      <c r="AC334" s="2414"/>
      <c r="AD334" s="2415"/>
      <c r="AE334" s="551"/>
      <c r="AF334" s="551"/>
      <c r="AG334" s="551"/>
      <c r="AH334" s="551"/>
      <c r="AI334" s="551"/>
      <c r="AJ334" s="550"/>
      <c r="AK334" s="550"/>
      <c r="AL334" s="550"/>
      <c r="AM334" s="550"/>
      <c r="AN334" s="73"/>
      <c r="AO334" s="14"/>
    </row>
    <row r="335" spans="1:42" ht="15" hidden="1" customHeight="1">
      <c r="A335" s="550"/>
      <c r="B335" s="551"/>
      <c r="C335" s="551"/>
      <c r="D335" s="551"/>
      <c r="E335" s="551"/>
      <c r="F335" s="2413"/>
      <c r="G335" s="2414"/>
      <c r="H335" s="2414"/>
      <c r="I335" s="2414"/>
      <c r="J335" s="2414"/>
      <c r="K335" s="2414"/>
      <c r="L335" s="2414"/>
      <c r="M335" s="2414"/>
      <c r="N335" s="2414"/>
      <c r="O335" s="2414"/>
      <c r="P335" s="2414"/>
      <c r="Q335" s="2414"/>
      <c r="R335" s="2414"/>
      <c r="S335" s="2414"/>
      <c r="T335" s="2414"/>
      <c r="U335" s="2414"/>
      <c r="V335" s="2414"/>
      <c r="W335" s="2414"/>
      <c r="X335" s="2414"/>
      <c r="Y335" s="2414"/>
      <c r="Z335" s="2414"/>
      <c r="AA335" s="2414"/>
      <c r="AB335" s="2414"/>
      <c r="AC335" s="2414"/>
      <c r="AD335" s="2415"/>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6">
        <f>IF(NOT(OR(Application!M355="Yes",Application!M356="Yes")),0,AP295)</f>
        <v>0</v>
      </c>
      <c r="AL338" s="2487"/>
      <c r="AM338" s="248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16" t="s">
        <v>1313</v>
      </c>
      <c r="AF341" s="2416"/>
      <c r="AG341" s="2416"/>
      <c r="AH341" s="2416"/>
      <c r="AI341" s="2416"/>
      <c r="AJ341" s="2416"/>
      <c r="AK341" s="241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5" t="s">
        <v>1453</v>
      </c>
      <c r="D343" s="2525"/>
      <c r="E343" s="2525"/>
      <c r="F343" s="2525"/>
      <c r="G343" s="2525"/>
      <c r="H343" s="2525"/>
      <c r="I343" s="2525"/>
      <c r="J343" s="2525"/>
      <c r="K343" s="2525"/>
      <c r="L343" s="2525"/>
      <c r="M343" s="2525"/>
      <c r="N343" s="2525"/>
      <c r="O343" s="2525"/>
      <c r="P343" s="2525"/>
      <c r="Q343" s="2525"/>
      <c r="R343" s="2525"/>
      <c r="S343" s="2525"/>
      <c r="T343" s="2525"/>
      <c r="U343" s="2525"/>
      <c r="V343" s="2525"/>
      <c r="W343" s="2525"/>
      <c r="X343" s="2525"/>
      <c r="Y343" s="2525"/>
      <c r="Z343" s="2525"/>
      <c r="AA343" s="2525"/>
      <c r="AB343" s="2525"/>
      <c r="AC343" s="2525"/>
      <c r="AD343" s="2525"/>
      <c r="AE343" s="2525"/>
      <c r="AF343" s="2525"/>
      <c r="AG343" s="2525"/>
      <c r="AH343" s="2525"/>
      <c r="AI343" s="2525"/>
      <c r="AJ343" s="2525"/>
      <c r="AK343" s="603"/>
      <c r="AL343" s="603"/>
      <c r="AM343" s="603"/>
      <c r="AN343" s="597"/>
    </row>
    <row r="344" spans="1:44" s="550" customFormat="1" ht="12.75" customHeight="1">
      <c r="A344" s="603"/>
      <c r="B344" s="611"/>
      <c r="C344" s="2525"/>
      <c r="D344" s="2525"/>
      <c r="E344" s="2525"/>
      <c r="F344" s="2525"/>
      <c r="G344" s="2525"/>
      <c r="H344" s="2525"/>
      <c r="I344" s="2525"/>
      <c r="J344" s="2525"/>
      <c r="K344" s="2525"/>
      <c r="L344" s="2525"/>
      <c r="M344" s="2525"/>
      <c r="N344" s="2525"/>
      <c r="O344" s="2525"/>
      <c r="P344" s="2525"/>
      <c r="Q344" s="2525"/>
      <c r="R344" s="2525"/>
      <c r="S344" s="2525"/>
      <c r="T344" s="2525"/>
      <c r="U344" s="2525"/>
      <c r="V344" s="2525"/>
      <c r="W344" s="2525"/>
      <c r="X344" s="2525"/>
      <c r="Y344" s="2525"/>
      <c r="Z344" s="2525"/>
      <c r="AA344" s="2525"/>
      <c r="AB344" s="2525"/>
      <c r="AC344" s="2525"/>
      <c r="AD344" s="2525"/>
      <c r="AE344" s="2525"/>
      <c r="AF344" s="2525"/>
      <c r="AG344" s="2525"/>
      <c r="AH344" s="2525"/>
      <c r="AI344" s="2525"/>
      <c r="AJ344" s="2525"/>
      <c r="AK344" s="603"/>
      <c r="AL344" s="603"/>
      <c r="AM344" s="603"/>
      <c r="AN344" s="597"/>
    </row>
    <row r="345" spans="1:44" s="550" customFormat="1" ht="12.75" customHeight="1">
      <c r="A345" s="603"/>
      <c r="B345" s="611"/>
      <c r="C345" s="2525"/>
      <c r="D345" s="2525"/>
      <c r="E345" s="2525"/>
      <c r="F345" s="2525"/>
      <c r="G345" s="2525"/>
      <c r="H345" s="2525"/>
      <c r="I345" s="2525"/>
      <c r="J345" s="2525"/>
      <c r="K345" s="2525"/>
      <c r="L345" s="2525"/>
      <c r="M345" s="2525"/>
      <c r="N345" s="2525"/>
      <c r="O345" s="2525"/>
      <c r="P345" s="2525"/>
      <c r="Q345" s="2525"/>
      <c r="R345" s="2525"/>
      <c r="S345" s="2525"/>
      <c r="T345" s="2525"/>
      <c r="U345" s="2525"/>
      <c r="V345" s="2525"/>
      <c r="W345" s="2525"/>
      <c r="X345" s="2525"/>
      <c r="Y345" s="2525"/>
      <c r="Z345" s="2525"/>
      <c r="AA345" s="2525"/>
      <c r="AB345" s="2525"/>
      <c r="AC345" s="2525"/>
      <c r="AD345" s="2525"/>
      <c r="AE345" s="2525"/>
      <c r="AF345" s="2525"/>
      <c r="AG345" s="2525"/>
      <c r="AH345" s="2525"/>
      <c r="AI345" s="2525"/>
      <c r="AJ345" s="2525"/>
      <c r="AK345" s="603"/>
      <c r="AL345" s="603"/>
      <c r="AM345" s="603"/>
      <c r="AN345" s="597"/>
      <c r="AQ345" s="570"/>
    </row>
    <row r="346" spans="1:44" s="550" customFormat="1" ht="12.75" customHeight="1">
      <c r="A346" s="603"/>
      <c r="B346" s="611"/>
      <c r="C346" s="2525"/>
      <c r="D346" s="2525"/>
      <c r="E346" s="2525"/>
      <c r="F346" s="2525"/>
      <c r="G346" s="2525"/>
      <c r="H346" s="2525"/>
      <c r="I346" s="2525"/>
      <c r="J346" s="2525"/>
      <c r="K346" s="2525"/>
      <c r="L346" s="2525"/>
      <c r="M346" s="2525"/>
      <c r="N346" s="2525"/>
      <c r="O346" s="2525"/>
      <c r="P346" s="2525"/>
      <c r="Q346" s="2525"/>
      <c r="R346" s="2525"/>
      <c r="S346" s="2525"/>
      <c r="T346" s="2525"/>
      <c r="U346" s="2525"/>
      <c r="V346" s="2525"/>
      <c r="W346" s="2525"/>
      <c r="X346" s="2525"/>
      <c r="Y346" s="2525"/>
      <c r="Z346" s="2525"/>
      <c r="AA346" s="2525"/>
      <c r="AB346" s="2525"/>
      <c r="AC346" s="2525"/>
      <c r="AD346" s="2525"/>
      <c r="AE346" s="2525"/>
      <c r="AF346" s="2525"/>
      <c r="AG346" s="2525"/>
      <c r="AH346" s="2525"/>
      <c r="AI346" s="2525"/>
      <c r="AJ346" s="2525"/>
      <c r="AK346" s="603"/>
      <c r="AL346" s="603"/>
      <c r="AM346" s="603"/>
      <c r="AN346" s="597"/>
      <c r="AQ346" s="570"/>
    </row>
    <row r="347" spans="1:44" s="550" customFormat="1" ht="12.75" customHeight="1">
      <c r="A347" s="603"/>
      <c r="B347" s="611"/>
      <c r="C347" s="2525"/>
      <c r="D347" s="2525"/>
      <c r="E347" s="2525"/>
      <c r="F347" s="2525"/>
      <c r="G347" s="2525"/>
      <c r="H347" s="2525"/>
      <c r="I347" s="2525"/>
      <c r="J347" s="2525"/>
      <c r="K347" s="2525"/>
      <c r="L347" s="2525"/>
      <c r="M347" s="2525"/>
      <c r="N347" s="2525"/>
      <c r="O347" s="2525"/>
      <c r="P347" s="2525"/>
      <c r="Q347" s="2525"/>
      <c r="R347" s="2525"/>
      <c r="S347" s="2525"/>
      <c r="T347" s="2525"/>
      <c r="U347" s="2525"/>
      <c r="V347" s="2525"/>
      <c r="W347" s="2525"/>
      <c r="X347" s="2525"/>
      <c r="Y347" s="2525"/>
      <c r="Z347" s="2525"/>
      <c r="AA347" s="2525"/>
      <c r="AB347" s="2525"/>
      <c r="AC347" s="2525"/>
      <c r="AD347" s="2525"/>
      <c r="AE347" s="2525"/>
      <c r="AF347" s="2525"/>
      <c r="AG347" s="2525"/>
      <c r="AH347" s="2525"/>
      <c r="AI347" s="2525"/>
      <c r="AJ347" s="2525"/>
      <c r="AK347" s="603"/>
      <c r="AL347" s="603"/>
      <c r="AM347" s="603"/>
      <c r="AN347" s="597"/>
      <c r="AQ347" s="570"/>
      <c r="AR347" s="570"/>
    </row>
    <row r="348" spans="1:44" s="550" customFormat="1" ht="45.75" customHeight="1">
      <c r="A348" s="603"/>
      <c r="B348" s="611"/>
      <c r="C348" s="2525" t="s">
        <v>2091</v>
      </c>
      <c r="D348" s="2525"/>
      <c r="E348" s="2525"/>
      <c r="F348" s="2525"/>
      <c r="G348" s="2525"/>
      <c r="H348" s="2525"/>
      <c r="I348" s="2525"/>
      <c r="J348" s="2525"/>
      <c r="K348" s="2525"/>
      <c r="L348" s="2525"/>
      <c r="M348" s="2525"/>
      <c r="N348" s="2525"/>
      <c r="O348" s="2525"/>
      <c r="P348" s="2525"/>
      <c r="Q348" s="2525"/>
      <c r="R348" s="2525"/>
      <c r="S348" s="2525"/>
      <c r="T348" s="2525"/>
      <c r="U348" s="2525"/>
      <c r="V348" s="2525"/>
      <c r="W348" s="2525"/>
      <c r="X348" s="2525"/>
      <c r="Y348" s="2525"/>
      <c r="Z348" s="2525"/>
      <c r="AA348" s="2525"/>
      <c r="AB348" s="2525"/>
      <c r="AC348" s="2525"/>
      <c r="AD348" s="2525"/>
      <c r="AE348" s="2525"/>
      <c r="AF348" s="2525"/>
      <c r="AG348" s="2525"/>
      <c r="AH348" s="2525"/>
      <c r="AI348" s="2525"/>
      <c r="AJ348" s="2525"/>
      <c r="AK348" s="603"/>
      <c r="AL348" s="603"/>
      <c r="AM348" s="603"/>
      <c r="AN348" s="597"/>
      <c r="AQ348" s="570"/>
      <c r="AR348" s="570"/>
    </row>
    <row r="349" spans="1:44" s="550" customFormat="1" ht="12.7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5" t="s">
        <v>2206</v>
      </c>
      <c r="D350" s="2525"/>
      <c r="E350" s="2525"/>
      <c r="F350" s="2525"/>
      <c r="G350" s="2525"/>
      <c r="H350" s="2525"/>
      <c r="I350" s="2525"/>
      <c r="J350" s="2525"/>
      <c r="K350" s="2525"/>
      <c r="L350" s="2525"/>
      <c r="M350" s="2525"/>
      <c r="N350" s="2525"/>
      <c r="O350" s="2525"/>
      <c r="P350" s="2525"/>
      <c r="Q350" s="2525"/>
      <c r="R350" s="2525"/>
      <c r="S350" s="2525"/>
      <c r="T350" s="2525"/>
      <c r="U350" s="2525"/>
      <c r="V350" s="2525"/>
      <c r="W350" s="2525"/>
      <c r="X350" s="2525"/>
      <c r="Y350" s="2525"/>
      <c r="Z350" s="2525"/>
      <c r="AA350" s="2525"/>
      <c r="AB350" s="2525"/>
      <c r="AC350" s="2525"/>
      <c r="AD350" s="2525"/>
      <c r="AE350" s="2525"/>
      <c r="AF350" s="2525"/>
      <c r="AG350" s="2525"/>
      <c r="AH350" s="2525"/>
      <c r="AI350" s="2525"/>
      <c r="AJ350" s="2525"/>
      <c r="AK350" s="603"/>
      <c r="AL350" s="603"/>
      <c r="AM350" s="603"/>
      <c r="AN350" s="597"/>
      <c r="AQ350" s="570"/>
      <c r="AR350" s="570"/>
    </row>
    <row r="351" spans="1:44" s="550" customFormat="1" ht="30" customHeight="1">
      <c r="A351" s="603"/>
      <c r="B351" s="611"/>
      <c r="C351" s="2525"/>
      <c r="D351" s="2525"/>
      <c r="E351" s="2525"/>
      <c r="F351" s="2525"/>
      <c r="G351" s="2525"/>
      <c r="H351" s="2525"/>
      <c r="I351" s="2525"/>
      <c r="J351" s="2525"/>
      <c r="K351" s="2525"/>
      <c r="L351" s="2525"/>
      <c r="M351" s="2525"/>
      <c r="N351" s="2525"/>
      <c r="O351" s="2525"/>
      <c r="P351" s="2525"/>
      <c r="Q351" s="2525"/>
      <c r="R351" s="2525"/>
      <c r="S351" s="2525"/>
      <c r="T351" s="2525"/>
      <c r="U351" s="2525"/>
      <c r="V351" s="2525"/>
      <c r="W351" s="2525"/>
      <c r="X351" s="2525"/>
      <c r="Y351" s="2525"/>
      <c r="Z351" s="2525"/>
      <c r="AA351" s="2525"/>
      <c r="AB351" s="2525"/>
      <c r="AC351" s="2525"/>
      <c r="AD351" s="2525"/>
      <c r="AE351" s="2525"/>
      <c r="AF351" s="2525"/>
      <c r="AG351" s="2525"/>
      <c r="AH351" s="2525"/>
      <c r="AI351" s="2525"/>
      <c r="AJ351" s="2525"/>
      <c r="AK351" s="603"/>
      <c r="AL351" s="603"/>
      <c r="AM351" s="603"/>
      <c r="AN351" s="597"/>
      <c r="AR351" s="570"/>
    </row>
    <row r="352" spans="1:44" s="550" customFormat="1" ht="12.75" customHeight="1">
      <c r="A352" s="603"/>
      <c r="B352" s="611"/>
      <c r="C352" s="2525"/>
      <c r="D352" s="2525"/>
      <c r="E352" s="2525"/>
      <c r="F352" s="2525"/>
      <c r="G352" s="2525"/>
      <c r="H352" s="2525"/>
      <c r="I352" s="2525"/>
      <c r="J352" s="2525"/>
      <c r="K352" s="2525"/>
      <c r="L352" s="2525"/>
      <c r="M352" s="2525"/>
      <c r="N352" s="2525"/>
      <c r="O352" s="2525"/>
      <c r="P352" s="2525"/>
      <c r="Q352" s="2525"/>
      <c r="R352" s="2525"/>
      <c r="S352" s="2525"/>
      <c r="T352" s="2525"/>
      <c r="U352" s="2525"/>
      <c r="V352" s="2525"/>
      <c r="W352" s="2525"/>
      <c r="X352" s="2525"/>
      <c r="Y352" s="2525"/>
      <c r="Z352" s="2525"/>
      <c r="AA352" s="2525"/>
      <c r="AB352" s="2525"/>
      <c r="AC352" s="2525"/>
      <c r="AD352" s="2525"/>
      <c r="AE352" s="2525"/>
      <c r="AF352" s="2525"/>
      <c r="AG352" s="2525"/>
      <c r="AH352" s="2525"/>
      <c r="AI352" s="2525"/>
      <c r="AJ352" s="2525"/>
      <c r="AK352" s="603"/>
      <c r="AL352" s="603"/>
      <c r="AM352" s="603"/>
      <c r="AN352" s="597"/>
      <c r="AR352" s="570"/>
    </row>
    <row r="353" spans="1:46" s="550" customFormat="1" ht="12.75" customHeight="1">
      <c r="A353" s="603"/>
      <c r="B353" s="611"/>
      <c r="C353" s="2525" t="s">
        <v>1454</v>
      </c>
      <c r="D353" s="2525"/>
      <c r="E353" s="2525"/>
      <c r="F353" s="2525"/>
      <c r="G353" s="2525"/>
      <c r="H353" s="2525"/>
      <c r="I353" s="2525"/>
      <c r="J353" s="2525"/>
      <c r="K353" s="2525"/>
      <c r="L353" s="2525"/>
      <c r="M353" s="2525"/>
      <c r="N353" s="2525"/>
      <c r="O353" s="2525"/>
      <c r="P353" s="2525"/>
      <c r="Q353" s="2525"/>
      <c r="R353" s="2525"/>
      <c r="S353" s="2525"/>
      <c r="T353" s="2525"/>
      <c r="U353" s="2525"/>
      <c r="V353" s="2525"/>
      <c r="W353" s="2525"/>
      <c r="X353" s="2525"/>
      <c r="Y353" s="2525"/>
      <c r="Z353" s="2525"/>
      <c r="AA353" s="2525"/>
      <c r="AB353" s="2525"/>
      <c r="AC353" s="2525"/>
      <c r="AD353" s="2525"/>
      <c r="AE353" s="2525"/>
      <c r="AF353" s="2525"/>
      <c r="AG353" s="2525"/>
      <c r="AH353" s="2525"/>
      <c r="AI353" s="2525"/>
      <c r="AJ353" s="2525"/>
      <c r="AK353" s="603"/>
      <c r="AL353" s="603"/>
      <c r="AM353" s="603"/>
      <c r="AN353" s="597"/>
      <c r="AQ353" s="570"/>
      <c r="AR353" s="570"/>
    </row>
    <row r="354" spans="1:46" s="550" customFormat="1" ht="12.75" customHeight="1">
      <c r="A354" s="603"/>
      <c r="B354" s="611"/>
      <c r="C354" s="2525"/>
      <c r="D354" s="2525"/>
      <c r="E354" s="2525"/>
      <c r="F354" s="2525"/>
      <c r="G354" s="2525"/>
      <c r="H354" s="2525"/>
      <c r="I354" s="2525"/>
      <c r="J354" s="2525"/>
      <c r="K354" s="2525"/>
      <c r="L354" s="2525"/>
      <c r="M354" s="2525"/>
      <c r="N354" s="2525"/>
      <c r="O354" s="2525"/>
      <c r="P354" s="2525"/>
      <c r="Q354" s="2525"/>
      <c r="R354" s="2525"/>
      <c r="S354" s="2525"/>
      <c r="T354" s="2525"/>
      <c r="U354" s="2525"/>
      <c r="V354" s="2525"/>
      <c r="W354" s="2525"/>
      <c r="X354" s="2525"/>
      <c r="Y354" s="2525"/>
      <c r="Z354" s="2525"/>
      <c r="AA354" s="2525"/>
      <c r="AB354" s="2525"/>
      <c r="AC354" s="2525"/>
      <c r="AD354" s="2525"/>
      <c r="AE354" s="2525"/>
      <c r="AF354" s="2525"/>
      <c r="AG354" s="2525"/>
      <c r="AH354" s="2525"/>
      <c r="AI354" s="2525"/>
      <c r="AJ354" s="2525"/>
      <c r="AK354" s="603"/>
      <c r="AL354" s="603"/>
      <c r="AM354" s="603"/>
      <c r="AN354" s="597"/>
      <c r="AQ354" s="570"/>
      <c r="AR354" s="570"/>
    </row>
    <row r="355" spans="1:46" s="550" customFormat="1" ht="13.5" customHeight="1">
      <c r="A355" s="603"/>
      <c r="B355" s="611"/>
      <c r="C355" s="2525"/>
      <c r="D355" s="2525"/>
      <c r="E355" s="2525"/>
      <c r="F355" s="2525"/>
      <c r="G355" s="2525"/>
      <c r="H355" s="2525"/>
      <c r="I355" s="2525"/>
      <c r="J355" s="2525"/>
      <c r="K355" s="2525"/>
      <c r="L355" s="2525"/>
      <c r="M355" s="2525"/>
      <c r="N355" s="2525"/>
      <c r="O355" s="2525"/>
      <c r="P355" s="2525"/>
      <c r="Q355" s="2525"/>
      <c r="R355" s="2525"/>
      <c r="S355" s="2525"/>
      <c r="T355" s="2525"/>
      <c r="U355" s="2525"/>
      <c r="V355" s="2525"/>
      <c r="W355" s="2525"/>
      <c r="X355" s="2525"/>
      <c r="Y355" s="2525"/>
      <c r="Z355" s="2525"/>
      <c r="AA355" s="2525"/>
      <c r="AB355" s="2525"/>
      <c r="AC355" s="2525"/>
      <c r="AD355" s="2525"/>
      <c r="AE355" s="2525"/>
      <c r="AF355" s="2525"/>
      <c r="AG355" s="2525"/>
      <c r="AH355" s="2525"/>
      <c r="AI355" s="2525"/>
      <c r="AJ355" s="2525"/>
      <c r="AK355" s="603"/>
      <c r="AL355" s="603"/>
      <c r="AM355" s="603"/>
      <c r="AN355" s="597"/>
      <c r="AQ355" s="570"/>
      <c r="AR355" s="570"/>
    </row>
    <row r="356" spans="1:46" s="550" customFormat="1" ht="12.75" customHeight="1">
      <c r="A356" s="603"/>
      <c r="B356" s="611"/>
      <c r="C356" s="2525"/>
      <c r="D356" s="2525"/>
      <c r="E356" s="2525"/>
      <c r="F356" s="2525"/>
      <c r="G356" s="2525"/>
      <c r="H356" s="2525"/>
      <c r="I356" s="2525"/>
      <c r="J356" s="2525"/>
      <c r="K356" s="2525"/>
      <c r="L356" s="2525"/>
      <c r="M356" s="2525"/>
      <c r="N356" s="2525"/>
      <c r="O356" s="2525"/>
      <c r="P356" s="2525"/>
      <c r="Q356" s="2525"/>
      <c r="R356" s="2525"/>
      <c r="S356" s="2525"/>
      <c r="T356" s="2525"/>
      <c r="U356" s="2525"/>
      <c r="V356" s="2525"/>
      <c r="W356" s="2525"/>
      <c r="X356" s="2525"/>
      <c r="Y356" s="2525"/>
      <c r="Z356" s="2525"/>
      <c r="AA356" s="2525"/>
      <c r="AB356" s="2525"/>
      <c r="AC356" s="2525"/>
      <c r="AD356" s="2525"/>
      <c r="AE356" s="2525"/>
      <c r="AF356" s="2525"/>
      <c r="AG356" s="2525"/>
      <c r="AH356" s="2525"/>
      <c r="AI356" s="2525"/>
      <c r="AJ356" s="2525"/>
      <c r="AK356" s="603"/>
      <c r="AL356" s="603"/>
      <c r="AM356" s="603"/>
      <c r="AN356" s="597"/>
      <c r="AO356" s="694"/>
      <c r="AP356" s="694"/>
      <c r="AQ356" s="570"/>
    </row>
    <row r="357" spans="1:46" s="550" customFormat="1" ht="12" customHeight="1">
      <c r="A357" s="603"/>
      <c r="B357" s="611"/>
      <c r="C357" s="2525"/>
      <c r="D357" s="2525"/>
      <c r="E357" s="2525"/>
      <c r="F357" s="2525"/>
      <c r="G357" s="2525"/>
      <c r="H357" s="2525"/>
      <c r="I357" s="2525"/>
      <c r="J357" s="2525"/>
      <c r="K357" s="2525"/>
      <c r="L357" s="2525"/>
      <c r="M357" s="2525"/>
      <c r="N357" s="2525"/>
      <c r="O357" s="2525"/>
      <c r="P357" s="2525"/>
      <c r="Q357" s="2525"/>
      <c r="R357" s="2525"/>
      <c r="S357" s="2525"/>
      <c r="T357" s="2525"/>
      <c r="U357" s="2525"/>
      <c r="V357" s="2525"/>
      <c r="W357" s="2525"/>
      <c r="X357" s="2525"/>
      <c r="Y357" s="2525"/>
      <c r="Z357" s="2525"/>
      <c r="AA357" s="2525"/>
      <c r="AB357" s="2525"/>
      <c r="AC357" s="2525"/>
      <c r="AD357" s="2525"/>
      <c r="AE357" s="2525"/>
      <c r="AF357" s="2525"/>
      <c r="AG357" s="2525"/>
      <c r="AH357" s="2525"/>
      <c r="AI357" s="2525"/>
      <c r="AJ357" s="2525"/>
      <c r="AK357" s="603"/>
      <c r="AL357" s="603"/>
      <c r="AM357" s="603"/>
      <c r="AN357" s="597"/>
      <c r="AO357" s="695" t="s">
        <v>112</v>
      </c>
      <c r="AP357" s="696">
        <f>IF(C381="Yes",5,0)</f>
        <v>5</v>
      </c>
      <c r="AS357" s="539" t="s">
        <v>1455</v>
      </c>
    </row>
    <row r="358" spans="1:46" s="550" customFormat="1" ht="12.75" customHeight="1">
      <c r="A358" s="603"/>
      <c r="B358" s="611"/>
      <c r="C358" s="2525"/>
      <c r="D358" s="2525"/>
      <c r="E358" s="2525"/>
      <c r="F358" s="2525"/>
      <c r="G358" s="2525"/>
      <c r="H358" s="2525"/>
      <c r="I358" s="2525"/>
      <c r="J358" s="2525"/>
      <c r="K358" s="2525"/>
      <c r="L358" s="2525"/>
      <c r="M358" s="2525"/>
      <c r="N358" s="2525"/>
      <c r="O358" s="2525"/>
      <c r="P358" s="2525"/>
      <c r="Q358" s="2525"/>
      <c r="R358" s="2525"/>
      <c r="S358" s="2525"/>
      <c r="T358" s="2525"/>
      <c r="U358" s="2525"/>
      <c r="V358" s="2525"/>
      <c r="W358" s="2525"/>
      <c r="X358" s="2525"/>
      <c r="Y358" s="2525"/>
      <c r="Z358" s="2525"/>
      <c r="AA358" s="2525"/>
      <c r="AB358" s="2525"/>
      <c r="AC358" s="2525"/>
      <c r="AD358" s="2525"/>
      <c r="AE358" s="2525"/>
      <c r="AF358" s="2525"/>
      <c r="AG358" s="2525"/>
      <c r="AH358" s="2525"/>
      <c r="AI358" s="2525"/>
      <c r="AJ358" s="2525"/>
      <c r="AK358" s="603"/>
      <c r="AL358" s="603"/>
      <c r="AM358" s="603"/>
      <c r="AN358" s="597"/>
      <c r="AO358" s="695" t="s">
        <v>113</v>
      </c>
      <c r="AP358" s="696">
        <f>IF(C389="Yes",5,0)</f>
        <v>0</v>
      </c>
      <c r="AS358" s="2546">
        <f>IF(Application!D211="Non-Targeted",(SUM(AQ366+AQ375)),AS362)</f>
        <v>10</v>
      </c>
      <c r="AT358" s="2546"/>
    </row>
    <row r="359" spans="1:46" s="550" customFormat="1" ht="12.75" customHeight="1">
      <c r="A359" s="603"/>
      <c r="B359" s="611"/>
      <c r="C359" s="2525"/>
      <c r="D359" s="2525"/>
      <c r="E359" s="2525"/>
      <c r="F359" s="2525"/>
      <c r="G359" s="2525"/>
      <c r="H359" s="2525"/>
      <c r="I359" s="2525"/>
      <c r="J359" s="2525"/>
      <c r="K359" s="2525"/>
      <c r="L359" s="2525"/>
      <c r="M359" s="2525"/>
      <c r="N359" s="2525"/>
      <c r="O359" s="2525"/>
      <c r="P359" s="2525"/>
      <c r="Q359" s="2525"/>
      <c r="R359" s="2525"/>
      <c r="S359" s="2525"/>
      <c r="T359" s="2525"/>
      <c r="U359" s="2525"/>
      <c r="V359" s="2525"/>
      <c r="W359" s="2525"/>
      <c r="X359" s="2525"/>
      <c r="Y359" s="2525"/>
      <c r="Z359" s="2525"/>
      <c r="AA359" s="2525"/>
      <c r="AB359" s="2525"/>
      <c r="AC359" s="2525"/>
      <c r="AD359" s="2525"/>
      <c r="AE359" s="2525"/>
      <c r="AF359" s="2525"/>
      <c r="AG359" s="2525"/>
      <c r="AH359" s="2525"/>
      <c r="AI359" s="2525"/>
      <c r="AJ359" s="2525"/>
      <c r="AK359" s="603"/>
      <c r="AL359" s="603"/>
      <c r="AM359" s="603"/>
      <c r="AN359" s="597"/>
      <c r="AO359" s="695" t="s">
        <v>119</v>
      </c>
      <c r="AP359" s="696">
        <f>IF(C397="Yes",7,0)</f>
        <v>0</v>
      </c>
      <c r="AS359" s="539" t="s">
        <v>1456</v>
      </c>
    </row>
    <row r="360" spans="1:46" s="550" customFormat="1" ht="12.75" customHeight="1">
      <c r="A360" s="603"/>
      <c r="B360" s="611"/>
      <c r="C360" s="2525"/>
      <c r="D360" s="2525"/>
      <c r="E360" s="2525"/>
      <c r="F360" s="2525"/>
      <c r="G360" s="2525"/>
      <c r="H360" s="2525"/>
      <c r="I360" s="2525"/>
      <c r="J360" s="2525"/>
      <c r="K360" s="2525"/>
      <c r="L360" s="2525"/>
      <c r="M360" s="2525"/>
      <c r="N360" s="2525"/>
      <c r="O360" s="2525"/>
      <c r="P360" s="2525"/>
      <c r="Q360" s="2525"/>
      <c r="R360" s="2525"/>
      <c r="S360" s="2525"/>
      <c r="T360" s="2525"/>
      <c r="U360" s="2525"/>
      <c r="V360" s="2525"/>
      <c r="W360" s="2525"/>
      <c r="X360" s="2525"/>
      <c r="Y360" s="2525"/>
      <c r="Z360" s="2525"/>
      <c r="AA360" s="2525"/>
      <c r="AB360" s="2525"/>
      <c r="AC360" s="2525"/>
      <c r="AD360" s="2525"/>
      <c r="AE360" s="2525"/>
      <c r="AF360" s="2525"/>
      <c r="AG360" s="2525"/>
      <c r="AH360" s="2525"/>
      <c r="AI360" s="2525"/>
      <c r="AJ360" s="2525"/>
      <c r="AK360" s="603"/>
      <c r="AL360" s="603"/>
      <c r="AM360" s="603"/>
      <c r="AN360" s="597"/>
      <c r="AO360" s="597"/>
      <c r="AP360" s="696">
        <f>IF(C399="Yes",5,0)</f>
        <v>5</v>
      </c>
      <c r="AS360" s="2546">
        <f>IF(AND(AQ366&gt;0,AQ375&gt;0),(AQ366+AQ375)/2,0)</f>
        <v>0</v>
      </c>
      <c r="AT360" s="2546"/>
    </row>
    <row r="361" spans="1:46" s="550" customFormat="1" ht="12.75" customHeight="1">
      <c r="A361" s="603"/>
      <c r="B361" s="611"/>
      <c r="C361" s="2525"/>
      <c r="D361" s="2525"/>
      <c r="E361" s="2525"/>
      <c r="F361" s="2525"/>
      <c r="G361" s="2525"/>
      <c r="H361" s="2525"/>
      <c r="I361" s="2525"/>
      <c r="J361" s="2525"/>
      <c r="K361" s="2525"/>
      <c r="L361" s="2525"/>
      <c r="M361" s="2525"/>
      <c r="N361" s="2525"/>
      <c r="O361" s="2525"/>
      <c r="P361" s="2525"/>
      <c r="Q361" s="2525"/>
      <c r="R361" s="2525"/>
      <c r="S361" s="2525"/>
      <c r="T361" s="2525"/>
      <c r="U361" s="2525"/>
      <c r="V361" s="2525"/>
      <c r="W361" s="2525"/>
      <c r="X361" s="2525"/>
      <c r="Y361" s="2525"/>
      <c r="Z361" s="2525"/>
      <c r="AA361" s="2525"/>
      <c r="AB361" s="2525"/>
      <c r="AC361" s="2525"/>
      <c r="AD361" s="2525"/>
      <c r="AE361" s="2525"/>
      <c r="AF361" s="2525"/>
      <c r="AG361" s="2525"/>
      <c r="AH361" s="2525"/>
      <c r="AI361" s="2525"/>
      <c r="AJ361" s="2525"/>
      <c r="AK361" s="603"/>
      <c r="AL361" s="603"/>
      <c r="AM361" s="603"/>
      <c r="AN361" s="597"/>
      <c r="AO361" s="695" t="s">
        <v>581</v>
      </c>
      <c r="AP361" s="696">
        <f>IF(C407="Yes",5,0)</f>
        <v>0</v>
      </c>
      <c r="AS361" s="539" t="s">
        <v>1877</v>
      </c>
    </row>
    <row r="362" spans="1:46" s="550" customFormat="1" ht="12.75" customHeight="1">
      <c r="A362" s="603"/>
      <c r="B362" s="611"/>
      <c r="C362" s="2547" t="s">
        <v>2230</v>
      </c>
      <c r="D362" s="2547"/>
      <c r="E362" s="2547"/>
      <c r="F362" s="2547"/>
      <c r="G362" s="2547"/>
      <c r="H362" s="2547"/>
      <c r="I362" s="2547"/>
      <c r="J362" s="2547"/>
      <c r="K362" s="2547"/>
      <c r="L362" s="2547"/>
      <c r="M362" s="2547"/>
      <c r="N362" s="2547"/>
      <c r="O362" s="2547"/>
      <c r="P362" s="2547"/>
      <c r="Q362" s="2547"/>
      <c r="R362" s="2547"/>
      <c r="S362" s="2547"/>
      <c r="T362" s="2547"/>
      <c r="U362" s="2547"/>
      <c r="V362" s="2547"/>
      <c r="W362" s="2547"/>
      <c r="X362" s="2547"/>
      <c r="Y362" s="2547"/>
      <c r="Z362" s="2547"/>
      <c r="AA362" s="2547"/>
      <c r="AB362" s="2547"/>
      <c r="AC362" s="2547"/>
      <c r="AD362" s="2547"/>
      <c r="AE362" s="2547"/>
      <c r="AF362" s="2547"/>
      <c r="AG362" s="2547"/>
      <c r="AH362" s="2547"/>
      <c r="AI362" s="2547"/>
      <c r="AJ362" s="2547"/>
      <c r="AK362" s="603"/>
      <c r="AL362" s="603"/>
      <c r="AM362" s="603"/>
      <c r="AN362" s="597"/>
      <c r="AO362" s="597"/>
      <c r="AP362" s="696">
        <f>IF(C409="Yes",3,0)</f>
        <v>0</v>
      </c>
      <c r="AS362" s="2546">
        <f>IF(AQ366=0,AQ375,AQ366)</f>
        <v>10</v>
      </c>
      <c r="AT362" s="2546"/>
    </row>
    <row r="363" spans="1:46" s="550" customFormat="1" ht="12.75" customHeight="1">
      <c r="A363" s="603"/>
      <c r="B363" s="611"/>
      <c r="C363" s="2547"/>
      <c r="D363" s="2547"/>
      <c r="E363" s="2547"/>
      <c r="F363" s="2547"/>
      <c r="G363" s="2547"/>
      <c r="H363" s="2547"/>
      <c r="I363" s="2547"/>
      <c r="J363" s="2547"/>
      <c r="K363" s="2547"/>
      <c r="L363" s="2547"/>
      <c r="M363" s="2547"/>
      <c r="N363" s="2547"/>
      <c r="O363" s="2547"/>
      <c r="P363" s="2547"/>
      <c r="Q363" s="2547"/>
      <c r="R363" s="2547"/>
      <c r="S363" s="2547"/>
      <c r="T363" s="2547"/>
      <c r="U363" s="2547"/>
      <c r="V363" s="2547"/>
      <c r="W363" s="2547"/>
      <c r="X363" s="2547"/>
      <c r="Y363" s="2547"/>
      <c r="Z363" s="2547"/>
      <c r="AA363" s="2547"/>
      <c r="AB363" s="2547"/>
      <c r="AC363" s="2547"/>
      <c r="AD363" s="2547"/>
      <c r="AE363" s="2547"/>
      <c r="AF363" s="2547"/>
      <c r="AG363" s="2547"/>
      <c r="AH363" s="2547"/>
      <c r="AI363" s="2547"/>
      <c r="AJ363" s="2547"/>
      <c r="AK363" s="603"/>
      <c r="AL363" s="603"/>
      <c r="AM363" s="603"/>
      <c r="AN363" s="597"/>
      <c r="AO363" s="695" t="s">
        <v>763</v>
      </c>
      <c r="AP363" s="696">
        <f>IF(C412="Yes",5,0)</f>
        <v>0</v>
      </c>
    </row>
    <row r="364" spans="1:46" s="550" customFormat="1" ht="12.75" customHeight="1">
      <c r="A364" s="603"/>
      <c r="B364" s="611"/>
      <c r="C364" s="2547"/>
      <c r="D364" s="2547"/>
      <c r="E364" s="2547"/>
      <c r="F364" s="2547"/>
      <c r="G364" s="2547"/>
      <c r="H364" s="2547"/>
      <c r="I364" s="2547"/>
      <c r="J364" s="2547"/>
      <c r="K364" s="2547"/>
      <c r="L364" s="2547"/>
      <c r="M364" s="2547"/>
      <c r="N364" s="2547"/>
      <c r="O364" s="2547"/>
      <c r="P364" s="2547"/>
      <c r="Q364" s="2547"/>
      <c r="R364" s="2547"/>
      <c r="S364" s="2547"/>
      <c r="T364" s="2547"/>
      <c r="U364" s="2547"/>
      <c r="V364" s="2547"/>
      <c r="W364" s="2547"/>
      <c r="X364" s="2547"/>
      <c r="Y364" s="2547"/>
      <c r="Z364" s="2547"/>
      <c r="AA364" s="2547"/>
      <c r="AB364" s="2547"/>
      <c r="AC364" s="2547"/>
      <c r="AD364" s="2547"/>
      <c r="AE364" s="2547"/>
      <c r="AF364" s="2547"/>
      <c r="AG364" s="2547"/>
      <c r="AH364" s="2547"/>
      <c r="AI364" s="2547"/>
      <c r="AJ364" s="2547"/>
      <c r="AK364" s="603"/>
      <c r="AL364" s="603"/>
      <c r="AM364" s="603"/>
      <c r="AN364" s="597"/>
      <c r="AO364" s="695" t="s">
        <v>584</v>
      </c>
      <c r="AP364" s="696">
        <f>IF(C421="Yes",5,0)</f>
        <v>0</v>
      </c>
    </row>
    <row r="365" spans="1:46" s="550" customFormat="1" ht="12" customHeight="1">
      <c r="A365" s="603"/>
      <c r="B365" s="611"/>
      <c r="C365" s="2547"/>
      <c r="D365" s="2547"/>
      <c r="E365" s="2547"/>
      <c r="F365" s="2547"/>
      <c r="G365" s="2547"/>
      <c r="H365" s="2547"/>
      <c r="I365" s="2547"/>
      <c r="J365" s="2547"/>
      <c r="K365" s="2547"/>
      <c r="L365" s="2547"/>
      <c r="M365" s="2547"/>
      <c r="N365" s="2547"/>
      <c r="O365" s="2547"/>
      <c r="P365" s="2547"/>
      <c r="Q365" s="2547"/>
      <c r="R365" s="2547"/>
      <c r="S365" s="2547"/>
      <c r="T365" s="2547"/>
      <c r="U365" s="2547"/>
      <c r="V365" s="2547"/>
      <c r="W365" s="2547"/>
      <c r="X365" s="2547"/>
      <c r="Y365" s="2547"/>
      <c r="Z365" s="2547"/>
      <c r="AA365" s="2547"/>
      <c r="AB365" s="2547"/>
      <c r="AC365" s="2547"/>
      <c r="AD365" s="2547"/>
      <c r="AE365" s="2547"/>
      <c r="AF365" s="2547"/>
      <c r="AG365" s="2547"/>
      <c r="AH365" s="2547"/>
      <c r="AI365" s="2547"/>
      <c r="AJ365" s="2547"/>
      <c r="AK365" s="603"/>
      <c r="AL365" s="603"/>
      <c r="AM365" s="603"/>
      <c r="AN365" s="597"/>
      <c r="AO365" s="697"/>
      <c r="AP365" s="698">
        <f>IF(C423="Yes",3,0)</f>
        <v>0</v>
      </c>
    </row>
    <row r="366" spans="1:46" s="550" customFormat="1" ht="12.75" customHeight="1">
      <c r="A366" s="603"/>
      <c r="B366" s="611"/>
      <c r="C366" s="2547"/>
      <c r="D366" s="2547"/>
      <c r="E366" s="2547"/>
      <c r="F366" s="2547"/>
      <c r="G366" s="2547"/>
      <c r="H366" s="2547"/>
      <c r="I366" s="2547"/>
      <c r="J366" s="2547"/>
      <c r="K366" s="2547"/>
      <c r="L366" s="2547"/>
      <c r="M366" s="2547"/>
      <c r="N366" s="2547"/>
      <c r="O366" s="2547"/>
      <c r="P366" s="2547"/>
      <c r="Q366" s="2547"/>
      <c r="R366" s="2547"/>
      <c r="S366" s="2547"/>
      <c r="T366" s="2547"/>
      <c r="U366" s="2547"/>
      <c r="V366" s="2547"/>
      <c r="W366" s="2547"/>
      <c r="X366" s="2547"/>
      <c r="Y366" s="2547"/>
      <c r="Z366" s="2547"/>
      <c r="AA366" s="2547"/>
      <c r="AB366" s="2547"/>
      <c r="AC366" s="2547"/>
      <c r="AD366" s="2547"/>
      <c r="AE366" s="2547"/>
      <c r="AF366" s="2547"/>
      <c r="AG366" s="2547"/>
      <c r="AH366" s="2547"/>
      <c r="AI366" s="2547"/>
      <c r="AJ366" s="2547"/>
      <c r="AK366" s="603"/>
      <c r="AL366" s="603"/>
      <c r="AM366" s="603"/>
      <c r="AN366" s="597"/>
      <c r="AO366" s="699" t="s">
        <v>227</v>
      </c>
      <c r="AP366" s="700">
        <f>SUM(AP357:AP365)</f>
        <v>10</v>
      </c>
      <c r="AQ366" s="2548">
        <f>IF(AP366&gt;0,AP366,0)</f>
        <v>10</v>
      </c>
      <c r="AR366" s="2548"/>
    </row>
    <row r="367" spans="1:46" s="550" customFormat="1" ht="12.75" customHeight="1">
      <c r="A367" s="603"/>
      <c r="B367" s="611"/>
      <c r="C367" s="2547"/>
      <c r="D367" s="2547"/>
      <c r="E367" s="2547"/>
      <c r="F367" s="2547"/>
      <c r="G367" s="2547"/>
      <c r="H367" s="2547"/>
      <c r="I367" s="2547"/>
      <c r="J367" s="2547"/>
      <c r="K367" s="2547"/>
      <c r="L367" s="2547"/>
      <c r="M367" s="2547"/>
      <c r="N367" s="2547"/>
      <c r="O367" s="2547"/>
      <c r="P367" s="2547"/>
      <c r="Q367" s="2547"/>
      <c r="R367" s="2547"/>
      <c r="S367" s="2547"/>
      <c r="T367" s="2547"/>
      <c r="U367" s="2547"/>
      <c r="V367" s="2547"/>
      <c r="W367" s="2547"/>
      <c r="X367" s="2547"/>
      <c r="Y367" s="2547"/>
      <c r="Z367" s="2547"/>
      <c r="AA367" s="2547"/>
      <c r="AB367" s="2547"/>
      <c r="AC367" s="2547"/>
      <c r="AD367" s="2547"/>
      <c r="AE367" s="2547"/>
      <c r="AF367" s="2547"/>
      <c r="AG367" s="2547"/>
      <c r="AH367" s="2547"/>
      <c r="AI367" s="2547"/>
      <c r="AJ367" s="254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5" t="s">
        <v>1457</v>
      </c>
      <c r="D369" s="2525"/>
      <c r="E369" s="2525"/>
      <c r="F369" s="2525"/>
      <c r="G369" s="2525"/>
      <c r="H369" s="2525"/>
      <c r="I369" s="2525"/>
      <c r="J369" s="2525"/>
      <c r="K369" s="2525"/>
      <c r="L369" s="2525"/>
      <c r="M369" s="2525"/>
      <c r="N369" s="2525"/>
      <c r="O369" s="2525"/>
      <c r="P369" s="2525"/>
      <c r="Q369" s="2525"/>
      <c r="R369" s="2525"/>
      <c r="S369" s="2525"/>
      <c r="T369" s="2525"/>
      <c r="U369" s="2525"/>
      <c r="V369" s="2525"/>
      <c r="W369" s="2525"/>
      <c r="X369" s="2525"/>
      <c r="Y369" s="2525"/>
      <c r="Z369" s="2525"/>
      <c r="AA369" s="2525"/>
      <c r="AB369" s="2525"/>
      <c r="AC369" s="2525"/>
      <c r="AD369" s="2525"/>
      <c r="AE369" s="2525"/>
      <c r="AF369" s="2525"/>
      <c r="AG369" s="2525"/>
      <c r="AH369" s="2525"/>
      <c r="AI369" s="2525"/>
      <c r="AJ369" s="2525"/>
      <c r="AK369" s="603"/>
      <c r="AL369" s="603"/>
      <c r="AM369" s="603"/>
      <c r="AN369" s="597"/>
      <c r="AO369" s="695" t="s">
        <v>456</v>
      </c>
      <c r="AP369" s="696">
        <f>IF(C442="Yes",5,0)</f>
        <v>0</v>
      </c>
    </row>
    <row r="370" spans="1:81" s="550" customFormat="1" ht="12.75" customHeight="1">
      <c r="A370" s="603"/>
      <c r="B370" s="611"/>
      <c r="C370" s="2525"/>
      <c r="D370" s="2525"/>
      <c r="E370" s="2525"/>
      <c r="F370" s="2525"/>
      <c r="G370" s="2525"/>
      <c r="H370" s="2525"/>
      <c r="I370" s="2525"/>
      <c r="J370" s="2525"/>
      <c r="K370" s="2525"/>
      <c r="L370" s="2525"/>
      <c r="M370" s="2525"/>
      <c r="N370" s="2525"/>
      <c r="O370" s="2525"/>
      <c r="P370" s="2525"/>
      <c r="Q370" s="2525"/>
      <c r="R370" s="2525"/>
      <c r="S370" s="2525"/>
      <c r="T370" s="2525"/>
      <c r="U370" s="2525"/>
      <c r="V370" s="2525"/>
      <c r="W370" s="2525"/>
      <c r="X370" s="2525"/>
      <c r="Y370" s="2525"/>
      <c r="Z370" s="2525"/>
      <c r="AA370" s="2525"/>
      <c r="AB370" s="2525"/>
      <c r="AC370" s="2525"/>
      <c r="AD370" s="2525"/>
      <c r="AE370" s="2525"/>
      <c r="AF370" s="2525"/>
      <c r="AG370" s="2525"/>
      <c r="AH370" s="2525"/>
      <c r="AI370" s="2525"/>
      <c r="AJ370" s="2525"/>
      <c r="AK370" s="603"/>
      <c r="AL370" s="603"/>
      <c r="AM370" s="603"/>
      <c r="AN370" s="597"/>
      <c r="AO370" s="695" t="s">
        <v>461</v>
      </c>
      <c r="AP370" s="696">
        <f>IF(C449="Yes",5,0)</f>
        <v>0</v>
      </c>
    </row>
    <row r="371" spans="1:81" s="550" customFormat="1" ht="68.25" customHeight="1">
      <c r="A371" s="603"/>
      <c r="B371" s="611"/>
      <c r="C371" s="2525"/>
      <c r="D371" s="2525"/>
      <c r="E371" s="2525"/>
      <c r="F371" s="2525"/>
      <c r="G371" s="2525"/>
      <c r="H371" s="2525"/>
      <c r="I371" s="2525"/>
      <c r="J371" s="2525"/>
      <c r="K371" s="2525"/>
      <c r="L371" s="2525"/>
      <c r="M371" s="2525"/>
      <c r="N371" s="2525"/>
      <c r="O371" s="2525"/>
      <c r="P371" s="2525"/>
      <c r="Q371" s="2525"/>
      <c r="R371" s="2525"/>
      <c r="S371" s="2525"/>
      <c r="T371" s="2525"/>
      <c r="U371" s="2525"/>
      <c r="V371" s="2525"/>
      <c r="W371" s="2525"/>
      <c r="X371" s="2525"/>
      <c r="Y371" s="2525"/>
      <c r="Z371" s="2525"/>
      <c r="AA371" s="2525"/>
      <c r="AB371" s="2525"/>
      <c r="AC371" s="2525"/>
      <c r="AD371" s="2525"/>
      <c r="AE371" s="2525"/>
      <c r="AF371" s="2525"/>
      <c r="AG371" s="2525"/>
      <c r="AH371" s="2525"/>
      <c r="AI371" s="2525"/>
      <c r="AJ371" s="2525"/>
      <c r="AK371" s="603"/>
      <c r="AL371" s="603"/>
      <c r="AM371" s="603"/>
      <c r="AN371" s="597"/>
      <c r="AO371" s="695" t="s">
        <v>646</v>
      </c>
      <c r="AP371" s="701">
        <f>IF(C453="Yes",5,0)</f>
        <v>0</v>
      </c>
    </row>
    <row r="372" spans="1:81" s="550" customFormat="1" ht="12.75"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33">
        <f>Application!DU802-U374</f>
        <v>173</v>
      </c>
      <c r="V373" s="2633"/>
      <c r="W373" s="263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34">
        <f>IF(Application!D211="SRO",Application!DU755,Application!AG756)</f>
        <v>0</v>
      </c>
      <c r="V374" s="2634"/>
      <c r="W374" s="263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8">
        <f>IF(AP375&gt;0,AP375,0)</f>
        <v>0</v>
      </c>
      <c r="AR375" s="2548"/>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9" t="s">
        <v>1459</v>
      </c>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6" t="s">
        <v>545</v>
      </c>
      <c r="D381" s="2483"/>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7" t="s">
        <v>1461</v>
      </c>
      <c r="AG381" s="2527"/>
      <c r="AH381" s="2527"/>
      <c r="AI381" s="2527"/>
      <c r="AJ381" s="2527"/>
      <c r="AK381" s="2527"/>
      <c r="AL381" s="252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9" t="s">
        <v>1462</v>
      </c>
      <c r="G384" s="2529"/>
      <c r="H384" s="2529"/>
      <c r="I384" s="2529"/>
      <c r="J384" s="2529"/>
      <c r="K384" s="2529"/>
      <c r="L384" s="2529"/>
      <c r="M384" s="2529"/>
      <c r="N384" s="2529"/>
      <c r="O384" s="2529"/>
      <c r="P384" s="2529"/>
      <c r="Q384" s="2529"/>
      <c r="R384" s="2529"/>
      <c r="S384" s="2529"/>
      <c r="T384" s="2529"/>
      <c r="U384" s="2529"/>
      <c r="V384" s="2529"/>
      <c r="W384" s="2529"/>
      <c r="X384" s="2529"/>
      <c r="Y384" s="2529"/>
      <c r="Z384" s="2529"/>
      <c r="AA384" s="2529"/>
      <c r="AB384" s="2529"/>
      <c r="AC384" s="2529"/>
      <c r="AD384" s="2529"/>
      <c r="AE384" s="2529"/>
      <c r="AF384" s="25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0"/>
      <c r="G385" s="2530"/>
      <c r="H385" s="2530"/>
      <c r="I385" s="2530"/>
      <c r="J385" s="2530"/>
      <c r="K385" s="2530"/>
      <c r="L385" s="2530"/>
      <c r="M385" s="2530"/>
      <c r="N385" s="2530"/>
      <c r="O385" s="2530"/>
      <c r="P385" s="2530"/>
      <c r="Q385" s="2530"/>
      <c r="R385" s="2530"/>
      <c r="S385" s="2530"/>
      <c r="T385" s="2530"/>
      <c r="U385" s="2530"/>
      <c r="V385" s="2530"/>
      <c r="W385" s="2530"/>
      <c r="X385" s="2530"/>
      <c r="Y385" s="2530"/>
      <c r="Z385" s="2530"/>
      <c r="AA385" s="2530"/>
      <c r="AB385" s="2530"/>
      <c r="AC385" s="2530"/>
      <c r="AD385" s="2530"/>
      <c r="AE385" s="2530"/>
      <c r="AF385" s="25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0"/>
      <c r="G386" s="2530"/>
      <c r="H386" s="2530"/>
      <c r="I386" s="2530"/>
      <c r="J386" s="2530"/>
      <c r="K386" s="2530"/>
      <c r="L386" s="2530"/>
      <c r="M386" s="2530"/>
      <c r="N386" s="2530"/>
      <c r="O386" s="2530"/>
      <c r="P386" s="2530"/>
      <c r="Q386" s="2530"/>
      <c r="R386" s="2530"/>
      <c r="S386" s="2530"/>
      <c r="T386" s="2530"/>
      <c r="U386" s="2530"/>
      <c r="V386" s="2530"/>
      <c r="W386" s="2530"/>
      <c r="X386" s="2530"/>
      <c r="Y386" s="2530"/>
      <c r="Z386" s="2530"/>
      <c r="AA386" s="2530"/>
      <c r="AB386" s="2530"/>
      <c r="AC386" s="2530"/>
      <c r="AD386" s="2530"/>
      <c r="AE386" s="2530"/>
      <c r="AF386" s="25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0"/>
      <c r="G387" s="2530"/>
      <c r="H387" s="2530"/>
      <c r="I387" s="2530"/>
      <c r="J387" s="2530"/>
      <c r="K387" s="2530"/>
      <c r="L387" s="2530"/>
      <c r="M387" s="2530"/>
      <c r="N387" s="2530"/>
      <c r="O387" s="2530"/>
      <c r="P387" s="2530"/>
      <c r="Q387" s="2530"/>
      <c r="R387" s="2530"/>
      <c r="S387" s="2530"/>
      <c r="T387" s="2530"/>
      <c r="U387" s="2530"/>
      <c r="V387" s="2530"/>
      <c r="W387" s="2530"/>
      <c r="X387" s="2530"/>
      <c r="Y387" s="2530"/>
      <c r="Z387" s="2530"/>
      <c r="AA387" s="2530"/>
      <c r="AB387" s="2530"/>
      <c r="AC387" s="2530"/>
      <c r="AD387" s="2530"/>
      <c r="AE387" s="2530"/>
      <c r="AF387" s="25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0"/>
      <c r="G388" s="2530"/>
      <c r="H388" s="2530"/>
      <c r="I388" s="2530"/>
      <c r="J388" s="2530"/>
      <c r="K388" s="2530"/>
      <c r="L388" s="2530"/>
      <c r="M388" s="2530"/>
      <c r="N388" s="2530"/>
      <c r="O388" s="2530"/>
      <c r="P388" s="2530"/>
      <c r="Q388" s="2530"/>
      <c r="R388" s="2530"/>
      <c r="S388" s="2530"/>
      <c r="T388" s="2530"/>
      <c r="U388" s="2530"/>
      <c r="V388" s="2530"/>
      <c r="W388" s="2530"/>
      <c r="X388" s="2530"/>
      <c r="Y388" s="2530"/>
      <c r="Z388" s="2530"/>
      <c r="AA388" s="2530"/>
      <c r="AB388" s="2530"/>
      <c r="AC388" s="2530"/>
      <c r="AD388" s="2530"/>
      <c r="AE388" s="2530"/>
      <c r="AF388" s="2530"/>
      <c r="AL388" s="732"/>
      <c r="AN388" s="597"/>
      <c r="BS388" s="30"/>
      <c r="BT388" s="30"/>
      <c r="BU388" s="14"/>
      <c r="BV388" s="14"/>
      <c r="BW388" s="14"/>
      <c r="BX388" s="14"/>
      <c r="BY388" s="14"/>
      <c r="BZ388" s="14"/>
      <c r="CA388" s="14"/>
      <c r="CB388" s="14"/>
      <c r="CC388" s="14"/>
    </row>
    <row r="389" spans="1:81" s="550" customFormat="1" ht="12.75" customHeight="1">
      <c r="A389" s="536"/>
      <c r="B389" s="14"/>
      <c r="C389" s="2526" t="s">
        <v>591</v>
      </c>
      <c r="D389" s="2483"/>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7" t="s">
        <v>1461</v>
      </c>
      <c r="AG389" s="2527"/>
      <c r="AH389" s="2527"/>
      <c r="AI389" s="2527"/>
      <c r="AJ389" s="2527"/>
      <c r="AK389" s="2527"/>
      <c r="AL389" s="252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9" t="s">
        <v>1464</v>
      </c>
      <c r="G392" s="2529"/>
      <c r="H392" s="2529"/>
      <c r="I392" s="2529"/>
      <c r="J392" s="2529"/>
      <c r="K392" s="2529"/>
      <c r="L392" s="2529"/>
      <c r="M392" s="2529"/>
      <c r="N392" s="2529"/>
      <c r="O392" s="2529"/>
      <c r="P392" s="2529"/>
      <c r="Q392" s="2529"/>
      <c r="R392" s="2529"/>
      <c r="S392" s="2529"/>
      <c r="T392" s="2529"/>
      <c r="U392" s="2529"/>
      <c r="V392" s="2529"/>
      <c r="W392" s="2529"/>
      <c r="X392" s="2529"/>
      <c r="Y392" s="2529"/>
      <c r="Z392" s="2529"/>
      <c r="AA392" s="2529"/>
      <c r="AB392" s="2529"/>
      <c r="AC392" s="2529"/>
      <c r="AD392" s="2529"/>
      <c r="AE392" s="2529"/>
      <c r="AF392" s="25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0"/>
      <c r="G393" s="2530"/>
      <c r="H393" s="2530"/>
      <c r="I393" s="2530"/>
      <c r="J393" s="2530"/>
      <c r="K393" s="2530"/>
      <c r="L393" s="2530"/>
      <c r="M393" s="2530"/>
      <c r="N393" s="2530"/>
      <c r="O393" s="2530"/>
      <c r="P393" s="2530"/>
      <c r="Q393" s="2530"/>
      <c r="R393" s="2530"/>
      <c r="S393" s="2530"/>
      <c r="T393" s="2530"/>
      <c r="U393" s="2530"/>
      <c r="V393" s="2530"/>
      <c r="W393" s="2530"/>
      <c r="X393" s="2530"/>
      <c r="Y393" s="2530"/>
      <c r="Z393" s="2530"/>
      <c r="AA393" s="2530"/>
      <c r="AB393" s="2530"/>
      <c r="AC393" s="2530"/>
      <c r="AD393" s="2530"/>
      <c r="AE393" s="2530"/>
      <c r="AF393" s="25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0"/>
      <c r="G394" s="2530"/>
      <c r="H394" s="2530"/>
      <c r="I394" s="2530"/>
      <c r="J394" s="2530"/>
      <c r="K394" s="2530"/>
      <c r="L394" s="2530"/>
      <c r="M394" s="2530"/>
      <c r="N394" s="2530"/>
      <c r="O394" s="2530"/>
      <c r="P394" s="2530"/>
      <c r="Q394" s="2530"/>
      <c r="R394" s="2530"/>
      <c r="S394" s="2530"/>
      <c r="T394" s="2530"/>
      <c r="U394" s="2530"/>
      <c r="V394" s="2530"/>
      <c r="W394" s="2530"/>
      <c r="X394" s="2530"/>
      <c r="Y394" s="2530"/>
      <c r="Z394" s="2530"/>
      <c r="AA394" s="2530"/>
      <c r="AB394" s="2530"/>
      <c r="AC394" s="2530"/>
      <c r="AD394" s="2530"/>
      <c r="AE394" s="2530"/>
      <c r="AF394" s="25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0"/>
      <c r="G395" s="2530"/>
      <c r="H395" s="2530"/>
      <c r="I395" s="2530"/>
      <c r="J395" s="2530"/>
      <c r="K395" s="2530"/>
      <c r="L395" s="2530"/>
      <c r="M395" s="2530"/>
      <c r="N395" s="2530"/>
      <c r="O395" s="2530"/>
      <c r="P395" s="2530"/>
      <c r="Q395" s="2530"/>
      <c r="R395" s="2530"/>
      <c r="S395" s="2530"/>
      <c r="T395" s="2530"/>
      <c r="U395" s="2530"/>
      <c r="V395" s="2530"/>
      <c r="W395" s="2530"/>
      <c r="X395" s="2530"/>
      <c r="Y395" s="2530"/>
      <c r="Z395" s="2530"/>
      <c r="AA395" s="2530"/>
      <c r="AB395" s="2530"/>
      <c r="AC395" s="2530"/>
      <c r="AD395" s="2530"/>
      <c r="AE395" s="2530"/>
      <c r="AF395" s="25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0"/>
      <c r="G396" s="2530"/>
      <c r="H396" s="2530"/>
      <c r="I396" s="2530"/>
      <c r="J396" s="2530"/>
      <c r="K396" s="2530"/>
      <c r="L396" s="2530"/>
      <c r="M396" s="2530"/>
      <c r="N396" s="2530"/>
      <c r="O396" s="2530"/>
      <c r="P396" s="2530"/>
      <c r="Q396" s="2530"/>
      <c r="R396" s="2530"/>
      <c r="S396" s="2530"/>
      <c r="T396" s="2530"/>
      <c r="U396" s="2530"/>
      <c r="V396" s="2530"/>
      <c r="W396" s="2530"/>
      <c r="X396" s="2530"/>
      <c r="Y396" s="2530"/>
      <c r="Z396" s="2530"/>
      <c r="AA396" s="2530"/>
      <c r="AB396" s="2530"/>
      <c r="AC396" s="2530"/>
      <c r="AD396" s="2530"/>
      <c r="AE396" s="2530"/>
      <c r="AF396" s="25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6" t="s">
        <v>591</v>
      </c>
      <c r="D397" s="2483"/>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7" t="s">
        <v>1466</v>
      </c>
      <c r="AG397" s="2527"/>
      <c r="AH397" s="2527"/>
      <c r="AI397" s="2527"/>
      <c r="AJ397" s="2527"/>
      <c r="AK397" s="2527"/>
      <c r="AL397" s="252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6" t="s">
        <v>545</v>
      </c>
      <c r="D399" s="2483"/>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7" t="s">
        <v>1461</v>
      </c>
      <c r="AG399" s="2527"/>
      <c r="AH399" s="2527"/>
      <c r="AI399" s="2527"/>
      <c r="AJ399" s="2527"/>
      <c r="AK399" s="2527"/>
      <c r="AL399" s="252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9" t="s">
        <v>1470</v>
      </c>
      <c r="G403" s="2529"/>
      <c r="H403" s="2529"/>
      <c r="I403" s="2529"/>
      <c r="J403" s="2529"/>
      <c r="K403" s="2529"/>
      <c r="L403" s="2529"/>
      <c r="M403" s="2529"/>
      <c r="N403" s="2529"/>
      <c r="O403" s="2529"/>
      <c r="P403" s="2529"/>
      <c r="Q403" s="2529"/>
      <c r="R403" s="2529"/>
      <c r="S403" s="2529"/>
      <c r="T403" s="2529"/>
      <c r="U403" s="2529"/>
      <c r="V403" s="2529"/>
      <c r="W403" s="2529"/>
      <c r="X403" s="2529"/>
      <c r="Y403" s="2529"/>
      <c r="Z403" s="2529"/>
      <c r="AA403" s="2529"/>
      <c r="AB403" s="2529"/>
      <c r="AC403" s="2529"/>
      <c r="AD403" s="2529"/>
      <c r="AE403" s="2529"/>
      <c r="AF403" s="25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0"/>
      <c r="G404" s="2530"/>
      <c r="H404" s="2530"/>
      <c r="I404" s="2530"/>
      <c r="J404" s="2530"/>
      <c r="K404" s="2530"/>
      <c r="L404" s="2530"/>
      <c r="M404" s="2530"/>
      <c r="N404" s="2530"/>
      <c r="O404" s="2530"/>
      <c r="P404" s="2530"/>
      <c r="Q404" s="2530"/>
      <c r="R404" s="2530"/>
      <c r="S404" s="2530"/>
      <c r="T404" s="2530"/>
      <c r="U404" s="2530"/>
      <c r="V404" s="2530"/>
      <c r="W404" s="2530"/>
      <c r="X404" s="2530"/>
      <c r="Y404" s="2530"/>
      <c r="Z404" s="2530"/>
      <c r="AA404" s="2530"/>
      <c r="AB404" s="2530"/>
      <c r="AC404" s="2530"/>
      <c r="AD404" s="2530"/>
      <c r="AE404" s="2530"/>
      <c r="AF404" s="25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30"/>
      <c r="G405" s="2530"/>
      <c r="H405" s="2530"/>
      <c r="I405" s="2530"/>
      <c r="J405" s="2530"/>
      <c r="K405" s="2530"/>
      <c r="L405" s="2530"/>
      <c r="M405" s="2530"/>
      <c r="N405" s="2530"/>
      <c r="O405" s="2530"/>
      <c r="P405" s="2530"/>
      <c r="Q405" s="2530"/>
      <c r="R405" s="2530"/>
      <c r="S405" s="2530"/>
      <c r="T405" s="2530"/>
      <c r="U405" s="2530"/>
      <c r="V405" s="2530"/>
      <c r="W405" s="2530"/>
      <c r="X405" s="2530"/>
      <c r="Y405" s="2530"/>
      <c r="Z405" s="2530"/>
      <c r="AA405" s="2530"/>
      <c r="AB405" s="2530"/>
      <c r="AC405" s="2530"/>
      <c r="AD405" s="2530"/>
      <c r="AE405" s="2530"/>
      <c r="AF405" s="25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0"/>
      <c r="G406" s="2530"/>
      <c r="H406" s="2530"/>
      <c r="I406" s="2530"/>
      <c r="J406" s="2530"/>
      <c r="K406" s="2530"/>
      <c r="L406" s="2530"/>
      <c r="M406" s="2530"/>
      <c r="N406" s="2530"/>
      <c r="O406" s="2530"/>
      <c r="P406" s="2530"/>
      <c r="Q406" s="2530"/>
      <c r="R406" s="2530"/>
      <c r="S406" s="2530"/>
      <c r="T406" s="2530"/>
      <c r="U406" s="2530"/>
      <c r="V406" s="2530"/>
      <c r="W406" s="2530"/>
      <c r="X406" s="2530"/>
      <c r="Y406" s="2530"/>
      <c r="Z406" s="2530"/>
      <c r="AA406" s="2530"/>
      <c r="AB406" s="2530"/>
      <c r="AC406" s="2530"/>
      <c r="AD406" s="2530"/>
      <c r="AE406" s="2530"/>
      <c r="AF406" s="25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6" t="s">
        <v>591</v>
      </c>
      <c r="D407" s="2483"/>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7" t="s">
        <v>1461</v>
      </c>
      <c r="AG407" s="2527"/>
      <c r="AH407" s="2527"/>
      <c r="AI407" s="2527"/>
      <c r="AJ407" s="2527"/>
      <c r="AK407" s="2527"/>
      <c r="AL407" s="252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6" t="s">
        <v>591</v>
      </c>
      <c r="D409" s="2483"/>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7" t="s">
        <v>1473</v>
      </c>
      <c r="AG409" s="2527"/>
      <c r="AH409" s="2527"/>
      <c r="AI409" s="2527"/>
      <c r="AJ409" s="2527"/>
      <c r="AK409" s="2527"/>
      <c r="AL409" s="252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6" t="s">
        <v>591</v>
      </c>
      <c r="D412" s="2483"/>
      <c r="E412" s="715" t="s">
        <v>1474</v>
      </c>
      <c r="F412" s="2529" t="s">
        <v>1475</v>
      </c>
      <c r="G412" s="2529"/>
      <c r="H412" s="2529"/>
      <c r="I412" s="2529"/>
      <c r="J412" s="2529"/>
      <c r="K412" s="2529"/>
      <c r="L412" s="2529"/>
      <c r="M412" s="2529"/>
      <c r="N412" s="2529"/>
      <c r="O412" s="2529"/>
      <c r="P412" s="2529"/>
      <c r="Q412" s="2529"/>
      <c r="R412" s="2529"/>
      <c r="S412" s="2529"/>
      <c r="T412" s="2529"/>
      <c r="U412" s="2529"/>
      <c r="V412" s="2529"/>
      <c r="W412" s="2529"/>
      <c r="X412" s="2529"/>
      <c r="Y412" s="2529"/>
      <c r="Z412" s="2529"/>
      <c r="AA412" s="2529"/>
      <c r="AB412" s="2529"/>
      <c r="AC412" s="2529"/>
      <c r="AD412" s="2529"/>
      <c r="AE412" s="25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0"/>
      <c r="G413" s="2530"/>
      <c r="H413" s="2530"/>
      <c r="I413" s="2530"/>
      <c r="J413" s="2530"/>
      <c r="K413" s="2530"/>
      <c r="L413" s="2530"/>
      <c r="M413" s="2530"/>
      <c r="N413" s="2530"/>
      <c r="O413" s="2530"/>
      <c r="P413" s="2530"/>
      <c r="Q413" s="2530"/>
      <c r="R413" s="2530"/>
      <c r="S413" s="2530"/>
      <c r="T413" s="2530"/>
      <c r="U413" s="2530"/>
      <c r="V413" s="2530"/>
      <c r="W413" s="2530"/>
      <c r="X413" s="2530"/>
      <c r="Y413" s="2530"/>
      <c r="Z413" s="2530"/>
      <c r="AA413" s="2530"/>
      <c r="AB413" s="2530"/>
      <c r="AC413" s="2530"/>
      <c r="AD413" s="2530"/>
      <c r="AE413" s="2530"/>
      <c r="AF413" s="2451" t="s">
        <v>1461</v>
      </c>
      <c r="AG413" s="2451"/>
      <c r="AH413" s="2451"/>
      <c r="AI413" s="2451"/>
      <c r="AJ413" s="2451"/>
      <c r="AK413" s="2451"/>
      <c r="AL413" s="2531"/>
      <c r="AM413" s="570"/>
      <c r="AN413" s="597"/>
      <c r="BS413" s="570"/>
      <c r="BT413" s="570"/>
      <c r="BY413" s="570"/>
      <c r="BZ413" s="570"/>
      <c r="CA413" s="570"/>
      <c r="CB413" s="570"/>
      <c r="CC413" s="570"/>
    </row>
    <row r="414" spans="1:81" s="550" customFormat="1" ht="12.75" customHeight="1">
      <c r="A414" s="536"/>
      <c r="B414" s="14"/>
      <c r="C414" s="731"/>
      <c r="D414" s="14"/>
      <c r="E414" s="691"/>
      <c r="F414" s="2530"/>
      <c r="G414" s="2530"/>
      <c r="H414" s="2530"/>
      <c r="I414" s="2530"/>
      <c r="J414" s="2530"/>
      <c r="K414" s="2530"/>
      <c r="L414" s="2530"/>
      <c r="M414" s="2530"/>
      <c r="N414" s="2530"/>
      <c r="O414" s="2530"/>
      <c r="P414" s="2530"/>
      <c r="Q414" s="2530"/>
      <c r="R414" s="2530"/>
      <c r="S414" s="2530"/>
      <c r="T414" s="2530"/>
      <c r="U414" s="2530"/>
      <c r="V414" s="2530"/>
      <c r="W414" s="2530"/>
      <c r="X414" s="2530"/>
      <c r="Y414" s="2530"/>
      <c r="Z414" s="2530"/>
      <c r="AA414" s="2530"/>
      <c r="AB414" s="2530"/>
      <c r="AC414" s="2530"/>
      <c r="AD414" s="2530"/>
      <c r="AE414" s="25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9"/>
      <c r="G415" s="2549"/>
      <c r="H415" s="2549"/>
      <c r="I415" s="2549"/>
      <c r="J415" s="2549"/>
      <c r="K415" s="2549"/>
      <c r="L415" s="2549"/>
      <c r="M415" s="2549"/>
      <c r="N415" s="2549"/>
      <c r="O415" s="2549"/>
      <c r="P415" s="2549"/>
      <c r="Q415" s="2549"/>
      <c r="R415" s="2549"/>
      <c r="S415" s="2549"/>
      <c r="T415" s="2549"/>
      <c r="U415" s="2549"/>
      <c r="V415" s="2549"/>
      <c r="W415" s="2549"/>
      <c r="X415" s="2549"/>
      <c r="Y415" s="2549"/>
      <c r="Z415" s="2549"/>
      <c r="AA415" s="2549"/>
      <c r="AB415" s="2549"/>
      <c r="AC415" s="2549"/>
      <c r="AD415" s="2549"/>
      <c r="AE415" s="254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9" t="s">
        <v>1477</v>
      </c>
      <c r="G417" s="2529"/>
      <c r="H417" s="2529"/>
      <c r="I417" s="2529"/>
      <c r="J417" s="2529"/>
      <c r="K417" s="2529"/>
      <c r="L417" s="2529"/>
      <c r="M417" s="2529"/>
      <c r="N417" s="2529"/>
      <c r="O417" s="2529"/>
      <c r="P417" s="2529"/>
      <c r="Q417" s="2529"/>
      <c r="R417" s="2529"/>
      <c r="S417" s="2529"/>
      <c r="T417" s="2529"/>
      <c r="U417" s="2529"/>
      <c r="V417" s="2529"/>
      <c r="W417" s="2529"/>
      <c r="X417" s="2529"/>
      <c r="Y417" s="2529"/>
      <c r="Z417" s="2529"/>
      <c r="AA417" s="2529"/>
      <c r="AB417" s="2529"/>
      <c r="AC417" s="2529"/>
      <c r="AD417" s="2529"/>
      <c r="AE417" s="2529"/>
      <c r="AF417" s="747"/>
      <c r="AG417" s="747"/>
      <c r="AH417" s="747"/>
      <c r="AI417" s="747"/>
      <c r="AJ417" s="747"/>
      <c r="AK417" s="747"/>
      <c r="AL417" s="748"/>
      <c r="AM417" s="570"/>
    </row>
    <row r="418" spans="1:55">
      <c r="A418" s="536"/>
      <c r="C418" s="731"/>
      <c r="E418" s="691"/>
      <c r="F418" s="2530"/>
      <c r="G418" s="2530"/>
      <c r="H418" s="2530"/>
      <c r="I418" s="2530"/>
      <c r="J418" s="2530"/>
      <c r="K418" s="2530"/>
      <c r="L418" s="2530"/>
      <c r="M418" s="2530"/>
      <c r="N418" s="2530"/>
      <c r="O418" s="2530"/>
      <c r="P418" s="2530"/>
      <c r="Q418" s="2530"/>
      <c r="R418" s="2530"/>
      <c r="S418" s="2530"/>
      <c r="T418" s="2530"/>
      <c r="U418" s="2530"/>
      <c r="V418" s="2530"/>
      <c r="W418" s="2530"/>
      <c r="X418" s="2530"/>
      <c r="Y418" s="2530"/>
      <c r="Z418" s="2530"/>
      <c r="AA418" s="2530"/>
      <c r="AB418" s="2530"/>
      <c r="AC418" s="2530"/>
      <c r="AD418" s="2530"/>
      <c r="AE418" s="2530"/>
      <c r="AF418" s="539"/>
      <c r="AG418" s="536"/>
      <c r="AH418" s="550"/>
      <c r="AI418" s="550"/>
      <c r="AJ418" s="550"/>
      <c r="AK418" s="550"/>
      <c r="AL418" s="732"/>
      <c r="AM418" s="570"/>
    </row>
    <row r="419" spans="1:55" s="550" customFormat="1" ht="12.75" customHeight="1">
      <c r="A419" s="536"/>
      <c r="B419" s="14"/>
      <c r="C419" s="731"/>
      <c r="D419" s="14"/>
      <c r="E419" s="691"/>
      <c r="F419" s="2530"/>
      <c r="G419" s="2530"/>
      <c r="H419" s="2530"/>
      <c r="I419" s="2530"/>
      <c r="J419" s="2530"/>
      <c r="K419" s="2530"/>
      <c r="L419" s="2530"/>
      <c r="M419" s="2530"/>
      <c r="N419" s="2530"/>
      <c r="O419" s="2530"/>
      <c r="P419" s="2530"/>
      <c r="Q419" s="2530"/>
      <c r="R419" s="2530"/>
      <c r="S419" s="2530"/>
      <c r="T419" s="2530"/>
      <c r="U419" s="2530"/>
      <c r="V419" s="2530"/>
      <c r="W419" s="2530"/>
      <c r="X419" s="2530"/>
      <c r="Y419" s="2530"/>
      <c r="Z419" s="2530"/>
      <c r="AA419" s="2530"/>
      <c r="AB419" s="2530"/>
      <c r="AC419" s="2530"/>
      <c r="AD419" s="2530"/>
      <c r="AE419" s="2530"/>
      <c r="AL419" s="732"/>
      <c r="AM419" s="570"/>
      <c r="AN419" s="597"/>
    </row>
    <row r="420" spans="1:55" s="550" customFormat="1" ht="12.75" customHeight="1">
      <c r="A420" s="536"/>
      <c r="B420" s="14"/>
      <c r="C420" s="739"/>
      <c r="F420" s="2530"/>
      <c r="G420" s="2530"/>
      <c r="H420" s="2530"/>
      <c r="I420" s="2530"/>
      <c r="J420" s="2530"/>
      <c r="K420" s="2530"/>
      <c r="L420" s="2530"/>
      <c r="M420" s="2530"/>
      <c r="N420" s="2530"/>
      <c r="O420" s="2530"/>
      <c r="P420" s="2530"/>
      <c r="Q420" s="2530"/>
      <c r="R420" s="2530"/>
      <c r="S420" s="2530"/>
      <c r="T420" s="2530"/>
      <c r="U420" s="2530"/>
      <c r="V420" s="2530"/>
      <c r="W420" s="2530"/>
      <c r="X420" s="2530"/>
      <c r="Y420" s="2530"/>
      <c r="Z420" s="2530"/>
      <c r="AA420" s="2530"/>
      <c r="AB420" s="2530"/>
      <c r="AC420" s="2530"/>
      <c r="AD420" s="2530"/>
      <c r="AE420" s="2530"/>
      <c r="AL420" s="732"/>
      <c r="AM420" s="570"/>
      <c r="AN420" s="597"/>
    </row>
    <row r="421" spans="1:55" s="550" customFormat="1" ht="12.75" customHeight="1">
      <c r="A421" s="536"/>
      <c r="B421" s="14"/>
      <c r="C421" s="2526" t="s">
        <v>591</v>
      </c>
      <c r="D421" s="2483"/>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1" t="s">
        <v>1461</v>
      </c>
      <c r="AG421" s="2451"/>
      <c r="AH421" s="2451"/>
      <c r="AI421" s="2451"/>
      <c r="AJ421" s="2451"/>
      <c r="AK421" s="2451"/>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526" t="s">
        <v>591</v>
      </c>
      <c r="D423" s="2483"/>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1" t="s">
        <v>1473</v>
      </c>
      <c r="AG423" s="2451"/>
      <c r="AH423" s="2451"/>
      <c r="AI423" s="2451"/>
      <c r="AJ423" s="2451"/>
      <c r="AK423" s="2451"/>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9" t="s">
        <v>1481</v>
      </c>
      <c r="G427" s="2529"/>
      <c r="H427" s="2529"/>
      <c r="I427" s="2529"/>
      <c r="J427" s="2529"/>
      <c r="K427" s="2529"/>
      <c r="L427" s="2529"/>
      <c r="M427" s="2529"/>
      <c r="N427" s="2529"/>
      <c r="O427" s="2529"/>
      <c r="P427" s="2529"/>
      <c r="Q427" s="2529"/>
      <c r="R427" s="2529"/>
      <c r="S427" s="2529"/>
      <c r="T427" s="2529"/>
      <c r="U427" s="2529"/>
      <c r="V427" s="2529"/>
      <c r="W427" s="2529"/>
      <c r="X427" s="2529"/>
      <c r="Y427" s="2529"/>
      <c r="Z427" s="2529"/>
      <c r="AA427" s="2529"/>
      <c r="AB427" s="2529"/>
      <c r="AC427" s="2529"/>
      <c r="AD427" s="2529"/>
      <c r="AE427" s="2529"/>
      <c r="AF427" s="714"/>
      <c r="AG427" s="714"/>
      <c r="AH427" s="714"/>
      <c r="AI427" s="714"/>
      <c r="AJ427" s="714"/>
      <c r="AK427" s="714"/>
      <c r="AL427" s="745"/>
      <c r="AM427" s="570"/>
      <c r="AN427" s="597"/>
    </row>
    <row r="428" spans="1:55" s="550" customFormat="1" ht="12.75" customHeight="1">
      <c r="A428" s="536"/>
      <c r="B428" s="14"/>
      <c r="C428" s="731"/>
      <c r="D428" s="14"/>
      <c r="E428" s="691"/>
      <c r="F428" s="2530"/>
      <c r="G428" s="2530"/>
      <c r="H428" s="2530"/>
      <c r="I428" s="2530"/>
      <c r="J428" s="2530"/>
      <c r="K428" s="2530"/>
      <c r="L428" s="2530"/>
      <c r="M428" s="2530"/>
      <c r="N428" s="2530"/>
      <c r="O428" s="2530"/>
      <c r="P428" s="2530"/>
      <c r="Q428" s="2530"/>
      <c r="R428" s="2530"/>
      <c r="S428" s="2530"/>
      <c r="T428" s="2530"/>
      <c r="U428" s="2530"/>
      <c r="V428" s="2530"/>
      <c r="W428" s="2530"/>
      <c r="X428" s="2530"/>
      <c r="Y428" s="2530"/>
      <c r="Z428" s="2530"/>
      <c r="AA428" s="2530"/>
      <c r="AB428" s="2530"/>
      <c r="AC428" s="2530"/>
      <c r="AD428" s="2530"/>
      <c r="AE428" s="2530"/>
      <c r="AF428" s="539"/>
      <c r="AG428" s="536"/>
      <c r="AL428" s="732"/>
      <c r="AM428" s="570"/>
      <c r="AN428" s="597"/>
    </row>
    <row r="429" spans="1:55" s="550" customFormat="1" ht="12.75" customHeight="1">
      <c r="A429" s="536"/>
      <c r="B429" s="14"/>
      <c r="C429" s="731"/>
      <c r="D429" s="14"/>
      <c r="E429" s="691"/>
      <c r="F429" s="2530"/>
      <c r="G429" s="2530"/>
      <c r="H429" s="2530"/>
      <c r="I429" s="2530"/>
      <c r="J429" s="2530"/>
      <c r="K429" s="2530"/>
      <c r="L429" s="2530"/>
      <c r="M429" s="2530"/>
      <c r="N429" s="2530"/>
      <c r="O429" s="2530"/>
      <c r="P429" s="2530"/>
      <c r="Q429" s="2530"/>
      <c r="R429" s="2530"/>
      <c r="S429" s="2530"/>
      <c r="T429" s="2530"/>
      <c r="U429" s="2530"/>
      <c r="V429" s="2530"/>
      <c r="W429" s="2530"/>
      <c r="X429" s="2530"/>
      <c r="Y429" s="2530"/>
      <c r="Z429" s="2530"/>
      <c r="AA429" s="2530"/>
      <c r="AB429" s="2530"/>
      <c r="AC429" s="2530"/>
      <c r="AD429" s="2530"/>
      <c r="AE429" s="2530"/>
      <c r="AL429" s="732"/>
      <c r="AM429" s="570"/>
      <c r="AN429" s="597"/>
    </row>
    <row r="430" spans="1:55" s="550" customFormat="1" ht="12.75" customHeight="1">
      <c r="A430" s="536"/>
      <c r="B430" s="14"/>
      <c r="C430" s="2526" t="s">
        <v>591</v>
      </c>
      <c r="D430" s="2483"/>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1" t="s">
        <v>1461</v>
      </c>
      <c r="AG430" s="2451"/>
      <c r="AH430" s="2451"/>
      <c r="AI430" s="2451"/>
      <c r="AJ430" s="2451"/>
      <c r="AK430" s="2451"/>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5" customHeight="1">
      <c r="A433" s="536"/>
      <c r="C433" s="746"/>
      <c r="D433" s="747"/>
      <c r="E433" s="715" t="s">
        <v>1483</v>
      </c>
      <c r="F433" s="2529" t="s">
        <v>1484</v>
      </c>
      <c r="G433" s="2529"/>
      <c r="H433" s="2529"/>
      <c r="I433" s="2529"/>
      <c r="J433" s="2529"/>
      <c r="K433" s="2529"/>
      <c r="L433" s="2529"/>
      <c r="M433" s="2529"/>
      <c r="N433" s="2529"/>
      <c r="O433" s="2529"/>
      <c r="P433" s="2529"/>
      <c r="Q433" s="2529"/>
      <c r="R433" s="2529"/>
      <c r="S433" s="2529"/>
      <c r="T433" s="2529"/>
      <c r="U433" s="2529"/>
      <c r="V433" s="2529"/>
      <c r="W433" s="2529"/>
      <c r="X433" s="2529"/>
      <c r="Y433" s="2529"/>
      <c r="Z433" s="2529"/>
      <c r="AA433" s="2529"/>
      <c r="AB433" s="2529"/>
      <c r="AC433" s="2529"/>
      <c r="AD433" s="2529"/>
      <c r="AE433" s="2529"/>
      <c r="AF433" s="747"/>
      <c r="AG433" s="747"/>
      <c r="AH433" s="747"/>
      <c r="AI433" s="747"/>
      <c r="AJ433" s="747"/>
      <c r="AK433" s="747"/>
      <c r="AL433" s="748"/>
      <c r="AM433" s="570"/>
      <c r="AO433" s="550"/>
      <c r="AP433" s="550"/>
      <c r="BD433" s="14"/>
      <c r="BE433" s="14"/>
      <c r="BF433" s="14"/>
      <c r="BG433" s="14"/>
      <c r="BH433" s="14"/>
    </row>
    <row r="434" spans="1:60">
      <c r="A434" s="536"/>
      <c r="C434" s="731"/>
      <c r="E434" s="691"/>
      <c r="F434" s="2530"/>
      <c r="G434" s="2530"/>
      <c r="H434" s="2530"/>
      <c r="I434" s="2530"/>
      <c r="J434" s="2530"/>
      <c r="K434" s="2530"/>
      <c r="L434" s="2530"/>
      <c r="M434" s="2530"/>
      <c r="N434" s="2530"/>
      <c r="O434" s="2530"/>
      <c r="P434" s="2530"/>
      <c r="Q434" s="2530"/>
      <c r="R434" s="2530"/>
      <c r="S434" s="2530"/>
      <c r="T434" s="2530"/>
      <c r="U434" s="2530"/>
      <c r="V434" s="2530"/>
      <c r="W434" s="2530"/>
      <c r="X434" s="2530"/>
      <c r="Y434" s="2530"/>
      <c r="Z434" s="2530"/>
      <c r="AA434" s="2530"/>
      <c r="AB434" s="2530"/>
      <c r="AC434" s="2530"/>
      <c r="AD434" s="2530"/>
      <c r="AE434" s="2530"/>
      <c r="AF434" s="594"/>
      <c r="AG434" s="594"/>
      <c r="AH434" s="594"/>
      <c r="AI434" s="594"/>
      <c r="AJ434" s="594"/>
      <c r="AK434" s="594"/>
      <c r="AL434" s="750"/>
      <c r="AM434" s="570"/>
      <c r="AO434" s="550"/>
      <c r="AP434" s="550"/>
    </row>
    <row r="435" spans="1:60" s="550" customFormat="1" ht="12.75" customHeight="1">
      <c r="A435" s="536"/>
      <c r="B435" s="14"/>
      <c r="C435" s="731"/>
      <c r="D435" s="14"/>
      <c r="E435" s="691"/>
      <c r="F435" s="2530"/>
      <c r="G435" s="2530"/>
      <c r="H435" s="2530"/>
      <c r="I435" s="2530"/>
      <c r="J435" s="2530"/>
      <c r="K435" s="2530"/>
      <c r="L435" s="2530"/>
      <c r="M435" s="2530"/>
      <c r="N435" s="2530"/>
      <c r="O435" s="2530"/>
      <c r="P435" s="2530"/>
      <c r="Q435" s="2530"/>
      <c r="R435" s="2530"/>
      <c r="S435" s="2530"/>
      <c r="T435" s="2530"/>
      <c r="U435" s="2530"/>
      <c r="V435" s="2530"/>
      <c r="W435" s="2530"/>
      <c r="X435" s="2530"/>
      <c r="Y435" s="2530"/>
      <c r="Z435" s="2530"/>
      <c r="AA435" s="2530"/>
      <c r="AB435" s="2530"/>
      <c r="AC435" s="2530"/>
      <c r="AD435" s="2530"/>
      <c r="AE435" s="2530"/>
      <c r="AF435" s="594"/>
      <c r="AG435" s="594"/>
      <c r="AH435" s="594"/>
      <c r="AI435" s="594"/>
      <c r="AJ435" s="594"/>
      <c r="AK435" s="594"/>
      <c r="AL435" s="750"/>
      <c r="AM435" s="570"/>
      <c r="AN435" s="597"/>
    </row>
    <row r="436" spans="1:60" s="550" customFormat="1" ht="12.75" customHeight="1">
      <c r="A436" s="536"/>
      <c r="B436" s="14"/>
      <c r="C436" s="751"/>
      <c r="D436" s="730"/>
      <c r="E436" s="719"/>
      <c r="F436" s="2530"/>
      <c r="G436" s="2530"/>
      <c r="H436" s="2530"/>
      <c r="I436" s="2530"/>
      <c r="J436" s="2530"/>
      <c r="K436" s="2530"/>
      <c r="L436" s="2530"/>
      <c r="M436" s="2530"/>
      <c r="N436" s="2530"/>
      <c r="O436" s="2530"/>
      <c r="P436" s="2530"/>
      <c r="Q436" s="2530"/>
      <c r="R436" s="2530"/>
      <c r="S436" s="2530"/>
      <c r="T436" s="2530"/>
      <c r="U436" s="2530"/>
      <c r="V436" s="2530"/>
      <c r="W436" s="2530"/>
      <c r="X436" s="2530"/>
      <c r="Y436" s="2530"/>
      <c r="Z436" s="2530"/>
      <c r="AA436" s="2530"/>
      <c r="AB436" s="2530"/>
      <c r="AC436" s="2530"/>
      <c r="AD436" s="2530"/>
      <c r="AE436" s="25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0"/>
      <c r="G437" s="2530"/>
      <c r="H437" s="2530"/>
      <c r="I437" s="2530"/>
      <c r="J437" s="2530"/>
      <c r="K437" s="2530"/>
      <c r="L437" s="2530"/>
      <c r="M437" s="2530"/>
      <c r="N437" s="2530"/>
      <c r="O437" s="2530"/>
      <c r="P437" s="2530"/>
      <c r="Q437" s="2530"/>
      <c r="R437" s="2530"/>
      <c r="S437" s="2530"/>
      <c r="T437" s="2530"/>
      <c r="U437" s="2530"/>
      <c r="V437" s="2530"/>
      <c r="W437" s="2530"/>
      <c r="X437" s="2530"/>
      <c r="Y437" s="2530"/>
      <c r="Z437" s="2530"/>
      <c r="AA437" s="2530"/>
      <c r="AB437" s="2530"/>
      <c r="AC437" s="2530"/>
      <c r="AD437" s="2530"/>
      <c r="AE437" s="2530"/>
      <c r="AF437" s="594"/>
      <c r="AG437" s="594"/>
      <c r="AH437" s="594"/>
      <c r="AI437" s="594"/>
      <c r="AJ437" s="594"/>
      <c r="AK437" s="594"/>
      <c r="AL437" s="750"/>
      <c r="AM437" s="570"/>
      <c r="AN437" s="597"/>
    </row>
    <row r="438" spans="1:60" s="550" customFormat="1" ht="12.75" customHeight="1">
      <c r="A438" s="536"/>
      <c r="B438" s="14"/>
      <c r="C438" s="751"/>
      <c r="D438" s="730"/>
      <c r="E438" s="719"/>
      <c r="F438" s="2530"/>
      <c r="G438" s="2530"/>
      <c r="H438" s="2530"/>
      <c r="I438" s="2530"/>
      <c r="J438" s="2530"/>
      <c r="K438" s="2530"/>
      <c r="L438" s="2530"/>
      <c r="M438" s="2530"/>
      <c r="N438" s="2530"/>
      <c r="O438" s="2530"/>
      <c r="P438" s="2530"/>
      <c r="Q438" s="2530"/>
      <c r="R438" s="2530"/>
      <c r="S438" s="2530"/>
      <c r="T438" s="2530"/>
      <c r="U438" s="2530"/>
      <c r="V438" s="2530"/>
      <c r="W438" s="2530"/>
      <c r="X438" s="2530"/>
      <c r="Y438" s="2530"/>
      <c r="Z438" s="2530"/>
      <c r="AA438" s="2530"/>
      <c r="AB438" s="2530"/>
      <c r="AC438" s="2530"/>
      <c r="AD438" s="2530"/>
      <c r="AE438" s="2530"/>
      <c r="AF438" s="594"/>
      <c r="AG438" s="594"/>
      <c r="AH438" s="594"/>
      <c r="AI438" s="594"/>
      <c r="AJ438" s="594"/>
      <c r="AK438" s="594"/>
      <c r="AL438" s="750"/>
      <c r="AM438" s="570"/>
      <c r="AN438" s="597"/>
    </row>
    <row r="439" spans="1:60" s="550" customFormat="1" ht="12.75" customHeight="1">
      <c r="A439" s="536"/>
      <c r="B439" s="14"/>
      <c r="C439" s="751"/>
      <c r="D439" s="730"/>
      <c r="E439" s="719"/>
      <c r="F439" s="2530"/>
      <c r="G439" s="2530"/>
      <c r="H439" s="2530"/>
      <c r="I439" s="2530"/>
      <c r="J439" s="2530"/>
      <c r="K439" s="2530"/>
      <c r="L439" s="2530"/>
      <c r="M439" s="2530"/>
      <c r="N439" s="2530"/>
      <c r="O439" s="2530"/>
      <c r="P439" s="2530"/>
      <c r="Q439" s="2530"/>
      <c r="R439" s="2530"/>
      <c r="S439" s="2530"/>
      <c r="T439" s="2530"/>
      <c r="U439" s="2530"/>
      <c r="V439" s="2530"/>
      <c r="W439" s="2530"/>
      <c r="X439" s="2530"/>
      <c r="Y439" s="2530"/>
      <c r="Z439" s="2530"/>
      <c r="AA439" s="2530"/>
      <c r="AB439" s="2530"/>
      <c r="AC439" s="2530"/>
      <c r="AD439" s="2530"/>
      <c r="AE439" s="2530"/>
      <c r="AF439" s="594"/>
      <c r="AG439" s="594"/>
      <c r="AH439" s="594"/>
      <c r="AI439" s="594"/>
      <c r="AJ439" s="594"/>
      <c r="AK439" s="594"/>
      <c r="AL439" s="750"/>
      <c r="AM439" s="570"/>
      <c r="AN439" s="597"/>
    </row>
    <row r="440" spans="1:60" s="550" customFormat="1" ht="12.75" customHeight="1">
      <c r="A440" s="536"/>
      <c r="B440" s="14"/>
      <c r="C440" s="751"/>
      <c r="D440" s="730"/>
      <c r="E440" s="719"/>
      <c r="F440" s="2530"/>
      <c r="G440" s="2530"/>
      <c r="H440" s="2530"/>
      <c r="I440" s="2530"/>
      <c r="J440" s="2530"/>
      <c r="K440" s="2530"/>
      <c r="L440" s="2530"/>
      <c r="M440" s="2530"/>
      <c r="N440" s="2530"/>
      <c r="O440" s="2530"/>
      <c r="P440" s="2530"/>
      <c r="Q440" s="2530"/>
      <c r="R440" s="2530"/>
      <c r="S440" s="2530"/>
      <c r="T440" s="2530"/>
      <c r="U440" s="2530"/>
      <c r="V440" s="2530"/>
      <c r="W440" s="2530"/>
      <c r="X440" s="2530"/>
      <c r="Y440" s="2530"/>
      <c r="Z440" s="2530"/>
      <c r="AA440" s="2530"/>
      <c r="AB440" s="2530"/>
      <c r="AC440" s="2530"/>
      <c r="AD440" s="2530"/>
      <c r="AE440" s="2530"/>
      <c r="AF440" s="594"/>
      <c r="AG440" s="594"/>
      <c r="AH440" s="594"/>
      <c r="AI440" s="594"/>
      <c r="AJ440" s="594"/>
      <c r="AK440" s="594"/>
      <c r="AL440" s="750"/>
      <c r="AM440" s="570"/>
      <c r="AN440" s="597"/>
    </row>
    <row r="441" spans="1:60" s="550" customFormat="1" ht="17.25" customHeight="1">
      <c r="A441" s="536"/>
      <c r="B441" s="14"/>
      <c r="C441" s="751"/>
      <c r="D441" s="730"/>
      <c r="E441" s="719"/>
      <c r="F441" s="2530"/>
      <c r="G441" s="2530"/>
      <c r="H441" s="2530"/>
      <c r="I441" s="2530"/>
      <c r="J441" s="2530"/>
      <c r="K441" s="2530"/>
      <c r="L441" s="2530"/>
      <c r="M441" s="2530"/>
      <c r="N441" s="2530"/>
      <c r="O441" s="2530"/>
      <c r="P441" s="2530"/>
      <c r="Q441" s="2530"/>
      <c r="R441" s="2530"/>
      <c r="S441" s="2530"/>
      <c r="T441" s="2530"/>
      <c r="U441" s="2530"/>
      <c r="V441" s="2530"/>
      <c r="W441" s="2530"/>
      <c r="X441" s="2530"/>
      <c r="Y441" s="2530"/>
      <c r="Z441" s="2530"/>
      <c r="AA441" s="2530"/>
      <c r="AB441" s="2530"/>
      <c r="AC441" s="2530"/>
      <c r="AD441" s="2530"/>
      <c r="AE441" s="2530"/>
      <c r="AL441" s="732"/>
      <c r="AM441" s="570"/>
      <c r="AN441" s="597"/>
    </row>
    <row r="442" spans="1:60" s="550" customFormat="1" ht="12.75" customHeight="1">
      <c r="A442" s="536"/>
      <c r="B442" s="14"/>
      <c r="C442" s="2526" t="s">
        <v>591</v>
      </c>
      <c r="D442" s="2483"/>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1" t="s">
        <v>1461</v>
      </c>
      <c r="AG442" s="2451"/>
      <c r="AH442" s="2451"/>
      <c r="AI442" s="2451"/>
      <c r="AJ442" s="2451"/>
      <c r="AK442" s="2451"/>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9" t="s">
        <v>1487</v>
      </c>
      <c r="G445" s="2529"/>
      <c r="H445" s="2529"/>
      <c r="I445" s="2529"/>
      <c r="J445" s="2529"/>
      <c r="K445" s="2529"/>
      <c r="L445" s="2529"/>
      <c r="M445" s="2529"/>
      <c r="N445" s="2529"/>
      <c r="O445" s="2529"/>
      <c r="P445" s="2529"/>
      <c r="Q445" s="2529"/>
      <c r="R445" s="2529"/>
      <c r="S445" s="2529"/>
      <c r="T445" s="2529"/>
      <c r="U445" s="2529"/>
      <c r="V445" s="2529"/>
      <c r="W445" s="2529"/>
      <c r="X445" s="2529"/>
      <c r="Y445" s="2529"/>
      <c r="Z445" s="2529"/>
      <c r="AA445" s="2529"/>
      <c r="AB445" s="2529"/>
      <c r="AC445" s="2529"/>
      <c r="AD445" s="2529"/>
      <c r="AE445" s="2529"/>
      <c r="AF445" s="714"/>
      <c r="AG445" s="714"/>
      <c r="AH445" s="714"/>
      <c r="AI445" s="714"/>
      <c r="AJ445" s="714"/>
      <c r="AK445" s="714"/>
      <c r="AL445" s="745"/>
      <c r="AM445" s="570"/>
      <c r="AN445" s="597"/>
    </row>
    <row r="446" spans="1:60" s="550" customFormat="1" ht="12.75" customHeight="1">
      <c r="A446" s="536"/>
      <c r="B446" s="14"/>
      <c r="C446" s="751"/>
      <c r="D446" s="730"/>
      <c r="E446" s="719"/>
      <c r="F446" s="2530"/>
      <c r="G446" s="2530"/>
      <c r="H446" s="2530"/>
      <c r="I446" s="2530"/>
      <c r="J446" s="2530"/>
      <c r="K446" s="2530"/>
      <c r="L446" s="2530"/>
      <c r="M446" s="2530"/>
      <c r="N446" s="2530"/>
      <c r="O446" s="2530"/>
      <c r="P446" s="2530"/>
      <c r="Q446" s="2530"/>
      <c r="R446" s="2530"/>
      <c r="S446" s="2530"/>
      <c r="T446" s="2530"/>
      <c r="U446" s="2530"/>
      <c r="V446" s="2530"/>
      <c r="W446" s="2530"/>
      <c r="X446" s="2530"/>
      <c r="Y446" s="2530"/>
      <c r="Z446" s="2530"/>
      <c r="AA446" s="2530"/>
      <c r="AB446" s="2530"/>
      <c r="AC446" s="2530"/>
      <c r="AD446" s="2530"/>
      <c r="AE446" s="2530"/>
      <c r="AF446" s="591"/>
      <c r="AG446" s="591"/>
      <c r="AH446" s="591"/>
      <c r="AI446" s="591"/>
      <c r="AJ446" s="591"/>
      <c r="AK446" s="591"/>
      <c r="AL446" s="720"/>
      <c r="AM446" s="570"/>
      <c r="AN446" s="597"/>
    </row>
    <row r="447" spans="1:60" s="550" customFormat="1" ht="12.75" customHeight="1">
      <c r="A447" s="536"/>
      <c r="B447" s="14"/>
      <c r="C447" s="751"/>
      <c r="D447" s="730"/>
      <c r="E447" s="719"/>
      <c r="F447" s="2530"/>
      <c r="G447" s="2530"/>
      <c r="H447" s="2530"/>
      <c r="I447" s="2530"/>
      <c r="J447" s="2530"/>
      <c r="K447" s="2530"/>
      <c r="L447" s="2530"/>
      <c r="M447" s="2530"/>
      <c r="N447" s="2530"/>
      <c r="O447" s="2530"/>
      <c r="P447" s="2530"/>
      <c r="Q447" s="2530"/>
      <c r="R447" s="2530"/>
      <c r="S447" s="2530"/>
      <c r="T447" s="2530"/>
      <c r="U447" s="2530"/>
      <c r="V447" s="2530"/>
      <c r="W447" s="2530"/>
      <c r="X447" s="2530"/>
      <c r="Y447" s="2530"/>
      <c r="Z447" s="2530"/>
      <c r="AA447" s="2530"/>
      <c r="AB447" s="2530"/>
      <c r="AC447" s="2530"/>
      <c r="AD447" s="2530"/>
      <c r="AE447" s="2530"/>
      <c r="AF447" s="591"/>
      <c r="AG447" s="591"/>
      <c r="AH447" s="591"/>
      <c r="AI447" s="591"/>
      <c r="AJ447" s="591"/>
      <c r="AK447" s="591"/>
      <c r="AL447" s="720"/>
      <c r="AM447" s="570"/>
      <c r="AN447" s="597"/>
    </row>
    <row r="448" spans="1:60" s="550" customFormat="1" ht="12.75" customHeight="1">
      <c r="A448" s="536"/>
      <c r="B448" s="14"/>
      <c r="C448" s="751"/>
      <c r="D448" s="730"/>
      <c r="E448" s="719"/>
      <c r="F448" s="2530"/>
      <c r="G448" s="2530"/>
      <c r="H448" s="2530"/>
      <c r="I448" s="2530"/>
      <c r="J448" s="2530"/>
      <c r="K448" s="2530"/>
      <c r="L448" s="2530"/>
      <c r="M448" s="2530"/>
      <c r="N448" s="2530"/>
      <c r="O448" s="2530"/>
      <c r="P448" s="2530"/>
      <c r="Q448" s="2530"/>
      <c r="R448" s="2530"/>
      <c r="S448" s="2530"/>
      <c r="T448" s="2530"/>
      <c r="U448" s="2530"/>
      <c r="V448" s="2530"/>
      <c r="W448" s="2530"/>
      <c r="X448" s="2530"/>
      <c r="Y448" s="2530"/>
      <c r="Z448" s="2530"/>
      <c r="AA448" s="2530"/>
      <c r="AB448" s="2530"/>
      <c r="AC448" s="2530"/>
      <c r="AD448" s="2530"/>
      <c r="AE448" s="2530"/>
      <c r="AL448" s="732"/>
      <c r="AM448" s="570"/>
      <c r="AN448" s="597"/>
    </row>
    <row r="449" spans="1:40" s="550" customFormat="1" ht="12.75" customHeight="1">
      <c r="A449" s="536"/>
      <c r="B449" s="14"/>
      <c r="C449" s="2526" t="s">
        <v>591</v>
      </c>
      <c r="D449" s="2483"/>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1" t="s">
        <v>1461</v>
      </c>
      <c r="AG449" s="2451"/>
      <c r="AH449" s="2451"/>
      <c r="AI449" s="2451"/>
      <c r="AJ449" s="2451"/>
      <c r="AK449" s="2451"/>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2" t="s">
        <v>591</v>
      </c>
      <c r="D453" s="2533"/>
      <c r="E453" s="715" t="s">
        <v>1496</v>
      </c>
      <c r="F453" s="2529" t="s">
        <v>1497</v>
      </c>
      <c r="G453" s="2529"/>
      <c r="H453" s="2529"/>
      <c r="I453" s="2529"/>
      <c r="J453" s="2529"/>
      <c r="K453" s="2529"/>
      <c r="L453" s="2529"/>
      <c r="M453" s="2529"/>
      <c r="N453" s="2529"/>
      <c r="O453" s="2529"/>
      <c r="P453" s="2529"/>
      <c r="Q453" s="2529"/>
      <c r="R453" s="2529"/>
      <c r="S453" s="2529"/>
      <c r="T453" s="2529"/>
      <c r="U453" s="2529"/>
      <c r="V453" s="2529"/>
      <c r="W453" s="2529"/>
      <c r="X453" s="2529"/>
      <c r="Y453" s="2529"/>
      <c r="Z453" s="2529"/>
      <c r="AA453" s="2529"/>
      <c r="AB453" s="2529"/>
      <c r="AC453" s="2529"/>
      <c r="AD453" s="2529"/>
      <c r="AE453" s="2529"/>
      <c r="AF453" s="2550" t="s">
        <v>1461</v>
      </c>
      <c r="AG453" s="2550"/>
      <c r="AH453" s="2550"/>
      <c r="AI453" s="2550"/>
      <c r="AJ453" s="2550"/>
      <c r="AK453" s="2550"/>
      <c r="AL453" s="2551"/>
      <c r="AM453" s="570"/>
      <c r="AN453" s="753"/>
    </row>
    <row r="454" spans="1:40" s="550" customFormat="1" ht="12.75" customHeight="1">
      <c r="A454" s="536"/>
      <c r="B454" s="14"/>
      <c r="C454" s="751"/>
      <c r="D454" s="730"/>
      <c r="E454" s="719"/>
      <c r="F454" s="2530"/>
      <c r="G454" s="2530"/>
      <c r="H454" s="2530"/>
      <c r="I454" s="2530"/>
      <c r="J454" s="2530"/>
      <c r="K454" s="2530"/>
      <c r="L454" s="2530"/>
      <c r="M454" s="2530"/>
      <c r="N454" s="2530"/>
      <c r="O454" s="2530"/>
      <c r="P454" s="2530"/>
      <c r="Q454" s="2530"/>
      <c r="R454" s="2530"/>
      <c r="S454" s="2530"/>
      <c r="T454" s="2530"/>
      <c r="U454" s="2530"/>
      <c r="V454" s="2530"/>
      <c r="W454" s="2530"/>
      <c r="X454" s="2530"/>
      <c r="Y454" s="2530"/>
      <c r="Z454" s="2530"/>
      <c r="AA454" s="2530"/>
      <c r="AB454" s="2530"/>
      <c r="AC454" s="2530"/>
      <c r="AD454" s="2530"/>
      <c r="AE454" s="2530"/>
      <c r="AF454" s="591"/>
      <c r="AG454" s="591"/>
      <c r="AH454" s="591"/>
      <c r="AI454" s="591"/>
      <c r="AJ454" s="591"/>
      <c r="AK454" s="591"/>
      <c r="AL454" s="720"/>
      <c r="AM454" s="570"/>
      <c r="AN454" s="754"/>
    </row>
    <row r="455" spans="1:40" s="550" customFormat="1" ht="18" customHeight="1">
      <c r="A455" s="536"/>
      <c r="B455" s="14"/>
      <c r="C455" s="756"/>
      <c r="D455" s="723"/>
      <c r="E455" s="724"/>
      <c r="F455" s="2549"/>
      <c r="G455" s="2549"/>
      <c r="H455" s="2549"/>
      <c r="I455" s="2549"/>
      <c r="J455" s="2549"/>
      <c r="K455" s="2549"/>
      <c r="L455" s="2549"/>
      <c r="M455" s="2549"/>
      <c r="N455" s="2549"/>
      <c r="O455" s="2549"/>
      <c r="P455" s="2549"/>
      <c r="Q455" s="2549"/>
      <c r="R455" s="2549"/>
      <c r="S455" s="2549"/>
      <c r="T455" s="2549"/>
      <c r="U455" s="2549"/>
      <c r="V455" s="2549"/>
      <c r="W455" s="2549"/>
      <c r="X455" s="2549"/>
      <c r="Y455" s="2549"/>
      <c r="Z455" s="2549"/>
      <c r="AA455" s="2549"/>
      <c r="AB455" s="2549"/>
      <c r="AC455" s="2549"/>
      <c r="AD455" s="2549"/>
      <c r="AE455" s="254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6" t="s">
        <v>591</v>
      </c>
      <c r="D457" s="2483"/>
      <c r="E457" s="715" t="s">
        <v>1502</v>
      </c>
      <c r="F457" s="2529" t="s">
        <v>1503</v>
      </c>
      <c r="G457" s="2529"/>
      <c r="H457" s="2529"/>
      <c r="I457" s="2529"/>
      <c r="J457" s="2529"/>
      <c r="K457" s="2529"/>
      <c r="L457" s="2529"/>
      <c r="M457" s="2529"/>
      <c r="N457" s="2529"/>
      <c r="O457" s="2529"/>
      <c r="P457" s="2529"/>
      <c r="Q457" s="2529"/>
      <c r="R457" s="2529"/>
      <c r="S457" s="2529"/>
      <c r="T457" s="2529"/>
      <c r="U457" s="2529"/>
      <c r="V457" s="2529"/>
      <c r="W457" s="2529"/>
      <c r="X457" s="2529"/>
      <c r="Y457" s="2529"/>
      <c r="Z457" s="2529"/>
      <c r="AA457" s="2529"/>
      <c r="AB457" s="2529"/>
      <c r="AC457" s="2529"/>
      <c r="AD457" s="2529"/>
      <c r="AE457" s="2529"/>
      <c r="AF457" s="2550" t="s">
        <v>1461</v>
      </c>
      <c r="AG457" s="2550"/>
      <c r="AH457" s="2550"/>
      <c r="AI457" s="2550"/>
      <c r="AJ457" s="2550"/>
      <c r="AK457" s="2550"/>
      <c r="AL457" s="2551"/>
      <c r="AM457" s="570"/>
      <c r="AN457" s="535"/>
    </row>
    <row r="458" spans="1:40" s="550" customFormat="1" ht="12.75" customHeight="1">
      <c r="A458" s="536"/>
      <c r="B458" s="14"/>
      <c r="C458" s="731"/>
      <c r="D458" s="14"/>
      <c r="E458" s="691"/>
      <c r="F458" s="2530"/>
      <c r="G458" s="2530"/>
      <c r="H458" s="2530"/>
      <c r="I458" s="2530"/>
      <c r="J458" s="2530"/>
      <c r="K458" s="2530"/>
      <c r="L458" s="2530"/>
      <c r="M458" s="2530"/>
      <c r="N458" s="2530"/>
      <c r="O458" s="2530"/>
      <c r="P458" s="2530"/>
      <c r="Q458" s="2530"/>
      <c r="R458" s="2530"/>
      <c r="S458" s="2530"/>
      <c r="T458" s="2530"/>
      <c r="U458" s="2530"/>
      <c r="V458" s="2530"/>
      <c r="W458" s="2530"/>
      <c r="X458" s="2530"/>
      <c r="Y458" s="2530"/>
      <c r="Z458" s="2530"/>
      <c r="AA458" s="2530"/>
      <c r="AB458" s="2530"/>
      <c r="AC458" s="2530"/>
      <c r="AD458" s="2530"/>
      <c r="AE458" s="2530"/>
      <c r="AF458" s="539"/>
      <c r="AG458" s="536"/>
      <c r="AL458" s="732"/>
      <c r="AM458" s="570"/>
      <c r="AN458" s="535"/>
    </row>
    <row r="459" spans="1:40" s="550" customFormat="1" ht="12.75" customHeight="1">
      <c r="A459" s="536"/>
      <c r="B459" s="14"/>
      <c r="C459" s="731"/>
      <c r="D459" s="14"/>
      <c r="E459" s="691"/>
      <c r="F459" s="2530"/>
      <c r="G459" s="2530"/>
      <c r="H459" s="2530"/>
      <c r="I459" s="2530"/>
      <c r="J459" s="2530"/>
      <c r="K459" s="2530"/>
      <c r="L459" s="2530"/>
      <c r="M459" s="2530"/>
      <c r="N459" s="2530"/>
      <c r="O459" s="2530"/>
      <c r="P459" s="2530"/>
      <c r="Q459" s="2530"/>
      <c r="R459" s="2530"/>
      <c r="S459" s="2530"/>
      <c r="T459" s="2530"/>
      <c r="U459" s="2530"/>
      <c r="V459" s="2530"/>
      <c r="W459" s="2530"/>
      <c r="X459" s="2530"/>
      <c r="Y459" s="2530"/>
      <c r="Z459" s="2530"/>
      <c r="AA459" s="2530"/>
      <c r="AB459" s="2530"/>
      <c r="AC459" s="2530"/>
      <c r="AD459" s="2530"/>
      <c r="AE459" s="2530"/>
      <c r="AF459" s="539"/>
      <c r="AG459" s="536"/>
      <c r="AL459" s="732"/>
      <c r="AM459" s="570"/>
      <c r="AN459" s="535"/>
    </row>
    <row r="460" spans="1:40" s="550" customFormat="1" ht="12.75" customHeight="1">
      <c r="A460" s="536"/>
      <c r="B460" s="14"/>
      <c r="C460" s="756"/>
      <c r="D460" s="723"/>
      <c r="E460" s="724"/>
      <c r="F460" s="2549"/>
      <c r="G460" s="2549"/>
      <c r="H460" s="2549"/>
      <c r="I460" s="2549"/>
      <c r="J460" s="2549"/>
      <c r="K460" s="2549"/>
      <c r="L460" s="2549"/>
      <c r="M460" s="2549"/>
      <c r="N460" s="2549"/>
      <c r="O460" s="2549"/>
      <c r="P460" s="2549"/>
      <c r="Q460" s="2549"/>
      <c r="R460" s="2549"/>
      <c r="S460" s="2549"/>
      <c r="T460" s="2549"/>
      <c r="U460" s="2549"/>
      <c r="V460" s="2549"/>
      <c r="W460" s="2549"/>
      <c r="X460" s="2549"/>
      <c r="Y460" s="2549"/>
      <c r="Z460" s="2549"/>
      <c r="AA460" s="2549"/>
      <c r="AB460" s="2549"/>
      <c r="AC460" s="2549"/>
      <c r="AD460" s="2549"/>
      <c r="AE460" s="254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9" t="s">
        <v>1506</v>
      </c>
      <c r="G462" s="2529"/>
      <c r="H462" s="2529"/>
      <c r="I462" s="2529"/>
      <c r="J462" s="2529"/>
      <c r="K462" s="2529"/>
      <c r="L462" s="2529"/>
      <c r="M462" s="2529"/>
      <c r="N462" s="2529"/>
      <c r="O462" s="2529"/>
      <c r="P462" s="2529"/>
      <c r="Q462" s="2529"/>
      <c r="R462" s="2529"/>
      <c r="S462" s="2529"/>
      <c r="T462" s="2529"/>
      <c r="U462" s="2529"/>
      <c r="V462" s="2529"/>
      <c r="W462" s="2529"/>
      <c r="X462" s="2529"/>
      <c r="Y462" s="2529"/>
      <c r="Z462" s="2529"/>
      <c r="AA462" s="2529"/>
      <c r="AB462" s="2529"/>
      <c r="AC462" s="2529"/>
      <c r="AD462" s="2529"/>
      <c r="AE462" s="2529"/>
      <c r="AF462" s="2529"/>
      <c r="AG462" s="744"/>
      <c r="AH462" s="714"/>
      <c r="AI462" s="714"/>
      <c r="AJ462" s="714"/>
      <c r="AK462" s="714"/>
      <c r="AL462" s="745"/>
      <c r="AM462" s="570"/>
      <c r="AN462" s="597"/>
    </row>
    <row r="463" spans="1:40" s="550" customFormat="1" ht="12.75" customHeight="1">
      <c r="A463" s="536"/>
      <c r="B463" s="14"/>
      <c r="C463" s="731"/>
      <c r="D463" s="14"/>
      <c r="E463" s="691"/>
      <c r="F463" s="2530"/>
      <c r="G463" s="2530"/>
      <c r="H463" s="2530"/>
      <c r="I463" s="2530"/>
      <c r="J463" s="2530"/>
      <c r="K463" s="2530"/>
      <c r="L463" s="2530"/>
      <c r="M463" s="2530"/>
      <c r="N463" s="2530"/>
      <c r="O463" s="2530"/>
      <c r="P463" s="2530"/>
      <c r="Q463" s="2530"/>
      <c r="R463" s="2530"/>
      <c r="S463" s="2530"/>
      <c r="T463" s="2530"/>
      <c r="U463" s="2530"/>
      <c r="V463" s="2530"/>
      <c r="W463" s="2530"/>
      <c r="X463" s="2530"/>
      <c r="Y463" s="2530"/>
      <c r="Z463" s="2530"/>
      <c r="AA463" s="2530"/>
      <c r="AB463" s="2530"/>
      <c r="AC463" s="2530"/>
      <c r="AD463" s="2530"/>
      <c r="AE463" s="2530"/>
      <c r="AF463" s="2530"/>
      <c r="AL463" s="732"/>
      <c r="AM463" s="570"/>
      <c r="AN463" s="597"/>
    </row>
    <row r="464" spans="1:40" s="550" customFormat="1" ht="12.75" customHeight="1">
      <c r="A464" s="536"/>
      <c r="B464" s="14"/>
      <c r="C464" s="739"/>
      <c r="F464" s="2530"/>
      <c r="G464" s="2530"/>
      <c r="H464" s="2530"/>
      <c r="I464" s="2530"/>
      <c r="J464" s="2530"/>
      <c r="K464" s="2530"/>
      <c r="L464" s="2530"/>
      <c r="M464" s="2530"/>
      <c r="N464" s="2530"/>
      <c r="O464" s="2530"/>
      <c r="P464" s="2530"/>
      <c r="Q464" s="2530"/>
      <c r="R464" s="2530"/>
      <c r="S464" s="2530"/>
      <c r="T464" s="2530"/>
      <c r="U464" s="2530"/>
      <c r="V464" s="2530"/>
      <c r="W464" s="2530"/>
      <c r="X464" s="2530"/>
      <c r="Y464" s="2530"/>
      <c r="Z464" s="2530"/>
      <c r="AA464" s="2530"/>
      <c r="AB464" s="2530"/>
      <c r="AC464" s="2530"/>
      <c r="AD464" s="2530"/>
      <c r="AE464" s="2530"/>
      <c r="AF464" s="2530"/>
      <c r="AL464" s="732"/>
      <c r="AM464" s="570"/>
      <c r="AN464" s="597"/>
    </row>
    <row r="465" spans="1:58" s="550" customFormat="1" ht="12.75" customHeight="1">
      <c r="A465" s="536"/>
      <c r="B465" s="14"/>
      <c r="C465" s="739"/>
      <c r="F465" s="2530"/>
      <c r="G465" s="2530"/>
      <c r="H465" s="2530"/>
      <c r="I465" s="2530"/>
      <c r="J465" s="2530"/>
      <c r="K465" s="2530"/>
      <c r="L465" s="2530"/>
      <c r="M465" s="2530"/>
      <c r="N465" s="2530"/>
      <c r="O465" s="2530"/>
      <c r="P465" s="2530"/>
      <c r="Q465" s="2530"/>
      <c r="R465" s="2530"/>
      <c r="S465" s="2530"/>
      <c r="T465" s="2530"/>
      <c r="U465" s="2530"/>
      <c r="V465" s="2530"/>
      <c r="W465" s="2530"/>
      <c r="X465" s="2530"/>
      <c r="Y465" s="2530"/>
      <c r="Z465" s="2530"/>
      <c r="AA465" s="2530"/>
      <c r="AB465" s="2530"/>
      <c r="AC465" s="2530"/>
      <c r="AD465" s="2530"/>
      <c r="AE465" s="2530"/>
      <c r="AF465" s="2530"/>
      <c r="AL465" s="732"/>
      <c r="AM465" s="570"/>
      <c r="AN465" s="597"/>
    </row>
    <row r="466" spans="1:58" s="550" customFormat="1" ht="12.75" customHeight="1">
      <c r="A466" s="536"/>
      <c r="B466" s="14"/>
      <c r="C466" s="2526" t="s">
        <v>591</v>
      </c>
      <c r="D466" s="2483"/>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7" t="s">
        <v>1461</v>
      </c>
      <c r="AG466" s="2527"/>
      <c r="AH466" s="2527"/>
      <c r="AI466" s="2527"/>
      <c r="AJ466" s="2527"/>
      <c r="AK466" s="2527"/>
      <c r="AL466" s="252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6">
        <f>IF(Application!D214="N/A",AS358,AS360)</f>
        <v>10</v>
      </c>
      <c r="AL469" s="2487"/>
      <c r="AM469" s="248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27" t="s">
        <v>1510</v>
      </c>
      <c r="AF472" s="2527"/>
      <c r="AG472" s="2527"/>
      <c r="AH472" s="2527"/>
      <c r="AI472" s="2527"/>
      <c r="AJ472" s="2527"/>
      <c r="AK472" s="252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52" t="s">
        <v>591</v>
      </c>
      <c r="D478" s="2553"/>
      <c r="E478" s="761" t="s">
        <v>507</v>
      </c>
      <c r="F478" s="2554" t="s">
        <v>1516</v>
      </c>
      <c r="G478" s="2554"/>
      <c r="H478" s="2554"/>
      <c r="I478" s="2554"/>
      <c r="J478" s="2554"/>
      <c r="K478" s="2554"/>
      <c r="L478" s="2554"/>
      <c r="M478" s="2554"/>
      <c r="N478" s="2554"/>
      <c r="O478" s="2554"/>
      <c r="P478" s="2554"/>
      <c r="Q478" s="2554"/>
      <c r="R478" s="2554"/>
      <c r="S478" s="2554"/>
      <c r="T478" s="2554"/>
      <c r="U478" s="2554"/>
      <c r="V478" s="2554"/>
      <c r="W478" s="2554"/>
      <c r="X478" s="2554"/>
      <c r="Y478" s="2554"/>
      <c r="Z478" s="2554"/>
      <c r="AA478" s="2554"/>
      <c r="AB478" s="2554"/>
      <c r="AC478" s="2554"/>
      <c r="AD478" s="2554"/>
      <c r="AE478" s="2554"/>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5"/>
      <c r="G479" s="2555"/>
      <c r="H479" s="2555"/>
      <c r="I479" s="2555"/>
      <c r="J479" s="2555"/>
      <c r="K479" s="2555"/>
      <c r="L479" s="2555"/>
      <c r="M479" s="2555"/>
      <c r="N479" s="2555"/>
      <c r="O479" s="2555"/>
      <c r="P479" s="2555"/>
      <c r="Q479" s="2555"/>
      <c r="R479" s="2555"/>
      <c r="S479" s="2555"/>
      <c r="T479" s="2555"/>
      <c r="U479" s="2555"/>
      <c r="V479" s="2555"/>
      <c r="W479" s="2555"/>
      <c r="X479" s="2555"/>
      <c r="Y479" s="2555"/>
      <c r="Z479" s="2555"/>
      <c r="AA479" s="2555"/>
      <c r="AB479" s="2555"/>
      <c r="AC479" s="2555"/>
      <c r="AD479" s="2555"/>
      <c r="AE479" s="2555"/>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8" t="s">
        <v>591</v>
      </c>
      <c r="G480" s="2628"/>
      <c r="H480" s="2628"/>
      <c r="I480" s="2628"/>
      <c r="J480" s="2628"/>
      <c r="K480" s="2628"/>
      <c r="L480" s="2628"/>
      <c r="M480" s="2628"/>
      <c r="N480" s="2628"/>
      <c r="O480" s="2628"/>
      <c r="P480" s="2628"/>
      <c r="Q480" s="2628"/>
      <c r="R480" s="2628"/>
      <c r="S480" s="2628"/>
      <c r="T480" s="2628"/>
      <c r="U480" s="2628"/>
      <c r="V480" s="2628"/>
      <c r="W480" s="2628"/>
      <c r="X480" s="2628"/>
      <c r="Y480" s="2628"/>
      <c r="Z480" s="2628"/>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9" t="s">
        <v>545</v>
      </c>
      <c r="D482" s="2630"/>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7" t="s">
        <v>591</v>
      </c>
      <c r="W485" s="2627"/>
      <c r="X485" s="2627"/>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7" t="s">
        <v>591</v>
      </c>
      <c r="W487" s="2627"/>
      <c r="X487" s="2627"/>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7" t="s">
        <v>591</v>
      </c>
      <c r="W492" s="2627"/>
      <c r="X492" s="2627"/>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7"/>
      <c r="E495" s="2617"/>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7" t="s">
        <v>591</v>
      </c>
      <c r="W496" s="2627"/>
      <c r="X496" s="2627"/>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7" t="s">
        <v>591</v>
      </c>
      <c r="W498" s="2627"/>
      <c r="X498" s="2627"/>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2" t="s">
        <v>591</v>
      </c>
      <c r="D501" s="2553"/>
      <c r="E501" s="761" t="s">
        <v>507</v>
      </c>
      <c r="F501" s="2554" t="s">
        <v>1516</v>
      </c>
      <c r="G501" s="2554"/>
      <c r="H501" s="2554"/>
      <c r="I501" s="2554"/>
      <c r="J501" s="2554"/>
      <c r="K501" s="2554"/>
      <c r="L501" s="2554"/>
      <c r="M501" s="2554"/>
      <c r="N501" s="2554"/>
      <c r="O501" s="2554"/>
      <c r="P501" s="2554"/>
      <c r="Q501" s="2554"/>
      <c r="R501" s="2554"/>
      <c r="S501" s="2554"/>
      <c r="T501" s="2554"/>
      <c r="U501" s="2554"/>
      <c r="V501" s="2554"/>
      <c r="W501" s="2554"/>
      <c r="X501" s="2554"/>
      <c r="Y501" s="2554"/>
      <c r="Z501" s="2554"/>
      <c r="AA501" s="2554"/>
      <c r="AB501" s="2554"/>
      <c r="AC501" s="2554"/>
      <c r="AD501" s="2554"/>
      <c r="AE501" s="255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5"/>
      <c r="G502" s="2555"/>
      <c r="H502" s="2555"/>
      <c r="I502" s="2555"/>
      <c r="J502" s="2555"/>
      <c r="K502" s="2555"/>
      <c r="L502" s="2555"/>
      <c r="M502" s="2555"/>
      <c r="N502" s="2555"/>
      <c r="O502" s="2555"/>
      <c r="P502" s="2555"/>
      <c r="Q502" s="2555"/>
      <c r="R502" s="2555"/>
      <c r="S502" s="2555"/>
      <c r="T502" s="2555"/>
      <c r="U502" s="2555"/>
      <c r="V502" s="2555"/>
      <c r="W502" s="2555"/>
      <c r="X502" s="2555"/>
      <c r="Y502" s="2555"/>
      <c r="Z502" s="2555"/>
      <c r="AA502" s="2555"/>
      <c r="AB502" s="2555"/>
      <c r="AC502" s="2555"/>
      <c r="AD502" s="2555"/>
      <c r="AE502" s="255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3" t="s">
        <v>591</v>
      </c>
      <c r="G503" s="2623"/>
      <c r="H503" s="2623"/>
      <c r="I503" s="2623"/>
      <c r="J503" s="2623"/>
      <c r="K503" s="2623"/>
      <c r="L503" s="2623"/>
      <c r="M503" s="2623"/>
      <c r="N503" s="2623"/>
      <c r="O503" s="2623"/>
      <c r="P503" s="2623"/>
      <c r="Q503" s="2623"/>
      <c r="R503" s="2623"/>
      <c r="S503" s="2623"/>
      <c r="T503" s="2623"/>
      <c r="U503" s="2623"/>
      <c r="V503" s="2623"/>
      <c r="W503" s="2623"/>
      <c r="X503" s="2623"/>
      <c r="Y503" s="2623"/>
      <c r="Z503" s="262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2" t="s">
        <v>591</v>
      </c>
      <c r="D505" s="2553"/>
      <c r="E505" s="761" t="s">
        <v>757</v>
      </c>
      <c r="F505" s="2624" t="s">
        <v>1538</v>
      </c>
      <c r="G505" s="2624"/>
      <c r="H505" s="2624"/>
      <c r="I505" s="2624"/>
      <c r="J505" s="2624"/>
      <c r="K505" s="2624"/>
      <c r="L505" s="2624"/>
      <c r="M505" s="2624"/>
      <c r="N505" s="2624"/>
      <c r="O505" s="2624"/>
      <c r="P505" s="2624"/>
      <c r="Q505" s="2624"/>
      <c r="R505" s="2624"/>
      <c r="S505" s="2624"/>
      <c r="T505" s="2624"/>
      <c r="U505" s="2624"/>
      <c r="V505" s="2624"/>
      <c r="W505" s="2624"/>
      <c r="X505" s="2624"/>
      <c r="Y505" s="2624"/>
      <c r="Z505" s="2624"/>
      <c r="AA505" s="2624"/>
      <c r="AB505" s="2624"/>
      <c r="AC505" s="2624"/>
      <c r="AD505" s="2624"/>
      <c r="AE505" s="262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5"/>
      <c r="G506" s="2625"/>
      <c r="H506" s="2625"/>
      <c r="I506" s="2625"/>
      <c r="J506" s="2625"/>
      <c r="K506" s="2625"/>
      <c r="L506" s="2625"/>
      <c r="M506" s="2625"/>
      <c r="N506" s="2625"/>
      <c r="O506" s="2625"/>
      <c r="P506" s="2625"/>
      <c r="Q506" s="2625"/>
      <c r="R506" s="2625"/>
      <c r="S506" s="2625"/>
      <c r="T506" s="2625"/>
      <c r="U506" s="2625"/>
      <c r="V506" s="2625"/>
      <c r="W506" s="2625"/>
      <c r="X506" s="2625"/>
      <c r="Y506" s="2625"/>
      <c r="Z506" s="2625"/>
      <c r="AA506" s="2625"/>
      <c r="AB506" s="2625"/>
      <c r="AC506" s="2625"/>
      <c r="AD506" s="2625"/>
      <c r="AE506" s="262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6" t="s">
        <v>591</v>
      </c>
      <c r="G508" s="2626"/>
      <c r="H508" s="262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52" t="s">
        <v>591</v>
      </c>
      <c r="D510" s="2553"/>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6"/>
      <c r="D512" s="2617"/>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8" t="s">
        <v>591</v>
      </c>
      <c r="H513" s="2618"/>
      <c r="I513" s="2618"/>
      <c r="J513" s="2618"/>
      <c r="K513" s="2618"/>
      <c r="L513" s="2618"/>
      <c r="M513" s="2618"/>
      <c r="N513" s="2618"/>
      <c r="O513" s="2618"/>
      <c r="P513" s="2618"/>
      <c r="Q513" s="2618"/>
      <c r="R513" s="2618"/>
      <c r="S513" s="2618"/>
      <c r="T513" s="2618"/>
      <c r="U513" s="2618"/>
      <c r="V513" s="2618"/>
      <c r="W513" s="2618"/>
      <c r="X513" s="2618"/>
      <c r="Y513" s="2618"/>
      <c r="Z513" s="2618"/>
      <c r="AA513" s="2618"/>
      <c r="AB513" s="2618"/>
      <c r="AC513" s="2618"/>
      <c r="AD513" s="2618"/>
      <c r="AE513" s="2618"/>
      <c r="AF513" s="261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6" t="s">
        <v>591</v>
      </c>
      <c r="D515" s="255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6" t="s">
        <v>591</v>
      </c>
      <c r="D519" s="2557"/>
      <c r="F519" s="795" t="s">
        <v>1546</v>
      </c>
      <c r="G519" s="2530" t="s">
        <v>1547</v>
      </c>
      <c r="H519" s="2530"/>
      <c r="I519" s="2530"/>
      <c r="J519" s="2530"/>
      <c r="K519" s="2530"/>
      <c r="L519" s="2530"/>
      <c r="M519" s="2530"/>
      <c r="N519" s="2530"/>
      <c r="O519" s="2530"/>
      <c r="P519" s="2530"/>
      <c r="Q519" s="2530"/>
      <c r="R519" s="2530"/>
      <c r="S519" s="2530"/>
      <c r="T519" s="2530"/>
      <c r="U519" s="2530"/>
      <c r="V519" s="2530"/>
      <c r="W519" s="2530"/>
      <c r="X519" s="2530"/>
      <c r="Y519" s="2530"/>
      <c r="Z519" s="2530"/>
      <c r="AA519" s="2530"/>
      <c r="AB519" s="2530"/>
      <c r="AC519" s="2530"/>
      <c r="AD519" s="2530"/>
      <c r="AE519" s="2530"/>
      <c r="AF519" s="253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9"/>
      <c r="H520" s="2549"/>
      <c r="I520" s="2549"/>
      <c r="J520" s="2549"/>
      <c r="K520" s="2549"/>
      <c r="L520" s="2549"/>
      <c r="M520" s="2549"/>
      <c r="N520" s="2549"/>
      <c r="O520" s="2549"/>
      <c r="P520" s="2549"/>
      <c r="Q520" s="2549"/>
      <c r="R520" s="2549"/>
      <c r="S520" s="2549"/>
      <c r="T520" s="2549"/>
      <c r="U520" s="2549"/>
      <c r="V520" s="2549"/>
      <c r="W520" s="2549"/>
      <c r="X520" s="2549"/>
      <c r="Y520" s="2549"/>
      <c r="Z520" s="2549"/>
      <c r="AA520" s="2549"/>
      <c r="AB520" s="2549"/>
      <c r="AC520" s="2549"/>
      <c r="AD520" s="2549"/>
      <c r="AE520" s="2549"/>
      <c r="AF520" s="254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8" t="s">
        <v>591</v>
      </c>
      <c r="D523" s="255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0" t="s">
        <v>591</v>
      </c>
      <c r="G524" s="2560"/>
      <c r="H524" s="2560"/>
      <c r="I524" s="2560"/>
      <c r="J524" s="2560"/>
      <c r="K524" s="2560"/>
      <c r="L524" s="2560"/>
      <c r="M524" s="2560"/>
      <c r="N524" s="2560"/>
      <c r="O524" s="2560"/>
      <c r="P524" s="2560"/>
      <c r="Q524" s="2560"/>
      <c r="R524" s="2560"/>
      <c r="S524" s="2560"/>
      <c r="T524" s="2560"/>
      <c r="U524" s="2560"/>
      <c r="V524" s="2560"/>
      <c r="W524" s="2560"/>
      <c r="X524" s="2560"/>
      <c r="Y524" s="2560"/>
      <c r="Z524" s="2560"/>
      <c r="AA524" s="2560"/>
      <c r="AB524" s="2560"/>
      <c r="AC524" s="2560"/>
      <c r="AD524" s="2560"/>
      <c r="AE524" s="2560"/>
      <c r="AF524" s="256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1"/>
      <c r="G525" s="2561"/>
      <c r="H525" s="2561"/>
      <c r="I525" s="2561"/>
      <c r="J525" s="2561"/>
      <c r="K525" s="2561"/>
      <c r="L525" s="2561"/>
      <c r="M525" s="2561"/>
      <c r="N525" s="2561"/>
      <c r="O525" s="2561"/>
      <c r="P525" s="2561"/>
      <c r="Q525" s="2561"/>
      <c r="R525" s="2561"/>
      <c r="S525" s="2561"/>
      <c r="T525" s="2561"/>
      <c r="U525" s="2561"/>
      <c r="V525" s="2561"/>
      <c r="W525" s="2561"/>
      <c r="X525" s="2561"/>
      <c r="Y525" s="2561"/>
      <c r="Z525" s="2561"/>
      <c r="AA525" s="2561"/>
      <c r="AB525" s="2561"/>
      <c r="AC525" s="2561"/>
      <c r="AD525" s="2561"/>
      <c r="AE525" s="2561"/>
      <c r="AF525" s="256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6">
        <f>SUM(AG479:AG524)</f>
        <v>0</v>
      </c>
      <c r="AL535" s="2487"/>
      <c r="AM535" s="248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6" t="s">
        <v>1559</v>
      </c>
      <c r="AF538" s="2416"/>
      <c r="AG538" s="2416"/>
      <c r="AH538" s="2416"/>
      <c r="AI538" s="2416"/>
      <c r="AJ538" s="2416"/>
      <c r="AK538" s="2416"/>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3" t="s">
        <v>545</v>
      </c>
      <c r="D541" s="2483"/>
      <c r="E541" s="551"/>
      <c r="F541" s="2610" t="s">
        <v>1560</v>
      </c>
      <c r="G541" s="2611"/>
      <c r="H541" s="2611"/>
      <c r="I541" s="2611"/>
      <c r="J541" s="2611"/>
      <c r="K541" s="2611"/>
      <c r="L541" s="2611"/>
      <c r="M541" s="2611"/>
      <c r="N541" s="2611"/>
      <c r="O541" s="2611"/>
      <c r="P541" s="2611"/>
      <c r="Q541" s="2611"/>
      <c r="R541" s="2611"/>
      <c r="S541" s="2611"/>
      <c r="T541" s="2611"/>
      <c r="U541" s="2611"/>
      <c r="V541" s="2611"/>
      <c r="W541" s="2611"/>
      <c r="X541" s="2611"/>
      <c r="Y541" s="2611"/>
      <c r="Z541" s="2611"/>
      <c r="AA541" s="2611"/>
      <c r="AB541" s="2611"/>
      <c r="AC541" s="2611"/>
      <c r="AD541" s="2611"/>
      <c r="AE541" s="2611"/>
      <c r="AF541" s="2611"/>
      <c r="AG541" s="2611"/>
      <c r="AH541" s="2611"/>
      <c r="AI541" s="2611"/>
      <c r="AJ541" s="2611"/>
      <c r="AK541" s="2611"/>
      <c r="AL541" s="2612"/>
      <c r="AM541" s="595"/>
      <c r="AN541" s="597"/>
    </row>
    <row r="542" spans="1:81" s="550" customFormat="1" ht="12.75" customHeight="1">
      <c r="A542" s="539"/>
      <c r="B542" s="539"/>
      <c r="C542" s="551"/>
      <c r="D542" s="551"/>
      <c r="E542" s="551"/>
      <c r="F542" s="2613"/>
      <c r="G542" s="2614"/>
      <c r="H542" s="2614"/>
      <c r="I542" s="2614"/>
      <c r="J542" s="2614"/>
      <c r="K542" s="2614"/>
      <c r="L542" s="2614"/>
      <c r="M542" s="2614"/>
      <c r="N542" s="2614"/>
      <c r="O542" s="2614"/>
      <c r="P542" s="2614"/>
      <c r="Q542" s="2614"/>
      <c r="R542" s="2614"/>
      <c r="S542" s="2614"/>
      <c r="T542" s="2614"/>
      <c r="U542" s="2614"/>
      <c r="V542" s="2614"/>
      <c r="W542" s="2614"/>
      <c r="X542" s="2614"/>
      <c r="Y542" s="2614"/>
      <c r="Z542" s="2614"/>
      <c r="AA542" s="2614"/>
      <c r="AB542" s="2614"/>
      <c r="AC542" s="2614"/>
      <c r="AD542" s="2614"/>
      <c r="AE542" s="2614"/>
      <c r="AF542" s="2614"/>
      <c r="AG542" s="2614"/>
      <c r="AH542" s="2614"/>
      <c r="AI542" s="2614"/>
      <c r="AJ542" s="2614"/>
      <c r="AK542" s="2614"/>
      <c r="AL542" s="261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3" t="s">
        <v>591</v>
      </c>
      <c r="D544" s="2483"/>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5" t="s">
        <v>1562</v>
      </c>
      <c r="G545" s="2506"/>
      <c r="H545" s="2506"/>
      <c r="I545" s="2506"/>
      <c r="J545" s="2506"/>
      <c r="K545" s="2506"/>
      <c r="L545" s="2506"/>
      <c r="M545" s="2506"/>
      <c r="N545" s="2506"/>
      <c r="O545" s="2506"/>
      <c r="P545" s="2506"/>
      <c r="Q545" s="2506"/>
      <c r="R545" s="2506"/>
      <c r="S545" s="2506"/>
      <c r="T545" s="2506"/>
      <c r="U545" s="2506"/>
      <c r="V545" s="2506"/>
      <c r="W545" s="2506"/>
      <c r="X545" s="2506"/>
      <c r="Y545" s="2506"/>
      <c r="Z545" s="2506"/>
      <c r="AA545" s="2506"/>
      <c r="AB545" s="2506"/>
      <c r="AC545" s="2506"/>
      <c r="AD545" s="2506"/>
      <c r="AE545" s="2506"/>
      <c r="AF545" s="2506"/>
      <c r="AG545" s="2506"/>
      <c r="AH545" s="2506"/>
      <c r="AI545" s="2506"/>
      <c r="AJ545" s="2506"/>
      <c r="AK545" s="2506"/>
      <c r="AL545" s="2507"/>
      <c r="AM545" s="595"/>
      <c r="AN545" s="597"/>
      <c r="AS545" s="870"/>
      <c r="AT545" s="870"/>
      <c r="AU545" s="870"/>
      <c r="AV545" s="870"/>
      <c r="AW545" s="870"/>
    </row>
    <row r="546" spans="1:49" s="550" customFormat="1" ht="12.75" customHeight="1">
      <c r="B546" s="806"/>
      <c r="C546" s="806"/>
      <c r="D546" s="806"/>
      <c r="E546" s="806"/>
      <c r="F546" s="2505"/>
      <c r="G546" s="2506"/>
      <c r="H546" s="2506"/>
      <c r="I546" s="2506"/>
      <c r="J546" s="2506"/>
      <c r="K546" s="2506"/>
      <c r="L546" s="2506"/>
      <c r="M546" s="2506"/>
      <c r="N546" s="2506"/>
      <c r="O546" s="2506"/>
      <c r="P546" s="2506"/>
      <c r="Q546" s="2506"/>
      <c r="R546" s="2506"/>
      <c r="S546" s="2506"/>
      <c r="T546" s="2506"/>
      <c r="U546" s="2506"/>
      <c r="V546" s="2506"/>
      <c r="W546" s="2506"/>
      <c r="X546" s="2506"/>
      <c r="Y546" s="2506"/>
      <c r="Z546" s="2506"/>
      <c r="AA546" s="2506"/>
      <c r="AB546" s="2506"/>
      <c r="AC546" s="2506"/>
      <c r="AD546" s="2506"/>
      <c r="AE546" s="2506"/>
      <c r="AF546" s="2506"/>
      <c r="AG546" s="2506"/>
      <c r="AH546" s="2506"/>
      <c r="AI546" s="2506"/>
      <c r="AJ546" s="2506"/>
      <c r="AK546" s="2506"/>
      <c r="AL546" s="2507"/>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5" t="s">
        <v>1563</v>
      </c>
      <c r="G548" s="2506"/>
      <c r="H548" s="2506"/>
      <c r="I548" s="2506"/>
      <c r="J548" s="2506"/>
      <c r="K548" s="2506"/>
      <c r="L548" s="2506"/>
      <c r="M548" s="2506"/>
      <c r="N548" s="2506"/>
      <c r="O548" s="2506"/>
      <c r="P548" s="2506"/>
      <c r="Q548" s="2506"/>
      <c r="R548" s="2506"/>
      <c r="S548" s="2506"/>
      <c r="T548" s="2506"/>
      <c r="U548" s="2506"/>
      <c r="V548" s="2506"/>
      <c r="W548" s="2506"/>
      <c r="X548" s="2506"/>
      <c r="Y548" s="2506"/>
      <c r="Z548" s="2506"/>
      <c r="AA548" s="2506"/>
      <c r="AB548" s="2506"/>
      <c r="AC548" s="2506"/>
      <c r="AD548" s="2506"/>
      <c r="AE548" s="2506"/>
      <c r="AF548" s="2506"/>
      <c r="AG548" s="2506"/>
      <c r="AH548" s="2506"/>
      <c r="AI548" s="2506"/>
      <c r="AJ548" s="2506"/>
      <c r="AK548" s="2506"/>
      <c r="AL548" s="813"/>
      <c r="AM548" s="595"/>
      <c r="AN548" s="597"/>
    </row>
    <row r="549" spans="1:49" s="550" customFormat="1" ht="12.75" customHeight="1">
      <c r="B549" s="806"/>
      <c r="C549" s="806"/>
      <c r="D549" s="806"/>
      <c r="E549" s="806"/>
      <c r="F549" s="2508"/>
      <c r="G549" s="2509"/>
      <c r="H549" s="2509"/>
      <c r="I549" s="2509"/>
      <c r="J549" s="2509"/>
      <c r="K549" s="2509"/>
      <c r="L549" s="2509"/>
      <c r="M549" s="2509"/>
      <c r="N549" s="2509"/>
      <c r="O549" s="2509"/>
      <c r="P549" s="2509"/>
      <c r="Q549" s="2509"/>
      <c r="R549" s="2509"/>
      <c r="S549" s="2509"/>
      <c r="T549" s="2509"/>
      <c r="U549" s="2509"/>
      <c r="V549" s="2509"/>
      <c r="W549" s="2509"/>
      <c r="X549" s="2509"/>
      <c r="Y549" s="2509"/>
      <c r="Z549" s="2509"/>
      <c r="AA549" s="2509"/>
      <c r="AB549" s="2509"/>
      <c r="AC549" s="2509"/>
      <c r="AD549" s="2509"/>
      <c r="AE549" s="2509"/>
      <c r="AF549" s="2509"/>
      <c r="AG549" s="2509"/>
      <c r="AH549" s="2509"/>
      <c r="AI549" s="2509"/>
      <c r="AJ549" s="2509"/>
      <c r="AK549" s="250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2">
        <f>Application!AJ992</f>
        <v>53734660</v>
      </c>
      <c r="AQ550" s="2632"/>
      <c r="AR550" s="2632"/>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9">
        <f>'Sources and Uses Budget'!S107+'Sources and Uses Budget'!T107</f>
        <v>32278964</v>
      </c>
      <c r="AG551" s="2489"/>
      <c r="AH551" s="2489"/>
      <c r="AI551" s="2489"/>
      <c r="AJ551" s="248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7">
        <f>IFERROR(AP559,0)</f>
        <v>72004444.400000006</v>
      </c>
      <c r="AG552" s="2637"/>
      <c r="AH552" s="2637"/>
      <c r="AI552" s="2637"/>
      <c r="AJ552" s="2637"/>
      <c r="AK552" s="595"/>
      <c r="AL552" s="595"/>
      <c r="AM552" s="595"/>
      <c r="AN552" s="597"/>
      <c r="AP552" s="2632">
        <f>Application!AJ1045</f>
        <v>6448159.2000000002</v>
      </c>
      <c r="AQ552" s="2632"/>
      <c r="AR552" s="2632"/>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8">
        <f>IFERROR(ROUNDDOWN(IF(C544="YES",((1-(AF551/AF552))*2),(1-(AF551/AF552))),2),0)</f>
        <v>0.55000000000000004</v>
      </c>
      <c r="AG553" s="2638"/>
      <c r="AH553" s="2638"/>
      <c r="AI553" s="2638"/>
      <c r="AJ553" s="2638"/>
      <c r="AK553" s="595"/>
      <c r="AL553" s="595"/>
      <c r="AM553" s="595"/>
      <c r="AN553" s="597"/>
      <c r="AP553" s="2635">
        <f>Application!AJ1049</f>
        <v>11821625.199999999</v>
      </c>
      <c r="AQ553" s="2635"/>
      <c r="AR553" s="2635"/>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1">
        <f>IF(((AP552+AP553)/AP550)&gt;0.8,0.8,((AP552+AP553)/AP550))</f>
        <v>0.33999999999999997</v>
      </c>
      <c r="AQ554" s="2631"/>
      <c r="AR554" s="2631"/>
      <c r="AS554" s="550" t="s">
        <v>2170</v>
      </c>
    </row>
    <row r="555" spans="1:49" s="550" customFormat="1" ht="12.75" customHeight="1">
      <c r="A555" s="624"/>
      <c r="B555" s="2568" t="s">
        <v>2030</v>
      </c>
      <c r="C555" s="2569"/>
      <c r="D555" s="2569"/>
      <c r="E555" s="2569"/>
      <c r="F555" s="2569"/>
      <c r="G555" s="2569"/>
      <c r="H555" s="2569"/>
      <c r="I555" s="2569"/>
      <c r="J555" s="2569"/>
      <c r="K555" s="2569"/>
      <c r="L555" s="2569"/>
      <c r="M555" s="2569"/>
      <c r="N555" s="2569"/>
      <c r="O555" s="2569"/>
      <c r="P555" s="2569"/>
      <c r="Q555" s="2569"/>
      <c r="R555" s="2569"/>
      <c r="S555" s="2569"/>
      <c r="T555" s="2569"/>
      <c r="U555" s="2569"/>
      <c r="V555" s="2569"/>
      <c r="W555" s="2569"/>
      <c r="X555" s="2569"/>
      <c r="Y555" s="2569"/>
      <c r="Z555" s="2569"/>
      <c r="AA555" s="2569"/>
      <c r="AB555" s="2569"/>
      <c r="AC555" s="2569"/>
      <c r="AD555" s="2569"/>
      <c r="AE555" s="2569"/>
      <c r="AF555" s="2569"/>
      <c r="AG555" s="2569"/>
      <c r="AH555" s="2569"/>
      <c r="AI555" s="2569"/>
      <c r="AJ555" s="2570"/>
      <c r="AK555" s="595"/>
      <c r="AL555" s="595"/>
      <c r="AM555" s="595"/>
      <c r="AN555" s="597"/>
    </row>
    <row r="556" spans="1:49" s="550" customFormat="1" ht="12.75" customHeight="1">
      <c r="A556" s="624"/>
      <c r="B556" s="2571"/>
      <c r="C556" s="2572"/>
      <c r="D556" s="2572"/>
      <c r="E556" s="2572"/>
      <c r="F556" s="2572"/>
      <c r="G556" s="2572"/>
      <c r="H556" s="2572"/>
      <c r="I556" s="2572"/>
      <c r="J556" s="2572"/>
      <c r="K556" s="2572"/>
      <c r="L556" s="2572"/>
      <c r="M556" s="2572"/>
      <c r="N556" s="2572"/>
      <c r="O556" s="2572"/>
      <c r="P556" s="2572"/>
      <c r="Q556" s="2572"/>
      <c r="R556" s="2572"/>
      <c r="S556" s="2572"/>
      <c r="T556" s="2572"/>
      <c r="U556" s="2572"/>
      <c r="V556" s="2572"/>
      <c r="W556" s="2572"/>
      <c r="X556" s="2572"/>
      <c r="Y556" s="2572"/>
      <c r="Z556" s="2572"/>
      <c r="AA556" s="2572"/>
      <c r="AB556" s="2572"/>
      <c r="AC556" s="2572"/>
      <c r="AD556" s="2572"/>
      <c r="AE556" s="2572"/>
      <c r="AF556" s="2572"/>
      <c r="AG556" s="2572"/>
      <c r="AH556" s="2572"/>
      <c r="AI556" s="2572"/>
      <c r="AJ556" s="2573"/>
      <c r="AK556" s="595"/>
      <c r="AL556" s="595"/>
      <c r="AM556" s="595"/>
      <c r="AN556" s="597"/>
      <c r="AP556" s="2632">
        <f>AP557-AP552-AP553</f>
        <v>53734660</v>
      </c>
      <c r="AQ556" s="2541"/>
      <c r="AR556" s="2541"/>
      <c r="AS556" s="550" t="s">
        <v>2172</v>
      </c>
    </row>
    <row r="557" spans="1:49" s="550" customFormat="1" ht="12.75" customHeight="1">
      <c r="A557" s="624"/>
      <c r="B557" s="2574"/>
      <c r="C557" s="2575"/>
      <c r="D557" s="2575"/>
      <c r="E557" s="2575"/>
      <c r="F557" s="2575"/>
      <c r="G557" s="2575"/>
      <c r="H557" s="2575"/>
      <c r="I557" s="2575"/>
      <c r="J557" s="2575"/>
      <c r="K557" s="2575"/>
      <c r="L557" s="2575"/>
      <c r="M557" s="2575"/>
      <c r="N557" s="2575"/>
      <c r="O557" s="2575"/>
      <c r="P557" s="2575"/>
      <c r="Q557" s="2575"/>
      <c r="R557" s="2575"/>
      <c r="S557" s="2575"/>
      <c r="T557" s="2575"/>
      <c r="U557" s="2575"/>
      <c r="V557" s="2575"/>
      <c r="W557" s="2575"/>
      <c r="X557" s="2575"/>
      <c r="Y557" s="2575"/>
      <c r="Z557" s="2575"/>
      <c r="AA557" s="2575"/>
      <c r="AB557" s="2575"/>
      <c r="AC557" s="2575"/>
      <c r="AD557" s="2575"/>
      <c r="AE557" s="2575"/>
      <c r="AF557" s="2575"/>
      <c r="AG557" s="2575"/>
      <c r="AH557" s="2575"/>
      <c r="AI557" s="2575"/>
      <c r="AJ557" s="2576"/>
      <c r="AK557" s="595"/>
      <c r="AL557" s="595"/>
      <c r="AM557" s="595"/>
      <c r="AN557" s="597"/>
      <c r="AP557" s="2632">
        <f>Application!AJ1053</f>
        <v>72004444.400000006</v>
      </c>
      <c r="AQ557" s="2632"/>
      <c r="AR557" s="2632"/>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7">
        <f>IFERROR(IF(AND(C541="N/A",C544="N/A"),0,IF(AF553=0,0,IF((AF553*100)&gt;12,12,(AF553*100)))),0)</f>
        <v>12</v>
      </c>
      <c r="AL559" s="2577"/>
      <c r="AM559" s="2578"/>
      <c r="AN559" s="597"/>
      <c r="AP559" s="2649">
        <f>AP556+(AP550*AP554)</f>
        <v>72004444.400000006</v>
      </c>
      <c r="AQ559" s="2650"/>
      <c r="AR559" s="265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6" t="s">
        <v>1313</v>
      </c>
      <c r="AF562" s="2416"/>
      <c r="AG562" s="2416"/>
      <c r="AH562" s="2416"/>
      <c r="AI562" s="2416"/>
      <c r="AJ562" s="2416"/>
      <c r="AK562" s="241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6" t="s">
        <v>2021</v>
      </c>
      <c r="C564" s="2506"/>
      <c r="D564" s="2506"/>
      <c r="E564" s="2506"/>
      <c r="F564" s="2506"/>
      <c r="G564" s="2506"/>
      <c r="H564" s="2506"/>
      <c r="I564" s="2506"/>
      <c r="J564" s="2506"/>
      <c r="K564" s="2506"/>
      <c r="L564" s="2506"/>
      <c r="M564" s="2506"/>
      <c r="N564" s="2506"/>
      <c r="O564" s="2506"/>
      <c r="P564" s="2506"/>
      <c r="Q564" s="2506"/>
      <c r="R564" s="2506"/>
      <c r="S564" s="2506"/>
      <c r="T564" s="2506"/>
      <c r="U564" s="2506"/>
      <c r="V564" s="2506"/>
      <c r="W564" s="2506"/>
      <c r="X564" s="2506"/>
      <c r="Y564" s="2506"/>
      <c r="Z564" s="2506"/>
      <c r="AA564" s="2506"/>
      <c r="AB564" s="2506"/>
      <c r="AC564" s="2506"/>
      <c r="AD564" s="2506"/>
      <c r="AE564" s="2506"/>
      <c r="AF564" s="2506"/>
      <c r="AG564" s="2506"/>
      <c r="AH564" s="2506"/>
      <c r="AI564" s="2506"/>
      <c r="AJ564" s="2506"/>
      <c r="AK564" s="642"/>
      <c r="AL564" s="573"/>
      <c r="AM564" s="603"/>
      <c r="AN564" s="597"/>
    </row>
    <row r="565" spans="1:42" s="550" customFormat="1" ht="12.75" customHeight="1">
      <c r="A565" s="603"/>
      <c r="B565" s="2506"/>
      <c r="C565" s="2506"/>
      <c r="D565" s="2506"/>
      <c r="E565" s="2506"/>
      <c r="F565" s="2506"/>
      <c r="G565" s="2506"/>
      <c r="H565" s="2506"/>
      <c r="I565" s="2506"/>
      <c r="J565" s="2506"/>
      <c r="K565" s="2506"/>
      <c r="L565" s="2506"/>
      <c r="M565" s="2506"/>
      <c r="N565" s="2506"/>
      <c r="O565" s="2506"/>
      <c r="P565" s="2506"/>
      <c r="Q565" s="2506"/>
      <c r="R565" s="2506"/>
      <c r="S565" s="2506"/>
      <c r="T565" s="2506"/>
      <c r="U565" s="2506"/>
      <c r="V565" s="2506"/>
      <c r="W565" s="2506"/>
      <c r="X565" s="2506"/>
      <c r="Y565" s="2506"/>
      <c r="Z565" s="2506"/>
      <c r="AA565" s="2506"/>
      <c r="AB565" s="2506"/>
      <c r="AC565" s="2506"/>
      <c r="AD565" s="2506"/>
      <c r="AE565" s="2506"/>
      <c r="AF565" s="2506"/>
      <c r="AG565" s="2506"/>
      <c r="AH565" s="2506"/>
      <c r="AI565" s="2506"/>
      <c r="AJ565" s="2506"/>
      <c r="AK565" s="642"/>
      <c r="AL565" s="573"/>
      <c r="AM565" s="603"/>
      <c r="AN565" s="597"/>
    </row>
    <row r="566" spans="1:42" s="550" customFormat="1" ht="12.75" customHeight="1">
      <c r="A566" s="603"/>
      <c r="B566" s="2506"/>
      <c r="C566" s="2506"/>
      <c r="D566" s="2506"/>
      <c r="E566" s="2506"/>
      <c r="F566" s="2506"/>
      <c r="G566" s="2506"/>
      <c r="H566" s="2506"/>
      <c r="I566" s="2506"/>
      <c r="J566" s="2506"/>
      <c r="K566" s="2506"/>
      <c r="L566" s="2506"/>
      <c r="M566" s="2506"/>
      <c r="N566" s="2506"/>
      <c r="O566" s="2506"/>
      <c r="P566" s="2506"/>
      <c r="Q566" s="2506"/>
      <c r="R566" s="2506"/>
      <c r="S566" s="2506"/>
      <c r="T566" s="2506"/>
      <c r="U566" s="2506"/>
      <c r="V566" s="2506"/>
      <c r="W566" s="2506"/>
      <c r="X566" s="2506"/>
      <c r="Y566" s="2506"/>
      <c r="Z566" s="2506"/>
      <c r="AA566" s="2506"/>
      <c r="AB566" s="2506"/>
      <c r="AC566" s="2506"/>
      <c r="AD566" s="2506"/>
      <c r="AE566" s="2506"/>
      <c r="AF566" s="2506"/>
      <c r="AG566" s="2506"/>
      <c r="AH566" s="2506"/>
      <c r="AI566" s="2506"/>
      <c r="AJ566" s="2506"/>
      <c r="AK566" s="642"/>
      <c r="AL566" s="573"/>
      <c r="AM566" s="603"/>
      <c r="AN566" s="597"/>
    </row>
    <row r="567" spans="1:42" s="550" customFormat="1" ht="12.75" customHeight="1">
      <c r="A567" s="603"/>
      <c r="B567" s="2506"/>
      <c r="C567" s="2506"/>
      <c r="D567" s="2506"/>
      <c r="E567" s="2506"/>
      <c r="F567" s="2506"/>
      <c r="G567" s="2506"/>
      <c r="H567" s="2506"/>
      <c r="I567" s="2506"/>
      <c r="J567" s="2506"/>
      <c r="K567" s="2506"/>
      <c r="L567" s="2506"/>
      <c r="M567" s="2506"/>
      <c r="N567" s="2506"/>
      <c r="O567" s="2506"/>
      <c r="P567" s="2506"/>
      <c r="Q567" s="2506"/>
      <c r="R567" s="2506"/>
      <c r="S567" s="2506"/>
      <c r="T567" s="2506"/>
      <c r="U567" s="2506"/>
      <c r="V567" s="2506"/>
      <c r="W567" s="2506"/>
      <c r="X567" s="2506"/>
      <c r="Y567" s="2506"/>
      <c r="Z567" s="2506"/>
      <c r="AA567" s="2506"/>
      <c r="AB567" s="2506"/>
      <c r="AC567" s="2506"/>
      <c r="AD567" s="2506"/>
      <c r="AE567" s="2506"/>
      <c r="AF567" s="2506"/>
      <c r="AG567" s="2506"/>
      <c r="AH567" s="2506"/>
      <c r="AI567" s="2506"/>
      <c r="AJ567" s="2506"/>
      <c r="AK567" s="642"/>
      <c r="AL567" s="573"/>
      <c r="AM567" s="603"/>
      <c r="AN567" s="597"/>
    </row>
    <row r="568" spans="1:42" s="550" customFormat="1" ht="12.75" customHeight="1">
      <c r="A568" s="603"/>
      <c r="B568" s="2506"/>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6"/>
      <c r="AK568" s="642"/>
      <c r="AL568" s="573"/>
      <c r="AM568" s="603"/>
      <c r="AN568" s="597"/>
    </row>
    <row r="569" spans="1:42" s="550" customFormat="1" ht="12.75" customHeight="1">
      <c r="A569" s="603"/>
      <c r="B569" s="2506"/>
      <c r="C569" s="2506"/>
      <c r="D569" s="2506"/>
      <c r="E569" s="2506"/>
      <c r="F569" s="2506"/>
      <c r="G569" s="2506"/>
      <c r="H569" s="2506"/>
      <c r="I569" s="2506"/>
      <c r="J569" s="2506"/>
      <c r="K569" s="2506"/>
      <c r="L569" s="2506"/>
      <c r="M569" s="2506"/>
      <c r="N569" s="2506"/>
      <c r="O569" s="2506"/>
      <c r="P569" s="2506"/>
      <c r="Q569" s="2506"/>
      <c r="R569" s="2506"/>
      <c r="S569" s="2506"/>
      <c r="T569" s="2506"/>
      <c r="U569" s="2506"/>
      <c r="V569" s="2506"/>
      <c r="W569" s="2506"/>
      <c r="X569" s="2506"/>
      <c r="Y569" s="2506"/>
      <c r="Z569" s="2506"/>
      <c r="AA569" s="2506"/>
      <c r="AB569" s="2506"/>
      <c r="AC569" s="2506"/>
      <c r="AD569" s="2506"/>
      <c r="AE569" s="2506"/>
      <c r="AF569" s="2506"/>
      <c r="AG569" s="2506"/>
      <c r="AH569" s="2506"/>
      <c r="AI569" s="2506"/>
      <c r="AJ569" s="2506"/>
      <c r="AK569" s="642"/>
      <c r="AL569" s="573"/>
      <c r="AM569" s="603"/>
      <c r="AN569" s="597"/>
    </row>
    <row r="570" spans="1:42" s="550" customFormat="1" ht="12.75" customHeight="1">
      <c r="A570" s="603"/>
      <c r="B570" s="2506"/>
      <c r="C570" s="2506"/>
      <c r="D570" s="2506"/>
      <c r="E570" s="2506"/>
      <c r="F570" s="2506"/>
      <c r="G570" s="2506"/>
      <c r="H570" s="2506"/>
      <c r="I570" s="2506"/>
      <c r="J570" s="2506"/>
      <c r="K570" s="2506"/>
      <c r="L570" s="2506"/>
      <c r="M570" s="2506"/>
      <c r="N570" s="2506"/>
      <c r="O570" s="2506"/>
      <c r="P570" s="2506"/>
      <c r="Q570" s="2506"/>
      <c r="R570" s="2506"/>
      <c r="S570" s="2506"/>
      <c r="T570" s="2506"/>
      <c r="U570" s="2506"/>
      <c r="V570" s="2506"/>
      <c r="W570" s="2506"/>
      <c r="X570" s="2506"/>
      <c r="Y570" s="2506"/>
      <c r="Z570" s="2506"/>
      <c r="AA570" s="2506"/>
      <c r="AB570" s="2506"/>
      <c r="AC570" s="2506"/>
      <c r="AD570" s="2506"/>
      <c r="AE570" s="2506"/>
      <c r="AF570" s="2506"/>
      <c r="AG570" s="2506"/>
      <c r="AH570" s="2506"/>
      <c r="AI570" s="2506"/>
      <c r="AJ570" s="2506"/>
      <c r="AK570" s="642"/>
      <c r="AL570" s="573"/>
      <c r="AM570" s="603"/>
      <c r="AN570" s="597"/>
    </row>
    <row r="571" spans="1:42" ht="12.75" customHeight="1">
      <c r="A571" s="603"/>
      <c r="B571" s="2506"/>
      <c r="C571" s="2506"/>
      <c r="D571" s="2506"/>
      <c r="E571" s="2506"/>
      <c r="F571" s="2506"/>
      <c r="G571" s="2506"/>
      <c r="H571" s="2506"/>
      <c r="I571" s="2506"/>
      <c r="J571" s="2506"/>
      <c r="K571" s="2506"/>
      <c r="L571" s="2506"/>
      <c r="M571" s="2506"/>
      <c r="N571" s="2506"/>
      <c r="O571" s="2506"/>
      <c r="P571" s="2506"/>
      <c r="Q571" s="2506"/>
      <c r="R571" s="2506"/>
      <c r="S571" s="2506"/>
      <c r="T571" s="2506"/>
      <c r="U571" s="2506"/>
      <c r="V571" s="2506"/>
      <c r="W571" s="2506"/>
      <c r="X571" s="2506"/>
      <c r="Y571" s="2506"/>
      <c r="Z571" s="2506"/>
      <c r="AA571" s="2506"/>
      <c r="AB571" s="2506"/>
      <c r="AC571" s="2506"/>
      <c r="AD571" s="2506"/>
      <c r="AE571" s="2506"/>
      <c r="AF571" s="2506"/>
      <c r="AG571" s="2506"/>
      <c r="AH571" s="2506"/>
      <c r="AI571" s="2506"/>
      <c r="AJ571" s="2506"/>
      <c r="AK571" s="642"/>
      <c r="AL571" s="573"/>
      <c r="AM571" s="603"/>
    </row>
    <row r="572" spans="1:42" s="550" customFormat="1" ht="12.75" customHeight="1">
      <c r="B572" s="2506"/>
      <c r="C572" s="2506"/>
      <c r="D572" s="2506"/>
      <c r="E572" s="2506"/>
      <c r="F572" s="2506"/>
      <c r="G572" s="2506"/>
      <c r="H572" s="2506"/>
      <c r="I572" s="2506"/>
      <c r="J572" s="2506"/>
      <c r="K572" s="2506"/>
      <c r="L572" s="2506"/>
      <c r="M572" s="2506"/>
      <c r="N572" s="2506"/>
      <c r="O572" s="2506"/>
      <c r="P572" s="2506"/>
      <c r="Q572" s="2506"/>
      <c r="R572" s="2506"/>
      <c r="S572" s="2506"/>
      <c r="T572" s="2506"/>
      <c r="U572" s="2506"/>
      <c r="V572" s="2506"/>
      <c r="W572" s="2506"/>
      <c r="X572" s="2506"/>
      <c r="Y572" s="2506"/>
      <c r="Z572" s="2506"/>
      <c r="AA572" s="2506"/>
      <c r="AB572" s="2506"/>
      <c r="AC572" s="2506"/>
      <c r="AD572" s="2506"/>
      <c r="AE572" s="2506"/>
      <c r="AF572" s="2506"/>
      <c r="AG572" s="2506"/>
      <c r="AH572" s="2506"/>
      <c r="AI572" s="2506"/>
      <c r="AJ572" s="250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1" t="s">
        <v>1337</v>
      </c>
      <c r="AG578" s="2451"/>
      <c r="AH578" s="2451"/>
      <c r="AI578" s="2451"/>
      <c r="AJ578" s="2451"/>
      <c r="AK578" s="2451"/>
      <c r="AL578" s="2451"/>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1" t="s">
        <v>1395</v>
      </c>
      <c r="AG585" s="2451"/>
      <c r="AH585" s="2451"/>
      <c r="AI585" s="2451"/>
      <c r="AJ585" s="2451"/>
      <c r="AK585" s="2451"/>
      <c r="AL585" s="2451"/>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1" t="s">
        <v>1377</v>
      </c>
      <c r="AG591" s="2451"/>
      <c r="AH591" s="2451"/>
      <c r="AI591" s="2451"/>
      <c r="AJ591" s="2451"/>
      <c r="AK591" s="2451"/>
      <c r="AL591" s="2451"/>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1" t="s">
        <v>1398</v>
      </c>
      <c r="AG597" s="2451"/>
      <c r="AH597" s="2451"/>
      <c r="AI597" s="2451"/>
      <c r="AJ597" s="2451"/>
      <c r="AK597" s="2451"/>
      <c r="AL597" s="2451"/>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37" t="s">
        <v>1183</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1" t="s">
        <v>1351</v>
      </c>
      <c r="AG603" s="2451"/>
      <c r="AH603" s="2451"/>
      <c r="AI603" s="2451"/>
      <c r="AJ603" s="2451"/>
      <c r="AK603" s="2451"/>
      <c r="AL603" s="2451"/>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35" t="s">
        <v>509</v>
      </c>
      <c r="I606" s="2535"/>
      <c r="J606" s="936"/>
      <c r="K606" s="936"/>
      <c r="L606" s="936"/>
      <c r="N606" s="22"/>
      <c r="O606" s="22"/>
      <c r="P606" s="22"/>
      <c r="Q606" s="1151" t="s">
        <v>2175</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6" t="s">
        <v>591</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9" t="s">
        <v>591</v>
      </c>
      <c r="C616" s="2479"/>
      <c r="D616" s="642"/>
      <c r="E616" s="2506" t="s">
        <v>1402</v>
      </c>
      <c r="F616" s="2506"/>
      <c r="G616" s="2506"/>
      <c r="H616" s="2506"/>
      <c r="I616" s="2506"/>
      <c r="J616" s="2506"/>
      <c r="K616" s="2506"/>
      <c r="L616" s="2506"/>
      <c r="M616" s="2506"/>
      <c r="N616" s="2506"/>
      <c r="O616" s="2506"/>
      <c r="P616" s="2506"/>
      <c r="Q616" s="2506"/>
      <c r="R616" s="2506"/>
      <c r="S616" s="2506"/>
      <c r="T616" s="2506"/>
      <c r="U616" s="2506"/>
      <c r="V616" s="2506"/>
      <c r="W616" s="2506"/>
      <c r="X616" s="2506"/>
      <c r="Y616" s="2506"/>
      <c r="Z616" s="2506"/>
      <c r="AA616" s="2506"/>
      <c r="AB616" s="2506"/>
      <c r="AC616" s="2506"/>
      <c r="AD616" s="2506"/>
      <c r="AE616" s="2506"/>
      <c r="AF616" s="2506"/>
      <c r="AG616" s="2506"/>
      <c r="AH616" s="642"/>
      <c r="AI616" s="642"/>
      <c r="AJ616" s="642"/>
      <c r="AK616" s="642"/>
      <c r="AL616" s="642"/>
      <c r="AN616" s="597"/>
    </row>
    <row r="617" spans="1:42" s="550" customFormat="1" ht="12.75" customHeight="1">
      <c r="B617" s="536"/>
      <c r="C617" s="933"/>
      <c r="D617" s="642"/>
      <c r="E617" s="2506"/>
      <c r="F617" s="2506"/>
      <c r="G617" s="2506"/>
      <c r="H617" s="2506"/>
      <c r="I617" s="2506"/>
      <c r="J617" s="2506"/>
      <c r="K617" s="2506"/>
      <c r="L617" s="2506"/>
      <c r="M617" s="2506"/>
      <c r="N617" s="2506"/>
      <c r="O617" s="2506"/>
      <c r="P617" s="2506"/>
      <c r="Q617" s="2506"/>
      <c r="R617" s="2506"/>
      <c r="S617" s="2506"/>
      <c r="T617" s="2506"/>
      <c r="U617" s="2506"/>
      <c r="V617" s="2506"/>
      <c r="W617" s="2506"/>
      <c r="X617" s="2506"/>
      <c r="Y617" s="2506"/>
      <c r="Z617" s="2506"/>
      <c r="AA617" s="2506"/>
      <c r="AB617" s="2506"/>
      <c r="AC617" s="2506"/>
      <c r="AD617" s="2506"/>
      <c r="AE617" s="2506"/>
      <c r="AF617" s="2506"/>
      <c r="AG617" s="2506"/>
      <c r="AH617" s="642"/>
      <c r="AI617" s="642"/>
      <c r="AJ617" s="642"/>
      <c r="AK617" s="642"/>
      <c r="AL617" s="642"/>
      <c r="AN617" s="597"/>
    </row>
    <row r="618" spans="1:42" s="550" customFormat="1" ht="12.75" customHeight="1">
      <c r="B618" s="536"/>
      <c r="C618" s="933"/>
      <c r="D618" s="642"/>
      <c r="E618" s="2506"/>
      <c r="F618" s="2506"/>
      <c r="G618" s="2506"/>
      <c r="H618" s="2506"/>
      <c r="I618" s="2506"/>
      <c r="J618" s="2506"/>
      <c r="K618" s="2506"/>
      <c r="L618" s="2506"/>
      <c r="M618" s="2506"/>
      <c r="N618" s="2506"/>
      <c r="O618" s="2506"/>
      <c r="P618" s="2506"/>
      <c r="Q618" s="2506"/>
      <c r="R618" s="2506"/>
      <c r="S618" s="2506"/>
      <c r="T618" s="2506"/>
      <c r="U618" s="2506"/>
      <c r="V618" s="2506"/>
      <c r="W618" s="2506"/>
      <c r="X618" s="2506"/>
      <c r="Y618" s="2506"/>
      <c r="Z618" s="2506"/>
      <c r="AA618" s="2506"/>
      <c r="AB618" s="2506"/>
      <c r="AC618" s="2506"/>
      <c r="AD618" s="2506"/>
      <c r="AE618" s="2506"/>
      <c r="AF618" s="2506"/>
      <c r="AG618" s="2506"/>
      <c r="AH618" s="642"/>
      <c r="AI618" s="642"/>
      <c r="AJ618" s="642"/>
      <c r="AK618" s="642"/>
      <c r="AL618" s="642"/>
      <c r="AN618" s="597"/>
    </row>
    <row r="619" spans="1:42" s="550" customFormat="1" ht="12.75" customHeight="1">
      <c r="B619" s="536"/>
      <c r="C619" s="933"/>
      <c r="D619" s="642"/>
      <c r="E619" s="2506"/>
      <c r="F619" s="2506"/>
      <c r="G619" s="2506"/>
      <c r="H619" s="2506"/>
      <c r="I619" s="2506"/>
      <c r="J619" s="2506"/>
      <c r="K619" s="2506"/>
      <c r="L619" s="2506"/>
      <c r="M619" s="2506"/>
      <c r="N619" s="2506"/>
      <c r="O619" s="2506"/>
      <c r="P619" s="2506"/>
      <c r="Q619" s="2506"/>
      <c r="R619" s="2506"/>
      <c r="S619" s="2506"/>
      <c r="T619" s="2506"/>
      <c r="U619" s="2506"/>
      <c r="V619" s="2506"/>
      <c r="W619" s="2506"/>
      <c r="X619" s="2506"/>
      <c r="Y619" s="2506"/>
      <c r="Z619" s="2506"/>
      <c r="AA619" s="2506"/>
      <c r="AB619" s="2506"/>
      <c r="AC619" s="2506"/>
      <c r="AD619" s="2506"/>
      <c r="AE619" s="2506"/>
      <c r="AF619" s="2506"/>
      <c r="AG619" s="250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6">
        <f>VLOOKUP($H$606,$AO$586:$AP$591,2,FALSE)+IF(R606=AO594,0,VLOOKUP($I$614,$AO$613:$AP$615,2,FALSE))</f>
        <v>6</v>
      </c>
      <c r="AK621" s="248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4" t="s">
        <v>1693</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451" t="s">
        <v>1351</v>
      </c>
      <c r="AG625" s="2451"/>
      <c r="AH625" s="2451"/>
      <c r="AI625" s="2451"/>
      <c r="AJ625" s="2451"/>
      <c r="AK625" s="2451"/>
      <c r="AL625" s="2451"/>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9" t="s">
        <v>591</v>
      </c>
      <c r="Y634" s="247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1" t="s">
        <v>1407</v>
      </c>
      <c r="AG636" s="2451"/>
      <c r="AH636" s="2451"/>
      <c r="AI636" s="2451"/>
      <c r="AJ636" s="2451"/>
      <c r="AK636" s="2451"/>
      <c r="AL636" s="245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35" t="s">
        <v>687</v>
      </c>
      <c r="I638" s="253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6">
        <f>VLOOKUP($H$638,$AO$605:$AP$607,2,FALSE)</f>
        <v>3</v>
      </c>
      <c r="AK640" s="248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6" t="s">
        <v>2096</v>
      </c>
      <c r="F644" s="2506"/>
      <c r="G644" s="2506"/>
      <c r="H644" s="2506"/>
      <c r="I644" s="2506"/>
      <c r="J644" s="2506"/>
      <c r="K644" s="2506"/>
      <c r="L644" s="2506"/>
      <c r="M644" s="2506"/>
      <c r="N644" s="2506"/>
      <c r="O644" s="2506"/>
      <c r="P644" s="2506"/>
      <c r="Q644" s="2506"/>
      <c r="R644" s="2506"/>
      <c r="S644" s="2506"/>
      <c r="T644" s="2506"/>
      <c r="U644" s="2506"/>
      <c r="V644" s="2506"/>
      <c r="W644" s="2506"/>
      <c r="X644" s="2506"/>
      <c r="Y644" s="2506"/>
      <c r="Z644" s="2506"/>
      <c r="AA644" s="2506"/>
      <c r="AB644" s="2506"/>
      <c r="AC644" s="2506"/>
      <c r="AD644" s="2506"/>
      <c r="AE644" s="536"/>
      <c r="AF644" s="2451" t="s">
        <v>1351</v>
      </c>
      <c r="AG644" s="2451"/>
      <c r="AH644" s="2451"/>
      <c r="AI644" s="2451"/>
      <c r="AJ644" s="2451"/>
      <c r="AK644" s="2451"/>
      <c r="AL644" s="2451"/>
      <c r="AN644" s="597"/>
    </row>
    <row r="645" spans="1:42" s="550" customFormat="1" ht="12.75" customHeight="1">
      <c r="B645" s="536"/>
      <c r="C645" s="536"/>
      <c r="D645" s="663"/>
      <c r="E645" s="2506"/>
      <c r="F645" s="2506"/>
      <c r="G645" s="2506"/>
      <c r="H645" s="2506"/>
      <c r="I645" s="2506"/>
      <c r="J645" s="2506"/>
      <c r="K645" s="2506"/>
      <c r="L645" s="2506"/>
      <c r="M645" s="2506"/>
      <c r="N645" s="2506"/>
      <c r="O645" s="2506"/>
      <c r="P645" s="2506"/>
      <c r="Q645" s="2506"/>
      <c r="R645" s="2506"/>
      <c r="S645" s="2506"/>
      <c r="T645" s="2506"/>
      <c r="U645" s="2506"/>
      <c r="V645" s="2506"/>
      <c r="W645" s="2506"/>
      <c r="X645" s="2506"/>
      <c r="Y645" s="2506"/>
      <c r="Z645" s="2506"/>
      <c r="AA645" s="2506"/>
      <c r="AB645" s="2506"/>
      <c r="AC645" s="2506"/>
      <c r="AD645" s="250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1" t="s">
        <v>1407</v>
      </c>
      <c r="AG647" s="2451"/>
      <c r="AH647" s="2451"/>
      <c r="AI647" s="2451"/>
      <c r="AJ647" s="2451"/>
      <c r="AK647" s="2451"/>
      <c r="AL647" s="2451"/>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35" t="s">
        <v>591</v>
      </c>
      <c r="I650" s="253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6">
        <f>VLOOKUP(H650,AT605:AU607,2,FALSE)</f>
        <v>0</v>
      </c>
      <c r="AK652" s="248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6" t="s">
        <v>1417</v>
      </c>
      <c r="F657" s="2506"/>
      <c r="G657" s="2506"/>
      <c r="H657" s="2506"/>
      <c r="I657" s="2506"/>
      <c r="J657" s="2506"/>
      <c r="K657" s="2506"/>
      <c r="L657" s="2506"/>
      <c r="M657" s="2506"/>
      <c r="N657" s="2506"/>
      <c r="O657" s="2506"/>
      <c r="P657" s="2506"/>
      <c r="Q657" s="2506"/>
      <c r="R657" s="2506"/>
      <c r="S657" s="2506"/>
      <c r="T657" s="2506"/>
      <c r="U657" s="2506"/>
      <c r="V657" s="2506"/>
      <c r="W657" s="2506"/>
      <c r="X657" s="2506"/>
      <c r="Y657" s="2506"/>
      <c r="Z657" s="2506"/>
      <c r="AA657" s="2506"/>
      <c r="AB657" s="2506"/>
      <c r="AC657" s="2506"/>
      <c r="AD657" s="536"/>
      <c r="AE657" s="536"/>
      <c r="AF657" s="2451" t="s">
        <v>1377</v>
      </c>
      <c r="AG657" s="2451"/>
      <c r="AH657" s="2451"/>
      <c r="AI657" s="2451"/>
      <c r="AJ657" s="2451"/>
      <c r="AK657" s="2451"/>
      <c r="AL657" s="2451"/>
      <c r="AN657" s="597"/>
    </row>
    <row r="658" spans="1:42" s="550" customFormat="1" ht="12.75" customHeight="1">
      <c r="B658" s="536"/>
      <c r="C658" s="539"/>
      <c r="D658" s="536"/>
      <c r="E658" s="2506"/>
      <c r="F658" s="2506"/>
      <c r="G658" s="2506"/>
      <c r="H658" s="2506"/>
      <c r="I658" s="2506"/>
      <c r="J658" s="2506"/>
      <c r="K658" s="2506"/>
      <c r="L658" s="2506"/>
      <c r="M658" s="2506"/>
      <c r="N658" s="2506"/>
      <c r="O658" s="2506"/>
      <c r="P658" s="2506"/>
      <c r="Q658" s="2506"/>
      <c r="R658" s="2506"/>
      <c r="S658" s="2506"/>
      <c r="T658" s="2506"/>
      <c r="U658" s="2506"/>
      <c r="V658" s="2506"/>
      <c r="W658" s="2506"/>
      <c r="X658" s="2506"/>
      <c r="Y658" s="2506"/>
      <c r="Z658" s="2506"/>
      <c r="AA658" s="2506"/>
      <c r="AB658" s="2506"/>
      <c r="AC658" s="2506"/>
      <c r="AD658" s="536"/>
      <c r="AE658" s="536"/>
      <c r="AF658" s="536"/>
      <c r="AG658" s="536"/>
      <c r="AH658" s="536"/>
      <c r="AI658" s="536"/>
      <c r="AJ658" s="536"/>
      <c r="AK658" s="536"/>
      <c r="AL658" s="536"/>
      <c r="AN658" s="597"/>
    </row>
    <row r="659" spans="1:42" s="550" customFormat="1" ht="12.75" customHeight="1">
      <c r="B659" s="536"/>
      <c r="C659" s="539"/>
      <c r="D659" s="663"/>
      <c r="E659" s="2506"/>
      <c r="F659" s="2506"/>
      <c r="G659" s="2506"/>
      <c r="H659" s="2506"/>
      <c r="I659" s="2506"/>
      <c r="J659" s="2506"/>
      <c r="K659" s="2506"/>
      <c r="L659" s="2506"/>
      <c r="M659" s="2506"/>
      <c r="N659" s="2506"/>
      <c r="O659" s="2506"/>
      <c r="P659" s="2506"/>
      <c r="Q659" s="2506"/>
      <c r="R659" s="2506"/>
      <c r="S659" s="2506"/>
      <c r="T659" s="2506"/>
      <c r="U659" s="2506"/>
      <c r="V659" s="2506"/>
      <c r="W659" s="2506"/>
      <c r="X659" s="2506"/>
      <c r="Y659" s="2506"/>
      <c r="Z659" s="2506"/>
      <c r="AA659" s="2506"/>
      <c r="AB659" s="2506"/>
      <c r="AC659" s="250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6" t="s">
        <v>1418</v>
      </c>
      <c r="F661" s="2506"/>
      <c r="G661" s="2506"/>
      <c r="H661" s="2506"/>
      <c r="I661" s="2506"/>
      <c r="J661" s="2506"/>
      <c r="K661" s="2506"/>
      <c r="L661" s="2506"/>
      <c r="M661" s="2506"/>
      <c r="N661" s="2506"/>
      <c r="O661" s="2506"/>
      <c r="P661" s="2506"/>
      <c r="Q661" s="2506"/>
      <c r="R661" s="2506"/>
      <c r="S661" s="2506"/>
      <c r="T661" s="2506"/>
      <c r="U661" s="2506"/>
      <c r="V661" s="2506"/>
      <c r="W661" s="2506"/>
      <c r="X661" s="2506"/>
      <c r="Y661" s="2506"/>
      <c r="Z661" s="2506"/>
      <c r="AA661" s="2506"/>
      <c r="AB661" s="2506"/>
      <c r="AC661" s="2506"/>
      <c r="AD661" s="536"/>
      <c r="AE661" s="536"/>
      <c r="AF661" s="2451" t="s">
        <v>1398</v>
      </c>
      <c r="AG661" s="2451"/>
      <c r="AH661" s="2451"/>
      <c r="AI661" s="2451"/>
      <c r="AJ661" s="2451"/>
      <c r="AK661" s="2451"/>
      <c r="AL661" s="2451"/>
      <c r="AN661" s="597"/>
    </row>
    <row r="662" spans="1:42" s="550" customFormat="1" ht="12.75" customHeight="1">
      <c r="B662" s="536"/>
      <c r="C662" s="539"/>
      <c r="D662" s="536"/>
      <c r="E662" s="2506"/>
      <c r="F662" s="2506"/>
      <c r="G662" s="2506"/>
      <c r="H662" s="2506"/>
      <c r="I662" s="2506"/>
      <c r="J662" s="2506"/>
      <c r="K662" s="2506"/>
      <c r="L662" s="2506"/>
      <c r="M662" s="2506"/>
      <c r="N662" s="2506"/>
      <c r="O662" s="2506"/>
      <c r="P662" s="2506"/>
      <c r="Q662" s="2506"/>
      <c r="R662" s="2506"/>
      <c r="S662" s="2506"/>
      <c r="T662" s="2506"/>
      <c r="U662" s="2506"/>
      <c r="V662" s="2506"/>
      <c r="W662" s="2506"/>
      <c r="X662" s="2506"/>
      <c r="Y662" s="2506"/>
      <c r="Z662" s="2506"/>
      <c r="AA662" s="2506"/>
      <c r="AB662" s="2506"/>
      <c r="AC662" s="2506"/>
      <c r="AD662" s="536"/>
      <c r="AE662" s="536"/>
      <c r="AF662" s="536"/>
      <c r="AG662" s="536"/>
      <c r="AH662" s="536"/>
      <c r="AI662" s="536"/>
      <c r="AJ662" s="536"/>
      <c r="AK662" s="536"/>
      <c r="AL662" s="536"/>
      <c r="AN662" s="597"/>
    </row>
    <row r="663" spans="1:42" s="550" customFormat="1" ht="15" customHeight="1">
      <c r="B663" s="536"/>
      <c r="C663" s="539"/>
      <c r="D663" s="663"/>
      <c r="E663" s="2506"/>
      <c r="F663" s="2506"/>
      <c r="G663" s="2506"/>
      <c r="H663" s="2506"/>
      <c r="I663" s="2506"/>
      <c r="J663" s="2506"/>
      <c r="K663" s="2506"/>
      <c r="L663" s="2506"/>
      <c r="M663" s="2506"/>
      <c r="N663" s="2506"/>
      <c r="O663" s="2506"/>
      <c r="P663" s="2506"/>
      <c r="Q663" s="2506"/>
      <c r="R663" s="2506"/>
      <c r="S663" s="2506"/>
      <c r="T663" s="2506"/>
      <c r="U663" s="2506"/>
      <c r="V663" s="2506"/>
      <c r="W663" s="2506"/>
      <c r="X663" s="2506"/>
      <c r="Y663" s="2506"/>
      <c r="Z663" s="2506"/>
      <c r="AA663" s="2506"/>
      <c r="AB663" s="2506"/>
      <c r="AC663" s="250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6" t="s">
        <v>1419</v>
      </c>
      <c r="F665" s="2506"/>
      <c r="G665" s="2506"/>
      <c r="H665" s="2506"/>
      <c r="I665" s="2506"/>
      <c r="J665" s="2506"/>
      <c r="K665" s="2506"/>
      <c r="L665" s="2506"/>
      <c r="M665" s="2506"/>
      <c r="N665" s="2506"/>
      <c r="O665" s="2506"/>
      <c r="P665" s="2506"/>
      <c r="Q665" s="2506"/>
      <c r="R665" s="2506"/>
      <c r="S665" s="2506"/>
      <c r="T665" s="2506"/>
      <c r="U665" s="2506"/>
      <c r="V665" s="2506"/>
      <c r="W665" s="2506"/>
      <c r="X665" s="2506"/>
      <c r="Y665" s="2506"/>
      <c r="Z665" s="2506"/>
      <c r="AA665" s="2506"/>
      <c r="AB665" s="2506"/>
      <c r="AC665" s="2506"/>
      <c r="AD665" s="536"/>
      <c r="AE665" s="536"/>
      <c r="AF665" s="2451" t="s">
        <v>1351</v>
      </c>
      <c r="AG665" s="2451"/>
      <c r="AH665" s="2451"/>
      <c r="AI665" s="2451"/>
      <c r="AJ665" s="2451"/>
      <c r="AK665" s="2451"/>
      <c r="AL665" s="2451"/>
      <c r="AN665" s="597"/>
    </row>
    <row r="666" spans="1:42" s="550" customFormat="1" ht="12.75" customHeight="1">
      <c r="B666" s="536"/>
      <c r="C666" s="931"/>
      <c r="D666" s="536"/>
      <c r="E666" s="2506"/>
      <c r="F666" s="2506"/>
      <c r="G666" s="2506"/>
      <c r="H666" s="2506"/>
      <c r="I666" s="2506"/>
      <c r="J666" s="2506"/>
      <c r="K666" s="2506"/>
      <c r="L666" s="2506"/>
      <c r="M666" s="2506"/>
      <c r="N666" s="2506"/>
      <c r="O666" s="2506"/>
      <c r="P666" s="2506"/>
      <c r="Q666" s="2506"/>
      <c r="R666" s="2506"/>
      <c r="S666" s="2506"/>
      <c r="T666" s="2506"/>
      <c r="U666" s="2506"/>
      <c r="V666" s="2506"/>
      <c r="W666" s="2506"/>
      <c r="X666" s="2506"/>
      <c r="Y666" s="2506"/>
      <c r="Z666" s="2506"/>
      <c r="AA666" s="2506"/>
      <c r="AB666" s="2506"/>
      <c r="AC666" s="2506"/>
      <c r="AD666" s="536"/>
      <c r="AE666" s="2451"/>
      <c r="AF666" s="2451"/>
      <c r="AG666" s="2451"/>
      <c r="AH666" s="2451"/>
      <c r="AI666" s="2451"/>
      <c r="AJ666" s="2451"/>
      <c r="AK666" s="2451"/>
      <c r="AL666" s="594"/>
      <c r="AN666" s="597"/>
      <c r="AO666" s="550" t="s">
        <v>591</v>
      </c>
      <c r="AP666" s="673">
        <v>0</v>
      </c>
    </row>
    <row r="667" spans="1:42" s="550" customFormat="1" ht="12.75" customHeight="1">
      <c r="A667" s="679"/>
      <c r="B667" s="536"/>
      <c r="C667" s="536"/>
      <c r="D667" s="663"/>
      <c r="E667" s="2506"/>
      <c r="F667" s="2506"/>
      <c r="G667" s="2506"/>
      <c r="H667" s="2506"/>
      <c r="I667" s="2506"/>
      <c r="J667" s="2506"/>
      <c r="K667" s="2506"/>
      <c r="L667" s="2506"/>
      <c r="M667" s="2506"/>
      <c r="N667" s="2506"/>
      <c r="O667" s="2506"/>
      <c r="P667" s="2506"/>
      <c r="Q667" s="2506"/>
      <c r="R667" s="2506"/>
      <c r="S667" s="2506"/>
      <c r="T667" s="2506"/>
      <c r="U667" s="2506"/>
      <c r="V667" s="2506"/>
      <c r="W667" s="2506"/>
      <c r="X667" s="2506"/>
      <c r="Y667" s="2506"/>
      <c r="Z667" s="2506"/>
      <c r="AA667" s="2506"/>
      <c r="AB667" s="2506"/>
      <c r="AC667" s="250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506" t="s">
        <v>1420</v>
      </c>
      <c r="F669" s="2506"/>
      <c r="G669" s="2506"/>
      <c r="H669" s="2506"/>
      <c r="I669" s="2506"/>
      <c r="J669" s="2506"/>
      <c r="K669" s="2506"/>
      <c r="L669" s="2506"/>
      <c r="M669" s="2506"/>
      <c r="N669" s="2506"/>
      <c r="O669" s="2506"/>
      <c r="P669" s="2506"/>
      <c r="Q669" s="2506"/>
      <c r="R669" s="2506"/>
      <c r="S669" s="2506"/>
      <c r="T669" s="2506"/>
      <c r="U669" s="2506"/>
      <c r="V669" s="2506"/>
      <c r="W669" s="2506"/>
      <c r="X669" s="2506"/>
      <c r="Y669" s="2506"/>
      <c r="Z669" s="2506"/>
      <c r="AA669" s="2506"/>
      <c r="AB669" s="2506"/>
      <c r="AC669" s="2506"/>
      <c r="AD669" s="536"/>
      <c r="AE669" s="536"/>
      <c r="AF669" s="2451" t="s">
        <v>1398</v>
      </c>
      <c r="AG669" s="2451"/>
      <c r="AH669" s="2451"/>
      <c r="AI669" s="2451"/>
      <c r="AJ669" s="2451"/>
      <c r="AK669" s="2451"/>
      <c r="AL669" s="2451"/>
      <c r="AN669" s="597"/>
    </row>
    <row r="670" spans="1:42" s="550" customFormat="1" ht="12.75" customHeight="1">
      <c r="A670" s="670"/>
      <c r="B670" s="536"/>
      <c r="C670" s="947"/>
      <c r="D670" s="663"/>
      <c r="E670" s="2506"/>
      <c r="F670" s="2506"/>
      <c r="G670" s="2506"/>
      <c r="H670" s="2506"/>
      <c r="I670" s="2506"/>
      <c r="J670" s="2506"/>
      <c r="K670" s="2506"/>
      <c r="L670" s="2506"/>
      <c r="M670" s="2506"/>
      <c r="N670" s="2506"/>
      <c r="O670" s="2506"/>
      <c r="P670" s="2506"/>
      <c r="Q670" s="2506"/>
      <c r="R670" s="2506"/>
      <c r="S670" s="2506"/>
      <c r="T670" s="2506"/>
      <c r="U670" s="2506"/>
      <c r="V670" s="2506"/>
      <c r="W670" s="2506"/>
      <c r="X670" s="2506"/>
      <c r="Y670" s="2506"/>
      <c r="Z670" s="2506"/>
      <c r="AA670" s="2506"/>
      <c r="AB670" s="2506"/>
      <c r="AC670" s="250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6"/>
      <c r="F671" s="2506"/>
      <c r="G671" s="2506"/>
      <c r="H671" s="2506"/>
      <c r="I671" s="2506"/>
      <c r="J671" s="2506"/>
      <c r="K671" s="2506"/>
      <c r="L671" s="2506"/>
      <c r="M671" s="2506"/>
      <c r="N671" s="2506"/>
      <c r="O671" s="2506"/>
      <c r="P671" s="2506"/>
      <c r="Q671" s="2506"/>
      <c r="R671" s="2506"/>
      <c r="S671" s="2506"/>
      <c r="T671" s="2506"/>
      <c r="U671" s="2506"/>
      <c r="V671" s="2506"/>
      <c r="W671" s="2506"/>
      <c r="X671" s="2506"/>
      <c r="Y671" s="2506"/>
      <c r="Z671" s="2506"/>
      <c r="AA671" s="2506"/>
      <c r="AB671" s="2506"/>
      <c r="AC671" s="250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6" t="s">
        <v>1421</v>
      </c>
      <c r="F673" s="2506"/>
      <c r="G673" s="2506"/>
      <c r="H673" s="2506"/>
      <c r="I673" s="2506"/>
      <c r="J673" s="2506"/>
      <c r="K673" s="2506"/>
      <c r="L673" s="2506"/>
      <c r="M673" s="2506"/>
      <c r="N673" s="2506"/>
      <c r="O673" s="2506"/>
      <c r="P673" s="2506"/>
      <c r="Q673" s="2506"/>
      <c r="R673" s="2506"/>
      <c r="S673" s="2506"/>
      <c r="T673" s="2506"/>
      <c r="U673" s="2506"/>
      <c r="V673" s="2506"/>
      <c r="W673" s="2506"/>
      <c r="X673" s="2506"/>
      <c r="Y673" s="2506"/>
      <c r="Z673" s="2506"/>
      <c r="AA673" s="2506"/>
      <c r="AB673" s="2506"/>
      <c r="AC673" s="2506"/>
      <c r="AD673" s="536"/>
      <c r="AE673" s="536"/>
      <c r="AF673" s="2451" t="s">
        <v>1351</v>
      </c>
      <c r="AG673" s="2451"/>
      <c r="AH673" s="2451"/>
      <c r="AI673" s="2451"/>
      <c r="AJ673" s="2451"/>
      <c r="AK673" s="2451"/>
      <c r="AL673" s="2451"/>
      <c r="AM673" s="596"/>
      <c r="AN673" s="597"/>
    </row>
    <row r="674" spans="1:42" s="550" customFormat="1" ht="12.75" customHeight="1">
      <c r="B674" s="536"/>
      <c r="C674" s="931"/>
      <c r="D674" s="663"/>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536"/>
      <c r="AE674" s="536"/>
      <c r="AF674" s="536"/>
      <c r="AG674" s="536"/>
      <c r="AH674" s="536"/>
      <c r="AI674" s="536"/>
      <c r="AJ674" s="536"/>
      <c r="AK674" s="536"/>
      <c r="AL674" s="536"/>
      <c r="AM674" s="596"/>
      <c r="AN674" s="597"/>
    </row>
    <row r="675" spans="1:42" s="550" customFormat="1" ht="12.75" customHeight="1">
      <c r="B675" s="536"/>
      <c r="C675" s="931"/>
      <c r="D675" s="663"/>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6" t="s">
        <v>1422</v>
      </c>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536"/>
      <c r="AE677" s="536"/>
      <c r="AF677" s="2451" t="s">
        <v>1407</v>
      </c>
      <c r="AG677" s="2451"/>
      <c r="AH677" s="2451"/>
      <c r="AI677" s="2451"/>
      <c r="AJ677" s="2451"/>
      <c r="AK677" s="2451"/>
      <c r="AL677" s="2451"/>
      <c r="AM677" s="596"/>
      <c r="AN677" s="597"/>
    </row>
    <row r="678" spans="1:42" s="550" customFormat="1" ht="12.75" customHeight="1">
      <c r="A678" s="679"/>
      <c r="B678" s="536"/>
      <c r="C678" s="931"/>
      <c r="D678" s="663"/>
      <c r="E678" s="2506"/>
      <c r="F678" s="2506"/>
      <c r="G678" s="2506"/>
      <c r="H678" s="2506"/>
      <c r="I678" s="2506"/>
      <c r="J678" s="2506"/>
      <c r="K678" s="2506"/>
      <c r="L678" s="2506"/>
      <c r="M678" s="2506"/>
      <c r="N678" s="2506"/>
      <c r="O678" s="2506"/>
      <c r="P678" s="2506"/>
      <c r="Q678" s="2506"/>
      <c r="R678" s="2506"/>
      <c r="S678" s="2506"/>
      <c r="T678" s="2506"/>
      <c r="U678" s="2506"/>
      <c r="V678" s="2506"/>
      <c r="W678" s="2506"/>
      <c r="X678" s="2506"/>
      <c r="Y678" s="2506"/>
      <c r="Z678" s="2506"/>
      <c r="AA678" s="2506"/>
      <c r="AB678" s="2506"/>
      <c r="AC678" s="250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6"/>
      <c r="F679" s="2506"/>
      <c r="G679" s="2506"/>
      <c r="H679" s="2506"/>
      <c r="I679" s="2506"/>
      <c r="J679" s="2506"/>
      <c r="K679" s="2506"/>
      <c r="L679" s="2506"/>
      <c r="M679" s="2506"/>
      <c r="N679" s="2506"/>
      <c r="O679" s="2506"/>
      <c r="P679" s="2506"/>
      <c r="Q679" s="2506"/>
      <c r="R679" s="2506"/>
      <c r="S679" s="2506"/>
      <c r="T679" s="2506"/>
      <c r="U679" s="2506"/>
      <c r="V679" s="2506"/>
      <c r="W679" s="2506"/>
      <c r="X679" s="2506"/>
      <c r="Y679" s="2506"/>
      <c r="Z679" s="2506"/>
      <c r="AA679" s="2506"/>
      <c r="AB679" s="2506"/>
      <c r="AC679" s="250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506" t="s">
        <v>1423</v>
      </c>
      <c r="F681" s="2506"/>
      <c r="G681" s="2506"/>
      <c r="H681" s="2506"/>
      <c r="I681" s="2506"/>
      <c r="J681" s="2506"/>
      <c r="K681" s="2506"/>
      <c r="L681" s="2506"/>
      <c r="M681" s="2506"/>
      <c r="N681" s="2506"/>
      <c r="O681" s="2506"/>
      <c r="P681" s="2506"/>
      <c r="Q681" s="2506"/>
      <c r="R681" s="2506"/>
      <c r="S681" s="2506"/>
      <c r="T681" s="2506"/>
      <c r="U681" s="2506"/>
      <c r="V681" s="2506"/>
      <c r="W681" s="2506"/>
      <c r="X681" s="2506"/>
      <c r="Y681" s="2506"/>
      <c r="Z681" s="2506"/>
      <c r="AA681" s="2506"/>
      <c r="AB681" s="2506"/>
      <c r="AC681" s="2506"/>
      <c r="AD681" s="536"/>
      <c r="AE681" s="536"/>
      <c r="AF681" s="2451" t="s">
        <v>1424</v>
      </c>
      <c r="AG681" s="2451"/>
      <c r="AH681" s="2451"/>
      <c r="AI681" s="2451"/>
      <c r="AJ681" s="2451"/>
      <c r="AK681" s="2451"/>
      <c r="AL681" s="2451"/>
      <c r="AM681" s="596"/>
      <c r="AN681" s="597"/>
      <c r="AO681" s="611" t="s">
        <v>687</v>
      </c>
      <c r="AP681" s="550">
        <v>3</v>
      </c>
    </row>
    <row r="682" spans="1:42" s="550" customFormat="1" ht="12.75" customHeight="1">
      <c r="A682" s="679"/>
      <c r="B682" s="536"/>
      <c r="C682" s="931"/>
      <c r="D682" s="663"/>
      <c r="E682" s="2506"/>
      <c r="F682" s="2506"/>
      <c r="G682" s="2506"/>
      <c r="H682" s="2506"/>
      <c r="I682" s="2506"/>
      <c r="J682" s="2506"/>
      <c r="K682" s="2506"/>
      <c r="L682" s="2506"/>
      <c r="M682" s="2506"/>
      <c r="N682" s="2506"/>
      <c r="O682" s="2506"/>
      <c r="P682" s="2506"/>
      <c r="Q682" s="2506"/>
      <c r="R682" s="2506"/>
      <c r="S682" s="2506"/>
      <c r="T682" s="2506"/>
      <c r="U682" s="2506"/>
      <c r="V682" s="2506"/>
      <c r="W682" s="2506"/>
      <c r="X682" s="2506"/>
      <c r="Y682" s="2506"/>
      <c r="Z682" s="2506"/>
      <c r="AA682" s="2506"/>
      <c r="AB682" s="2506"/>
      <c r="AC682" s="250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6"/>
      <c r="F683" s="2506"/>
      <c r="G683" s="2506"/>
      <c r="H683" s="2506"/>
      <c r="I683" s="2506"/>
      <c r="J683" s="2506"/>
      <c r="K683" s="2506"/>
      <c r="L683" s="2506"/>
      <c r="M683" s="2506"/>
      <c r="N683" s="2506"/>
      <c r="O683" s="2506"/>
      <c r="P683" s="2506"/>
      <c r="Q683" s="2506"/>
      <c r="R683" s="2506"/>
      <c r="S683" s="2506"/>
      <c r="T683" s="2506"/>
      <c r="U683" s="2506"/>
      <c r="V683" s="2506"/>
      <c r="W683" s="2506"/>
      <c r="X683" s="2506"/>
      <c r="Y683" s="2506"/>
      <c r="Z683" s="2506"/>
      <c r="AA683" s="2506"/>
      <c r="AB683" s="2506"/>
      <c r="AC683" s="250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35" t="s">
        <v>687</v>
      </c>
      <c r="I685" s="253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6">
        <f>VLOOKUP($H$685,$AO$633:$AP$640,2,FALSE)</f>
        <v>5</v>
      </c>
      <c r="AK687" s="248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71</v>
      </c>
    </row>
    <row r="691" spans="1:51" s="550" customFormat="1" ht="12.75" customHeight="1">
      <c r="A691" s="679"/>
      <c r="B691" s="536"/>
      <c r="C691" s="948"/>
      <c r="D691" s="663" t="s">
        <v>687</v>
      </c>
      <c r="E691" s="2542" t="s">
        <v>2188</v>
      </c>
      <c r="F691" s="2542"/>
      <c r="G691" s="2542"/>
      <c r="H691" s="2542"/>
      <c r="I691" s="2542"/>
      <c r="J691" s="2542"/>
      <c r="K691" s="2542"/>
      <c r="L691" s="2542"/>
      <c r="M691" s="2542"/>
      <c r="N691" s="2542"/>
      <c r="O691" s="2542"/>
      <c r="P691" s="2542"/>
      <c r="Q691" s="2542"/>
      <c r="R691" s="2542"/>
      <c r="S691" s="2542"/>
      <c r="T691" s="2542"/>
      <c r="U691" s="2542"/>
      <c r="V691" s="2542"/>
      <c r="W691" s="2542"/>
      <c r="X691" s="2542"/>
      <c r="Y691" s="2542"/>
      <c r="Z691" s="2542"/>
      <c r="AA691" s="2542"/>
      <c r="AB691" s="2542"/>
      <c r="AC691" s="536"/>
      <c r="AD691" s="536"/>
      <c r="AE691" s="536"/>
      <c r="AF691" s="2451" t="s">
        <v>1351</v>
      </c>
      <c r="AG691" s="2451"/>
      <c r="AH691" s="2451"/>
      <c r="AI691" s="2451"/>
      <c r="AJ691" s="2451"/>
      <c r="AK691" s="2451"/>
      <c r="AL691" s="2451"/>
      <c r="AN691" s="597"/>
      <c r="AW691" s="22" t="s">
        <v>2183</v>
      </c>
      <c r="AX691" s="550">
        <f>Application!DE753</f>
        <v>37</v>
      </c>
    </row>
    <row r="692" spans="1:51" s="550" customFormat="1" ht="12.75" customHeight="1">
      <c r="A692" s="679"/>
      <c r="B692" s="536"/>
      <c r="C692" s="948"/>
      <c r="D692" s="663"/>
      <c r="E692" s="2542"/>
      <c r="F692" s="2542"/>
      <c r="G692" s="2542"/>
      <c r="H692" s="2542"/>
      <c r="I692" s="2542"/>
      <c r="J692" s="2542"/>
      <c r="K692" s="2542"/>
      <c r="L692" s="2542"/>
      <c r="M692" s="2542"/>
      <c r="N692" s="2542"/>
      <c r="O692" s="2542"/>
      <c r="P692" s="2542"/>
      <c r="Q692" s="2542"/>
      <c r="R692" s="2542"/>
      <c r="S692" s="2542"/>
      <c r="T692" s="2542"/>
      <c r="U692" s="2542"/>
      <c r="V692" s="2542"/>
      <c r="W692" s="2542"/>
      <c r="X692" s="2542"/>
      <c r="Y692" s="2542"/>
      <c r="Z692" s="2542"/>
      <c r="AA692" s="2542"/>
      <c r="AB692" s="2542"/>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506" t="s">
        <v>2132</v>
      </c>
      <c r="F694" s="2506"/>
      <c r="G694" s="2506"/>
      <c r="H694" s="2506"/>
      <c r="I694" s="2506"/>
      <c r="J694" s="2506"/>
      <c r="K694" s="2506"/>
      <c r="L694" s="2506"/>
      <c r="M694" s="2506"/>
      <c r="N694" s="2506"/>
      <c r="O694" s="2506"/>
      <c r="P694" s="2506"/>
      <c r="Q694" s="2506"/>
      <c r="R694" s="2506"/>
      <c r="S694" s="2506"/>
      <c r="T694" s="2506"/>
      <c r="U694" s="2506"/>
      <c r="V694" s="2506"/>
      <c r="W694" s="2506"/>
      <c r="X694" s="2506"/>
      <c r="Y694" s="2506"/>
      <c r="Z694" s="2506"/>
      <c r="AA694" s="2506"/>
      <c r="AB694" s="2506"/>
      <c r="AC694" s="536"/>
      <c r="AD694" s="536"/>
      <c r="AE694" s="536"/>
      <c r="AF694" s="2451" t="s">
        <v>1351</v>
      </c>
      <c r="AG694" s="2451"/>
      <c r="AH694" s="2451"/>
      <c r="AI694" s="2451"/>
      <c r="AJ694" s="2451"/>
      <c r="AK694" s="2451"/>
      <c r="AL694" s="2451"/>
      <c r="AN694" s="597"/>
      <c r="AW694" s="22" t="s">
        <v>2186</v>
      </c>
      <c r="AX694" s="550">
        <f>AX691+AX692+AX693</f>
        <v>37</v>
      </c>
    </row>
    <row r="695" spans="1:51" s="550" customFormat="1" ht="12.75" customHeight="1">
      <c r="B695" s="536"/>
      <c r="C695" s="940"/>
      <c r="D695" s="663"/>
      <c r="E695" s="2506"/>
      <c r="F695" s="2506"/>
      <c r="G695" s="2506"/>
      <c r="H695" s="2506"/>
      <c r="I695" s="2506"/>
      <c r="J695" s="2506"/>
      <c r="K695" s="2506"/>
      <c r="L695" s="2506"/>
      <c r="M695" s="2506"/>
      <c r="N695" s="2506"/>
      <c r="O695" s="2506"/>
      <c r="P695" s="2506"/>
      <c r="Q695" s="2506"/>
      <c r="R695" s="2506"/>
      <c r="S695" s="2506"/>
      <c r="T695" s="2506"/>
      <c r="U695" s="2506"/>
      <c r="V695" s="2506"/>
      <c r="W695" s="2506"/>
      <c r="X695" s="2506"/>
      <c r="Y695" s="2506"/>
      <c r="Z695" s="2506"/>
      <c r="AA695" s="2506"/>
      <c r="AB695" s="2506"/>
      <c r="AC695" s="536"/>
      <c r="AD695" s="536"/>
      <c r="AE695" s="616"/>
      <c r="AF695" s="536"/>
      <c r="AG695" s="536"/>
      <c r="AH695" s="536"/>
      <c r="AI695" s="536"/>
      <c r="AJ695" s="536"/>
      <c r="AK695" s="536"/>
      <c r="AL695" s="536"/>
      <c r="AN695" s="597"/>
      <c r="AO695" s="2541" t="b">
        <f>IF(Application!D211="Special Needs",IF(AY695&gt;=0.25,TRUE,FALSE),IF(AX695&gt;=0.25,TRUE,FALSE))</f>
        <v>1</v>
      </c>
      <c r="AP695" s="2541"/>
      <c r="AW695" s="22" t="s">
        <v>2187</v>
      </c>
      <c r="AX695" s="550">
        <f>IFERROR(AX694/AX690,0)</f>
        <v>0.52112676056338025</v>
      </c>
      <c r="AY695" s="550">
        <f>IFERROR(AX694/(AX690-AX689),0)</f>
        <v>0.52112676056338025</v>
      </c>
    </row>
    <row r="696" spans="1:51" s="550" customFormat="1" ht="12.75" customHeight="1">
      <c r="B696" s="536"/>
      <c r="C696" s="940"/>
      <c r="E696" s="2506"/>
      <c r="F696" s="2506"/>
      <c r="G696" s="2506"/>
      <c r="H696" s="2506"/>
      <c r="I696" s="2506"/>
      <c r="J696" s="2506"/>
      <c r="K696" s="2506"/>
      <c r="L696" s="2506"/>
      <c r="M696" s="2506"/>
      <c r="N696" s="2506"/>
      <c r="O696" s="2506"/>
      <c r="P696" s="2506"/>
      <c r="Q696" s="2506"/>
      <c r="R696" s="2506"/>
      <c r="S696" s="2506"/>
      <c r="T696" s="2506"/>
      <c r="U696" s="2506"/>
      <c r="V696" s="2506"/>
      <c r="W696" s="2506"/>
      <c r="X696" s="2506"/>
      <c r="Y696" s="2506"/>
      <c r="Z696" s="2506"/>
      <c r="AA696" s="2506"/>
      <c r="AB696" s="2506"/>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6"/>
      <c r="F697" s="2506"/>
      <c r="G697" s="2506"/>
      <c r="H697" s="2506"/>
      <c r="I697" s="2506"/>
      <c r="J697" s="2506"/>
      <c r="K697" s="2506"/>
      <c r="L697" s="2506"/>
      <c r="M697" s="2506"/>
      <c r="N697" s="2506"/>
      <c r="O697" s="2506"/>
      <c r="P697" s="2506"/>
      <c r="Q697" s="2506"/>
      <c r="R697" s="2506"/>
      <c r="S697" s="2506"/>
      <c r="T697" s="2506"/>
      <c r="U697" s="2506"/>
      <c r="V697" s="2506"/>
      <c r="W697" s="2506"/>
      <c r="X697" s="2506"/>
      <c r="Y697" s="2506"/>
      <c r="Z697" s="2506"/>
      <c r="AA697" s="2506"/>
      <c r="AB697" s="250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506" t="s">
        <v>2133</v>
      </c>
      <c r="F699" s="2506"/>
      <c r="G699" s="2506"/>
      <c r="H699" s="2506"/>
      <c r="I699" s="2506"/>
      <c r="J699" s="2506"/>
      <c r="K699" s="2506"/>
      <c r="L699" s="2506"/>
      <c r="M699" s="2506"/>
      <c r="N699" s="2506"/>
      <c r="O699" s="2506"/>
      <c r="P699" s="2506"/>
      <c r="Q699" s="2506"/>
      <c r="R699" s="2506"/>
      <c r="S699" s="2506"/>
      <c r="T699" s="2506"/>
      <c r="U699" s="2506"/>
      <c r="V699" s="2506"/>
      <c r="W699" s="2506"/>
      <c r="X699" s="2506"/>
      <c r="Y699" s="2506"/>
      <c r="Z699" s="2506"/>
      <c r="AA699" s="2506"/>
      <c r="AB699" s="2506"/>
      <c r="AC699" s="536"/>
      <c r="AD699" s="536"/>
      <c r="AE699" s="536"/>
      <c r="AF699" s="2451" t="s">
        <v>1407</v>
      </c>
      <c r="AG699" s="2451"/>
      <c r="AH699" s="2451"/>
      <c r="AI699" s="2451"/>
      <c r="AJ699" s="2451"/>
      <c r="AK699" s="2451"/>
      <c r="AL699" s="2451"/>
      <c r="AN699" s="597"/>
      <c r="AO699" s="611" t="s">
        <v>509</v>
      </c>
      <c r="AP699" s="550">
        <v>1</v>
      </c>
    </row>
    <row r="700" spans="1:51" s="550" customFormat="1" ht="12" customHeight="1">
      <c r="B700" s="536"/>
      <c r="C700" s="931"/>
      <c r="E700" s="2506"/>
      <c r="F700" s="2506"/>
      <c r="G700" s="2506"/>
      <c r="H700" s="2506"/>
      <c r="I700" s="2506"/>
      <c r="J700" s="2506"/>
      <c r="K700" s="2506"/>
      <c r="L700" s="2506"/>
      <c r="M700" s="2506"/>
      <c r="N700" s="2506"/>
      <c r="O700" s="2506"/>
      <c r="P700" s="2506"/>
      <c r="Q700" s="2506"/>
      <c r="R700" s="2506"/>
      <c r="S700" s="2506"/>
      <c r="T700" s="2506"/>
      <c r="U700" s="2506"/>
      <c r="V700" s="2506"/>
      <c r="W700" s="2506"/>
      <c r="X700" s="2506"/>
      <c r="Y700" s="2506"/>
      <c r="Z700" s="2506"/>
      <c r="AA700" s="2506"/>
      <c r="AB700" s="2506"/>
      <c r="AC700" s="536"/>
      <c r="AD700" s="536"/>
      <c r="AE700" s="616"/>
      <c r="AF700" s="536"/>
      <c r="AG700" s="536"/>
      <c r="AH700" s="536"/>
      <c r="AI700" s="536"/>
      <c r="AJ700" s="536"/>
      <c r="AK700" s="536"/>
      <c r="AL700" s="536"/>
      <c r="AN700" s="597"/>
    </row>
    <row r="701" spans="1:51" s="550" customFormat="1" ht="12" customHeight="1">
      <c r="B701" s="536"/>
      <c r="C701" s="931"/>
      <c r="D701" s="536"/>
      <c r="E701" s="2506"/>
      <c r="F701" s="2506"/>
      <c r="G701" s="2506"/>
      <c r="H701" s="2506"/>
      <c r="I701" s="2506"/>
      <c r="J701" s="2506"/>
      <c r="K701" s="2506"/>
      <c r="L701" s="2506"/>
      <c r="M701" s="2506"/>
      <c r="N701" s="2506"/>
      <c r="O701" s="2506"/>
      <c r="P701" s="2506"/>
      <c r="Q701" s="2506"/>
      <c r="R701" s="2506"/>
      <c r="S701" s="2506"/>
      <c r="T701" s="2506"/>
      <c r="U701" s="2506"/>
      <c r="V701" s="2506"/>
      <c r="W701" s="2506"/>
      <c r="X701" s="2506"/>
      <c r="Y701" s="2506"/>
      <c r="Z701" s="2506"/>
      <c r="AA701" s="2506"/>
      <c r="AB701" s="2506"/>
      <c r="AC701" s="536"/>
      <c r="AD701" s="536"/>
      <c r="AE701" s="616"/>
      <c r="AF701" s="536"/>
      <c r="AG701" s="536"/>
      <c r="AH701" s="536"/>
      <c r="AI701" s="536"/>
      <c r="AJ701" s="536"/>
      <c r="AK701" s="536"/>
      <c r="AL701" s="536"/>
      <c r="AN701" s="597"/>
    </row>
    <row r="702" spans="1:51" s="550" customFormat="1" ht="12" customHeight="1">
      <c r="B702" s="536"/>
      <c r="C702" s="931"/>
      <c r="D702" s="536"/>
      <c r="E702" s="2506"/>
      <c r="F702" s="2506"/>
      <c r="G702" s="2506"/>
      <c r="H702" s="2506"/>
      <c r="I702" s="2506"/>
      <c r="J702" s="2506"/>
      <c r="K702" s="2506"/>
      <c r="L702" s="2506"/>
      <c r="M702" s="2506"/>
      <c r="N702" s="2506"/>
      <c r="O702" s="2506"/>
      <c r="P702" s="2506"/>
      <c r="Q702" s="2506"/>
      <c r="R702" s="2506"/>
      <c r="S702" s="2506"/>
      <c r="T702" s="2506"/>
      <c r="U702" s="2506"/>
      <c r="V702" s="2506"/>
      <c r="W702" s="2506"/>
      <c r="X702" s="2506"/>
      <c r="Y702" s="2506"/>
      <c r="Z702" s="2506"/>
      <c r="AA702" s="2506"/>
      <c r="AB702" s="250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6"/>
      <c r="F703" s="2506"/>
      <c r="G703" s="2506"/>
      <c r="H703" s="2506"/>
      <c r="I703" s="2506"/>
      <c r="J703" s="2506"/>
      <c r="K703" s="2506"/>
      <c r="L703" s="2506"/>
      <c r="M703" s="2506"/>
      <c r="N703" s="2506"/>
      <c r="O703" s="2506"/>
      <c r="P703" s="2506"/>
      <c r="Q703" s="2506"/>
      <c r="R703" s="2506"/>
      <c r="S703" s="2506"/>
      <c r="T703" s="2506"/>
      <c r="U703" s="2506"/>
      <c r="V703" s="2506"/>
      <c r="W703" s="2506"/>
      <c r="X703" s="2506"/>
      <c r="Y703" s="2506"/>
      <c r="Z703" s="2506"/>
      <c r="AA703" s="2506"/>
      <c r="AB703" s="250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6" t="s">
        <v>1692</v>
      </c>
      <c r="F705" s="2506"/>
      <c r="G705" s="2506"/>
      <c r="H705" s="2506"/>
      <c r="I705" s="2506"/>
      <c r="J705" s="2506"/>
      <c r="K705" s="2506"/>
      <c r="L705" s="2506"/>
      <c r="M705" s="2506"/>
      <c r="N705" s="2506"/>
      <c r="O705" s="2506"/>
      <c r="P705" s="2506"/>
      <c r="Q705" s="2506"/>
      <c r="R705" s="2506"/>
      <c r="S705" s="2506"/>
      <c r="T705" s="2506"/>
      <c r="U705" s="2506"/>
      <c r="V705" s="2506"/>
      <c r="W705" s="2506"/>
      <c r="X705" s="2506"/>
      <c r="Y705" s="2506"/>
      <c r="Z705" s="2506"/>
      <c r="AA705" s="2506"/>
      <c r="AB705" s="2506"/>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06"/>
      <c r="F706" s="2506"/>
      <c r="G706" s="2506"/>
      <c r="H706" s="2506"/>
      <c r="I706" s="2506"/>
      <c r="J706" s="2506"/>
      <c r="K706" s="2506"/>
      <c r="L706" s="2506"/>
      <c r="M706" s="2506"/>
      <c r="N706" s="2506"/>
      <c r="O706" s="2506"/>
      <c r="P706" s="2506"/>
      <c r="Q706" s="2506"/>
      <c r="R706" s="2506"/>
      <c r="S706" s="2506"/>
      <c r="T706" s="2506"/>
      <c r="U706" s="2506"/>
      <c r="V706" s="2506"/>
      <c r="W706" s="2506"/>
      <c r="X706" s="2506"/>
      <c r="Y706" s="2506"/>
      <c r="Z706" s="2506"/>
      <c r="AA706" s="2506"/>
      <c r="AB706" s="2506"/>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6"/>
      <c r="F707" s="2506"/>
      <c r="G707" s="2506"/>
      <c r="H707" s="2506"/>
      <c r="I707" s="2506"/>
      <c r="J707" s="2506"/>
      <c r="K707" s="2506"/>
      <c r="L707" s="2506"/>
      <c r="M707" s="2506"/>
      <c r="N707" s="2506"/>
      <c r="O707" s="2506"/>
      <c r="P707" s="2506"/>
      <c r="Q707" s="2506"/>
      <c r="R707" s="2506"/>
      <c r="S707" s="2506"/>
      <c r="T707" s="2506"/>
      <c r="U707" s="2506"/>
      <c r="V707" s="2506"/>
      <c r="W707" s="2506"/>
      <c r="X707" s="2506"/>
      <c r="Y707" s="2506"/>
      <c r="Z707" s="2506"/>
      <c r="AA707" s="2506"/>
      <c r="AB707" s="250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35" t="s">
        <v>278</v>
      </c>
      <c r="I709" s="253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86">
        <f>VLOOKUP($H$709,$AO$703:$AP$706,2,FALSE)</f>
        <v>2</v>
      </c>
      <c r="AK711" s="248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43" t="s">
        <v>1694</v>
      </c>
      <c r="F715" s="2543"/>
      <c r="G715" s="2543"/>
      <c r="H715" s="2543"/>
      <c r="I715" s="2543"/>
      <c r="J715" s="2543"/>
      <c r="K715" s="2543"/>
      <c r="L715" s="2543"/>
      <c r="M715" s="2543"/>
      <c r="N715" s="2543"/>
      <c r="O715" s="2543"/>
      <c r="P715" s="2543"/>
      <c r="Q715" s="2543"/>
      <c r="R715" s="2543"/>
      <c r="S715" s="2543"/>
      <c r="T715" s="2543"/>
      <c r="U715" s="2543"/>
      <c r="V715" s="2543"/>
      <c r="W715" s="2543"/>
      <c r="X715" s="2543"/>
      <c r="Y715" s="2543"/>
      <c r="Z715" s="2543"/>
      <c r="AA715" s="2543"/>
      <c r="AB715" s="2543"/>
      <c r="AC715" s="536"/>
      <c r="AD715" s="536"/>
      <c r="AE715" s="536"/>
      <c r="AF715" s="2451" t="s">
        <v>1351</v>
      </c>
      <c r="AG715" s="2451"/>
      <c r="AH715" s="2451"/>
      <c r="AI715" s="2451"/>
      <c r="AJ715" s="2451"/>
      <c r="AK715" s="2451"/>
      <c r="AL715" s="2451"/>
      <c r="AM715" s="550"/>
      <c r="AN715" s="684"/>
      <c r="AP715" s="570" t="s">
        <v>1431</v>
      </c>
    </row>
    <row r="716" spans="1:43" s="570" customFormat="1" ht="12" customHeight="1">
      <c r="A716" s="550"/>
      <c r="B716" s="536"/>
      <c r="C716" s="933"/>
      <c r="D716" s="663"/>
      <c r="E716" s="2543"/>
      <c r="F716" s="2543"/>
      <c r="G716" s="2543"/>
      <c r="H716" s="2543"/>
      <c r="I716" s="2543"/>
      <c r="J716" s="2543"/>
      <c r="K716" s="2543"/>
      <c r="L716" s="2543"/>
      <c r="M716" s="2543"/>
      <c r="N716" s="2543"/>
      <c r="O716" s="2543"/>
      <c r="P716" s="2543"/>
      <c r="Q716" s="2543"/>
      <c r="R716" s="2543"/>
      <c r="S716" s="2543"/>
      <c r="T716" s="2543"/>
      <c r="U716" s="2543"/>
      <c r="V716" s="2543"/>
      <c r="W716" s="2543"/>
      <c r="X716" s="2543"/>
      <c r="Y716" s="2543"/>
      <c r="Z716" s="2543"/>
      <c r="AA716" s="2543"/>
      <c r="AB716" s="2543"/>
      <c r="AC716" s="536"/>
      <c r="AD716" s="536"/>
      <c r="AE716" s="536"/>
      <c r="AF716" s="536"/>
      <c r="AG716" s="536"/>
      <c r="AH716" s="536"/>
      <c r="AI716" s="536"/>
      <c r="AJ716" s="536"/>
      <c r="AK716" s="536"/>
      <c r="AL716" s="536"/>
      <c r="AM716" s="550"/>
      <c r="AN716" s="684"/>
      <c r="AP716" s="570" t="s">
        <v>1432</v>
      </c>
    </row>
    <row r="717" spans="1:43" s="570" customFormat="1" ht="14.25" customHeight="1">
      <c r="A717" s="550"/>
      <c r="B717" s="610"/>
      <c r="C717" s="931"/>
      <c r="D717" s="663"/>
      <c r="E717" s="2543"/>
      <c r="F717" s="2543"/>
      <c r="G717" s="2543"/>
      <c r="H717" s="2543"/>
      <c r="I717" s="2543"/>
      <c r="J717" s="2543"/>
      <c r="K717" s="2543"/>
      <c r="L717" s="2543"/>
      <c r="M717" s="2543"/>
      <c r="N717" s="2543"/>
      <c r="O717" s="2543"/>
      <c r="P717" s="2543"/>
      <c r="Q717" s="2543"/>
      <c r="R717" s="2543"/>
      <c r="S717" s="2543"/>
      <c r="T717" s="2543"/>
      <c r="U717" s="2543"/>
      <c r="V717" s="2543"/>
      <c r="W717" s="2543"/>
      <c r="X717" s="2543"/>
      <c r="Y717" s="2543"/>
      <c r="Z717" s="2543"/>
      <c r="AA717" s="2543"/>
      <c r="AB717" s="2543"/>
      <c r="AC717" s="536"/>
      <c r="AD717" s="536"/>
      <c r="AE717" s="616"/>
      <c r="AF717" s="536"/>
      <c r="AG717" s="536"/>
      <c r="AH717" s="536"/>
      <c r="AI717" s="536"/>
      <c r="AJ717" s="536"/>
      <c r="AK717" s="536"/>
      <c r="AL717" s="536"/>
      <c r="AM717" s="550"/>
      <c r="AN717" s="684"/>
      <c r="AP717" s="570" t="s">
        <v>1433</v>
      </c>
    </row>
    <row r="718" spans="1:43" s="570" customFormat="1" ht="14.2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25" customHeight="1">
      <c r="A719" s="550"/>
      <c r="B719" s="536"/>
      <c r="C719" s="931"/>
      <c r="D719" s="663" t="s">
        <v>509</v>
      </c>
      <c r="E719" s="2544" t="s">
        <v>1434</v>
      </c>
      <c r="F719" s="2544"/>
      <c r="G719" s="2544"/>
      <c r="H719" s="2544"/>
      <c r="I719" s="2544"/>
      <c r="J719" s="2544"/>
      <c r="K719" s="2544"/>
      <c r="L719" s="2544"/>
      <c r="M719" s="2544"/>
      <c r="N719" s="2544"/>
      <c r="O719" s="2544"/>
      <c r="P719" s="2544"/>
      <c r="Q719" s="2544"/>
      <c r="R719" s="2544"/>
      <c r="S719" s="2544"/>
      <c r="T719" s="2544"/>
      <c r="U719" s="2544"/>
      <c r="V719" s="2544"/>
      <c r="W719" s="2544"/>
      <c r="X719" s="2544"/>
      <c r="Y719" s="2544"/>
      <c r="Z719" s="2544"/>
      <c r="AA719" s="2544"/>
      <c r="AB719" s="2544"/>
      <c r="AC719" s="536"/>
      <c r="AD719" s="536"/>
      <c r="AE719" s="536"/>
      <c r="AF719" s="2451" t="s">
        <v>1407</v>
      </c>
      <c r="AG719" s="2451"/>
      <c r="AH719" s="2451"/>
      <c r="AI719" s="2451"/>
      <c r="AJ719" s="2451"/>
      <c r="AK719" s="2451"/>
      <c r="AL719" s="2451"/>
      <c r="AM719" s="550"/>
      <c r="AN719" s="685"/>
    </row>
    <row r="720" spans="1:43" s="570" customFormat="1" ht="12.75" customHeight="1">
      <c r="A720" s="550"/>
      <c r="B720" s="536"/>
      <c r="C720" s="933"/>
      <c r="D720" s="536"/>
      <c r="E720" s="2544"/>
      <c r="F720" s="2544"/>
      <c r="G720" s="2544"/>
      <c r="H720" s="2544"/>
      <c r="I720" s="2544"/>
      <c r="J720" s="2544"/>
      <c r="K720" s="2544"/>
      <c r="L720" s="2544"/>
      <c r="M720" s="2544"/>
      <c r="N720" s="2544"/>
      <c r="O720" s="2544"/>
      <c r="P720" s="2544"/>
      <c r="Q720" s="2544"/>
      <c r="R720" s="2544"/>
      <c r="S720" s="2544"/>
      <c r="T720" s="2544"/>
      <c r="U720" s="2544"/>
      <c r="V720" s="2544"/>
      <c r="W720" s="2544"/>
      <c r="X720" s="2544"/>
      <c r="Y720" s="2544"/>
      <c r="Z720" s="2544"/>
      <c r="AA720" s="2544"/>
      <c r="AB720" s="2544"/>
      <c r="AC720" s="536"/>
      <c r="AD720" s="536"/>
      <c r="AE720" s="536"/>
      <c r="AF720" s="536"/>
      <c r="AG720" s="536"/>
      <c r="AH720" s="536"/>
      <c r="AI720" s="536"/>
      <c r="AJ720" s="536"/>
      <c r="AK720" s="536"/>
      <c r="AL720" s="536"/>
      <c r="AM720" s="550"/>
      <c r="AN720" s="684"/>
      <c r="AP720" s="550" t="s">
        <v>591</v>
      </c>
      <c r="AQ720" s="673">
        <v>0</v>
      </c>
    </row>
    <row r="721" spans="1:81" s="570" customFormat="1" ht="14.25" customHeight="1">
      <c r="A721" s="550"/>
      <c r="B721" s="536"/>
      <c r="C721" s="933"/>
      <c r="D721" s="536"/>
      <c r="E721" s="2544"/>
      <c r="F721" s="2544"/>
      <c r="G721" s="2544"/>
      <c r="H721" s="2544"/>
      <c r="I721" s="2544"/>
      <c r="J721" s="2544"/>
      <c r="K721" s="2544"/>
      <c r="L721" s="2544"/>
      <c r="M721" s="2544"/>
      <c r="N721" s="2544"/>
      <c r="O721" s="2544"/>
      <c r="P721" s="2544"/>
      <c r="Q721" s="2544"/>
      <c r="R721" s="2544"/>
      <c r="S721" s="2544"/>
      <c r="T721" s="2544"/>
      <c r="U721" s="2544"/>
      <c r="V721" s="2544"/>
      <c r="W721" s="2544"/>
      <c r="X721" s="2544"/>
      <c r="Y721" s="2544"/>
      <c r="Z721" s="2544"/>
      <c r="AA721" s="2544"/>
      <c r="AB721" s="2544"/>
      <c r="AC721" s="536"/>
      <c r="AD721" s="536"/>
      <c r="AE721" s="536"/>
      <c r="AF721" s="536"/>
      <c r="AG721" s="536"/>
      <c r="AH721" s="536"/>
      <c r="AI721" s="536"/>
      <c r="AJ721" s="536"/>
      <c r="AK721" s="536"/>
      <c r="AL721" s="536"/>
      <c r="AM721" s="550"/>
      <c r="AN721" s="684"/>
      <c r="AP721" s="611" t="s">
        <v>687</v>
      </c>
      <c r="AQ721" s="550">
        <v>3</v>
      </c>
    </row>
    <row r="722" spans="1:81" s="570" customFormat="1" ht="14.2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25" customHeight="1">
      <c r="A723" s="550"/>
      <c r="B723" s="536"/>
      <c r="C723" s="933"/>
      <c r="D723" s="536" t="s">
        <v>1399</v>
      </c>
      <c r="E723" s="936"/>
      <c r="F723" s="936"/>
      <c r="G723" s="936"/>
      <c r="H723" s="2535" t="s">
        <v>591</v>
      </c>
      <c r="I723" s="253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6">
        <f>VLOOKUP($H$723,$AP$720:$AQ$722,2,FALSE)</f>
        <v>0</v>
      </c>
      <c r="AK725" s="2488"/>
      <c r="AL725" s="595"/>
      <c r="AM725" s="550"/>
      <c r="AN725" s="684"/>
      <c r="AP725" s="2486"/>
      <c r="AQ725" s="248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6" t="s">
        <v>1695</v>
      </c>
      <c r="F729" s="2506"/>
      <c r="G729" s="2506"/>
      <c r="H729" s="2506"/>
      <c r="I729" s="2506"/>
      <c r="J729" s="2506"/>
      <c r="K729" s="2506"/>
      <c r="L729" s="2506"/>
      <c r="M729" s="2506"/>
      <c r="N729" s="2506"/>
      <c r="O729" s="2506"/>
      <c r="P729" s="2506"/>
      <c r="Q729" s="2506"/>
      <c r="R729" s="2506"/>
      <c r="S729" s="2506"/>
      <c r="T729" s="2506"/>
      <c r="U729" s="2506"/>
      <c r="V729" s="2506"/>
      <c r="W729" s="2506"/>
      <c r="X729" s="2506"/>
      <c r="Y729" s="2506"/>
      <c r="Z729" s="2506"/>
      <c r="AA729" s="2506"/>
      <c r="AB729" s="2506"/>
      <c r="AC729" s="536"/>
      <c r="AD729" s="536"/>
      <c r="AE729" s="536"/>
      <c r="AF729" s="2451" t="s">
        <v>1351</v>
      </c>
      <c r="AG729" s="2451"/>
      <c r="AH729" s="2451"/>
      <c r="AI729" s="2451"/>
      <c r="AJ729" s="2451"/>
      <c r="AK729" s="2451"/>
      <c r="AL729" s="2451"/>
      <c r="AM729" s="550"/>
      <c r="AN729" s="684"/>
      <c r="AT729" s="14"/>
      <c r="AU729" s="14"/>
      <c r="AV729" s="14"/>
      <c r="AW729" s="14"/>
      <c r="AX729" s="14"/>
      <c r="AY729" s="14"/>
      <c r="AZ729" s="14"/>
    </row>
    <row r="730" spans="1:81" s="570" customFormat="1">
      <c r="A730" s="550"/>
      <c r="B730" s="536"/>
      <c r="C730" s="933"/>
      <c r="D730" s="663"/>
      <c r="E730" s="2506"/>
      <c r="F730" s="2506"/>
      <c r="G730" s="2506"/>
      <c r="H730" s="2506"/>
      <c r="I730" s="2506"/>
      <c r="J730" s="2506"/>
      <c r="K730" s="2506"/>
      <c r="L730" s="2506"/>
      <c r="M730" s="2506"/>
      <c r="N730" s="2506"/>
      <c r="O730" s="2506"/>
      <c r="P730" s="2506"/>
      <c r="Q730" s="2506"/>
      <c r="R730" s="2506"/>
      <c r="S730" s="2506"/>
      <c r="T730" s="2506"/>
      <c r="U730" s="2506"/>
      <c r="V730" s="2506"/>
      <c r="W730" s="2506"/>
      <c r="X730" s="2506"/>
      <c r="Y730" s="2506"/>
      <c r="Z730" s="2506"/>
      <c r="AA730" s="2506"/>
      <c r="AB730" s="250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6" t="s">
        <v>1438</v>
      </c>
      <c r="F732" s="2506"/>
      <c r="G732" s="2506"/>
      <c r="H732" s="2506"/>
      <c r="I732" s="2506"/>
      <c r="J732" s="2506"/>
      <c r="K732" s="2506"/>
      <c r="L732" s="2506"/>
      <c r="M732" s="2506"/>
      <c r="N732" s="2506"/>
      <c r="O732" s="2506"/>
      <c r="P732" s="2506"/>
      <c r="Q732" s="2506"/>
      <c r="R732" s="2506"/>
      <c r="S732" s="2506"/>
      <c r="T732" s="2506"/>
      <c r="U732" s="2506"/>
      <c r="V732" s="2506"/>
      <c r="W732" s="2506"/>
      <c r="X732" s="2506"/>
      <c r="Y732" s="2506"/>
      <c r="Z732" s="2506"/>
      <c r="AA732" s="2506"/>
      <c r="AB732" s="2506"/>
      <c r="AC732" s="536"/>
      <c r="AD732" s="536"/>
      <c r="AE732" s="536"/>
      <c r="AF732" s="2451" t="s">
        <v>1407</v>
      </c>
      <c r="AG732" s="2451"/>
      <c r="AH732" s="2451"/>
      <c r="AI732" s="2451"/>
      <c r="AJ732" s="2451"/>
      <c r="AK732" s="2451"/>
      <c r="AL732" s="2451"/>
      <c r="AM732" s="550"/>
      <c r="AN732" s="684"/>
      <c r="AT732" s="14"/>
      <c r="AU732" s="14"/>
      <c r="AV732" s="14"/>
      <c r="AW732" s="14"/>
      <c r="AX732" s="14"/>
      <c r="AY732" s="14"/>
      <c r="AZ732" s="14"/>
    </row>
    <row r="733" spans="1:81" s="570" customFormat="1">
      <c r="A733" s="550"/>
      <c r="B733" s="536"/>
      <c r="C733" s="933"/>
      <c r="D733" s="536"/>
      <c r="E733" s="2506"/>
      <c r="F733" s="2506"/>
      <c r="G733" s="2506"/>
      <c r="H733" s="2506"/>
      <c r="I733" s="2506"/>
      <c r="J733" s="2506"/>
      <c r="K733" s="2506"/>
      <c r="L733" s="2506"/>
      <c r="M733" s="2506"/>
      <c r="N733" s="2506"/>
      <c r="O733" s="2506"/>
      <c r="P733" s="2506"/>
      <c r="Q733" s="2506"/>
      <c r="R733" s="2506"/>
      <c r="S733" s="2506"/>
      <c r="T733" s="2506"/>
      <c r="U733" s="2506"/>
      <c r="V733" s="2506"/>
      <c r="W733" s="2506"/>
      <c r="X733" s="2506"/>
      <c r="Y733" s="2506"/>
      <c r="Z733" s="2506"/>
      <c r="AA733" s="2506"/>
      <c r="AB733" s="250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35" t="s">
        <v>591</v>
      </c>
      <c r="I735" s="253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6">
        <f>VLOOKUP($H$735,$AO$666:$AP$668,2,FALSE)</f>
        <v>0</v>
      </c>
      <c r="AK737" s="248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6" t="s">
        <v>1441</v>
      </c>
      <c r="F741" s="2506"/>
      <c r="G741" s="2506"/>
      <c r="H741" s="2506"/>
      <c r="I741" s="2506"/>
      <c r="J741" s="2506"/>
      <c r="K741" s="2506"/>
      <c r="L741" s="2506"/>
      <c r="M741" s="2506"/>
      <c r="N741" s="2506"/>
      <c r="O741" s="2506"/>
      <c r="P741" s="2506"/>
      <c r="Q741" s="2506"/>
      <c r="R741" s="2506"/>
      <c r="S741" s="2506"/>
      <c r="T741" s="2506"/>
      <c r="U741" s="2506"/>
      <c r="V741" s="2506"/>
      <c r="W741" s="2506"/>
      <c r="X741" s="2506"/>
      <c r="Y741" s="2506"/>
      <c r="Z741" s="2506"/>
      <c r="AA741" s="2506"/>
      <c r="AB741" s="2506"/>
      <c r="AC741" s="536"/>
      <c r="AD741" s="536"/>
      <c r="AE741" s="536"/>
      <c r="AF741" s="2451" t="s">
        <v>1351</v>
      </c>
      <c r="AG741" s="2451"/>
      <c r="AH741" s="2451"/>
      <c r="AI741" s="2451"/>
      <c r="AJ741" s="2451"/>
      <c r="AK741" s="2451"/>
      <c r="AL741" s="2451"/>
      <c r="AM741" s="550"/>
      <c r="AN741" s="684"/>
      <c r="AT741" s="14"/>
      <c r="AU741" s="14"/>
      <c r="AV741" s="14"/>
      <c r="AW741" s="14"/>
      <c r="AX741" s="14"/>
      <c r="AY741" s="14"/>
      <c r="AZ741" s="14"/>
    </row>
    <row r="742" spans="1:81" s="570" customFormat="1">
      <c r="A742" s="550"/>
      <c r="B742" s="536"/>
      <c r="C742" s="931"/>
      <c r="D742" s="663"/>
      <c r="E742" s="2506"/>
      <c r="F742" s="2506"/>
      <c r="G742" s="2506"/>
      <c r="H742" s="2506"/>
      <c r="I742" s="2506"/>
      <c r="J742" s="2506"/>
      <c r="K742" s="2506"/>
      <c r="L742" s="2506"/>
      <c r="M742" s="2506"/>
      <c r="N742" s="2506"/>
      <c r="O742" s="2506"/>
      <c r="P742" s="2506"/>
      <c r="Q742" s="2506"/>
      <c r="R742" s="2506"/>
      <c r="S742" s="2506"/>
      <c r="T742" s="2506"/>
      <c r="U742" s="2506"/>
      <c r="V742" s="2506"/>
      <c r="W742" s="2506"/>
      <c r="X742" s="2506"/>
      <c r="Y742" s="2506"/>
      <c r="Z742" s="2506"/>
      <c r="AA742" s="2506"/>
      <c r="AB742" s="250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6"/>
      <c r="F743" s="2506"/>
      <c r="G743" s="2506"/>
      <c r="H743" s="2506"/>
      <c r="I743" s="2506"/>
      <c r="J743" s="2506"/>
      <c r="K743" s="2506"/>
      <c r="L743" s="2506"/>
      <c r="M743" s="2506"/>
      <c r="N743" s="2506"/>
      <c r="O743" s="2506"/>
      <c r="P743" s="2506"/>
      <c r="Q743" s="2506"/>
      <c r="R743" s="2506"/>
      <c r="S743" s="2506"/>
      <c r="T743" s="2506"/>
      <c r="U743" s="2506"/>
      <c r="V743" s="2506"/>
      <c r="W743" s="2506"/>
      <c r="X743" s="2506"/>
      <c r="Y743" s="2506"/>
      <c r="Z743" s="2506"/>
      <c r="AA743" s="2506"/>
      <c r="AB743" s="250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6"/>
      <c r="F744" s="2506"/>
      <c r="G744" s="2506"/>
      <c r="H744" s="2506"/>
      <c r="I744" s="2506"/>
      <c r="J744" s="2506"/>
      <c r="K744" s="2506"/>
      <c r="L744" s="2506"/>
      <c r="M744" s="2506"/>
      <c r="N744" s="2506"/>
      <c r="O744" s="2506"/>
      <c r="P744" s="2506"/>
      <c r="Q744" s="2506"/>
      <c r="R744" s="2506"/>
      <c r="S744" s="2506"/>
      <c r="T744" s="2506"/>
      <c r="U744" s="2506"/>
      <c r="V744" s="2506"/>
      <c r="W744" s="2506"/>
      <c r="X744" s="2506"/>
      <c r="Y744" s="2506"/>
      <c r="Z744" s="2506"/>
      <c r="AA744" s="2506"/>
      <c r="AB744" s="250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6" t="s">
        <v>1442</v>
      </c>
      <c r="F746" s="2506"/>
      <c r="G746" s="2506"/>
      <c r="H746" s="2506"/>
      <c r="I746" s="2506"/>
      <c r="J746" s="2506"/>
      <c r="K746" s="2506"/>
      <c r="L746" s="2506"/>
      <c r="M746" s="2506"/>
      <c r="N746" s="2506"/>
      <c r="O746" s="2506"/>
      <c r="P746" s="2506"/>
      <c r="Q746" s="2506"/>
      <c r="R746" s="2506"/>
      <c r="S746" s="2506"/>
      <c r="T746" s="2506"/>
      <c r="U746" s="2506"/>
      <c r="V746" s="2506"/>
      <c r="W746" s="2506"/>
      <c r="X746" s="2506"/>
      <c r="Y746" s="2506"/>
      <c r="Z746" s="2506"/>
      <c r="AA746" s="2506"/>
      <c r="AB746" s="575"/>
      <c r="AC746" s="536"/>
      <c r="AD746" s="536"/>
      <c r="AE746" s="536"/>
      <c r="AF746" s="2451" t="s">
        <v>1407</v>
      </c>
      <c r="AG746" s="2451"/>
      <c r="AH746" s="2451"/>
      <c r="AI746" s="2451"/>
      <c r="AJ746" s="2451"/>
      <c r="AK746" s="2451"/>
      <c r="AL746" s="2451"/>
      <c r="AM746" s="550"/>
      <c r="AN746" s="684"/>
      <c r="AO746" s="30"/>
      <c r="AP746" s="14"/>
    </row>
    <row r="747" spans="1:81" s="570" customFormat="1">
      <c r="A747" s="550"/>
      <c r="B747" s="536"/>
      <c r="C747" s="931"/>
      <c r="D747" s="663"/>
      <c r="E747" s="2506"/>
      <c r="F747" s="2506"/>
      <c r="G747" s="2506"/>
      <c r="H747" s="2506"/>
      <c r="I747" s="2506"/>
      <c r="J747" s="2506"/>
      <c r="K747" s="2506"/>
      <c r="L747" s="2506"/>
      <c r="M747" s="2506"/>
      <c r="N747" s="2506"/>
      <c r="O747" s="2506"/>
      <c r="P747" s="2506"/>
      <c r="Q747" s="2506"/>
      <c r="R747" s="2506"/>
      <c r="S747" s="2506"/>
      <c r="T747" s="2506"/>
      <c r="U747" s="2506"/>
      <c r="V747" s="2506"/>
      <c r="W747" s="2506"/>
      <c r="X747" s="2506"/>
      <c r="Y747" s="2506"/>
      <c r="Z747" s="2506"/>
      <c r="AA747" s="250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6"/>
      <c r="F748" s="2506"/>
      <c r="G748" s="2506"/>
      <c r="H748" s="2506"/>
      <c r="I748" s="2506"/>
      <c r="J748" s="2506"/>
      <c r="K748" s="2506"/>
      <c r="L748" s="2506"/>
      <c r="M748" s="2506"/>
      <c r="N748" s="2506"/>
      <c r="O748" s="2506"/>
      <c r="P748" s="2506"/>
      <c r="Q748" s="2506"/>
      <c r="R748" s="2506"/>
      <c r="S748" s="2506"/>
      <c r="T748" s="2506"/>
      <c r="U748" s="2506"/>
      <c r="V748" s="2506"/>
      <c r="W748" s="2506"/>
      <c r="X748" s="2506"/>
      <c r="Y748" s="2506"/>
      <c r="Z748" s="2506"/>
      <c r="AA748" s="250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6"/>
      <c r="F749" s="2506"/>
      <c r="G749" s="2506"/>
      <c r="H749" s="2506"/>
      <c r="I749" s="2506"/>
      <c r="J749" s="2506"/>
      <c r="K749" s="2506"/>
      <c r="L749" s="2506"/>
      <c r="M749" s="2506"/>
      <c r="N749" s="2506"/>
      <c r="O749" s="2506"/>
      <c r="P749" s="2506"/>
      <c r="Q749" s="2506"/>
      <c r="R749" s="2506"/>
      <c r="S749" s="2506"/>
      <c r="T749" s="2506"/>
      <c r="U749" s="2506"/>
      <c r="V749" s="2506"/>
      <c r="W749" s="2506"/>
      <c r="X749" s="2506"/>
      <c r="Y749" s="2506"/>
      <c r="Z749" s="2506"/>
      <c r="AA749" s="250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35" t="s">
        <v>591</v>
      </c>
      <c r="I751" s="253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6">
        <f>VLOOKUP($H$751,$AO$680:$AP$682,2,FALSE)</f>
        <v>0</v>
      </c>
      <c r="AK753" s="248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6" t="s">
        <v>1444</v>
      </c>
      <c r="F757" s="2506"/>
      <c r="G757" s="2506"/>
      <c r="H757" s="2506"/>
      <c r="I757" s="2506"/>
      <c r="J757" s="2506"/>
      <c r="K757" s="2506"/>
      <c r="L757" s="2506"/>
      <c r="M757" s="2506"/>
      <c r="N757" s="2506"/>
      <c r="O757" s="2506"/>
      <c r="P757" s="2506"/>
      <c r="Q757" s="2506"/>
      <c r="R757" s="2506"/>
      <c r="S757" s="2506"/>
      <c r="T757" s="2506"/>
      <c r="U757" s="2506"/>
      <c r="V757" s="2506"/>
      <c r="W757" s="2506"/>
      <c r="X757" s="2506"/>
      <c r="Y757" s="2506"/>
      <c r="Z757" s="2506"/>
      <c r="AA757" s="2506"/>
      <c r="AB757" s="2506"/>
      <c r="AC757" s="536"/>
      <c r="AD757" s="536"/>
      <c r="AE757" s="536"/>
      <c r="AF757" s="2451" t="s">
        <v>1407</v>
      </c>
      <c r="AG757" s="2451"/>
      <c r="AH757" s="2451"/>
      <c r="AI757" s="2451"/>
      <c r="AJ757" s="2451"/>
      <c r="AK757" s="2451"/>
      <c r="AL757" s="245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6"/>
      <c r="F758" s="2506"/>
      <c r="G758" s="2506"/>
      <c r="H758" s="2506"/>
      <c r="I758" s="2506"/>
      <c r="J758" s="2506"/>
      <c r="K758" s="2506"/>
      <c r="L758" s="2506"/>
      <c r="M758" s="2506"/>
      <c r="N758" s="2506"/>
      <c r="O758" s="2506"/>
      <c r="P758" s="2506"/>
      <c r="Q758" s="2506"/>
      <c r="R758" s="2506"/>
      <c r="S758" s="2506"/>
      <c r="T758" s="2506"/>
      <c r="U758" s="2506"/>
      <c r="V758" s="2506"/>
      <c r="W758" s="2506"/>
      <c r="X758" s="2506"/>
      <c r="Y758" s="2506"/>
      <c r="Z758" s="2506"/>
      <c r="AA758" s="2506"/>
      <c r="AB758" s="250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6" t="s">
        <v>1445</v>
      </c>
      <c r="F760" s="2506"/>
      <c r="G760" s="2506"/>
      <c r="H760" s="2506"/>
      <c r="I760" s="2506"/>
      <c r="J760" s="2506"/>
      <c r="K760" s="2506"/>
      <c r="L760" s="2506"/>
      <c r="M760" s="2506"/>
      <c r="N760" s="2506"/>
      <c r="O760" s="2506"/>
      <c r="P760" s="2506"/>
      <c r="Q760" s="2506"/>
      <c r="R760" s="2506"/>
      <c r="S760" s="2506"/>
      <c r="T760" s="2506"/>
      <c r="U760" s="2506"/>
      <c r="V760" s="2506"/>
      <c r="W760" s="2506"/>
      <c r="X760" s="2506"/>
      <c r="Y760" s="2506"/>
      <c r="Z760" s="2506"/>
      <c r="AA760" s="2506"/>
      <c r="AB760" s="2506"/>
      <c r="AC760" s="536"/>
      <c r="AD760" s="536"/>
      <c r="AE760" s="536"/>
      <c r="AF760" s="2451" t="s">
        <v>1424</v>
      </c>
      <c r="AG760" s="2451"/>
      <c r="AH760" s="2451"/>
      <c r="AI760" s="2451"/>
      <c r="AJ760" s="2451"/>
      <c r="AK760" s="2451"/>
      <c r="AL760" s="245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6"/>
      <c r="F761" s="2506"/>
      <c r="G761" s="2506"/>
      <c r="H761" s="2506"/>
      <c r="I761" s="2506"/>
      <c r="J761" s="2506"/>
      <c r="K761" s="2506"/>
      <c r="L761" s="2506"/>
      <c r="M761" s="2506"/>
      <c r="N761" s="2506"/>
      <c r="O761" s="2506"/>
      <c r="P761" s="2506"/>
      <c r="Q761" s="2506"/>
      <c r="R761" s="2506"/>
      <c r="S761" s="2506"/>
      <c r="T761" s="2506"/>
      <c r="U761" s="2506"/>
      <c r="V761" s="2506"/>
      <c r="W761" s="2506"/>
      <c r="X761" s="2506"/>
      <c r="Y761" s="2506"/>
      <c r="Z761" s="2506"/>
      <c r="AA761" s="2506"/>
      <c r="AB761" s="250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35" t="s">
        <v>591</v>
      </c>
      <c r="I763" s="253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2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6">
        <f>VLOOKUP($H$763,$AO$697:$AP$699,2,FALSE)</f>
        <v>0</v>
      </c>
      <c r="AK765" s="248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506" t="s">
        <v>1691</v>
      </c>
      <c r="F769" s="2506"/>
      <c r="G769" s="2506"/>
      <c r="H769" s="2506"/>
      <c r="I769" s="2506"/>
      <c r="J769" s="2506"/>
      <c r="K769" s="2506"/>
      <c r="L769" s="2506"/>
      <c r="M769" s="2506"/>
      <c r="N769" s="2506"/>
      <c r="O769" s="2506"/>
      <c r="P769" s="2506"/>
      <c r="Q769" s="2506"/>
      <c r="R769" s="2506"/>
      <c r="S769" s="2506"/>
      <c r="T769" s="2506"/>
      <c r="U769" s="2506"/>
      <c r="V769" s="2506"/>
      <c r="W769" s="2506"/>
      <c r="X769" s="2506"/>
      <c r="Y769" s="2506"/>
      <c r="Z769" s="2506"/>
      <c r="AA769" s="2506"/>
      <c r="AB769" s="2506"/>
      <c r="AC769" s="2506"/>
      <c r="AD769" s="2506"/>
      <c r="AE769" s="536"/>
      <c r="AF769" s="2451" t="s">
        <v>1407</v>
      </c>
      <c r="AG769" s="2451"/>
      <c r="AH769" s="2451"/>
      <c r="AI769" s="2451"/>
      <c r="AJ769" s="2451"/>
      <c r="AK769" s="2451"/>
      <c r="AL769" s="2451"/>
      <c r="AM769" s="613"/>
      <c r="AN769" s="684"/>
      <c r="AO769" s="550" t="s">
        <v>591</v>
      </c>
      <c r="AP769" s="673">
        <v>0</v>
      </c>
    </row>
    <row r="770" spans="1:81" s="570" customFormat="1" ht="13.7" customHeight="1">
      <c r="A770" s="550"/>
      <c r="B770" s="616"/>
      <c r="C770" s="940"/>
      <c r="D770" s="663"/>
      <c r="E770" s="2506"/>
      <c r="F770" s="2506"/>
      <c r="G770" s="2506"/>
      <c r="H770" s="2506"/>
      <c r="I770" s="2506"/>
      <c r="J770" s="2506"/>
      <c r="K770" s="2506"/>
      <c r="L770" s="2506"/>
      <c r="M770" s="2506"/>
      <c r="N770" s="2506"/>
      <c r="O770" s="2506"/>
      <c r="P770" s="2506"/>
      <c r="Q770" s="2506"/>
      <c r="R770" s="2506"/>
      <c r="S770" s="2506"/>
      <c r="T770" s="2506"/>
      <c r="U770" s="2506"/>
      <c r="V770" s="2506"/>
      <c r="W770" s="2506"/>
      <c r="X770" s="2506"/>
      <c r="Y770" s="2506"/>
      <c r="Z770" s="2506"/>
      <c r="AA770" s="2506"/>
      <c r="AB770" s="2506"/>
      <c r="AC770" s="2506"/>
      <c r="AD770" s="250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6"/>
      <c r="F771" s="2506"/>
      <c r="G771" s="2506"/>
      <c r="H771" s="2506"/>
      <c r="I771" s="2506"/>
      <c r="J771" s="2506"/>
      <c r="K771" s="2506"/>
      <c r="L771" s="2506"/>
      <c r="M771" s="2506"/>
      <c r="N771" s="2506"/>
      <c r="O771" s="2506"/>
      <c r="P771" s="2506"/>
      <c r="Q771" s="2506"/>
      <c r="R771" s="2506"/>
      <c r="S771" s="2506"/>
      <c r="T771" s="2506"/>
      <c r="U771" s="2506"/>
      <c r="V771" s="2506"/>
      <c r="W771" s="2506"/>
      <c r="X771" s="2506"/>
      <c r="Y771" s="2506"/>
      <c r="Z771" s="2506"/>
      <c r="AA771" s="2506"/>
      <c r="AB771" s="2506"/>
      <c r="AC771" s="2506"/>
      <c r="AD771" s="250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506"/>
      <c r="F772" s="2506"/>
      <c r="G772" s="2506"/>
      <c r="H772" s="2506"/>
      <c r="I772" s="2506"/>
      <c r="J772" s="2506"/>
      <c r="K772" s="2506"/>
      <c r="L772" s="2506"/>
      <c r="M772" s="2506"/>
      <c r="N772" s="2506"/>
      <c r="O772" s="2506"/>
      <c r="P772" s="2506"/>
      <c r="Q772" s="2506"/>
      <c r="R772" s="2506"/>
      <c r="S772" s="2506"/>
      <c r="T772" s="2506"/>
      <c r="U772" s="2506"/>
      <c r="V772" s="2506"/>
      <c r="W772" s="2506"/>
      <c r="X772" s="2506"/>
      <c r="Y772" s="2506"/>
      <c r="Z772" s="2506"/>
      <c r="AA772" s="2506"/>
      <c r="AB772" s="2506"/>
      <c r="AC772" s="2506"/>
      <c r="AD772" s="250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5" t="s">
        <v>1696</v>
      </c>
      <c r="F774" s="2545"/>
      <c r="G774" s="2545"/>
      <c r="H774" s="2545"/>
      <c r="I774" s="2545"/>
      <c r="J774" s="2545"/>
      <c r="K774" s="2545"/>
      <c r="L774" s="2545"/>
      <c r="M774" s="2545"/>
      <c r="N774" s="2545"/>
      <c r="O774" s="2545"/>
      <c r="P774" s="2545"/>
      <c r="Q774" s="2545"/>
      <c r="R774" s="2545"/>
      <c r="S774" s="2545"/>
      <c r="T774" s="2545"/>
      <c r="U774" s="2545"/>
      <c r="V774" s="2545"/>
      <c r="W774" s="2545"/>
      <c r="X774" s="2545"/>
      <c r="Y774" s="2545"/>
      <c r="Z774" s="2545"/>
      <c r="AA774" s="2545"/>
      <c r="AB774" s="2545"/>
      <c r="AC774" s="2545"/>
      <c r="AD774" s="2545"/>
      <c r="AE774" s="536"/>
      <c r="AF774" s="2451" t="s">
        <v>1351</v>
      </c>
      <c r="AG774" s="2451"/>
      <c r="AH774" s="2451"/>
      <c r="AI774" s="2451"/>
      <c r="AJ774" s="2451"/>
      <c r="AK774" s="2451"/>
      <c r="AL774" s="2451"/>
      <c r="AM774" s="613"/>
      <c r="AN774" s="597"/>
    </row>
    <row r="775" spans="1:81" s="550" customFormat="1" ht="12.75" customHeight="1">
      <c r="B775" s="616"/>
      <c r="C775" s="940"/>
      <c r="D775" s="663"/>
      <c r="E775" s="2545"/>
      <c r="F775" s="2545"/>
      <c r="G775" s="2545"/>
      <c r="H775" s="2545"/>
      <c r="I775" s="2545"/>
      <c r="J775" s="2545"/>
      <c r="K775" s="2545"/>
      <c r="L775" s="2545"/>
      <c r="M775" s="2545"/>
      <c r="N775" s="2545"/>
      <c r="O775" s="2545"/>
      <c r="P775" s="2545"/>
      <c r="Q775" s="2545"/>
      <c r="R775" s="2545"/>
      <c r="S775" s="2545"/>
      <c r="T775" s="2545"/>
      <c r="U775" s="2545"/>
      <c r="V775" s="2545"/>
      <c r="W775" s="2545"/>
      <c r="X775" s="2545"/>
      <c r="Y775" s="2545"/>
      <c r="Z775" s="2545"/>
      <c r="AA775" s="2545"/>
      <c r="AB775" s="2545"/>
      <c r="AC775" s="2545"/>
      <c r="AD775" s="2545"/>
      <c r="AE775" s="594"/>
      <c r="AF775" s="594"/>
      <c r="AG775" s="594"/>
      <c r="AH775" s="594"/>
      <c r="AI775" s="594"/>
      <c r="AJ775" s="594"/>
      <c r="AK775" s="594"/>
      <c r="AL775" s="594"/>
      <c r="AM775" s="613"/>
      <c r="AN775" s="597"/>
    </row>
    <row r="776" spans="1:81" s="550" customFormat="1" ht="12.75" customHeight="1">
      <c r="B776" s="616"/>
      <c r="C776" s="940"/>
      <c r="D776" s="663"/>
      <c r="E776" s="2545"/>
      <c r="F776" s="2545"/>
      <c r="G776" s="2545"/>
      <c r="H776" s="2545"/>
      <c r="I776" s="2545"/>
      <c r="J776" s="2545"/>
      <c r="K776" s="2545"/>
      <c r="L776" s="2545"/>
      <c r="M776" s="2545"/>
      <c r="N776" s="2545"/>
      <c r="O776" s="2545"/>
      <c r="P776" s="2545"/>
      <c r="Q776" s="2545"/>
      <c r="R776" s="2545"/>
      <c r="S776" s="2545"/>
      <c r="T776" s="2545"/>
      <c r="U776" s="2545"/>
      <c r="V776" s="2545"/>
      <c r="W776" s="2545"/>
      <c r="X776" s="2545"/>
      <c r="Y776" s="2545"/>
      <c r="Z776" s="2545"/>
      <c r="AA776" s="2545"/>
      <c r="AB776" s="2545"/>
      <c r="AC776" s="2545"/>
      <c r="AD776" s="2545"/>
      <c r="AE776" s="594"/>
      <c r="AF776" s="594"/>
      <c r="AG776" s="594"/>
      <c r="AH776" s="594"/>
      <c r="AI776" s="594"/>
      <c r="AJ776" s="594"/>
      <c r="AK776" s="594"/>
      <c r="AL776" s="594"/>
      <c r="AM776" s="613"/>
      <c r="AN776" s="597"/>
    </row>
    <row r="777" spans="1:81" s="550" customFormat="1" ht="12.75" customHeight="1">
      <c r="B777" s="616"/>
      <c r="C777" s="940"/>
      <c r="D777" s="663"/>
      <c r="E777" s="2545"/>
      <c r="F777" s="2545"/>
      <c r="G777" s="2545"/>
      <c r="H777" s="2545"/>
      <c r="I777" s="2545"/>
      <c r="J777" s="2545"/>
      <c r="K777" s="2545"/>
      <c r="L777" s="2545"/>
      <c r="M777" s="2545"/>
      <c r="N777" s="2545"/>
      <c r="O777" s="2545"/>
      <c r="P777" s="2545"/>
      <c r="Q777" s="2545"/>
      <c r="R777" s="2545"/>
      <c r="S777" s="2545"/>
      <c r="T777" s="2545"/>
      <c r="U777" s="2545"/>
      <c r="V777" s="2545"/>
      <c r="W777" s="2545"/>
      <c r="X777" s="2545"/>
      <c r="Y777" s="2545"/>
      <c r="Z777" s="2545"/>
      <c r="AA777" s="2545"/>
      <c r="AB777" s="2545"/>
      <c r="AC777" s="2545"/>
      <c r="AD777" s="254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35" t="s">
        <v>591</v>
      </c>
      <c r="I779" s="253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6">
        <f>VLOOKUP($H$779,$AO$769:$AP$771,2,FALSE)</f>
        <v>0</v>
      </c>
      <c r="AK781" s="248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506" t="s">
        <v>2031</v>
      </c>
      <c r="F785" s="2506"/>
      <c r="G785" s="2506"/>
      <c r="H785" s="2506"/>
      <c r="I785" s="2506"/>
      <c r="J785" s="2506"/>
      <c r="K785" s="2506"/>
      <c r="L785" s="2506"/>
      <c r="M785" s="2506"/>
      <c r="N785" s="2506"/>
      <c r="O785" s="2506"/>
      <c r="P785" s="2506"/>
      <c r="Q785" s="2506"/>
      <c r="R785" s="2506"/>
      <c r="S785" s="2506"/>
      <c r="T785" s="2506"/>
      <c r="U785" s="2506"/>
      <c r="V785" s="2506"/>
      <c r="W785" s="2506"/>
      <c r="X785" s="2506"/>
      <c r="Y785" s="2506"/>
      <c r="Z785" s="2506"/>
      <c r="AA785" s="2506"/>
      <c r="AB785" s="2506"/>
      <c r="AC785" s="2506"/>
      <c r="AD785" s="2506"/>
      <c r="AE785" s="536"/>
      <c r="AF785" s="2451" t="s">
        <v>1351</v>
      </c>
      <c r="AG785" s="2451"/>
      <c r="AH785" s="2451"/>
      <c r="AI785" s="2451"/>
      <c r="AJ785" s="2451"/>
      <c r="AK785" s="2451"/>
      <c r="AL785" s="2451"/>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506"/>
      <c r="F786" s="2506"/>
      <c r="G786" s="2506"/>
      <c r="H786" s="2506"/>
      <c r="I786" s="2506"/>
      <c r="J786" s="2506"/>
      <c r="K786" s="2506"/>
      <c r="L786" s="2506"/>
      <c r="M786" s="2506"/>
      <c r="N786" s="2506"/>
      <c r="O786" s="2506"/>
      <c r="P786" s="2506"/>
      <c r="Q786" s="2506"/>
      <c r="R786" s="2506"/>
      <c r="S786" s="2506"/>
      <c r="T786" s="2506"/>
      <c r="U786" s="2506"/>
      <c r="V786" s="2506"/>
      <c r="W786" s="2506"/>
      <c r="X786" s="2506"/>
      <c r="Y786" s="2506"/>
      <c r="Z786" s="2506"/>
      <c r="AA786" s="2506"/>
      <c r="AB786" s="2506"/>
      <c r="AC786" s="2506"/>
      <c r="AD786" s="250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6"/>
      <c r="F787" s="2506"/>
      <c r="G787" s="2506"/>
      <c r="H787" s="2506"/>
      <c r="I787" s="2506"/>
      <c r="J787" s="2506"/>
      <c r="K787" s="2506"/>
      <c r="L787" s="2506"/>
      <c r="M787" s="2506"/>
      <c r="N787" s="2506"/>
      <c r="O787" s="2506"/>
      <c r="P787" s="2506"/>
      <c r="Q787" s="2506"/>
      <c r="R787" s="2506"/>
      <c r="S787" s="2506"/>
      <c r="T787" s="2506"/>
      <c r="U787" s="2506"/>
      <c r="V787" s="2506"/>
      <c r="W787" s="2506"/>
      <c r="X787" s="2506"/>
      <c r="Y787" s="2506"/>
      <c r="Z787" s="2506"/>
      <c r="AA787" s="2506"/>
      <c r="AB787" s="2506"/>
      <c r="AC787" s="2506"/>
      <c r="AD787" s="250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6"/>
      <c r="F788" s="2506"/>
      <c r="G788" s="2506"/>
      <c r="H788" s="2506"/>
      <c r="I788" s="2506"/>
      <c r="J788" s="2506"/>
      <c r="K788" s="2506"/>
      <c r="L788" s="2506"/>
      <c r="M788" s="2506"/>
      <c r="N788" s="2506"/>
      <c r="O788" s="2506"/>
      <c r="P788" s="2506"/>
      <c r="Q788" s="2506"/>
      <c r="R788" s="2506"/>
      <c r="S788" s="2506"/>
      <c r="T788" s="2506"/>
      <c r="U788" s="2506"/>
      <c r="V788" s="2506"/>
      <c r="W788" s="2506"/>
      <c r="X788" s="2506"/>
      <c r="Y788" s="2506"/>
      <c r="Z788" s="2506"/>
      <c r="AA788" s="2506"/>
      <c r="AB788" s="2506"/>
      <c r="AC788" s="2506"/>
      <c r="AD788" s="250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35" t="s">
        <v>591</v>
      </c>
      <c r="I790" s="253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6">
        <f>VLOOKUP($H$790,$AO$784:$AP$785,2,FALSE)</f>
        <v>0</v>
      </c>
      <c r="AK792" s="248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6">
        <f>IF(($AJ$621+$AJ$640+$AJ$652+$AJ$687+$AJ$711+$AJ$725+$AJ$737+$AJ$753+$AJ$765+$AJ$781+AJ792)&gt;10,10,($AJ$621+$AJ$640+$AJ$652+$AJ$687+$AJ$711+$AJ$725+$AJ$737+$AJ$753+$AJ$765+$AJ$781+AJ792))</f>
        <v>10</v>
      </c>
      <c r="AL794" s="2487"/>
      <c r="AM794" s="248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9" t="s">
        <v>1567</v>
      </c>
      <c r="B797" s="2580"/>
      <c r="C797" s="2580"/>
      <c r="D797" s="2580"/>
      <c r="E797" s="2580"/>
      <c r="F797" s="2580"/>
      <c r="G797" s="2580"/>
      <c r="H797" s="2580"/>
      <c r="I797" s="2580"/>
      <c r="J797" s="2580"/>
      <c r="K797" s="2580"/>
      <c r="L797" s="2580"/>
      <c r="M797" s="2580"/>
      <c r="N797" s="2580"/>
      <c r="O797" s="2580"/>
      <c r="P797" s="2580"/>
      <c r="Q797" s="2580"/>
      <c r="R797" s="2580"/>
      <c r="S797" s="2580"/>
      <c r="T797" s="2580"/>
      <c r="U797" s="2580"/>
      <c r="V797" s="2580"/>
      <c r="W797" s="2580"/>
      <c r="X797" s="2580"/>
      <c r="Y797" s="2580"/>
      <c r="Z797" s="2580"/>
      <c r="AA797" s="2580"/>
      <c r="AB797" s="2580"/>
      <c r="AC797" s="2580"/>
      <c r="AD797" s="2580"/>
      <c r="AE797" s="2580"/>
      <c r="AF797" s="2580"/>
      <c r="AG797" s="2580"/>
      <c r="AH797" s="2580"/>
      <c r="AI797" s="2580"/>
      <c r="AJ797" s="2580"/>
      <c r="AK797" s="2580"/>
      <c r="AL797" s="2580"/>
      <c r="AM797" s="2580"/>
    </row>
    <row r="798" spans="1:81">
      <c r="A798" s="2581"/>
      <c r="B798" s="2581"/>
      <c r="C798" s="2581"/>
      <c r="D798" s="2581"/>
      <c r="E798" s="2581"/>
      <c r="F798" s="2581"/>
      <c r="G798" s="2581"/>
      <c r="H798" s="2581"/>
      <c r="I798" s="2581"/>
      <c r="J798" s="2581"/>
      <c r="K798" s="2581"/>
      <c r="L798" s="2581"/>
      <c r="M798" s="2581"/>
      <c r="N798" s="2581"/>
      <c r="O798" s="2581"/>
      <c r="P798" s="2581"/>
      <c r="Q798" s="2581"/>
      <c r="R798" s="2581"/>
      <c r="S798" s="2581"/>
      <c r="T798" s="2581"/>
      <c r="U798" s="2581"/>
      <c r="V798" s="2581"/>
      <c r="W798" s="2581"/>
      <c r="X798" s="2581"/>
      <c r="Y798" s="2581"/>
      <c r="Z798" s="2581"/>
      <c r="AA798" s="2581"/>
      <c r="AB798" s="2581"/>
      <c r="AC798" s="2581"/>
      <c r="AD798" s="2581"/>
      <c r="AE798" s="2581"/>
      <c r="AF798" s="2581"/>
      <c r="AG798" s="2581"/>
      <c r="AH798" s="2581"/>
      <c r="AI798" s="2581"/>
      <c r="AJ798" s="2581"/>
      <c r="AK798" s="2581"/>
      <c r="AL798" s="2581"/>
      <c r="AM798" s="258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7"/>
      <c r="B800" s="2527"/>
      <c r="C800" s="2527"/>
      <c r="D800" s="2527"/>
      <c r="E800" s="2527"/>
      <c r="F800" s="2527"/>
      <c r="G800" s="2527"/>
      <c r="H800" s="2527"/>
      <c r="I800" s="2527"/>
      <c r="J800" s="2527"/>
      <c r="K800" s="2527"/>
      <c r="L800" s="2527"/>
      <c r="M800" s="2527"/>
      <c r="N800" s="2527"/>
      <c r="O800" s="2527"/>
      <c r="P800" s="2527"/>
      <c r="Q800" s="2527"/>
      <c r="R800" s="2527"/>
      <c r="S800" s="2527"/>
      <c r="T800" s="2527"/>
      <c r="U800" s="2527"/>
      <c r="V800" s="2527"/>
      <c r="W800" s="2527"/>
      <c r="X800" s="2527"/>
      <c r="Y800" s="2527"/>
      <c r="Z800" s="2527"/>
      <c r="AA800" s="2527"/>
      <c r="AB800" s="2527"/>
      <c r="AC800" s="2527"/>
      <c r="AD800" s="2527"/>
      <c r="AE800" s="2527"/>
      <c r="AF800" s="2527"/>
      <c r="AG800" s="2527"/>
      <c r="AH800" s="2527"/>
      <c r="AI800" s="2527"/>
      <c r="AJ800" s="2527"/>
      <c r="AK800" s="2527"/>
      <c r="AL800" s="2527"/>
      <c r="AM800" s="2527"/>
      <c r="AP800" s="816"/>
      <c r="AQ800" s="816"/>
    </row>
    <row r="801" spans="1:81">
      <c r="A801" s="2527"/>
      <c r="B801" s="2527"/>
      <c r="C801" s="2527"/>
      <c r="D801" s="2527"/>
      <c r="E801" s="2527"/>
      <c r="F801" s="2527"/>
      <c r="G801" s="2527"/>
      <c r="H801" s="2527"/>
      <c r="I801" s="2527"/>
      <c r="J801" s="2527"/>
      <c r="K801" s="2527"/>
      <c r="L801" s="2527"/>
      <c r="M801" s="2527"/>
      <c r="N801" s="2527"/>
      <c r="O801" s="2527"/>
      <c r="P801" s="2527"/>
      <c r="Q801" s="2527"/>
      <c r="R801" s="2527"/>
      <c r="S801" s="2527"/>
      <c r="T801" s="2527"/>
      <c r="U801" s="2527"/>
      <c r="V801" s="2527"/>
      <c r="W801" s="2527"/>
      <c r="X801" s="2527"/>
      <c r="Y801" s="2527"/>
      <c r="Z801" s="2527"/>
      <c r="AA801" s="2527"/>
      <c r="AB801" s="2527"/>
      <c r="AC801" s="2527"/>
      <c r="AD801" s="2527"/>
      <c r="AE801" s="2527"/>
      <c r="AF801" s="2527"/>
      <c r="AG801" s="2527"/>
      <c r="AH801" s="2527"/>
      <c r="AI801" s="2527"/>
      <c r="AJ801" s="2527"/>
      <c r="AK801" s="2527"/>
      <c r="AL801" s="2527"/>
      <c r="AM801" s="252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82" t="s">
        <v>1568</v>
      </c>
      <c r="U802" s="2583"/>
      <c r="V802" s="2583"/>
      <c r="W802" s="2583"/>
      <c r="X802" s="2583"/>
      <c r="Y802" s="2584"/>
      <c r="Z802" s="2582" t="s">
        <v>1569</v>
      </c>
      <c r="AA802" s="2583"/>
      <c r="AB802" s="2583"/>
      <c r="AC802" s="2583"/>
      <c r="AD802" s="2583"/>
      <c r="AE802" s="2584"/>
      <c r="AF802" s="2582" t="s">
        <v>1570</v>
      </c>
      <c r="AG802" s="2583"/>
      <c r="AH802" s="2583"/>
      <c r="AI802" s="2583"/>
      <c r="AJ802" s="2583"/>
      <c r="AK802" s="258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5"/>
      <c r="U803" s="2586"/>
      <c r="V803" s="2586"/>
      <c r="W803" s="2586"/>
      <c r="X803" s="2586"/>
      <c r="Y803" s="2587"/>
      <c r="Z803" s="2585"/>
      <c r="AA803" s="2586"/>
      <c r="AB803" s="2586"/>
      <c r="AC803" s="2586"/>
      <c r="AD803" s="2586"/>
      <c r="AE803" s="2587"/>
      <c r="AF803" s="2585"/>
      <c r="AG803" s="2586"/>
      <c r="AH803" s="2586"/>
      <c r="AI803" s="2586"/>
      <c r="AJ803" s="2586"/>
      <c r="AK803" s="2587"/>
      <c r="AL803" s="818"/>
      <c r="AM803" s="596"/>
      <c r="AO803" s="816"/>
      <c r="AP803" s="816"/>
      <c r="AQ803" s="816"/>
    </row>
    <row r="804" spans="1:81">
      <c r="A804" s="819" t="s">
        <v>757</v>
      </c>
      <c r="B804" s="2562" t="s">
        <v>1303</v>
      </c>
      <c r="C804" s="2562"/>
      <c r="D804" s="2562"/>
      <c r="E804" s="2562"/>
      <c r="F804" s="2562"/>
      <c r="G804" s="2562"/>
      <c r="H804" s="2562"/>
      <c r="I804" s="2562"/>
      <c r="J804" s="2562"/>
      <c r="K804" s="2562"/>
      <c r="L804" s="2562"/>
      <c r="M804" s="2562"/>
      <c r="N804" s="2562"/>
      <c r="O804" s="2562"/>
      <c r="P804" s="2562"/>
      <c r="Q804" s="2562"/>
      <c r="R804" s="2562"/>
      <c r="S804" s="2563"/>
      <c r="T804" s="2564">
        <f>AK62</f>
        <v>20</v>
      </c>
      <c r="U804" s="2565"/>
      <c r="V804" s="2565"/>
      <c r="W804" s="2565"/>
      <c r="X804" s="2565"/>
      <c r="Y804" s="2566"/>
      <c r="Z804" s="2567">
        <v>20</v>
      </c>
      <c r="AA804" s="2565"/>
      <c r="AB804" s="2565"/>
      <c r="AC804" s="2565"/>
      <c r="AD804" s="2565"/>
      <c r="AE804" s="2566"/>
      <c r="AF804" s="2548">
        <f>IF(T804&gt;Z804,Z804,T804)</f>
        <v>20</v>
      </c>
      <c r="AG804" s="2548"/>
      <c r="AH804" s="2548"/>
      <c r="AI804" s="2548"/>
      <c r="AJ804" s="2548"/>
      <c r="AK804" s="2548"/>
      <c r="AL804" s="818"/>
      <c r="AM804" s="596"/>
      <c r="AO804" s="816"/>
      <c r="AP804" s="816"/>
      <c r="AQ804" s="816"/>
    </row>
    <row r="805" spans="1:81">
      <c r="A805" s="819" t="s">
        <v>1540</v>
      </c>
      <c r="B805" s="2562" t="s">
        <v>1312</v>
      </c>
      <c r="C805" s="2562"/>
      <c r="D805" s="2562"/>
      <c r="E805" s="2562"/>
      <c r="F805" s="2562"/>
      <c r="G805" s="2562"/>
      <c r="H805" s="2562"/>
      <c r="I805" s="2562"/>
      <c r="J805" s="2562"/>
      <c r="K805" s="2562"/>
      <c r="L805" s="2562"/>
      <c r="M805" s="2562"/>
      <c r="N805" s="2562"/>
      <c r="O805" s="2562"/>
      <c r="P805" s="2562"/>
      <c r="Q805" s="2562"/>
      <c r="R805" s="2562"/>
      <c r="S805" s="2563"/>
      <c r="T805" s="2564">
        <f>AK84</f>
        <v>0</v>
      </c>
      <c r="U805" s="2565"/>
      <c r="V805" s="2565"/>
      <c r="W805" s="2565"/>
      <c r="X805" s="2565"/>
      <c r="Y805" s="2566"/>
      <c r="Z805" s="2567">
        <v>10</v>
      </c>
      <c r="AA805" s="2565"/>
      <c r="AB805" s="2565"/>
      <c r="AC805" s="2565"/>
      <c r="AD805" s="2565"/>
      <c r="AE805" s="2566"/>
      <c r="AF805" s="2548">
        <f>IF(T805&gt;Z805,Z805,T805)</f>
        <v>0</v>
      </c>
      <c r="AG805" s="2548"/>
      <c r="AH805" s="2548"/>
      <c r="AI805" s="2548"/>
      <c r="AJ805" s="2548"/>
      <c r="AK805" s="2548"/>
      <c r="AL805" s="818"/>
      <c r="AM805" s="596"/>
      <c r="AO805" s="816"/>
      <c r="AP805" s="816"/>
      <c r="AQ805" s="816"/>
    </row>
    <row r="806" spans="1:81">
      <c r="A806" s="819" t="s">
        <v>1549</v>
      </c>
      <c r="B806" s="2562" t="s">
        <v>1322</v>
      </c>
      <c r="C806" s="2562"/>
      <c r="D806" s="2562"/>
      <c r="E806" s="2562"/>
      <c r="F806" s="2562"/>
      <c r="G806" s="2562"/>
      <c r="H806" s="2562"/>
      <c r="I806" s="2562"/>
      <c r="J806" s="2562"/>
      <c r="K806" s="2562"/>
      <c r="L806" s="2562"/>
      <c r="M806" s="2562"/>
      <c r="N806" s="2562"/>
      <c r="O806" s="2562"/>
      <c r="P806" s="2562"/>
      <c r="Q806" s="2562"/>
      <c r="R806" s="2562"/>
      <c r="S806" s="2563"/>
      <c r="T806" s="2564">
        <f ca="1">AK109</f>
        <v>20</v>
      </c>
      <c r="U806" s="2565"/>
      <c r="V806" s="2565"/>
      <c r="W806" s="2565"/>
      <c r="X806" s="2565"/>
      <c r="Y806" s="2566"/>
      <c r="Z806" s="2567">
        <v>20</v>
      </c>
      <c r="AA806" s="2565"/>
      <c r="AB806" s="2565"/>
      <c r="AC806" s="2565"/>
      <c r="AD806" s="2565"/>
      <c r="AE806" s="2566"/>
      <c r="AF806" s="2548">
        <f ca="1">IF(T806&gt;Z806,Z806,T806)</f>
        <v>20</v>
      </c>
      <c r="AG806" s="2548"/>
      <c r="AH806" s="2548"/>
      <c r="AI806" s="2548"/>
      <c r="AJ806" s="2548"/>
      <c r="AK806" s="2548"/>
      <c r="AL806" s="818"/>
      <c r="AM806" s="596"/>
      <c r="AO806" s="816"/>
      <c r="AP806" s="816"/>
      <c r="AQ806" s="816"/>
    </row>
    <row r="807" spans="1:81">
      <c r="A807" s="819" t="s">
        <v>1571</v>
      </c>
      <c r="B807" s="2562" t="s">
        <v>1332</v>
      </c>
      <c r="C807" s="2562"/>
      <c r="D807" s="2562"/>
      <c r="E807" s="2562"/>
      <c r="F807" s="2562"/>
      <c r="G807" s="2562"/>
      <c r="H807" s="2562"/>
      <c r="I807" s="2562"/>
      <c r="J807" s="2562"/>
      <c r="K807" s="2562"/>
      <c r="L807" s="2562"/>
      <c r="M807" s="2562"/>
      <c r="N807" s="2562"/>
      <c r="O807" s="2562"/>
      <c r="P807" s="2562"/>
      <c r="Q807" s="2562"/>
      <c r="R807" s="2562"/>
      <c r="S807" s="2563"/>
      <c r="T807" s="2564">
        <f>AK143</f>
        <v>10</v>
      </c>
      <c r="U807" s="2565"/>
      <c r="V807" s="2565"/>
      <c r="W807" s="2565"/>
      <c r="X807" s="2565"/>
      <c r="Y807" s="2566"/>
      <c r="Z807" s="2567">
        <v>10</v>
      </c>
      <c r="AA807" s="2565"/>
      <c r="AB807" s="2565"/>
      <c r="AC807" s="2565"/>
      <c r="AD807" s="2565"/>
      <c r="AE807" s="2566"/>
      <c r="AF807" s="2548">
        <f>IF(T807&gt;Z807,Z807,T807)</f>
        <v>10</v>
      </c>
      <c r="AG807" s="2548"/>
      <c r="AH807" s="2548"/>
      <c r="AI807" s="2548"/>
      <c r="AJ807" s="2548"/>
      <c r="AK807" s="2548"/>
      <c r="AL807" s="818"/>
      <c r="AM807" s="596"/>
      <c r="AO807" s="816"/>
      <c r="AP807" s="816"/>
      <c r="AQ807" s="816"/>
    </row>
    <row r="808" spans="1:81">
      <c r="A808" s="820" t="s">
        <v>1572</v>
      </c>
      <c r="B808" s="2562" t="s">
        <v>1573</v>
      </c>
      <c r="C808" s="2562"/>
      <c r="D808" s="2562"/>
      <c r="E808" s="2562"/>
      <c r="F808" s="2562"/>
      <c r="G808" s="2562"/>
      <c r="H808" s="2562"/>
      <c r="I808" s="2562"/>
      <c r="J808" s="2562"/>
      <c r="K808" s="2562"/>
      <c r="L808" s="2562"/>
      <c r="M808" s="2562"/>
      <c r="N808" s="2562"/>
      <c r="O808" s="2562"/>
      <c r="P808" s="2562"/>
      <c r="Q808" s="2562"/>
      <c r="R808" s="2562"/>
      <c r="S808" s="2563"/>
      <c r="T808" s="2588">
        <f>SUM(T809:Y810)</f>
        <v>10</v>
      </c>
      <c r="U808" s="2588"/>
      <c r="V808" s="2588"/>
      <c r="W808" s="2588"/>
      <c r="X808" s="2588"/>
      <c r="Y808" s="2588"/>
      <c r="Z808" s="2548">
        <v>10</v>
      </c>
      <c r="AA808" s="2548"/>
      <c r="AB808" s="2548"/>
      <c r="AC808" s="2548"/>
      <c r="AD808" s="2548"/>
      <c r="AE808" s="2548"/>
      <c r="AF808" s="2548">
        <f>IF(T808&gt;Z808,Z808,T808)</f>
        <v>10</v>
      </c>
      <c r="AG808" s="2548"/>
      <c r="AH808" s="2548"/>
      <c r="AI808" s="2548"/>
      <c r="AJ808" s="2548"/>
      <c r="AK808" s="2548"/>
      <c r="AL808" s="818"/>
      <c r="AM808" s="596"/>
    </row>
    <row r="809" spans="1:81">
      <c r="A809" s="535"/>
      <c r="B809" s="601"/>
      <c r="C809" s="2589" t="s">
        <v>1574</v>
      </c>
      <c r="D809" s="2589"/>
      <c r="E809" s="2589"/>
      <c r="F809" s="2589"/>
      <c r="G809" s="2589"/>
      <c r="H809" s="2589"/>
      <c r="I809" s="2589"/>
      <c r="J809" s="2589"/>
      <c r="K809" s="2589"/>
      <c r="L809" s="2589"/>
      <c r="M809" s="2589"/>
      <c r="N809" s="2589"/>
      <c r="O809" s="2589"/>
      <c r="P809" s="2589"/>
      <c r="Q809" s="2589"/>
      <c r="R809" s="2589"/>
      <c r="S809" s="2590"/>
      <c r="T809" s="2481">
        <f>AJ166</f>
        <v>7</v>
      </c>
      <c r="U809" s="2481"/>
      <c r="V809" s="2481"/>
      <c r="W809" s="2481"/>
      <c r="X809" s="2481"/>
      <c r="Y809" s="2481"/>
      <c r="Z809" s="2482">
        <v>7</v>
      </c>
      <c r="AA809" s="2482"/>
      <c r="AB809" s="2482"/>
      <c r="AC809" s="2482"/>
      <c r="AD809" s="2482"/>
      <c r="AE809" s="2482"/>
      <c r="AF809" s="2591"/>
      <c r="AG809" s="2591"/>
      <c r="AH809" s="2591"/>
      <c r="AI809" s="2591"/>
      <c r="AJ809" s="2591"/>
      <c r="AK809" s="2591"/>
      <c r="AL809" s="818"/>
      <c r="AM809" s="596"/>
    </row>
    <row r="810" spans="1:81">
      <c r="A810" s="600"/>
      <c r="B810" s="601"/>
      <c r="C810" s="2589" t="s">
        <v>1575</v>
      </c>
      <c r="D810" s="2589"/>
      <c r="E810" s="2589"/>
      <c r="F810" s="2589"/>
      <c r="G810" s="2589"/>
      <c r="H810" s="2589"/>
      <c r="I810" s="2589"/>
      <c r="J810" s="2589"/>
      <c r="K810" s="2589"/>
      <c r="L810" s="2589"/>
      <c r="M810" s="2589"/>
      <c r="N810" s="2589"/>
      <c r="O810" s="2589"/>
      <c r="P810" s="2589"/>
      <c r="Q810" s="2589"/>
      <c r="R810" s="2589"/>
      <c r="S810" s="2590"/>
      <c r="T810" s="2481">
        <f>AJ180</f>
        <v>3</v>
      </c>
      <c r="U810" s="2481"/>
      <c r="V810" s="2481"/>
      <c r="W810" s="2481"/>
      <c r="X810" s="2481"/>
      <c r="Y810" s="2481"/>
      <c r="Z810" s="2482">
        <v>3</v>
      </c>
      <c r="AA810" s="2482"/>
      <c r="AB810" s="2482"/>
      <c r="AC810" s="2482"/>
      <c r="AD810" s="2482"/>
      <c r="AE810" s="2482"/>
      <c r="AF810" s="2591"/>
      <c r="AG810" s="2591"/>
      <c r="AH810" s="2591"/>
      <c r="AI810" s="2591"/>
      <c r="AJ810" s="2591"/>
      <c r="AK810" s="2591"/>
      <c r="AL810" s="818"/>
      <c r="AM810" s="596"/>
      <c r="AO810" s="550"/>
    </row>
    <row r="811" spans="1:81">
      <c r="A811" s="820" t="s">
        <v>1360</v>
      </c>
      <c r="B811" s="2562" t="s">
        <v>1576</v>
      </c>
      <c r="C811" s="2562"/>
      <c r="D811" s="2562"/>
      <c r="E811" s="2562"/>
      <c r="F811" s="2562"/>
      <c r="G811" s="2562"/>
      <c r="H811" s="2562"/>
      <c r="I811" s="2562"/>
      <c r="J811" s="2562"/>
      <c r="K811" s="2562"/>
      <c r="L811" s="2562"/>
      <c r="M811" s="2562"/>
      <c r="N811" s="2562"/>
      <c r="O811" s="2562"/>
      <c r="P811" s="2562"/>
      <c r="Q811" s="2562"/>
      <c r="R811" s="2562"/>
      <c r="S811" s="2563"/>
      <c r="T811" s="2588">
        <f>AK191</f>
        <v>0</v>
      </c>
      <c r="U811" s="2588"/>
      <c r="V811" s="2588"/>
      <c r="W811" s="2588"/>
      <c r="X811" s="2588"/>
      <c r="Y811" s="2588"/>
      <c r="Z811" s="2548">
        <v>10</v>
      </c>
      <c r="AA811" s="2548"/>
      <c r="AB811" s="2548"/>
      <c r="AC811" s="2548"/>
      <c r="AD811" s="2548"/>
      <c r="AE811" s="2548"/>
      <c r="AF811" s="2548">
        <f>IF(T811&gt;Z811,Z811,T811)</f>
        <v>0</v>
      </c>
      <c r="AG811" s="2548"/>
      <c r="AH811" s="2548"/>
      <c r="AI811" s="2548"/>
      <c r="AJ811" s="2548"/>
      <c r="AK811" s="2548"/>
      <c r="AL811" s="818"/>
      <c r="AM811" s="596"/>
    </row>
    <row r="812" spans="1:81">
      <c r="A812" s="819" t="s">
        <v>1369</v>
      </c>
      <c r="B812" s="2562" t="s">
        <v>1370</v>
      </c>
      <c r="C812" s="2562"/>
      <c r="D812" s="2562"/>
      <c r="E812" s="2562"/>
      <c r="F812" s="2562"/>
      <c r="G812" s="2562"/>
      <c r="H812" s="2562"/>
      <c r="I812" s="2562"/>
      <c r="J812" s="2562"/>
      <c r="K812" s="2562"/>
      <c r="L812" s="2562"/>
      <c r="M812" s="2562"/>
      <c r="N812" s="2562"/>
      <c r="O812" s="2562"/>
      <c r="P812" s="2562"/>
      <c r="Q812" s="2562"/>
      <c r="R812" s="2562"/>
      <c r="S812" s="2563"/>
      <c r="T812" s="2588">
        <f>AK273</f>
        <v>8</v>
      </c>
      <c r="U812" s="2588"/>
      <c r="V812" s="2588"/>
      <c r="W812" s="2588"/>
      <c r="X812" s="2588"/>
      <c r="Y812" s="2588"/>
      <c r="Z812" s="2567">
        <v>8</v>
      </c>
      <c r="AA812" s="2565"/>
      <c r="AB812" s="2565"/>
      <c r="AC812" s="2565"/>
      <c r="AD812" s="2565"/>
      <c r="AE812" s="2566"/>
      <c r="AF812" s="2548">
        <f>IF(T812&gt;Z812,Z812,T812)</f>
        <v>8</v>
      </c>
      <c r="AG812" s="2548"/>
      <c r="AH812" s="2548"/>
      <c r="AI812" s="2548"/>
      <c r="AJ812" s="2548"/>
      <c r="AK812" s="2548"/>
      <c r="AL812" s="818"/>
      <c r="AM812" s="596"/>
    </row>
    <row r="813" spans="1:81" s="534" customFormat="1" hidden="1">
      <c r="A813" s="820" t="s">
        <v>589</v>
      </c>
      <c r="B813" s="2562" t="s">
        <v>1577</v>
      </c>
      <c r="C813" s="2562"/>
      <c r="D813" s="2562"/>
      <c r="E813" s="2562"/>
      <c r="F813" s="2562"/>
      <c r="G813" s="2562"/>
      <c r="H813" s="2562"/>
      <c r="I813" s="2562"/>
      <c r="J813" s="2562"/>
      <c r="K813" s="2562"/>
      <c r="L813" s="2562"/>
      <c r="M813" s="2562"/>
      <c r="N813" s="2562"/>
      <c r="O813" s="2562"/>
      <c r="P813" s="2562"/>
      <c r="Q813" s="2562"/>
      <c r="R813" s="2562"/>
      <c r="S813" s="2563"/>
      <c r="T813" s="2588">
        <f>IF(AK535&gt;5,5,AK535)</f>
        <v>0</v>
      </c>
      <c r="U813" s="2588"/>
      <c r="V813" s="2588"/>
      <c r="W813" s="2588"/>
      <c r="X813" s="2588"/>
      <c r="Y813" s="2588"/>
      <c r="Z813" s="2548">
        <v>5</v>
      </c>
      <c r="AA813" s="2548"/>
      <c r="AB813" s="2548"/>
      <c r="AC813" s="2548"/>
      <c r="AD813" s="2548"/>
      <c r="AE813" s="2548"/>
      <c r="AF813" s="2548">
        <f>IF(T813&gt;Z813,5,T813)</f>
        <v>0</v>
      </c>
      <c r="AG813" s="2548"/>
      <c r="AH813" s="2548"/>
      <c r="AI813" s="2548"/>
      <c r="AJ813" s="2548"/>
      <c r="AK813" s="254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62" t="s">
        <v>1578</v>
      </c>
      <c r="C814" s="2562"/>
      <c r="D814" s="2562"/>
      <c r="E814" s="2562"/>
      <c r="F814" s="2562"/>
      <c r="G814" s="2562"/>
      <c r="H814" s="2562"/>
      <c r="I814" s="2562"/>
      <c r="J814" s="2562"/>
      <c r="K814" s="2562"/>
      <c r="L814" s="2562"/>
      <c r="M814" s="2562"/>
      <c r="N814" s="2562"/>
      <c r="O814" s="2562"/>
      <c r="P814" s="2562"/>
      <c r="Q814" s="2562"/>
      <c r="R814" s="2562"/>
      <c r="S814" s="2563"/>
      <c r="T814" s="2588">
        <f>AK285</f>
        <v>10</v>
      </c>
      <c r="U814" s="2588"/>
      <c r="V814" s="2588"/>
      <c r="W814" s="2588"/>
      <c r="X814" s="2588"/>
      <c r="Y814" s="2588"/>
      <c r="Z814" s="2548">
        <v>10</v>
      </c>
      <c r="AA814" s="2548"/>
      <c r="AB814" s="2548"/>
      <c r="AC814" s="2548"/>
      <c r="AD814" s="2548"/>
      <c r="AE814" s="2548"/>
      <c r="AF814" s="2594">
        <f>IF(T814&gt;Z814,Z814,T814)</f>
        <v>10</v>
      </c>
      <c r="AG814" s="2595"/>
      <c r="AH814" s="2595"/>
      <c r="AI814" s="2595"/>
      <c r="AJ814" s="2595"/>
      <c r="AK814" s="259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62" t="s">
        <v>1380</v>
      </c>
      <c r="C815" s="2562"/>
      <c r="D815" s="2562"/>
      <c r="E815" s="2562"/>
      <c r="F815" s="2562"/>
      <c r="G815" s="2562"/>
      <c r="H815" s="2562"/>
      <c r="I815" s="2562"/>
      <c r="J815" s="2562"/>
      <c r="K815" s="2562"/>
      <c r="L815" s="2562"/>
      <c r="M815" s="2562"/>
      <c r="N815" s="2562"/>
      <c r="O815" s="2562"/>
      <c r="P815" s="2562"/>
      <c r="Q815" s="2562"/>
      <c r="R815" s="2562"/>
      <c r="S815" s="2563"/>
      <c r="T815" s="2588">
        <f>AK338</f>
        <v>0</v>
      </c>
      <c r="U815" s="2588"/>
      <c r="V815" s="2588"/>
      <c r="W815" s="2588"/>
      <c r="X815" s="2588"/>
      <c r="Y815" s="2588"/>
      <c r="Z815" s="2594">
        <v>10</v>
      </c>
      <c r="AA815" s="2595"/>
      <c r="AB815" s="2595"/>
      <c r="AC815" s="2595"/>
      <c r="AD815" s="2595"/>
      <c r="AE815" s="2596"/>
      <c r="AF815" s="2594">
        <f>IF(T815&gt;Z815,Z815,T815)</f>
        <v>0</v>
      </c>
      <c r="AG815" s="2595"/>
      <c r="AH815" s="2595"/>
      <c r="AI815" s="2595"/>
      <c r="AJ815" s="2595"/>
      <c r="AK815" s="259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1">
        <f>AK338</f>
        <v>0</v>
      </c>
      <c r="U816" s="2481"/>
      <c r="V816" s="2481"/>
      <c r="W816" s="2481"/>
      <c r="X816" s="2481"/>
      <c r="Y816" s="2481"/>
      <c r="Z816" s="2486">
        <v>20</v>
      </c>
      <c r="AA816" s="2487"/>
      <c r="AB816" s="2487"/>
      <c r="AC816" s="2487"/>
      <c r="AD816" s="2487"/>
      <c r="AE816" s="2488"/>
      <c r="AF816" s="2591"/>
      <c r="AG816" s="2591"/>
      <c r="AH816" s="2591"/>
      <c r="AI816" s="2591"/>
      <c r="AJ816" s="2591"/>
      <c r="AK816" s="259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62" t="s">
        <v>845</v>
      </c>
      <c r="C817" s="2562"/>
      <c r="D817" s="2562"/>
      <c r="E817" s="2562"/>
      <c r="F817" s="2562"/>
      <c r="G817" s="2562"/>
      <c r="H817" s="2562"/>
      <c r="I817" s="2562"/>
      <c r="J817" s="2562"/>
      <c r="K817" s="2562"/>
      <c r="L817" s="2562"/>
      <c r="M817" s="2562"/>
      <c r="N817" s="2562"/>
      <c r="O817" s="2562"/>
      <c r="P817" s="2562"/>
      <c r="Q817" s="2562"/>
      <c r="R817" s="2562"/>
      <c r="S817" s="2563"/>
      <c r="T817" s="2588">
        <f>AK469</f>
        <v>10</v>
      </c>
      <c r="U817" s="2588"/>
      <c r="V817" s="2588"/>
      <c r="W817" s="2588"/>
      <c r="X817" s="2588"/>
      <c r="Y817" s="2588"/>
      <c r="Z817" s="2594">
        <v>10</v>
      </c>
      <c r="AA817" s="2595"/>
      <c r="AB817" s="2595"/>
      <c r="AC817" s="2595"/>
      <c r="AD817" s="2595"/>
      <c r="AE817" s="2596"/>
      <c r="AF817" s="2548">
        <f>IF(T817&gt;Z817,Z817,T817)</f>
        <v>10</v>
      </c>
      <c r="AG817" s="2548"/>
      <c r="AH817" s="2548"/>
      <c r="AI817" s="2548"/>
      <c r="AJ817" s="2548"/>
      <c r="AK817" s="254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62" t="s">
        <v>1558</v>
      </c>
      <c r="C818" s="2562"/>
      <c r="D818" s="2562"/>
      <c r="E818" s="2562"/>
      <c r="F818" s="2562"/>
      <c r="G818" s="2562"/>
      <c r="H818" s="2562"/>
      <c r="I818" s="2562"/>
      <c r="J818" s="2562"/>
      <c r="K818" s="2562"/>
      <c r="L818" s="2562"/>
      <c r="M818" s="2562"/>
      <c r="N818" s="2562"/>
      <c r="O818" s="2562"/>
      <c r="P818" s="2562"/>
      <c r="Q818" s="2562"/>
      <c r="R818" s="2562"/>
      <c r="S818" s="2563"/>
      <c r="T818" s="2588">
        <f>AK559</f>
        <v>12</v>
      </c>
      <c r="U818" s="2588"/>
      <c r="V818" s="2588"/>
      <c r="W818" s="2588"/>
      <c r="X818" s="2588"/>
      <c r="Y818" s="2588"/>
      <c r="Z818" s="2594">
        <v>12</v>
      </c>
      <c r="AA818" s="2595"/>
      <c r="AB818" s="2595"/>
      <c r="AC818" s="2595"/>
      <c r="AD818" s="2595"/>
      <c r="AE818" s="2596"/>
      <c r="AF818" s="2548">
        <f>IF(T818&gt;Z818,Z818,T818)</f>
        <v>12</v>
      </c>
      <c r="AG818" s="2548"/>
      <c r="AH818" s="2548"/>
      <c r="AI818" s="2548"/>
      <c r="AJ818" s="2548"/>
      <c r="AK818" s="254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62" t="s">
        <v>1580</v>
      </c>
      <c r="C819" s="2562"/>
      <c r="D819" s="2562"/>
      <c r="E819" s="2562"/>
      <c r="F819" s="2562"/>
      <c r="G819" s="2562"/>
      <c r="H819" s="2562"/>
      <c r="I819" s="2562"/>
      <c r="J819" s="2562"/>
      <c r="K819" s="2562"/>
      <c r="L819" s="2562"/>
      <c r="M819" s="2562"/>
      <c r="N819" s="2562"/>
      <c r="O819" s="2562"/>
      <c r="P819" s="2562"/>
      <c r="Q819" s="2562"/>
      <c r="R819" s="2562"/>
      <c r="S819" s="2563"/>
      <c r="T819" s="2588">
        <f>AK794</f>
        <v>10</v>
      </c>
      <c r="U819" s="2588"/>
      <c r="V819" s="2588"/>
      <c r="W819" s="2588"/>
      <c r="X819" s="2588"/>
      <c r="Y819" s="2588"/>
      <c r="Z819" s="2594">
        <v>10</v>
      </c>
      <c r="AA819" s="2595"/>
      <c r="AB819" s="2595"/>
      <c r="AC819" s="2595"/>
      <c r="AD819" s="2595"/>
      <c r="AE819" s="2596"/>
      <c r="AF819" s="2548">
        <f>IF(T819&gt;Z819,Z819,T819)</f>
        <v>10</v>
      </c>
      <c r="AG819" s="2548"/>
      <c r="AH819" s="2548"/>
      <c r="AI819" s="2548"/>
      <c r="AJ819" s="2548"/>
      <c r="AK819" s="254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92" t="s">
        <v>1581</v>
      </c>
      <c r="B820" s="2562"/>
      <c r="C820" s="2562"/>
      <c r="D820" s="2562"/>
      <c r="E820" s="2562"/>
      <c r="F820" s="2562"/>
      <c r="G820" s="2562"/>
      <c r="H820" s="2562"/>
      <c r="I820" s="2562"/>
      <c r="J820" s="2562"/>
      <c r="K820" s="2562"/>
      <c r="L820" s="2562"/>
      <c r="M820" s="2562"/>
      <c r="N820" s="2562"/>
      <c r="O820" s="2562"/>
      <c r="P820" s="2562"/>
      <c r="Q820" s="2562"/>
      <c r="R820" s="2562"/>
      <c r="S820" s="2563"/>
      <c r="T820" s="2593"/>
      <c r="U820" s="2593"/>
      <c r="V820" s="2593"/>
      <c r="W820" s="2593"/>
      <c r="X820" s="2593"/>
      <c r="Y820" s="2593"/>
      <c r="Z820" s="2482" t="s">
        <v>1582</v>
      </c>
      <c r="AA820" s="2482"/>
      <c r="AB820" s="2482"/>
      <c r="AC820" s="2482"/>
      <c r="AD820" s="2482"/>
      <c r="AE820" s="2482"/>
      <c r="AF820" s="2594">
        <f>IF(T820&gt;0,T820,0)</f>
        <v>0</v>
      </c>
      <c r="AG820" s="2595"/>
      <c r="AH820" s="2595"/>
      <c r="AI820" s="2595"/>
      <c r="AJ820" s="2595"/>
      <c r="AK820" s="259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7" t="s">
        <v>1583</v>
      </c>
      <c r="B821" s="2598"/>
      <c r="C821" s="2598"/>
      <c r="D821" s="2598"/>
      <c r="E821" s="2598"/>
      <c r="F821" s="2598"/>
      <c r="G821" s="2598"/>
      <c r="H821" s="2598"/>
      <c r="I821" s="2598"/>
      <c r="J821" s="2598"/>
      <c r="K821" s="2598"/>
      <c r="L821" s="2598"/>
      <c r="M821" s="2598"/>
      <c r="N821" s="2598"/>
      <c r="O821" s="2598"/>
      <c r="P821" s="2598"/>
      <c r="Q821" s="2598"/>
      <c r="R821" s="2598"/>
      <c r="S821" s="2598"/>
      <c r="T821" s="2598"/>
      <c r="U821" s="2598"/>
      <c r="V821" s="2598"/>
      <c r="W821" s="2598"/>
      <c r="X821" s="2598"/>
      <c r="Y821" s="2598"/>
      <c r="Z821" s="2598"/>
      <c r="AA821" s="2598"/>
      <c r="AB821" s="2598"/>
      <c r="AC821" s="2598"/>
      <c r="AD821" s="2598"/>
      <c r="AE821" s="2599"/>
      <c r="AF821" s="2603">
        <f ca="1">SUM(AF804:AK819)-AF820</f>
        <v>110</v>
      </c>
      <c r="AG821" s="2604"/>
      <c r="AH821" s="2604"/>
      <c r="AI821" s="2604"/>
      <c r="AJ821" s="2604"/>
      <c r="AK821" s="260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600"/>
      <c r="B822" s="2601"/>
      <c r="C822" s="2601"/>
      <c r="D822" s="2601"/>
      <c r="E822" s="2601"/>
      <c r="F822" s="2601"/>
      <c r="G822" s="2601"/>
      <c r="H822" s="2601"/>
      <c r="I822" s="2601"/>
      <c r="J822" s="2601"/>
      <c r="K822" s="2601"/>
      <c r="L822" s="2601"/>
      <c r="M822" s="2601"/>
      <c r="N822" s="2601"/>
      <c r="O822" s="2601"/>
      <c r="P822" s="2601"/>
      <c r="Q822" s="2601"/>
      <c r="R822" s="2601"/>
      <c r="S822" s="2601"/>
      <c r="T822" s="2601"/>
      <c r="U822" s="2601"/>
      <c r="V822" s="2601"/>
      <c r="W822" s="2601"/>
      <c r="X822" s="2601"/>
      <c r="Y822" s="2601"/>
      <c r="Z822" s="2601"/>
      <c r="AA822" s="2601"/>
      <c r="AB822" s="2601"/>
      <c r="AC822" s="2601"/>
      <c r="AD822" s="2601"/>
      <c r="AE822" s="2602"/>
      <c r="AF822" s="2606"/>
      <c r="AG822" s="2607"/>
      <c r="AH822" s="2607"/>
      <c r="AI822" s="2607"/>
      <c r="AJ822" s="2607"/>
      <c r="AK822" s="260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Kate Blessing-Kawamura</cp:lastModifiedBy>
  <cp:lastPrinted>2025-09-08T19:01:30Z</cp:lastPrinted>
  <dcterms:created xsi:type="dcterms:W3CDTF">2007-12-27T18:26:28Z</dcterms:created>
  <dcterms:modified xsi:type="dcterms:W3CDTF">2025-09-09T18:46:47Z</dcterms:modified>
</cp:coreProperties>
</file>