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27"/>
  <workbookPr showInkAnnotation="0" codeName="ThisWorkbook" defaultThemeVersion="124226"/>
  <mc:AlternateContent xmlns:mc="http://schemas.openxmlformats.org/markup-compatibility/2006">
    <mc:Choice Requires="x15">
      <x15ac:absPath xmlns:x15ac="http://schemas.microsoft.com/office/spreadsheetml/2010/11/ac" url="/Users/jackrobertson/Dropbox/STARWOOD/SITES/MARINWOOD/FINANCING/CDLAC/2025 CDLAC APPLICATION/SEPTEMBER 9 APPLICATION/UPDATES - Application Package for September 9/"/>
    </mc:Choice>
  </mc:AlternateContent>
  <xr:revisionPtr revIDLastSave="0" documentId="8_{82E58E89-D37F-284E-AF6D-34921102CF24}" xr6:coauthVersionLast="47" xr6:coauthVersionMax="47" xr10:uidLastSave="{00000000-0000-0000-0000-000000000000}"/>
  <bookViews>
    <workbookView xWindow="-29440" yWindow="1300" windowWidth="30240" windowHeight="18880" tabRatio="84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Application!$A$2:$AT$168</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555" i="3" l="1"/>
  <c r="W871" i="3"/>
  <c r="W846" i="3"/>
  <c r="F99" i="4" l="1"/>
  <c r="E99" i="4" s="1"/>
  <c r="G30" i="4"/>
  <c r="F30" i="4" s="1"/>
  <c r="K45" i="4"/>
  <c r="E45" i="4" s="1"/>
  <c r="AA948" i="3"/>
  <c r="AA934" i="3"/>
  <c r="AC886" i="3"/>
  <c r="A41" i="7"/>
  <c r="AF628" i="3"/>
  <c r="E41" i="7" s="1"/>
  <c r="AF627" i="3"/>
  <c r="AA648" i="3"/>
  <c r="G655" i="3"/>
  <c r="G654" i="3"/>
  <c r="G653" i="3"/>
  <c r="G652" i="3"/>
  <c r="Z655" i="3"/>
  <c r="Z654" i="3"/>
  <c r="Z653" i="3"/>
  <c r="Z652" i="3"/>
  <c r="G663" i="3"/>
  <c r="G662" i="3"/>
  <c r="G661" i="3"/>
  <c r="G660" i="3"/>
  <c r="F6" i="4" l="1"/>
  <c r="F4" i="4"/>
  <c r="E76" i="4"/>
  <c r="E75" i="4"/>
  <c r="C61" i="4"/>
  <c r="E61" i="4" s="1"/>
  <c r="C83" i="4"/>
  <c r="E83" i="4" s="1"/>
  <c r="C53" i="4"/>
  <c r="E53" i="4" s="1"/>
  <c r="S50" i="4"/>
  <c r="E50" i="4"/>
  <c r="S95" i="4"/>
  <c r="C95" i="4"/>
  <c r="E95" i="4" s="1"/>
  <c r="C37" i="4"/>
  <c r="E37" i="4" s="1"/>
  <c r="C94" i="4"/>
  <c r="E94" i="4" s="1"/>
  <c r="C91" i="4"/>
  <c r="E91" i="4" s="1"/>
  <c r="E46" i="4"/>
  <c r="E58" i="4"/>
  <c r="E56" i="4"/>
  <c r="E89" i="4"/>
  <c r="E80" i="4"/>
  <c r="E51" i="4"/>
  <c r="E35" i="4"/>
  <c r="E33" i="4"/>
  <c r="E32" i="4"/>
  <c r="E31" i="4"/>
  <c r="E29" i="4"/>
  <c r="E85" i="4"/>
  <c r="C86" i="4"/>
  <c r="E86" i="4" s="1"/>
  <c r="E92" i="4"/>
  <c r="C93" i="4"/>
  <c r="E93" i="4" s="1"/>
  <c r="C43" i="4"/>
  <c r="E43" i="4" s="1"/>
  <c r="E40" i="4"/>
  <c r="C41" i="4"/>
  <c r="E41" i="4" s="1"/>
  <c r="E79" i="4"/>
  <c r="AA919" i="3"/>
  <c r="AA918" i="3"/>
  <c r="AE698" i="3"/>
  <c r="B150" i="20" l="1"/>
  <c r="F115" i="23"/>
  <c r="W866" i="3"/>
  <c r="Z647" i="3"/>
  <c r="Z646" i="3"/>
  <c r="Z645" i="3"/>
  <c r="Z644" i="3"/>
  <c r="AD67" i="15"/>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45" i="21" l="1"/>
  <c r="R53" i="21" a="1"/>
  <c r="R53" i="21" s="1"/>
  <c r="U45" i="21"/>
  <c r="S47" i="21"/>
  <c r="T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AH726" i="3" s="1"/>
  <c r="AH727" i="3"/>
  <c r="X727" i="3"/>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S91" i="4" s="1"/>
  <c r="R84" i="4"/>
  <c r="B59" i="4"/>
  <c r="C80" i="11"/>
  <c r="C81" i="11"/>
  <c r="B80" i="11"/>
  <c r="B81" i="11"/>
  <c r="I96" i="13"/>
  <c r="J96" i="13"/>
  <c r="J81" i="13"/>
  <c r="I81" i="13"/>
  <c r="G81" i="13"/>
  <c r="F81" i="13"/>
  <c r="D81" i="13"/>
  <c r="C81" i="13"/>
  <c r="H80" i="13"/>
  <c r="B80" i="13"/>
  <c r="R80" i="4"/>
  <c r="S80" i="4" s="1"/>
  <c r="R79" i="4"/>
  <c r="S79" i="4" s="1"/>
  <c r="E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0" i="13"/>
  <c r="E87" i="13"/>
  <c r="E84" i="13"/>
  <c r="E65" i="13"/>
  <c r="E52" i="13"/>
  <c r="E51" i="13"/>
  <c r="E50" i="13"/>
  <c r="E49" i="13"/>
  <c r="E48" i="13"/>
  <c r="E47" i="13"/>
  <c r="E45" i="13"/>
  <c r="E34" i="13"/>
  <c r="E30"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S94" i="4" s="1"/>
  <c r="E94" i="13" s="1"/>
  <c r="R93" i="4"/>
  <c r="S93" i="4" s="1"/>
  <c r="E93" i="13" s="1"/>
  <c r="R92" i="4"/>
  <c r="S92" i="4" s="1"/>
  <c r="E92" i="13" s="1"/>
  <c r="R90" i="4"/>
  <c r="R89" i="4"/>
  <c r="S89" i="4" s="1"/>
  <c r="E89" i="13" s="1"/>
  <c r="R88" i="4"/>
  <c r="R87" i="4"/>
  <c r="R86" i="4"/>
  <c r="S86" i="4" s="1"/>
  <c r="E86" i="13" s="1"/>
  <c r="R85" i="4"/>
  <c r="S85" i="4" s="1"/>
  <c r="E85" i="13" s="1"/>
  <c r="R83" i="4"/>
  <c r="R76" i="4"/>
  <c r="R75" i="4"/>
  <c r="R72" i="4"/>
  <c r="R73" i="4"/>
  <c r="R74" i="4"/>
  <c r="R69" i="4"/>
  <c r="R65" i="4"/>
  <c r="R61" i="4"/>
  <c r="R60" i="4"/>
  <c r="R59" i="4"/>
  <c r="R58" i="4"/>
  <c r="R57" i="4"/>
  <c r="R56" i="4"/>
  <c r="R53" i="4"/>
  <c r="S53" i="4" s="1"/>
  <c r="E53" i="13" s="1"/>
  <c r="R52" i="4"/>
  <c r="R51" i="4"/>
  <c r="R50" i="4"/>
  <c r="R49" i="4"/>
  <c r="R48" i="4"/>
  <c r="R47" i="4"/>
  <c r="R46" i="4"/>
  <c r="S46" i="4" s="1"/>
  <c r="E46" i="13" s="1"/>
  <c r="R45" i="4"/>
  <c r="R43" i="4"/>
  <c r="S43" i="4" s="1"/>
  <c r="E43" i="13" s="1"/>
  <c r="R41" i="4"/>
  <c r="S41" i="4" s="1"/>
  <c r="E41" i="13" s="1"/>
  <c r="R40" i="4"/>
  <c r="S40" i="4" s="1"/>
  <c r="R37" i="4"/>
  <c r="S37" i="4" s="1"/>
  <c r="E37" i="13" s="1"/>
  <c r="R35" i="4"/>
  <c r="S35" i="4" s="1"/>
  <c r="E35" i="13" s="1"/>
  <c r="R34" i="4"/>
  <c r="R33" i="4"/>
  <c r="S33" i="4" s="1"/>
  <c r="E33" i="13" s="1"/>
  <c r="R32" i="4"/>
  <c r="S32" i="4" s="1"/>
  <c r="E32" i="13" s="1"/>
  <c r="R31" i="4"/>
  <c r="S31" i="4" s="1"/>
  <c r="E31" i="13" s="1"/>
  <c r="R30" i="4"/>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S42" i="4" l="1"/>
  <c r="E42" i="13" s="1"/>
  <c r="E40" i="13"/>
  <c r="S81" i="4"/>
  <c r="E81" i="13" s="1"/>
  <c r="E80" i="13"/>
  <c r="S96" i="4"/>
  <c r="E96" i="13" s="1"/>
  <c r="S54" i="4"/>
  <c r="E54" i="13" s="1"/>
  <c r="E91" i="13"/>
  <c r="S104" i="4"/>
  <c r="BA1058" i="3" s="1"/>
  <c r="S38" i="4"/>
  <c r="E38" i="13" s="1"/>
  <c r="D35" i="11"/>
  <c r="B26" i="4"/>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S63" i="4" l="1"/>
  <c r="E104" i="13"/>
  <c r="D105" i="11"/>
  <c r="AJ621" i="20"/>
  <c r="G94" i="2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25" i="21" l="1"/>
  <c r="O27" i="21"/>
  <c r="O21" i="21"/>
  <c r="P21" i="21" s="1" a="1"/>
  <c r="P21" i="21" s="1"/>
  <c r="S21" i="21" s="1"/>
  <c r="O26" i="21"/>
  <c r="P26" i="21" s="1" a="1"/>
  <c r="P26" i="21" s="1"/>
  <c r="S26" i="21" s="1"/>
  <c r="O24" i="21"/>
  <c r="P24" i="21" s="1" a="1"/>
  <c r="P24" i="21" s="1"/>
  <c r="S24" i="21" s="1"/>
  <c r="O23" i="21"/>
  <c r="P23" i="21" s="1" a="1"/>
  <c r="P23" i="21" s="1"/>
  <c r="S23" i="21" s="1"/>
  <c r="O28" i="21"/>
  <c r="P28" i="21" s="1" a="1"/>
  <c r="P28" i="21" s="1"/>
  <c r="S28" i="21" s="1"/>
  <c r="O20" i="21"/>
  <c r="P20" i="21" s="1" a="1"/>
  <c r="P20" i="21" s="1"/>
  <c r="S20" i="21" s="1"/>
  <c r="O22" i="21"/>
  <c r="P22" i="21" s="1" a="1"/>
  <c r="P22" i="21" s="1"/>
  <c r="S22" i="21" s="1"/>
  <c r="D64" i="11"/>
  <c r="B105" i="4"/>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5" i="21" a="1"/>
  <c r="P25" i="21" s="1"/>
  <c r="S25" i="21" s="1"/>
  <c r="P27" i="21" a="1"/>
  <c r="P27" i="21" s="1"/>
  <c r="S27"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AB47" i="15"/>
  <c r="AB49" i="15" s="1"/>
  <c r="AB50" i="15" s="1"/>
  <c r="T805" i="20"/>
  <c r="AF805" i="20" s="1"/>
  <c r="BE72" i="3" s="1"/>
  <c r="N185" i="23"/>
  <c r="BE22" i="3"/>
  <c r="S107" i="4"/>
  <c r="E105" i="13"/>
  <c r="BA1056" i="3"/>
  <c r="AZ1051" i="3"/>
  <c r="H105" i="13"/>
  <c r="T107" i="4"/>
  <c r="H107" i="13" s="1"/>
  <c r="Q58" i="7"/>
  <c r="S53" i="7"/>
  <c r="G45" i="21"/>
  <c r="G47" i="21" s="1"/>
  <c r="E10" i="21" s="1"/>
  <c r="E11" i="21"/>
  <c r="AP705" i="20"/>
  <c r="AJ711" i="20" s="1"/>
  <c r="AK794" i="20" s="1"/>
  <c r="T819" i="20" s="1"/>
  <c r="AF819" i="20" s="1"/>
  <c r="BE82" i="3" s="1"/>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BE62" i="3" l="1"/>
  <c r="AJ1041" i="3"/>
  <c r="AJ1016" i="3"/>
  <c r="AC456" i="3"/>
  <c r="AD11" i="15"/>
  <c r="AD23" i="15" s="1"/>
  <c r="AD26" i="15" s="1"/>
  <c r="AD28" i="15" s="1"/>
  <c r="AI11" i="15"/>
  <c r="AI23" i="15" s="1"/>
  <c r="AI26" i="15" s="1"/>
  <c r="AI28" i="15" s="1"/>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AB54" i="15" l="1"/>
  <c r="AB55" i="15" s="1"/>
  <c r="T11" i="15"/>
  <c r="T23" i="15" s="1"/>
  <c r="T26" i="15" s="1"/>
  <c r="T28" i="15" s="1"/>
  <c r="Y11" i="15"/>
  <c r="Y23" i="15" s="1"/>
  <c r="Y26" i="15" s="1"/>
  <c r="Y28"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T29" i="15" l="1"/>
  <c r="Y64" i="15"/>
  <c r="Y68" i="15" s="1"/>
  <c r="Y69" i="15" s="1"/>
  <c r="G80" i="21"/>
  <c r="E15" i="21" s="1"/>
  <c r="W58" i="7"/>
  <c r="Y53" i="7"/>
  <c r="T24" i="15"/>
  <c r="Y38" i="15" s="1"/>
  <c r="Y40" i="15" s="1"/>
  <c r="AP557" i="20"/>
  <c r="AP556" i="20" s="1"/>
  <c r="AP559" i="20" s="1"/>
  <c r="AF552" i="20" s="1"/>
  <c r="AF553" i="20" s="1"/>
  <c r="AK559" i="20" s="1"/>
  <c r="T818" i="20" s="1"/>
  <c r="AF818" i="20" s="1"/>
  <c r="BE81" i="3" s="1"/>
  <c r="K11" i="7"/>
  <c r="K37" i="7" s="1"/>
  <c r="K45" i="7" s="1"/>
  <c r="O5" i="7"/>
  <c r="Q4" i="7"/>
  <c r="M7" i="7"/>
  <c r="M11" i="7" s="1"/>
  <c r="M37" i="7" s="1"/>
  <c r="O6" i="7"/>
  <c r="G62"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2" i="7"/>
  <c r="K47" i="7"/>
  <c r="K60" i="7"/>
  <c r="K48" i="7"/>
  <c r="U22" i="7"/>
  <c r="U35" i="7" s="1"/>
  <c r="W15" i="7"/>
  <c r="U9" i="7"/>
  <c r="W8" i="7"/>
  <c r="AC53" i="7" l="1"/>
  <c r="AA58" i="7"/>
  <c r="M26" i="3"/>
  <c r="BE19" i="3" s="1"/>
  <c r="U4" i="7"/>
  <c r="S5" i="7"/>
  <c r="M48" i="7"/>
  <c r="M47" i="7"/>
  <c r="M60" i="7"/>
  <c r="O45" i="7"/>
  <c r="O49" i="7"/>
  <c r="K62" i="7"/>
  <c r="Q7" i="7"/>
  <c r="Q11" i="7" s="1"/>
  <c r="Q37" i="7" s="1"/>
  <c r="S6" i="7"/>
  <c r="I70" i="7"/>
  <c r="I72" i="7" s="1"/>
  <c r="W22" i="7"/>
  <c r="W35" i="7" s="1"/>
  <c r="Y15" i="7"/>
  <c r="W9" i="7"/>
  <c r="Y8" i="7"/>
  <c r="AE53" i="7" l="1"/>
  <c r="AC58" i="7"/>
  <c r="AB57" i="15"/>
  <c r="P204" i="3"/>
  <c r="U5" i="7"/>
  <c r="W4" i="7"/>
  <c r="Q49" i="7"/>
  <c r="Q45" i="7"/>
  <c r="M62"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2" i="7"/>
  <c r="Q60" i="7"/>
  <c r="Q48" i="7"/>
  <c r="Q47" i="7"/>
  <c r="S49" i="7"/>
  <c r="S45" i="7"/>
  <c r="S60" i="7" s="1"/>
  <c r="AC15" i="7"/>
  <c r="AA22" i="7"/>
  <c r="AA35" i="7" s="1"/>
  <c r="AC8" i="7"/>
  <c r="AA9" i="7"/>
  <c r="AB78" i="15" l="1"/>
  <c r="AB79" i="15" s="1"/>
  <c r="AB81" i="15" s="1"/>
  <c r="J82" i="15" s="1"/>
  <c r="AA4" i="7"/>
  <c r="Y5" i="7"/>
  <c r="Y6" i="7"/>
  <c r="W7" i="7"/>
  <c r="W11" i="7" s="1"/>
  <c r="W37" i="7" s="1"/>
  <c r="U45" i="7"/>
  <c r="U60" i="7" s="1"/>
  <c r="U49" i="7"/>
  <c r="Q62" i="7"/>
  <c r="S48" i="7"/>
  <c r="S47" i="7"/>
  <c r="O70" i="7"/>
  <c r="O72" i="7" s="1"/>
  <c r="AE15" i="7"/>
  <c r="AC22" i="7"/>
  <c r="AC35" i="7" s="1"/>
  <c r="AC9" i="7"/>
  <c r="AE8" i="7"/>
  <c r="M27" i="3" l="1"/>
  <c r="BE20" i="3" s="1"/>
  <c r="I10" i="21"/>
  <c r="I11" i="21" s="1"/>
  <c r="AA5" i="7"/>
  <c r="AC4" i="7"/>
  <c r="S62" i="7"/>
  <c r="U48" i="7"/>
  <c r="U47" i="7"/>
  <c r="Q70" i="7"/>
  <c r="Q72" i="7" s="1"/>
  <c r="W49" i="7"/>
  <c r="W45" i="7"/>
  <c r="W60" i="7" s="1"/>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Y60" i="7" s="1"/>
  <c r="W47" i="7"/>
  <c r="W48" i="7"/>
  <c r="AE5" i="7" l="1"/>
  <c r="AG4" i="7"/>
  <c r="AA45" i="7"/>
  <c r="AA60" i="7" s="1"/>
  <c r="AA49" i="7"/>
  <c r="U70" i="7"/>
  <c r="U72" i="7" s="1"/>
  <c r="W67" i="7"/>
  <c r="W66" i="7"/>
  <c r="Y47" i="7"/>
  <c r="Y48" i="7"/>
  <c r="AE6" i="7"/>
  <c r="AC7" i="7"/>
  <c r="AC11" i="7" s="1"/>
  <c r="AC37" i="7" s="1"/>
  <c r="AG5" i="7" l="1"/>
  <c r="W70" i="7"/>
  <c r="W72" i="7" s="1"/>
  <c r="AA47" i="7"/>
  <c r="AA48" i="7"/>
  <c r="AC45" i="7"/>
  <c r="AC60" i="7" s="1"/>
  <c r="AC49" i="7"/>
  <c r="AE7" i="7"/>
  <c r="AE11" i="7" s="1"/>
  <c r="AE37" i="7" s="1"/>
  <c r="AG6" i="7"/>
  <c r="Y67" i="7"/>
  <c r="Y66" i="7"/>
  <c r="Y70" i="7" l="1"/>
  <c r="Y72" i="7" s="1"/>
  <c r="AG7" i="7"/>
  <c r="AG11" i="7" s="1"/>
  <c r="AG37" i="7" s="1"/>
  <c r="AE49" i="7"/>
  <c r="AE45" i="7"/>
  <c r="AE60" i="7" s="1"/>
  <c r="AC48" i="7"/>
  <c r="AC47" i="7"/>
  <c r="AA66" i="7"/>
  <c r="AA67" i="7"/>
  <c r="AA70" i="7" l="1"/>
  <c r="AA72" i="7" s="1"/>
  <c r="AC66" i="7"/>
  <c r="AC67" i="7"/>
  <c r="AE47" i="7"/>
  <c r="AE48" i="7"/>
  <c r="AG49" i="7"/>
  <c r="AG45" i="7"/>
  <c r="AG60" i="7" s="1"/>
  <c r="AG48" i="7" l="1"/>
  <c r="AG47" i="7"/>
  <c r="AE66" i="7"/>
  <c r="AE67" i="7"/>
  <c r="AC70" i="7"/>
  <c r="AC72" i="7" s="1"/>
  <c r="AE70" i="7" l="1"/>
  <c r="AE72" i="7" s="1"/>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2025, the 15% set-aside is available to rehabilitation projects only. State Farmworker Credit pursuant to 10310(b)(2)(D) does not include any portion of the $500M state credit.</t>
        </r>
      </text>
    </comment>
    <comment ref="AA335" authorId="1" shapeId="0" xr:uid="{20E18C62-36C9-471A-93A6-63866B11036E}">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<sst xmlns="http://schemas.openxmlformats.org/spreadsheetml/2006/main" count="5027" uniqueCount="2818">
  <si>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</si>
  <si>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</si>
  <si>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</si>
  <si>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</si>
  <si>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</si>
  <si>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</si>
  <si>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</si>
  <si>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</si>
  <si>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</si>
  <si>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</si>
  <si>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</si>
  <si>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</si>
  <si>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</si>
  <si>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</si>
  <si>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</si>
  <si>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</si>
  <si>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</si>
  <si>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</si>
  <si>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</si>
  <si>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</si>
  <si>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</si>
  <si>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</si>
  <si>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</si>
  <si>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</si>
  <si>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</si>
  <si>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</si>
  <si>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</si>
  <si>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</si>
  <si>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</si>
  <si>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</si>
  <si>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</si>
  <si>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</si>
  <si>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</si>
  <si>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</si>
  <si>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</si>
  <si>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</si>
  <si>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</si>
  <si>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</si>
  <si>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</si>
  <si>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</si>
  <si>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</si>
  <si>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</si>
  <si>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</si>
  <si>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</si>
  <si>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</si>
  <si>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</si>
  <si>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</si>
  <si>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</si>
  <si>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</si>
  <si>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</si>
  <si>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</si>
  <si>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</si>
  <si>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</si>
  <si>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</si>
  <si>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</si>
  <si>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</si>
  <si>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</si>
  <si>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</si>
  <si>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</si>
  <si>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</si>
  <si>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</si>
  <si>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</si>
  <si>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</si>
  <si>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</si>
  <si>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</si>
  <si>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</si>
  <si>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</si>
  <si>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</si>
  <si>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</si>
  <si>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</si>
  <si>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</si>
  <si>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</si>
  <si>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</si>
  <si>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</si>
  <si>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</si>
  <si>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</si>
  <si>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</si>
  <si>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</si>
  <si>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</si>
  <si>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</si>
  <si>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</si>
  <si>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</si>
  <si>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</si>
  <si>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</si>
  <si>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</si>
  <si>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</si>
  <si>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</si>
  <si>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</si>
  <si>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</si>
  <si>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</si>
  <si>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</si>
  <si>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</si>
  <si>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</si>
  <si>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</si>
  <si>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</si>
  <si>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</si>
  <si>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</si>
  <si>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</si>
  <si>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</si>
  <si>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</si>
  <si>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</si>
  <si>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</si>
  <si>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</si>
  <si>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</si>
  <si>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</si>
  <si>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</si>
  <si>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</si>
  <si>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</si>
  <si>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</si>
  <si>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</si>
  <si>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</si>
  <si>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</si>
  <si>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</si>
  <si>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</si>
  <si>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</si>
  <si>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</si>
  <si>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</si>
  <si>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</si>
  <si>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</si>
  <si>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</si>
  <si>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</si>
  <si>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</si>
  <si>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</si>
  <si>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</si>
  <si>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</si>
  <si>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</si>
  <si>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</si>
  <si>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</si>
  <si>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</si>
  <si>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</si>
  <si>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</si>
  <si>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</si>
  <si>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</si>
  <si>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</si>
  <si>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</si>
  <si>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</si>
  <si>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</si>
  <si>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</si>
  <si>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</si>
  <si>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</si>
  <si>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</si>
  <si>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</si>
  <si>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</si>
  <si>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</si>
  <si>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</si>
  <si>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</si>
  <si>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</si>
  <si>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</si>
  <si>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</si>
  <si>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</si>
  <si>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</si>
  <si>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</si>
  <si>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</si>
  <si>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</si>
  <si>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</si>
  <si>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</si>
  <si>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</si>
  <si>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</si>
  <si>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</si>
  <si>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</si>
  <si>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</si>
  <si>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</si>
  <si>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</si>
  <si>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</si>
  <si>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</si>
  <si>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</si>
  <si>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</si>
  <si>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</si>
  <si>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</si>
  <si>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</si>
  <si>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</si>
  <si>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</si>
  <si>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</si>
  <si>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</si>
  <si>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</si>
  <si>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</si>
  <si>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</si>
  <si>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</si>
  <si>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</si>
  <si>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</si>
  <si>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</si>
  <si>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</si>
  <si>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</si>
  <si>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</si>
  <si>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</si>
  <si>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</si>
  <si>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</si>
  <si>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</si>
  <si>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</si>
  <si>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</si>
  <si>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</si>
  <si>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</si>
  <si>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</si>
  <si>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</si>
  <si>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</si>
  <si>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</si>
  <si>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</si>
  <si>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</si>
  <si>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</si>
  <si>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</si>
  <si>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</si>
  <si>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</si>
  <si>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</si>
  <si>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</si>
  <si>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</si>
  <si>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</si>
  <si>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</si>
  <si>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</si>
  <si>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</si>
  <si>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</si>
  <si>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</si>
  <si>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</si>
  <si>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</si>
  <si>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</si>
  <si>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</si>
  <si>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</si>
  <si>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</si>
  <si>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</si>
  <si>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</si>
  <si>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</si>
  <si>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</si>
  <si>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</si>
  <si>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</si>
  <si>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</si>
  <si>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</si>
  <si>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</si>
  <si>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</si>
  <si>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</si>
  <si>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</si>
  <si>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</si>
  <si>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</si>
  <si>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</si>
  <si>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</si>
  <si>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</si>
  <si>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</si>
  <si>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</si>
  <si>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</si>
  <si>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</si>
  <si>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</si>
  <si>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</si>
  <si>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</si>
  <si>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</si>
  <si>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</si>
  <si>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</si>
  <si>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</si>
  <si>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</si>
  <si>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</si>
  <si>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</si>
  <si>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</si>
  <si>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</si>
  <si>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</si>
  <si>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</si>
  <si>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</si>
  <si>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</si>
  <si>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</si>
  <si>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</si>
  <si>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</si>
  <si>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</si>
  <si>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</si>
  <si>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</si>
  <si>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</si>
  <si>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</si>
  <si>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</si>
  <si>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</si>
  <si>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</si>
  <si>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</si>
  <si>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</si>
  <si>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</si>
  <si>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</si>
  <si>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</si>
  <si>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</si>
  <si>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</si>
  <si>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</si>
  <si>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</si>
  <si>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</si>
  <si>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</si>
  <si>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</si>
  <si>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</si>
  <si>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</si>
  <si>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</si>
  <si>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</si>
  <si>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</si>
  <si>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</si>
  <si>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</si>
  <si>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</si>
  <si>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</si>
  <si>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</si>
  <si>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</si>
  <si>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</si>
  <si>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</si>
  <si>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</si>
  <si>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</si>
  <si>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</si>
  <si>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</si>
  <si>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</si>
  <si>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</si>
  <si>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</si>
  <si>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</si>
  <si>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</si>
  <si>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</si>
  <si>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</si>
  <si>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</si>
  <si>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</si>
  <si>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</si>
  <si>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</si>
  <si>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</si>
  <si>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</si>
  <si>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</si>
  <si>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</si>
  <si>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</si>
  <si>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</si>
  <si>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</si>
  <si>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</si>
  <si>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</si>
  <si>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</si>
  <si>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</si>
  <si>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</si>
  <si>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</si>
  <si>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</si>
  <si>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</si>
  <si>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</si>
  <si>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</si>
  <si>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</si>
  <si>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</si>
  <si>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</si>
  <si>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</si>
  <si>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</si>
  <si>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</si>
  <si>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</si>
  <si>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</si>
  <si>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</si>
  <si>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</si>
  <si>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</si>
  <si>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</si>
  <si>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</si>
  <si>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</si>
  <si>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</si>
  <si>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</si>
  <si>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</si>
  <si>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</si>
  <si>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</si>
  <si>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</si>
  <si>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</si>
  <si>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</si>
  <si>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</si>
  <si>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</si>
  <si>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</si>
  <si>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</si>
  <si>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</si>
  <si>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</si>
  <si>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</si>
  <si>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</si>
  <si>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</si>
  <si>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</si>
  <si>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</si>
  <si>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</si>
  <si>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</si>
  <si>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</si>
  <si>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</si>
  <si>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</si>
  <si>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</si>
  <si>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</si>
  <si>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</si>
  <si>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</si>
  <si>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</si>
  <si>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</si>
  <si>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</si>
  <si>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</si>
  <si>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</si>
  <si>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</si>
  <si>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</si>
  <si>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</si>
  <si>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</si>
  <si>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</si>
  <si>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</si>
  <si>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</si>
  <si>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</si>
  <si>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</si>
  <si>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</si>
  <si>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</si>
  <si>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</si>
  <si>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</si>
  <si>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</si>
  <si>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</si>
  <si>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</si>
  <si>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</si>
  <si>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</si>
  <si>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</si>
  <si>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</si>
  <si>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</si>
  <si>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</si>
  <si>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</si>
  <si>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</si>
  <si>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</si>
  <si>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</si>
  <si>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</si>
  <si>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</si>
  <si>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</si>
  <si>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</si>
  <si>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</si>
  <si>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</si>
  <si>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</si>
  <si>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</si>
  <si>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</si>
  <si>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</si>
  <si>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</si>
  <si>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</si>
  <si>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</si>
  <si>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</si>
  <si>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</si>
  <si>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</si>
  <si>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</si>
  <si>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</si>
  <si>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</si>
  <si>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</si>
  <si>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</si>
  <si>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</si>
  <si>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</si>
  <si>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</si>
  <si>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</si>
  <si>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</si>
  <si>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</si>
  <si>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</si>
  <si>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</si>
  <si>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</si>
  <si>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</si>
  <si>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</si>
  <si>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</si>
  <si>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</si>
  <si>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</si>
  <si>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</si>
  <si>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</si>
  <si>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</si>
  <si>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</si>
  <si>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</si>
  <si>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</si>
  <si>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</si>
  <si>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</si>
  <si>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</si>
  <si>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</si>
  <si>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</si>
  <si>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</si>
  <si>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</si>
  <si>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</si>
  <si>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</si>
  <si>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</si>
  <si>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</si>
  <si>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</si>
  <si>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</si>
  <si>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</si>
  <si>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</si>
  <si>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</si>
  <si>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</si>
  <si>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</si>
  <si>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</si>
  <si>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</si>
  <si>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</si>
  <si>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</si>
  <si>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</si>
  <si>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</si>
  <si>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</si>
  <si>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</si>
  <si>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</si>
  <si>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</si>
  <si>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</si>
  <si>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</si>
  <si>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</si>
  <si>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</si>
  <si>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</si>
  <si>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</si>
  <si>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</si>
  <si>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</si>
  <si>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</si>
  <si>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</si>
  <si>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</si>
  <si>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</si>
  <si>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</si>
  <si>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</si>
  <si>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</si>
  <si>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</si>
  <si>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</si>
  <si>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</si>
  <si>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</si>
  <si>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</si>
  <si>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</si>
  <si>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</si>
  <si>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</si>
  <si>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</si>
  <si>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</si>
  <si>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</si>
  <si>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</si>
  <si>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</si>
  <si>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</si>
  <si>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</si>
  <si>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</si>
  <si>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</si>
  <si>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</si>
  <si>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</si>
  <si>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</si>
  <si>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</si>
  <si>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</si>
  <si>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</si>
  <si>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</si>
  <si>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</si>
  <si>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</si>
  <si>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</si>
  <si>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</si>
  <si>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</si>
  <si>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</si>
  <si>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</si>
  <si>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</si>
  <si>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</si>
  <si>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</si>
  <si>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</si>
  <si>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</si>
  <si>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</si>
  <si>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</si>
  <si>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</si>
  <si>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</si>
  <si>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</si>
  <si>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</si>
  <si>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</si>
  <si>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</si>
  <si>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</si>
  <si>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</si>
  <si>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</si>
  <si>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</si>
  <si>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</si>
  <si>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</si>
  <si>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</si>
  <si>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</si>
  <si>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</si>
  <si>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</si>
  <si>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</si>
  <si>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</si>
  <si>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</si>
  <si>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</si>
  <si>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</si>
  <si>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</si>
  <si>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</si>
  <si>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</si>
  <si>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</si>
  <si>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</si>
  <si>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</si>
  <si>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</si>
  <si>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</si>
  <si>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</si>
  <si>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</si>
  <si>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</si>
  <si>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</si>
  <si>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</si>
  <si>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</si>
  <si>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</si>
  <si>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</si>
  <si>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</si>
  <si>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</si>
  <si>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</si>
  <si>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</si>
  <si>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</si>
  <si>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</si>
  <si>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</si>
  <si>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</si>
  <si>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</si>
  <si>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</si>
  <si>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</si>
  <si>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</si>
  <si>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</si>
  <si>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</si>
  <si>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</si>
  <si>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</si>
  <si>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</si>
  <si>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</si>
  <si>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</si>
  <si>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</si>
  <si>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</si>
  <si>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</si>
  <si>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</si>
  <si>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</si>
  <si>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</si>
  <si>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</si>
  <si>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</si>
  <si>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</si>
  <si>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</si>
  <si>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</si>
  <si>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</si>
  <si>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</si>
  <si>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</si>
  <si>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</si>
  <si>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</si>
  <si>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</si>
  <si>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</si>
  <si>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</si>
  <si>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</si>
  <si>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</si>
  <si>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</si>
  <si>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</si>
  <si>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</si>
  <si>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</si>
  <si>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</si>
  <si>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</si>
  <si>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</si>
  <si>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</si>
  <si>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</si>
  <si>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</si>
  <si>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</si>
  <si>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</si>
  <si>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</si>
  <si>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</si>
  <si>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</si>
  <si>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</si>
  <si>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</si>
  <si>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</si>
  <si>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</si>
  <si>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</si>
  <si>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</si>
  <si>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</si>
  <si>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</si>
  <si>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</si>
  <si>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</si>
  <si>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</si>
  <si>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</si>
  <si>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</si>
  <si>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</si>
  <si>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</si>
  <si>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</si>
  <si>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</si>
  <si>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</si>
  <si>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</si>
  <si>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</si>
  <si>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</si>
  <si>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</si>
  <si>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</si>
  <si>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</si>
  <si>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</si>
  <si>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</si>
  <si>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</si>
  <si>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</si>
  <si>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</si>
  <si>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</si>
  <si>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</si>
  <si>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</si>
  <si>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</si>
  <si>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</si>
  <si>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</si>
  <si>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</si>
  <si>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</si>
  <si>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</si>
  <si>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</si>
  <si>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</si>
  <si>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</si>
  <si>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</si>
  <si>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</si>
  <si>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</si>
  <si>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</si>
  <si>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</si>
  <si>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</si>
  <si>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</si>
  <si>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</si>
  <si>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</si>
  <si>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</si>
  <si>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</si>
  <si>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</si>
  <si>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</si>
  <si>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</si>
  <si>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</si>
  <si>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</si>
  <si>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</si>
  <si>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</si>
  <si>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</si>
  <si>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</si>
  <si>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</si>
  <si>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</si>
  <si>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</si>
  <si>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</si>
  <si>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</si>
  <si>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</si>
  <si>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</si>
  <si>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</si>
  <si>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</si>
  <si>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</si>
  <si>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</si>
  <si>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</si>
  <si>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</si>
  <si>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</si>
  <si>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</si>
  <si>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</si>
  <si>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</si>
  <si>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</si>
  <si>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</si>
  <si>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</si>
  <si>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</si>
  <si>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</si>
  <si>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</si>
  <si>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</si>
  <si>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</si>
  <si>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</si>
  <si>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</si>
  <si>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</si>
  <si>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</si>
  <si>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</si>
  <si>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</si>
  <si>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</si>
  <si>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</si>
  <si>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</si>
  <si>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</si>
  <si>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</si>
  <si>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</si>
  <si>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</si>
  <si>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</si>
  <si>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</si>
  <si>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</si>
  <si>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</si>
  <si>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</si>
  <si>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</si>
  <si>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</si>
  <si>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</si>
  <si>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</si>
  <si>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</si>
  <si>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</si>
  <si>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</si>
  <si>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</si>
  <si>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</si>
  <si>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</si>
  <si>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</si>
  <si>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</si>
  <si>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</si>
  <si>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</si>
  <si>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</si>
  <si>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</si>
  <si>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</si>
  <si>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</si>
  <si>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</si>
  <si>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</si>
  <si>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</si>
  <si>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</si>
  <si>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</si>
  <si>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</si>
  <si>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</si>
  <si>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</si>
  <si>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</si>
  <si>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</si>
  <si>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</si>
  <si>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</si>
  <si>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</si>
  <si>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</si>
  <si>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</si>
  <si>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</si>
  <si>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</si>
  <si>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</si>
  <si>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</si>
  <si>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</si>
  <si>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</si>
  <si>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</si>
  <si>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</si>
  <si>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</si>
  <si>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</si>
  <si>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</si>
  <si>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</si>
  <si>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</si>
  <si>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</si>
  <si>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</si>
  <si>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</si>
  <si>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</si>
  <si>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</si>
  <si>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</si>
  <si>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</si>
  <si>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</si>
  <si>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</si>
  <si>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</si>
  <si>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</si>
  <si>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</si>
  <si>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</si>
  <si>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</si>
  <si>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</si>
  <si>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</si>
  <si>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</si>
  <si>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</si>
  <si>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</si>
  <si>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</si>
  <si>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</si>
  <si>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</si>
  <si>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</si>
  <si>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</si>
  <si>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</si>
  <si>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</si>
  <si>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</si>
  <si>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</si>
  <si>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</si>
  <si>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</si>
  <si>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</si>
  <si>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</si>
  <si>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</si>
  <si>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</si>
  <si>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</si>
  <si>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</si>
  <si>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</si>
  <si>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</si>
  <si>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</si>
  <si>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</si>
  <si>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</si>
  <si>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</si>
  <si>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</si>
  <si>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</si>
  <si>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</si>
  <si>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</si>
  <si>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</si>
  <si>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</si>
  <si>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</si>
  <si>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</si>
  <si>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</si>
  <si>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</si>
  <si>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</si>
  <si>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</si>
  <si>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</si>
  <si>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</si>
  <si>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</si>
  <si>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</si>
  <si>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</si>
  <si>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</si>
  <si>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</si>
  <si>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</si>
  <si>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</si>
  <si>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</si>
  <si>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</si>
  <si>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</si>
  <si>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</si>
  <si>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</si>
  <si>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</si>
  <si>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</si>
  <si>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</si>
  <si>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</si>
  <si>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</si>
  <si>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</si>
  <si>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</si>
  <si>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</si>
  <si>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</si>
  <si>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</si>
  <si>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</si>
  <si>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</si>
  <si>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</si>
  <si>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</si>
  <si>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</si>
  <si>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</si>
  <si>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</si>
  <si>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</si>
  <si>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</si>
  <si>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</si>
  <si>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</si>
  <si>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</si>
  <si>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</si>
  <si>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</si>
  <si>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</si>
  <si>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</si>
  <si>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</si>
  <si>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</si>
  <si>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</si>
  <si>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</si>
  <si>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</si>
  <si>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</si>
  <si>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</si>
  <si>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</si>
  <si>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</si>
  <si>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</si>
  <si>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</si>
  <si>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</si>
  <si>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</si>
  <si>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</si>
  <si>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</si>
  <si>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</si>
  <si>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</si>
  <si>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</si>
  <si>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</si>
  <si>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</si>
  <si>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</si>
  <si>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</si>
  <si>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</si>
  <si>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</si>
  <si>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</si>
  <si>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</si>
  <si>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</si>
  <si>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</si>
  <si>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</si>
  <si>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</si>
  <si>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</si>
  <si>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</si>
  <si>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</si>
  <si>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</si>
  <si>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</si>
  <si>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</si>
  <si>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</si>
  <si>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</si>
  <si>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</si>
  <si>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</si>
  <si>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</si>
  <si>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</si>
  <si>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</si>
  <si>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</si>
  <si>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</si>
  <si>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</si>
  <si>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</si>
  <si>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</si>
  <si>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</si>
  <si>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</si>
  <si>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</si>
  <si>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</si>
  <si>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</si>
  <si>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</si>
  <si>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</si>
  <si>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</si>
  <si>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</si>
  <si>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</si>
  <si>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</si>
  <si>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</si>
  <si>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</si>
  <si>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</si>
  <si>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</si>
  <si>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</si>
  <si>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</si>
  <si>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</si>
  <si>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</si>
  <si>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</si>
  <si>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</si>
  <si>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</si>
  <si>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</si>
  <si>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</si>
  <si>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</si>
  <si>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</si>
  <si>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</si>
  <si>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</si>
  <si>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</si>
  <si>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</si>
  <si>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</si>
  <si>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</si>
  <si>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</si>
  <si>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</si>
  <si>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</si>
  <si>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</si>
  <si>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</si>
  <si>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</si>
  <si>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</si>
  <si>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</si>
  <si>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</si>
  <si>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</si>
  <si>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</si>
  <si>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</si>
  <si>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</si>
  <si>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</si>
  <si>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</si>
  <si>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</si>
  <si>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</si>
  <si>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</si>
  <si>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</si>
  <si>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</si>
  <si>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</si>
  <si>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</si>
  <si>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</si>
  <si>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</si>
  <si>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</si>
  <si>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</si>
  <si>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</si>
  <si>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</si>
  <si>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</si>
  <si>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</si>
  <si>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</si>
  <si>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</si>
  <si>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</si>
  <si>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</si>
  <si>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</si>
  <si>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</si>
  <si>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</si>
  <si>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</si>
  <si>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</si>
  <si>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</si>
  <si>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</si>
  <si>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</si>
  <si>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</si>
  <si>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</si>
  <si>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</si>
  <si>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</si>
  <si>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</si>
  <si>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</si>
  <si>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</si>
  <si>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</si>
  <si>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</si>
  <si>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</si>
  <si>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</si>
  <si>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</si>
  <si>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</si>
  <si>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</si>
  <si>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</si>
  <si>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</si>
  <si>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</si>
  <si>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</si>
  <si>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</si>
  <si>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</si>
  <si>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</si>
  <si>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</si>
  <si>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</si>
  <si>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</si>
  <si>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</si>
  <si>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</si>
  <si>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</si>
  <si>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</si>
  <si>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</si>
  <si>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</si>
  <si>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</si>
  <si>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</si>
  <si>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</si>
  <si>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</si>
  <si>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</si>
  <si>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</si>
  <si>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</si>
  <si>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</si>
  <si>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</si>
  <si>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</si>
  <si>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</si>
  <si>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</si>
  <si>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</si>
  <si>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</si>
  <si>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</si>
  <si>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</si>
  <si>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</si>
  <si>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</si>
  <si>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</si>
  <si>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</si>
  <si>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</si>
  <si>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</si>
  <si>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</si>
  <si>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</si>
  <si>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</si>
  <si>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</si>
  <si>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</si>
  <si>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</si>
  <si>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</si>
  <si>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</si>
  <si>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</si>
  <si>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</si>
  <si>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</si>
  <si>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</si>
  <si>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</si>
  <si>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</si>
  <si>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</si>
  <si>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</si>
  <si>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</si>
  <si>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</si>
  <si>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</si>
  <si>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</si>
  <si>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</si>
  <si>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</si>
  <si>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</si>
  <si>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</si>
  <si>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</si>
  <si>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</si>
  <si>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</si>
  <si>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</si>
  <si>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</si>
  <si>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</si>
  <si>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</si>
  <si>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</si>
  <si>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</si>
  <si>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</si>
  <si>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</si>
  <si>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</si>
  <si>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</si>
  <si>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</si>
  <si>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</si>
  <si>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</si>
  <si>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</si>
  <si>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</si>
  <si>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</si>
  <si>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</si>
  <si>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</si>
  <si>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</si>
  <si>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</si>
  <si>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</si>
  <si>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</si>
  <si>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</si>
  <si>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</si>
  <si>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</si>
  <si>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</si>
  <si>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</si>
  <si>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</si>
  <si>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</si>
  <si>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</si>
  <si>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</si>
  <si>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</si>
  <si>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</si>
  <si>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</si>
  <si>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</si>
  <si>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</si>
  <si>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</si>
  <si>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</si>
  <si>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</si>
  <si>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</si>
  <si>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</si>
  <si>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</si>
  <si>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</si>
  <si>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</si>
  <si>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</si>
  <si>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</si>
  <si>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</si>
  <si>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</si>
  <si>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</si>
  <si>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</si>
  <si>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</si>
  <si>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</si>
  <si>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</si>
  <si>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</si>
  <si>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</si>
  <si>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</si>
  <si>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</si>
  <si>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</si>
  <si>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</si>
  <si>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</si>
  <si>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</si>
  <si>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</si>
  <si>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</si>
  <si>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</si>
  <si>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</si>
  <si>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</si>
  <si>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</si>
  <si>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</si>
  <si>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</si>
  <si>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</si>
  <si>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</si>
  <si>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</si>
  <si>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</si>
  <si>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</si>
  <si>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</si>
  <si>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</si>
  <si>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</si>
  <si>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</si>
  <si>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</si>
  <si>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</si>
  <si>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</si>
  <si>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</si>
  <si>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</si>
  <si>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</si>
  <si>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</si>
  <si>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</si>
  <si>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</si>
  <si>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</si>
  <si>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</si>
  <si>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</si>
  <si>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</si>
  <si>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</si>
  <si>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</si>
  <si>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</si>
  <si>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</si>
  <si>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</si>
  <si>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</si>
  <si>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</si>
  <si>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</si>
  <si>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</si>
  <si>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</si>
  <si>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</si>
  <si>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</si>
  <si>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</si>
  <si>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</si>
  <si>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</si>
  <si>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</si>
  <si>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</si>
  <si>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</si>
  <si>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</si>
  <si>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</si>
  <si>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</si>
  <si>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</si>
  <si>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</si>
  <si>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</si>
  <si>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</si>
  <si>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</si>
  <si>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</si>
  <si>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</si>
  <si>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</si>
  <si>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</si>
  <si>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</si>
  <si>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</si>
  <si>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</si>
  <si>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</si>
  <si>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</si>
  <si>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</si>
  <si>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</si>
  <si>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</si>
  <si>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</si>
  <si>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</si>
  <si>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</si>
  <si>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</si>
  <si>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</si>
  <si>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</si>
  <si>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</si>
  <si>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</si>
  <si>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</si>
  <si>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</si>
  <si>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</si>
  <si>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</si>
  <si>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</si>
  <si>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</si>
  <si>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</si>
  <si>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</si>
  <si>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</si>
  <si>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</si>
  <si>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</si>
  <si>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</si>
  <si>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</si>
  <si>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</si>
  <si>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</si>
  <si>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</si>
  <si>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</si>
  <si>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</si>
  <si>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</si>
  <si>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</si>
  <si>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</si>
  <si>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</si>
  <si>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</si>
  <si>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</si>
  <si>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</si>
  <si>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</si>
  <si>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</si>
  <si>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</si>
  <si>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</si>
  <si>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</si>
  <si>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</si>
  <si>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</si>
  <si>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</si>
  <si>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</si>
  <si>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</si>
  <si>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</si>
  <si>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</si>
  <si>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</si>
  <si>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</si>
  <si>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</si>
  <si>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</si>
  <si>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</si>
  <si>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</si>
  <si>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</si>
  <si>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</si>
  <si>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</si>
  <si>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</si>
  <si>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</si>
  <si>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</si>
  <si>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</si>
  <si>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</si>
  <si>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</si>
  <si>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</si>
  <si>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</si>
  <si>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</si>
  <si>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</si>
  <si>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</si>
  <si>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</si>
  <si>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</si>
  <si>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</si>
  <si>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</si>
  <si>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</si>
  <si>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</si>
  <si>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</si>
  <si>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</si>
  <si>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</si>
  <si>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</si>
  <si>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</si>
  <si>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</si>
  <si>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</si>
  <si>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</si>
  <si>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</si>
  <si>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</si>
  <si>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</si>
  <si>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</si>
  <si>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</si>
  <si>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</si>
  <si>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</si>
  <si>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</si>
  <si>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</si>
  <si>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</si>
  <si>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</si>
  <si>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</si>
  <si>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</si>
  <si>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</si>
  <si>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</si>
  <si>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</si>
  <si>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</si>
  <si>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</si>
  <si>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</si>
  <si>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</si>
  <si>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</si>
  <si>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</si>
  <si>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</si>
  <si>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</si>
  <si>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</si>
  <si>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</si>
  <si>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</si>
  <si>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</si>
  <si>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</si>
  <si>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</si>
  <si>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</si>
  <si>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</si>
  <si>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</si>
  <si>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</si>
  <si>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</si>
  <si>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</si>
  <si>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</si>
  <si>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</si>
  <si>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</si>
  <si>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</si>
  <si>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</si>
  <si>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</si>
  <si>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</si>
  <si>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</si>
  <si>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</si>
  <si>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</si>
  <si>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</si>
  <si>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</si>
  <si>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</si>
  <si>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</si>
  <si>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</si>
  <si>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</si>
  <si>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</si>
  <si>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</si>
  <si>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</si>
  <si>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</si>
  <si>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</si>
  <si>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</si>
  <si>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</si>
  <si>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</si>
  <si>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</si>
  <si>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</si>
  <si>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</si>
  <si>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</si>
  <si>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</si>
  <si>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</si>
  <si>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</si>
  <si>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</si>
  <si>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</si>
  <si>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</si>
  <si>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</si>
  <si>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</si>
  <si>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</si>
  <si>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</si>
  <si>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</si>
  <si>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</si>
  <si>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</si>
  <si>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</si>
  <si>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</si>
  <si>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</si>
  <si>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</si>
  <si>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</si>
  <si>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</si>
  <si>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</si>
  <si>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</si>
  <si>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</si>
  <si>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</si>
  <si>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</si>
  <si>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</si>
  <si>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</si>
  <si>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</si>
  <si>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</si>
  <si>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</si>
  <si>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</si>
  <si>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</si>
  <si>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</si>
  <si>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</si>
  <si>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</si>
  <si>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</si>
  <si>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</si>
  <si>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</si>
  <si>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</si>
  <si>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</si>
  <si>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</si>
  <si>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</si>
  <si>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</si>
  <si>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</si>
  <si>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</si>
  <si>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</si>
  <si>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</si>
  <si>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</si>
  <si>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</si>
  <si>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</si>
  <si>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</si>
  <si>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</si>
  <si>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</si>
  <si>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</si>
  <si>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</si>
  <si>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</si>
  <si>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</si>
  <si>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</si>
  <si>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</si>
  <si>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</si>
  <si>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</si>
  <si>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</si>
  <si>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</si>
  <si>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</si>
  <si>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</si>
  <si>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</si>
  <si>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</si>
  <si>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</si>
  <si>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</si>
  <si>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</si>
  <si>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</si>
  <si>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</si>
  <si>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</si>
  <si>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</si>
  <si>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</si>
  <si>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</si>
  <si>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</si>
  <si>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</si>
  <si>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</si>
  <si>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</si>
  <si>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</si>
  <si>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</si>
  <si>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</si>
  <si>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</si>
  <si>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</si>
  <si>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</si>
  <si>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</si>
  <si>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</si>
  <si>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</si>
  <si>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</si>
  <si>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</si>
  <si>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</si>
  <si>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</si>
  <si>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</si>
  <si>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</si>
  <si>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</si>
  <si>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</si>
  <si>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</si>
  <si>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</si>
  <si>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</si>
  <si>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</si>
  <si>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</si>
  <si>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</si>
  <si>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</si>
  <si>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</si>
  <si>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</si>
  <si>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</si>
  <si>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</si>
  <si>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</si>
  <si>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</si>
  <si>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</si>
  <si>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</si>
  <si>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</si>
  <si>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</si>
  <si>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</si>
  <si>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</si>
  <si>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</si>
  <si>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</si>
  <si>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</si>
  <si>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</si>
  <si>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</si>
  <si>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</si>
  <si>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</si>
  <si>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</si>
  <si>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</si>
  <si>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</si>
  <si>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</si>
  <si>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</si>
  <si>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</si>
  <si>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</si>
  <si>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</si>
  <si>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</si>
  <si>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</si>
  <si>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</si>
  <si>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</si>
  <si>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</si>
  <si>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</si>
  <si>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</si>
  <si>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</si>
  <si>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</si>
  <si>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</si>
  <si>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</si>
  <si>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</si>
  <si>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</si>
  <si>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</si>
  <si>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</si>
  <si>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</si>
  <si>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</si>
  <si>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</si>
  <si>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</si>
  <si>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</si>
  <si>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</si>
  <si>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</si>
  <si>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</si>
  <si>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</si>
  <si>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</si>
  <si>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</si>
  <si>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</si>
  <si>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</si>
  <si>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</si>
  <si>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</si>
  <si>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</si>
  <si>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</si>
  <si>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</si>
  <si>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</si>
  <si>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</si>
  <si>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</si>
  <si>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</si>
  <si>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</si>
  <si>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</si>
  <si>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</si>
  <si>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</si>
  <si>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</si>
  <si>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</si>
  <si>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</si>
  <si>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</si>
  <si>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</si>
  <si>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</si>
  <si>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</si>
  <si>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</si>
  <si>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</si>
  <si>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</si>
  <si>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</si>
  <si>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</si>
  <si>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</si>
  <si>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</si>
  <si>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</si>
  <si>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</si>
  <si>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</si>
  <si>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</si>
  <si>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</si>
  <si>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</si>
  <si>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</si>
  <si>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</si>
  <si>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</si>
  <si>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</si>
  <si>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</si>
  <si>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</si>
  <si>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</si>
  <si>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</si>
  <si>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</si>
  <si>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</si>
  <si>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</si>
  <si>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</si>
  <si>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</si>
  <si>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</si>
  <si>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</si>
  <si>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</si>
  <si>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</si>
  <si>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</si>
  <si>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</si>
  <si>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</si>
  <si>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</si>
  <si>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</si>
  <si>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</si>
  <si>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</si>
  <si>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</si>
  <si>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</si>
  <si>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</si>
  <si>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</si>
  <si>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</si>
  <si>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</si>
  <si>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</si>
  <si>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</si>
  <si>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</si>
  <si>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</si>
  <si>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</si>
  <si>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</si>
  <si>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</si>
  <si>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</si>
  <si>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</si>
  <si>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</si>
  <si>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</si>
  <si>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</si>
  <si>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</si>
  <si>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</si>
  <si>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</si>
  <si>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</si>
  <si>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</si>
  <si>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</si>
  <si>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</si>
  <si>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</si>
  <si>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</si>
  <si>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</si>
  <si>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</si>
  <si>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</si>
  <si>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</si>
  <si>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</si>
  <si>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</si>
  <si>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</si>
  <si>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</si>
  <si>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</si>
  <si>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</si>
  <si>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</si>
  <si>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</si>
  <si>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</si>
  <si>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</si>
  <si>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</si>
  <si>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</si>
  <si>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</si>
  <si>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</si>
  <si>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</si>
  <si>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</si>
  <si>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</si>
  <si>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</si>
  <si>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</si>
  <si>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</si>
  <si>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</si>
  <si>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</si>
  <si>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</si>
  <si>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</si>
  <si>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</si>
  <si>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</si>
  <si>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</si>
  <si>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</si>
  <si>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</si>
  <si>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</si>
  <si>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</si>
  <si>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</si>
  <si>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</si>
  <si>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</si>
  <si>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</si>
  <si>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</si>
  <si>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</si>
  <si>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</si>
  <si>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</si>
  <si>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</si>
  <si>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</si>
  <si>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</si>
  <si>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</si>
  <si>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</si>
  <si>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</si>
  <si>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</si>
  <si>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</si>
  <si>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</si>
  <si>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</si>
  <si>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</si>
  <si>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</si>
  <si>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</si>
  <si>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</si>
  <si>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</si>
  <si>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</si>
  <si>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</si>
  <si>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</si>
  <si>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</si>
  <si>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</si>
  <si>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</si>
  <si>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</si>
  <si>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</si>
  <si>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</si>
  <si>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</si>
  <si>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</si>
  <si>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</si>
  <si>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</si>
  <si>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</si>
  <si>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</si>
  <si>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</si>
  <si>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</si>
  <si>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</si>
  <si>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</si>
  <si>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</si>
  <si>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</si>
  <si>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</si>
  <si>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</si>
  <si>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</si>
  <si>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</si>
  <si>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</si>
  <si>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</si>
  <si>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</si>
  <si>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</si>
  <si>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</si>
  <si>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</si>
  <si>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</si>
  <si>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</si>
  <si>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</si>
  <si>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</si>
  <si>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</si>
  <si>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</si>
  <si>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</si>
  <si>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</si>
  <si>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</si>
  <si>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</si>
  <si>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</si>
  <si>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</si>
  <si>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</si>
  <si>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</si>
  <si>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</si>
  <si>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</si>
  <si>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</si>
  <si>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</si>
  <si>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</si>
  <si>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</si>
  <si>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</si>
  <si>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</si>
  <si>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</si>
  <si>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</si>
  <si>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</si>
  <si>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</si>
  <si>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</si>
  <si>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</si>
  <si>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</si>
  <si>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</si>
  <si>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</si>
  <si>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</si>
  <si>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</si>
  <si>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</si>
  <si>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</si>
  <si>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</si>
  <si>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</si>
  <si>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</si>
  <si>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</si>
  <si>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</si>
  <si>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</si>
  <si>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</si>
  <si>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</si>
  <si>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</si>
  <si>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</si>
  <si>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</si>
  <si>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</si>
  <si>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</si>
  <si>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</si>
  <si>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</si>
  <si>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</si>
  <si>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</si>
  <si>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</si>
  <si>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</si>
  <si>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</si>
  <si>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</si>
  <si>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</si>
  <si>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</si>
  <si>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</si>
  <si>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</si>
  <si>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</si>
  <si>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</si>
  <si>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</si>
  <si>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</si>
  <si>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</si>
  <si>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</si>
  <si>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</si>
  <si>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</si>
  <si>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</si>
  <si>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</si>
  <si>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</si>
  <si>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</si>
  <si>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</si>
  <si>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</si>
  <si>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</si>
  <si>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</si>
  <si>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</si>
  <si>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</si>
  <si>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</si>
  <si>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</si>
  <si>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</si>
  <si>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</si>
  <si>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</si>
  <si>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</si>
  <si>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</si>
  <si>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</si>
  <si>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</si>
  <si>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</si>
  <si>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</si>
  <si>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</si>
  <si>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</si>
  <si>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</si>
  <si>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</si>
  <si>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</si>
  <si>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</si>
  <si>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</si>
  <si>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</si>
  <si>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</si>
  <si>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</si>
  <si>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</si>
  <si>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</si>
  <si>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</si>
  <si>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</si>
  <si>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</si>
  <si>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</si>
  <si>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</si>
  <si>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</si>
  <si>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</si>
  <si>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</si>
  <si>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</si>
  <si>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</si>
  <si>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</si>
  <si>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</si>
  <si>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</si>
  <si>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</si>
  <si>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</si>
  <si>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</si>
  <si>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</si>
  <si>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</si>
  <si>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</si>
  <si>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</si>
  <si>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</si>
  <si>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</si>
  <si>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</si>
  <si>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</si>
  <si>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</si>
  <si>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</si>
  <si>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</si>
  <si>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</si>
  <si>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</si>
  <si>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</si>
  <si>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</si>
  <si>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</si>
  <si>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</si>
  <si>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</si>
  <si>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</si>
  <si>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</si>
  <si>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</si>
  <si>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</si>
  <si>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</si>
  <si>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</si>
  <si>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</si>
  <si>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</si>
  <si>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</si>
  <si>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</si>
  <si>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</si>
  <si>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</si>
  <si>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</si>
  <si>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</si>
  <si>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</si>
  <si>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</si>
  <si>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</si>
  <si>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</si>
  <si>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</si>
  <si>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</si>
  <si>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</si>
  <si>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</si>
  <si>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</si>
  <si>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</si>
  <si>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</si>
  <si>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</si>
  <si>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</si>
  <si>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</si>
  <si>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</si>
  <si>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</si>
  <si>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</si>
  <si>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</si>
  <si>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</si>
  <si>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</si>
  <si>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</si>
  <si>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</si>
  <si>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</si>
  <si>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</si>
  <si>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</si>
  <si>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</si>
  <si>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</si>
  <si>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</si>
  <si>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</si>
  <si>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</si>
  <si>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</si>
  <si>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</si>
  <si>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</si>
  <si>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</si>
  <si>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</si>
  <si>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</si>
  <si>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</si>
  <si>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</si>
  <si>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</si>
  <si>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</si>
  <si>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</si>
  <si>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</si>
  <si>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</si>
  <si>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</si>
  <si>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</si>
  <si>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</si>
  <si>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</si>
  <si>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</si>
  <si>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</si>
  <si>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</si>
  <si>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</si>
  <si>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</si>
  <si>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</si>
  <si>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</si>
  <si>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</si>
  <si>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</si>
  <si>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</si>
  <si>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</si>
  <si>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</si>
  <si>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</si>
  <si>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</si>
  <si>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</si>
  <si>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</si>
  <si>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</si>
  <si>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</si>
  <si>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</si>
  <si>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</si>
  <si>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</si>
  <si>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</si>
  <si>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</si>
  <si>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</si>
  <si>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</si>
  <si>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</si>
  <si>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</si>
  <si>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</si>
  <si>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</si>
  <si>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</si>
  <si>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</si>
  <si>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</si>
  <si>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</si>
  <si>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</si>
  <si>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</si>
  <si>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</si>
  <si>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</si>
  <si>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</si>
  <si>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</si>
  <si>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</si>
  <si>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</si>
  <si>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</si>
  <si>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</si>
  <si>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</si>
  <si>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</si>
  <si>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</si>
  <si>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</si>
  <si>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</si>
  <si>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</si>
  <si>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</si>
  <si>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</si>
  <si>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</si>
  <si>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</si>
  <si>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</si>
  <si>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</si>
  <si>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</si>
  <si>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</si>
  <si>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</si>
  <si>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</si>
  <si>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</si>
  <si>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</si>
  <si>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</si>
  <si>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</si>
  <si>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</si>
  <si>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</si>
  <si>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</si>
  <si>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</si>
  <si>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</si>
  <si>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</si>
  <si>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</si>
  <si>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</si>
  <si>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</si>
  <si>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</si>
  <si>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</si>
  <si>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</si>
  <si>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</si>
  <si>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</si>
  <si>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</si>
  <si>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</si>
  <si>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</si>
  <si>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</si>
  <si>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</si>
  <si>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</si>
  <si>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</si>
  <si>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</si>
  <si>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</si>
  <si>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</si>
  <si>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</si>
  <si>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</si>
  <si>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</si>
  <si>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</si>
  <si>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</si>
  <si>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</si>
  <si>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</si>
  <si>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</si>
  <si>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</si>
  <si>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</si>
  <si>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</si>
  <si>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</si>
  <si>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</si>
  <si>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</si>
  <si>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</si>
  <si>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</si>
  <si>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</si>
  <si>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</si>
  <si>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</si>
  <si>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</si>
  <si>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</si>
  <si>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</si>
  <si>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</si>
  <si>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</si>
  <si>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</si>
  <si>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</si>
  <si>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</si>
  <si>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</si>
  <si>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</si>
  <si>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</si>
  <si>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</si>
  <si>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</si>
  <si>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</si>
  <si>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</si>
  <si>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</si>
  <si>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</si>
  <si>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</si>
  <si>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</si>
  <si>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</si>
  <si>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</si>
  <si>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</si>
  <si>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</si>
  <si>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</si>
  <si>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</si>
  <si>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</si>
  <si>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</si>
  <si>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</si>
  <si>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</si>
  <si>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</si>
  <si>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</si>
  <si>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</si>
  <si>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</si>
  <si>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</si>
  <si>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</si>
  <si>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</si>
  <si>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</si>
  <si>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</si>
  <si>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</si>
  <si>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</si>
  <si>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</si>
  <si>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</si>
  <si>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</si>
  <si>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</si>
  <si>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</si>
  <si>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</si>
  <si>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</si>
  <si>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</si>
  <si>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</si>
  <si>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</si>
  <si>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</si>
  <si>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</si>
  <si>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</si>
  <si>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</si>
  <si>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</si>
  <si>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</si>
  <si>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</si>
  <si>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</si>
  <si>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</si>
  <si>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</si>
  <si>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</si>
  <si>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</si>
  <si>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</si>
  <si>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</si>
  <si>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</si>
  <si>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</si>
  <si>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</si>
  <si>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</si>
  <si>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</si>
  <si>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</si>
  <si>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</si>
  <si>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</si>
  <si>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</si>
  <si>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</si>
  <si>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</si>
  <si>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</si>
  <si>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</si>
  <si>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</si>
  <si>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</si>
  <si>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</si>
  <si>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</si>
  <si>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</si>
  <si>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</si>
  <si>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</si>
  <si>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</si>
  <si>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</si>
  <si>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</si>
  <si>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</si>
  <si>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</si>
  <si>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</si>
  <si>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</si>
  <si>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</si>
  <si>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</si>
  <si>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</si>
  <si>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</si>
  <si>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</si>
  <si>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</si>
  <si>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</si>
  <si>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</si>
  <si>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</si>
  <si>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</si>
  <si>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</si>
  <si>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</si>
  <si>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</si>
  <si>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</si>
  <si>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</si>
  <si>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</si>
  <si>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</si>
  <si>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</si>
  <si>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</si>
  <si>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</si>
  <si>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</si>
  <si>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</si>
  <si>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</si>
  <si>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</si>
  <si>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</si>
  <si>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</si>
  <si>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</si>
  <si>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</si>
  <si>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</si>
  <si>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</si>
  <si>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</si>
  <si>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</si>
  <si>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</si>
  <si>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</si>
  <si>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</si>
  <si>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</si>
  <si>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</si>
  <si>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</si>
  <si>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</si>
  <si>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</si>
  <si>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</si>
  <si>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</si>
  <si>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</si>
  <si>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</si>
  <si>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</si>
  <si>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</si>
  <si>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</si>
  <si>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</si>
  <si>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</si>
  <si>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</si>
  <si>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</si>
  <si>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</si>
  <si>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</si>
  <si>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</si>
  <si>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</si>
  <si>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</si>
  <si>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</si>
  <si>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</si>
  <si>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</si>
  <si>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</si>
  <si>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</si>
  <si>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</si>
  <si>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</si>
  <si>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</si>
  <si>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</si>
  <si>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</si>
  <si>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</si>
  <si>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</si>
  <si>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</si>
  <si>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</si>
  <si>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</si>
  <si>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</si>
  <si>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</si>
  <si>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</si>
  <si>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</si>
  <si>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</si>
  <si>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</si>
  <si>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</si>
  <si>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</si>
  <si>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</si>
  <si>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</si>
  <si>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</si>
  <si>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</si>
  <si>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</si>
  <si>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</si>
  <si>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</si>
  <si>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</si>
  <si>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</si>
  <si>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</si>
  <si>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</si>
  <si>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</si>
  <si>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</si>
  <si>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</si>
  <si>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</si>
  <si>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</si>
  <si>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</si>
  <si>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</si>
  <si>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</si>
  <si>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</si>
  <si>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</si>
  <si>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</si>
  <si>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</si>
  <si>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</si>
  <si>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</si>
  <si>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</si>
  <si>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</si>
  <si>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</si>
  <si>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</si>
  <si>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</si>
  <si>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</si>
  <si>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</si>
  <si>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</si>
  <si>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</si>
  <si>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</si>
  <si>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</si>
  <si>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</si>
  <si>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</si>
  <si>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</si>
  <si>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</si>
  <si>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</si>
  <si>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</si>
  <si>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</si>
  <si>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</si>
  <si>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</si>
  <si>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</si>
  <si>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</si>
  <si>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</si>
  <si>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</si>
  <si>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</si>
  <si>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</si>
  <si>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</si>
  <si>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</si>
  <si>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</si>
  <si>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</si>
  <si>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</si>
  <si>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</si>
  <si>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</si>
  <si>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</si>
  <si>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</si>
  <si>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</si>
  <si>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</si>
  <si>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</si>
  <si>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</si>
  <si>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</si>
  <si>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</si>
  <si>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</si>
  <si>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</si>
  <si>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</si>
  <si>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</si>
  <si>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</si>
  <si>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</si>
  <si>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</si>
  <si>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</si>
  <si>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</si>
  <si>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</si>
  <si>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</si>
  <si>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</si>
  <si>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</si>
  <si>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</si>
  <si>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</si>
  <si>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</si>
  <si>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</si>
  <si>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</si>
  <si>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</si>
  <si>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</si>
  <si>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</si>
  <si>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</si>
  <si>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</si>
  <si>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</si>
  <si>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</si>
  <si>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</si>
  <si>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</si>
  <si>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</si>
  <si>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</si>
  <si>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</si>
  <si>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</si>
  <si>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</si>
  <si>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</si>
  <si>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</si>
  <si>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</si>
  <si>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</si>
  <si>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</si>
  <si>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</si>
  <si>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</si>
  <si>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</si>
  <si>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</si>
  <si>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</si>
  <si>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</si>
  <si>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</si>
  <si>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</si>
  <si>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</si>
  <si>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</si>
  <si>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</si>
  <si>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</si>
  <si>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</si>
  <si>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</si>
  <si>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</si>
  <si>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</si>
  <si>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</si>
  <si>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</si>
  <si>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</si>
  <si>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</si>
  <si>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</si>
  <si>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</si>
  <si>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</si>
  <si>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</si>
  <si>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</si>
  <si>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</si>
  <si>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</si>
  <si>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</si>
  <si>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</si>
  <si>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</si>
  <si>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</si>
  <si>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</si>
  <si>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</si>
  <si>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</si>
  <si>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</si>
  <si>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</si>
  <si>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</si>
  <si>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</si>
  <si>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</si>
  <si>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</si>
  <si>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</si>
  <si>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</si>
  <si>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</si>
  <si>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</si>
  <si>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</si>
  <si>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</si>
  <si>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</si>
  <si>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</si>
  <si>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</si>
  <si>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</si>
  <si>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</si>
  <si>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</si>
  <si>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</si>
  <si>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</si>
  <si>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</si>
  <si>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</si>
  <si>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</si>
  <si>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</si>
  <si>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</si>
  <si>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</si>
  <si>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</si>
  <si>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</si>
  <si>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</si>
  <si>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</si>
  <si>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</si>
  <si>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</si>
  <si>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</si>
  <si>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</si>
  <si>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</si>
  <si>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</si>
  <si>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</si>
  <si>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</si>
  <si>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</si>
  <si>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</si>
  <si>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</si>
  <si>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</si>
  <si>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</si>
  <si>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</si>
  <si>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</si>
  <si>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</si>
  <si>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</si>
  <si>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</si>
  <si>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</si>
  <si>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</si>
  <si>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</si>
  <si>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</si>
  <si>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</si>
  <si>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</si>
  <si>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</si>
  <si>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</si>
  <si>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</si>
  <si>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</si>
  <si>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</si>
  <si>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</si>
  <si>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</si>
  <si>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</si>
  <si>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</si>
  <si>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</si>
  <si>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</si>
  <si>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</si>
  <si>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</si>
  <si>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</si>
  <si>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</si>
  <si>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</si>
  <si>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</si>
  <si>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</si>
  <si>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</si>
  <si>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</si>
  <si>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</si>
  <si>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</si>
  <si>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</si>
  <si>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</si>
  <si>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</si>
  <si>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</si>
  <si>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</si>
  <si>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</si>
  <si>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</si>
  <si>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</si>
  <si>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</si>
  <si>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</si>
  <si>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</si>
  <si>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</si>
  <si>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</si>
  <si>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</si>
  <si>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</si>
  <si>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</si>
  <si>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</si>
  <si>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</si>
  <si>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</si>
  <si>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</si>
  <si>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</si>
  <si>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</si>
  <si>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</si>
  <si>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</si>
  <si>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</si>
  <si>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</si>
  <si>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</si>
  <si>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</si>
  <si>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</si>
  <si>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</si>
  <si>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</si>
  <si>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</si>
  <si>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</si>
  <si>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</si>
  <si>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</si>
  <si>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</si>
  <si>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</si>
  <si>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</si>
  <si>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</si>
  <si>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</si>
  <si>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</si>
  <si>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</si>
  <si>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</si>
  <si>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</si>
  <si>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</si>
  <si>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</si>
  <si>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</si>
  <si>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</si>
  <si>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</si>
  <si>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</si>
  <si>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</si>
  <si>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</si>
  <si>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</si>
  <si>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</si>
  <si>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</si>
  <si>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</si>
  <si>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</si>
  <si>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</si>
  <si>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</si>
  <si>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</si>
  <si>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</si>
  <si>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</si>
  <si>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</si>
  <si>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</si>
  <si>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</si>
  <si>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</si>
  <si>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</si>
  <si>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</si>
  <si>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</si>
  <si>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</si>
  <si>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</si>
  <si>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</si>
  <si>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</si>
  <si>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</si>
  <si>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</si>
  <si>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</si>
  <si>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</si>
  <si>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</si>
  <si>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</si>
  <si>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</si>
  <si>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</si>
  <si>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</si>
  <si>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</si>
  <si>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</si>
  <si>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</si>
  <si>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</si>
  <si>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</si>
  <si>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</si>
  <si>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</si>
  <si>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</si>
  <si>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</si>
  <si>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</si>
  <si>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</si>
  <si>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</si>
  <si>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</si>
  <si>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</si>
  <si>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</si>
  <si>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</si>
  <si>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</si>
  <si>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</si>
  <si>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</si>
  <si>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</si>
  <si>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</si>
  <si>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</si>
  <si>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</si>
  <si>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</si>
  <si>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</si>
  <si>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</si>
  <si>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</si>
  <si>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</si>
  <si>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</si>
  <si>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</si>
  <si>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</si>
  <si>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</si>
  <si>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</si>
  <si>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</si>
  <si>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</si>
  <si>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</si>
  <si>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</si>
  <si>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</si>
  <si>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</si>
  <si>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</si>
  <si>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</si>
  <si>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</si>
  <si>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</si>
  <si>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</si>
  <si>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</si>
  <si>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</si>
  <si>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</si>
  <si>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</si>
  <si>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</si>
  <si>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</si>
  <si>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</si>
  <si>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</si>
  <si>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</si>
  <si>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</si>
  <si>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</si>
  <si>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</si>
  <si>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</si>
  <si>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</si>
  <si>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</si>
  <si>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</si>
  <si>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</si>
  <si>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</si>
  <si>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</si>
  <si>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</si>
  <si>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</si>
  <si>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</si>
  <si>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</si>
  <si>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</si>
  <si>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</si>
  <si>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</si>
  <si>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</si>
  <si>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</si>
  <si>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</si>
  <si>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</si>
  <si>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</si>
  <si>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</si>
  <si>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</si>
  <si>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</si>
  <si>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</si>
  <si>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</si>
  <si>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</si>
  <si>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</si>
  <si>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</si>
  <si>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</si>
  <si>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</si>
  <si>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</si>
  <si>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</si>
  <si>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</si>
  <si>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</si>
  <si>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</si>
  <si>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</si>
  <si>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</si>
  <si>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</si>
  <si>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</si>
  <si>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</si>
  <si>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</si>
  <si>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</si>
  <si>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</si>
  <si>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</si>
  <si>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</si>
  <si>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</si>
  <si>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</si>
  <si>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</si>
  <si>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</si>
  <si>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</si>
  <si>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</si>
  <si>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</si>
  <si>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</si>
  <si>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</si>
  <si>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</si>
  <si>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</si>
  <si>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</si>
  <si>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</si>
  <si>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</si>
  <si>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</si>
  <si>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</si>
  <si>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</si>
  <si>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</si>
  <si>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</si>
  <si>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</si>
  <si>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</si>
  <si>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</si>
  <si>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</si>
  <si>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</si>
  <si>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</si>
  <si>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</si>
  <si>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</si>
  <si>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</si>
  <si>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</si>
  <si>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</si>
  <si>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</si>
  <si>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</si>
  <si>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</si>
  <si>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</si>
  <si>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</si>
  <si>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</si>
  <si>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</si>
  <si>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</si>
  <si>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</si>
  <si>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</si>
  <si>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</si>
  <si>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</si>
  <si>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</si>
  <si>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</si>
  <si>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</si>
  <si>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</si>
  <si>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</si>
  <si>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</si>
  <si>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</si>
  <si>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</si>
  <si>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</si>
  <si>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</si>
  <si>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</si>
  <si>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</si>
  <si>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</si>
  <si>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</si>
  <si>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</si>
  <si>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</si>
  <si>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</si>
  <si>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</si>
  <si>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</si>
  <si>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</si>
  <si>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</si>
  <si>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</si>
  <si>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</si>
  <si>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</si>
  <si>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</si>
  <si>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</si>
  <si>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</si>
  <si>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</si>
  <si>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</si>
  <si>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</si>
  <si>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</si>
  <si>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</si>
  <si>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</si>
  <si>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</si>
  <si>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</si>
  <si>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</si>
  <si>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</si>
  <si>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</si>
  <si>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</si>
  <si>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</si>
  <si>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</si>
  <si>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</si>
  <si>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Marinwood Propco, L.P.</t>
  </si>
  <si>
    <t>Marinwood Plaza</t>
  </si>
  <si>
    <t>County of Marin</t>
  </si>
  <si>
    <t>Sarah Jones</t>
  </si>
  <si>
    <t>3501 Civic Center Drive, Suite 308</t>
  </si>
  <si>
    <t>San Rafael, CA</t>
  </si>
  <si>
    <t>415-473-6269</t>
  </si>
  <si>
    <t>Sarah.Jones@marincounty.gov</t>
  </si>
  <si>
    <t>121, 155, 175, and 197 Marinwood Avenue</t>
  </si>
  <si>
    <t>San Rafael</t>
  </si>
  <si>
    <t>APN 164-471-64, APN 164-471-65, APN 164-471-69, APN 164-471-70</t>
  </si>
  <si>
    <t>40%/60% Average Income</t>
  </si>
  <si>
    <t xml:space="preserve">2340 Collins Ave.																		</t>
  </si>
  <si>
    <t>Miami</t>
  </si>
  <si>
    <t>FL</t>
  </si>
  <si>
    <t>Jessica Mullins</t>
  </si>
  <si>
    <t>713-344-7055</t>
  </si>
  <si>
    <t>jmullins@impactresidential.com</t>
  </si>
  <si>
    <t>Impact Residential Development, LLC</t>
  </si>
  <si>
    <t>Marinwood GP, L.L.C.</t>
  </si>
  <si>
    <t>2340 Collins Ave.</t>
  </si>
  <si>
    <t>Administrative GP</t>
  </si>
  <si>
    <t>Kevin Fitzpatrick</t>
  </si>
  <si>
    <t>203-274-4359</t>
  </si>
  <si>
    <t>kfitzpatrick@impactresidential.com</t>
  </si>
  <si>
    <t>PACH San Jose Holding LLC</t>
  </si>
  <si>
    <t>2115 J Street, Ste. 201</t>
  </si>
  <si>
    <t xml:space="preserve">Sacramento							</t>
  </si>
  <si>
    <t>CA</t>
  </si>
  <si>
    <t>Mark Wiese</t>
  </si>
  <si>
    <t>916-638-5200</t>
  </si>
  <si>
    <t>mwiese@pacifichousing.org</t>
  </si>
  <si>
    <t>Pacific Housing, Inc.</t>
  </si>
  <si>
    <t>Tableau Development Company</t>
  </si>
  <si>
    <t>407 Riviera Drive</t>
  </si>
  <si>
    <t>Jack Robertson</t>
  </si>
  <si>
    <t>415-519-7574</t>
  </si>
  <si>
    <t>Jack@tableaudev.com</t>
  </si>
  <si>
    <t>Consultant</t>
  </si>
  <si>
    <t xml:space="preserve">Impact Residential Development LLC										</t>
  </si>
  <si>
    <t>Miami Florida, 33139</t>
  </si>
  <si>
    <t>LPAS Architects</t>
  </si>
  <si>
    <t>723 S Street</t>
  </si>
  <si>
    <t>Sacramento, CA  95811</t>
  </si>
  <si>
    <t>Cox Castle</t>
  </si>
  <si>
    <t>50 California Street, Suite 3200</t>
  </si>
  <si>
    <t>San Francisco, CA 94104</t>
  </si>
  <si>
    <t xml:space="preserve">Ofer Elitzsur										</t>
  </si>
  <si>
    <t xml:space="preserve">415-262-5165					</t>
  </si>
  <si>
    <t xml:space="preserve">oelitzur@coxcastle.com										</t>
  </si>
  <si>
    <t xml:space="preserve">Milestone Construction Group										</t>
  </si>
  <si>
    <t xml:space="preserve">51 University Avenue, Suite D										</t>
  </si>
  <si>
    <t>Los Gatos, CA 95030</t>
  </si>
  <si>
    <t xml:space="preserve">Charles Drotts										</t>
  </si>
  <si>
    <t xml:space="preserve">408-818-0254					</t>
  </si>
  <si>
    <t xml:space="preserve">Charles @MilestoneConstructionGroup.com										</t>
  </si>
  <si>
    <t xml:space="preserve">Novogradac &amp; Company LLP										</t>
  </si>
  <si>
    <t xml:space="preserve">1300 114th Ave SE, Suite 240										</t>
  </si>
  <si>
    <t xml:space="preserve">Bellevue, WA 98004										</t>
  </si>
  <si>
    <t>Thomas Stagg</t>
  </si>
  <si>
    <t xml:space="preserve">206-776-0855					</t>
  </si>
  <si>
    <t xml:space="preserve">thomas.stagg@novoco.com										</t>
  </si>
  <si>
    <t xml:space="preserve">Redwood Energy										</t>
  </si>
  <si>
    <t>1887 Q Street</t>
  </si>
  <si>
    <t xml:space="preserve">Arcata, CA 95521										</t>
  </si>
  <si>
    <t xml:space="preserve">Sean Armstrong										</t>
  </si>
  <si>
    <t xml:space="preserve">707-234-7573					</t>
  </si>
  <si>
    <t xml:space="preserve">seanarmstrongpm@gmail.com										</t>
  </si>
  <si>
    <t xml:space="preserve">1399 114th Ave Suite 240										</t>
  </si>
  <si>
    <t xml:space="preserve">Dat Ksor										</t>
  </si>
  <si>
    <t xml:space="preserve">dat.ksor@novoco.com										</t>
  </si>
  <si>
    <t>RBC</t>
  </si>
  <si>
    <t>3800 Glenwood Ave Suite 400</t>
  </si>
  <si>
    <t>Raleigh, NC 27612</t>
  </si>
  <si>
    <t>Lake Newcomb</t>
  </si>
  <si>
    <t>984-312-5386</t>
  </si>
  <si>
    <t>Lake.Newcomb@rbccm.com</t>
  </si>
  <si>
    <t xml:space="preserve">Tableau Development Company										</t>
  </si>
  <si>
    <t xml:space="preserve">407 Riviera Drive										</t>
  </si>
  <si>
    <t xml:space="preserve">San Rafael, Ca 94901										</t>
  </si>
  <si>
    <t xml:space="preserve">Jack Robertson										</t>
  </si>
  <si>
    <t xml:space="preserve">415-519-7574					</t>
  </si>
  <si>
    <t xml:space="preserve">Jack@tableaudev.com										</t>
  </si>
  <si>
    <t xml:space="preserve">Laurin Associates										</t>
  </si>
  <si>
    <t xml:space="preserve">1501 Sports Drive, Suite A										</t>
  </si>
  <si>
    <t xml:space="preserve">Sacramento, CA 95834										</t>
  </si>
  <si>
    <t xml:space="preserve">Stefanie Williams										</t>
  </si>
  <si>
    <t xml:space="preserve">916-372-6100					</t>
  </si>
  <si>
    <t xml:space="preserve">916-419-6108					</t>
  </si>
  <si>
    <t xml:space="preserve">swilliams@laurinassociates.com										</t>
  </si>
  <si>
    <t xml:space="preserve">Joseph J. Blake and Associates, Inc.										</t>
  </si>
  <si>
    <t xml:space="preserve">500 Ygnacio Valley Road, Suite 350										</t>
  </si>
  <si>
    <t xml:space="preserve">Walnut Creek, CA 94596										</t>
  </si>
  <si>
    <t xml:space="preserve">Brian Rapela, MAI										</t>
  </si>
  <si>
    <t xml:space="preserve">925-482-1370					</t>
  </si>
  <si>
    <t xml:space="preserve">CalHFA										</t>
  </si>
  <si>
    <t xml:space="preserve">500 Capitol Mall Suite 1400										</t>
  </si>
  <si>
    <t>Sacramento, CA 95814</t>
  </si>
  <si>
    <t xml:space="preserve">916-326-6430					</t>
  </si>
  <si>
    <t xml:space="preserve">Aperto Property Management, Inc.										</t>
  </si>
  <si>
    <t>1851 Heritage Lane, Suite 170</t>
  </si>
  <si>
    <t xml:space="preserve">Sacramento, CA 95815										</t>
  </si>
  <si>
    <t xml:space="preserve">Candy Navarro										</t>
  </si>
  <si>
    <t xml:space="preserve">559-500-0844					</t>
  </si>
  <si>
    <t xml:space="preserve">cnavarro@apertopm.com										</t>
  </si>
  <si>
    <t xml:space="preserve">Marinwood Plaza LLC											</t>
  </si>
  <si>
    <t xml:space="preserve">Lee Hoyt											</t>
  </si>
  <si>
    <t xml:space="preserve">Trustee											</t>
  </si>
  <si>
    <t xml:space="preserve">15701 Sherman Way, Van Nuys, CA 91409											</t>
  </si>
  <si>
    <t>Lee Hoyt</t>
  </si>
  <si>
    <t xml:space="preserve">9/8/2023				</t>
  </si>
  <si>
    <t xml:space="preserve">415-419-1900					</t>
  </si>
  <si>
    <t>Secured by Fee Interest</t>
  </si>
  <si>
    <t>Other (Specify below)</t>
  </si>
  <si>
    <t xml:space="preserve">1,040 square foot retail storefront located on ground floor of one of the residential buildings. Space is intended for a café																												
																												</t>
  </si>
  <si>
    <t>CP-HOD Commercial, Planned-Housing Overlay Combining District</t>
  </si>
  <si>
    <t xml:space="preserve">CP-HOD, Form-based code does not limit density; Housing Element cites 125 units																				</t>
  </si>
  <si>
    <t xml:space="preserve">CP-HOD and Transect T5 - Core Main Street (Form-based code); 125 units																				</t>
  </si>
  <si>
    <t>Occupancy to range between and up to 30%70% AMI in return for granting the code waivers and concessions.</t>
  </si>
  <si>
    <t>Yes, for site, but not applicable as units are 100% affordable</t>
  </si>
  <si>
    <t>Housing Compliance Review</t>
  </si>
  <si>
    <t>County of Marin, Housing Trust Fund</t>
  </si>
  <si>
    <t>Citibank</t>
  </si>
  <si>
    <t>County of Marin HTF Loan</t>
  </si>
  <si>
    <t>Deferred developer fee</t>
  </si>
  <si>
    <t>LIHTC Equity</t>
  </si>
  <si>
    <t>Variable</t>
  </si>
  <si>
    <t>Fixed</t>
  </si>
  <si>
    <t xml:space="preserve">2700 Post Oak Blvd											</t>
  </si>
  <si>
    <t xml:space="preserve">Houston											</t>
  </si>
  <si>
    <t xml:space="preserve">Carrie Lee											</t>
  </si>
  <si>
    <t>2700 Post Oak Blvd</t>
  </si>
  <si>
    <t>Houston</t>
  </si>
  <si>
    <t>Carrie Lee</t>
  </si>
  <si>
    <t>713-752-5052</t>
  </si>
  <si>
    <t>Conventional</t>
  </si>
  <si>
    <t>Conventional-tax exempt</t>
  </si>
  <si>
    <t>Leelee Thomas</t>
  </si>
  <si>
    <t>415-473-6697</t>
  </si>
  <si>
    <t xml:space="preserve">400 Galleria Parkway, Suite 1450											</t>
  </si>
  <si>
    <t xml:space="preserve">Atlanta											</t>
  </si>
  <si>
    <t xml:space="preserve">Kevin Fitzpatrick											</t>
  </si>
  <si>
    <t xml:space="preserve">203-274-4359					</t>
  </si>
  <si>
    <t xml:space="preserve">Deferred										</t>
  </si>
  <si>
    <t xml:space="preserve">Deferred Developer Fee </t>
  </si>
  <si>
    <t>Cash flow from operations</t>
  </si>
  <si>
    <t>500 Capitol Mall, Suite 400, MS 990</t>
  </si>
  <si>
    <t xml:space="preserve">Sacramento											</t>
  </si>
  <si>
    <t>(late fees and misc)</t>
  </si>
  <si>
    <t>CUAC</t>
  </si>
  <si>
    <t>(subscription, office supplies, telephone)</t>
  </si>
  <si>
    <t>Benefits and payroll taxes</t>
  </si>
  <si>
    <t>cleaning supplies, and other maintainance</t>
  </si>
  <si>
    <t>CalFHA monitoring fee</t>
  </si>
  <si>
    <t>Operating Expense</t>
  </si>
  <si>
    <t xml:space="preserve">Provide services to community youth ages 7 to 12 in a shared environment where homework assistance, art appreciation, outdoor recreation, social development, and confidence-building activities are provided.  </t>
  </si>
  <si>
    <t>Provide services to teens ages 13 to 17 in a group environment that explores social skills , leadership development, community awareness, recreation and healthy living.</t>
  </si>
  <si>
    <t>Instructor-led Adult Education, Health and Wellness or skill building classes that are tailored to the requests and needs of residents.</t>
  </si>
  <si>
    <t>Marinwood GP, L.L.C. (Impact Residential Development, LLC)</t>
  </si>
  <si>
    <t>Managing general partner alone meet the CDLAC 5230 (f) requirement.</t>
  </si>
  <si>
    <t>PACH San Jose Holding LLC (Pacific Housing, Inc.)</t>
  </si>
  <si>
    <t>Project is designed to CALGreen Tier 1 Standards. Project green design features include:
•	Project will be 100% electric energy
•	Solar rooftop generating electricity for residential units
•	Recycled water plumbing for all project toilets and for irrigation
•	Climate appropriate landscaping
•	Low-flow plumbing fixtures
•	Infill project site
•	Increased bike parking
•	Energy Star appliances
•	Efficient framing materials
•	Low VOC finishes and materials</t>
  </si>
  <si>
    <t>GMP</t>
  </si>
  <si>
    <t>Preconstruction Agreement in place 12/10/24</t>
  </si>
  <si>
    <t>The GC Agreement will be based on an AIA 101-2017 Form (Standard Form of Agreement Between Owner and Contractor
where the basis of payment is a Stipulated Sum) and will cover:
•	Contract Sum
•	Substantial Completion Date
•	GC Fee
•	Reference to plan sets on which contract is based</t>
  </si>
  <si>
    <t>TBD</t>
  </si>
  <si>
    <t>Phase 1 and II</t>
  </si>
  <si>
    <t>Mitigation Plan</t>
  </si>
  <si>
    <t>Site includes a former shopping center with a dry cleaners that contaminated a portion of the site. Seller is responsible for remediation and is close to completing it with SF Bay Regional Water Quality Board sign-off.  Development will include vapor intrusion mitigation systems (VIMs) for two of the four buildings and regular monitoring for a limited duration, which costs are included in the OPEX budget.</t>
  </si>
  <si>
    <t>Water, Sewer, etc. connection fees</t>
  </si>
  <si>
    <t>Appraised value &amp; Legal</t>
  </si>
  <si>
    <t>Closing</t>
  </si>
  <si>
    <t>Completion</t>
  </si>
  <si>
    <t>Lease up</t>
  </si>
  <si>
    <t>Conversion</t>
  </si>
  <si>
    <t>Form 8609</t>
  </si>
  <si>
    <t>Cash</t>
  </si>
  <si>
    <t>County of Marin AHT Loan</t>
  </si>
  <si>
    <t>Below residual receipts line for cash flow</t>
  </si>
  <si>
    <t>MIP (39% of 50% cash flow)</t>
  </si>
  <si>
    <t>Marin County (61% of 50% cash flow)</t>
  </si>
  <si>
    <t>Distribution to Owner</t>
  </si>
  <si>
    <t>Other: Enviornmental &amp; Geotechnical</t>
  </si>
  <si>
    <t xml:space="preserve">Other: </t>
  </si>
  <si>
    <t>Other: Payment &amp; Performance Bond &amp; builder's risk</t>
  </si>
  <si>
    <t>Other: Real estate legal and taxes</t>
  </si>
  <si>
    <t>Other: loan fees, legal, and inspection costs</t>
  </si>
  <si>
    <t>Other: issuance, legal costs and partnership legal</t>
  </si>
  <si>
    <t>Other: lease-up reserve</t>
  </si>
  <si>
    <t xml:space="preserve">Natalie Cooper									</t>
  </si>
  <si>
    <t>Natalie Cooper</t>
  </si>
  <si>
    <t xml:space="preserve">ncooper@calhfa.ca.gov						</t>
  </si>
  <si>
    <t>Other: third party reports, and third party management construction</t>
  </si>
  <si>
    <t xml:space="preserve">916-326-8801				</t>
  </si>
  <si>
    <t xml:space="preserve">(916) 326-8801				</t>
  </si>
  <si>
    <t>Maximum height shall not exceed 40 feet</t>
  </si>
  <si>
    <t>Deferred costs and reserves until perm conversion</t>
  </si>
  <si>
    <t xml:space="preserve">CalHFA - Tax Exempt </t>
  </si>
  <si>
    <t>CalHFA  -Taxable</t>
  </si>
  <si>
    <t xml:space="preserve">Brapela@JosephJBlake.com										</t>
  </si>
  <si>
    <t>Glenn Ovitt</t>
  </si>
  <si>
    <t>govitt@lpas.com</t>
  </si>
  <si>
    <t>916-669-3408</t>
  </si>
  <si>
    <t>Trustee</t>
  </si>
  <si>
    <t>Provided</t>
  </si>
  <si>
    <t>Not Applicable</t>
  </si>
  <si>
    <t>See PDF Signature by Jessica Mullins</t>
  </si>
  <si>
    <t>Authorized Representative</t>
  </si>
  <si>
    <t xml:space="preserve">8th </t>
  </si>
  <si>
    <t>September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</si>
</sst>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9"/>
      <color rgb="FF000000"/>
      <name val="Tahoma"/>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25632">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9"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1"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18"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18"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cellStyleXfs>
  <cellXfs count="2695">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36" fillId="0" borderId="0" xfId="4495" applyFont="1" applyAlignment="1">
      <alignment horizontal="left" vertical="center"/>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4" fillId="0" borderId="53" xfId="4496" applyFont="1" applyBorder="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5" fillId="0" borderId="0" xfId="4496" applyFont="1" applyAlignment="1">
      <alignment vertical="center"/>
    </xf>
    <xf numFmtId="0" fontId="123" fillId="0" borderId="0" xfId="4496" applyFont="1"/>
    <xf numFmtId="0" fontId="123" fillId="0" borderId="0" xfId="4496" applyFont="1" applyAlignment="1">
      <alignment vertical="center"/>
    </xf>
    <xf numFmtId="0" fontId="126"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0" fontId="18" fillId="0" borderId="51" xfId="4495" applyFont="1" applyBorder="1" applyAlignment="1">
      <alignment vertical="top"/>
    </xf>
    <xf numFmtId="0" fontId="18" fillId="0" borderId="52"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7"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7" fillId="0" borderId="0" xfId="4495" applyFont="1" applyAlignment="1">
      <alignment horizontal="left" vertical="top"/>
    </xf>
    <xf numFmtId="0" fontId="127"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1" fillId="0" borderId="0" xfId="4495" applyFont="1" applyAlignment="1">
      <alignment vertical="top" wrapText="1"/>
    </xf>
    <xf numFmtId="0" fontId="131"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1" fillId="0" borderId="2" xfId="4495" applyFont="1" applyBorder="1" applyAlignment="1">
      <alignment horizontal="left" wrapText="1"/>
    </xf>
    <xf numFmtId="0" fontId="131" fillId="0" borderId="2" xfId="4495" applyFont="1" applyBorder="1" applyAlignment="1">
      <alignment horizontal="left"/>
    </xf>
    <xf numFmtId="0" fontId="131" fillId="0" borderId="7" xfId="4495" applyFont="1" applyBorder="1" applyAlignment="1">
      <alignment horizontal="left" wrapText="1"/>
    </xf>
    <xf numFmtId="0" fontId="131" fillId="0" borderId="0" xfId="4495" applyFont="1" applyAlignment="1">
      <alignment horizontal="left" wrapText="1"/>
    </xf>
    <xf numFmtId="0" fontId="34" fillId="0" borderId="9" xfId="4495" applyFont="1" applyBorder="1"/>
    <xf numFmtId="0" fontId="26" fillId="0" borderId="10" xfId="4495" applyFont="1" applyBorder="1"/>
    <xf numFmtId="0" fontId="131"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30"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2" fillId="0" borderId="50" xfId="1192" applyFont="1" applyBorder="1" applyAlignment="1">
      <alignment horizontal="left"/>
    </xf>
    <xf numFmtId="0" fontId="143" fillId="0" borderId="51" xfId="4495" applyFont="1" applyBorder="1" applyAlignment="1">
      <alignment vertical="top"/>
    </xf>
    <xf numFmtId="0" fontId="142" fillId="0" borderId="51" xfId="4495" applyFont="1" applyBorder="1" applyAlignment="1">
      <alignment vertical="top" wrapText="1"/>
    </xf>
    <xf numFmtId="0" fontId="143" fillId="0" borderId="51" xfId="4495" applyFont="1" applyBorder="1"/>
    <xf numFmtId="0" fontId="143" fillId="0" borderId="53" xfId="1192" applyFont="1" applyBorder="1" applyAlignment="1">
      <alignment horizontal="left"/>
    </xf>
    <xf numFmtId="0" fontId="143" fillId="0" borderId="0" xfId="4495" applyFont="1" applyAlignment="1">
      <alignment vertical="top"/>
    </xf>
    <xf numFmtId="0" fontId="142" fillId="0" borderId="0" xfId="4495" applyFont="1" applyAlignment="1">
      <alignment vertical="top" wrapText="1"/>
    </xf>
    <xf numFmtId="0" fontId="143" fillId="0" borderId="0" xfId="4495" applyFont="1"/>
    <xf numFmtId="0" fontId="142" fillId="0" borderId="53" xfId="1192" applyFont="1" applyBorder="1" applyAlignment="1">
      <alignment horizontal="left"/>
    </xf>
    <xf numFmtId="0" fontId="142" fillId="0" borderId="57" xfId="1192" applyFont="1" applyBorder="1" applyAlignment="1">
      <alignment horizontal="left"/>
    </xf>
    <xf numFmtId="0" fontId="143" fillId="0" borderId="58" xfId="4495" applyFont="1" applyBorder="1" applyAlignment="1">
      <alignment vertical="top"/>
    </xf>
    <xf numFmtId="0" fontId="142" fillId="0" borderId="58" xfId="4495" applyFont="1" applyBorder="1" applyAlignment="1">
      <alignment vertical="top" wrapText="1"/>
    </xf>
    <xf numFmtId="0" fontId="143"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7"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7"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0" fontId="18" fillId="0" borderId="58" xfId="0" applyFont="1" applyBorder="1" applyAlignment="1">
      <alignment horizontal="left"/>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50"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8" fillId="0" borderId="0" xfId="4496" applyFont="1"/>
    <xf numFmtId="181" fontId="139" fillId="0" borderId="0" xfId="4498" applyNumberFormat="1" applyFont="1" applyBorder="1" applyProtection="1"/>
    <xf numFmtId="0" fontId="140"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1"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8"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9"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8" fillId="0" borderId="68" xfId="4496" applyFont="1" applyBorder="1" applyAlignment="1">
      <alignment horizontal="center" vertical="top" wrapText="1"/>
    </xf>
    <xf numFmtId="0" fontId="138" fillId="0" borderId="68" xfId="4496" applyFont="1" applyBorder="1" applyAlignment="1">
      <alignment horizontal="center"/>
    </xf>
    <xf numFmtId="0" fontId="152"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5" fontId="99" fillId="0" borderId="6" xfId="4496" applyNumberFormat="1" applyFont="1" applyBorder="1" applyAlignment="1">
      <alignmen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8" fillId="0" borderId="42" xfId="4494" applyNumberFormat="1" applyFont="1" applyFill="1" applyBorder="1" applyAlignment="1" applyProtection="1">
      <alignment horizontal="center" vertical="center"/>
    </xf>
    <xf numFmtId="0" fontId="138" fillId="0" borderId="29" xfId="4496" applyFont="1" applyBorder="1" applyAlignment="1">
      <alignment vertical="center"/>
    </xf>
    <xf numFmtId="0" fontId="138" fillId="0" borderId="0" xfId="4496" applyFont="1" applyAlignment="1">
      <alignment vertical="center"/>
    </xf>
    <xf numFmtId="0" fontId="138" fillId="0" borderId="42" xfId="4496" applyFont="1" applyBorder="1" applyAlignment="1">
      <alignment vertical="center"/>
    </xf>
    <xf numFmtId="9" fontId="138" fillId="0" borderId="42" xfId="4499" applyFont="1" applyFill="1" applyBorder="1" applyAlignment="1" applyProtection="1">
      <alignment vertical="center"/>
    </xf>
    <xf numFmtId="182" fontId="138" fillId="0" borderId="68" xfId="8721" applyNumberFormat="1" applyFont="1" applyBorder="1" applyProtection="1"/>
    <xf numFmtId="182" fontId="138" fillId="0" borderId="68" xfId="4496" applyNumberFormat="1" applyFont="1" applyBorder="1"/>
    <xf numFmtId="0" fontId="152"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8" fillId="0" borderId="0" xfId="4496" applyFont="1" applyAlignment="1">
      <alignment horizontal="right"/>
    </xf>
    <xf numFmtId="182" fontId="138"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8" fillId="0" borderId="0" xfId="4496" applyFont="1" applyAlignment="1">
      <alignment horizontal="right" vertical="top"/>
    </xf>
    <xf numFmtId="182" fontId="138"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8"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8"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4" fillId="0" borderId="0" xfId="0" applyFont="1"/>
    <xf numFmtId="0" fontId="23" fillId="0" borderId="11" xfId="253" applyFont="1" applyBorder="1" applyAlignment="1" applyProtection="1">
      <alignment horizontal="center" wrapText="1"/>
      <protection locked="0"/>
    </xf>
    <xf numFmtId="0" fontId="155" fillId="0" borderId="0" xfId="0" applyFont="1"/>
    <xf numFmtId="0" fontId="156"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9"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99" fillId="0" borderId="6" xfId="4496" applyFont="1" applyBorder="1" applyAlignment="1">
      <alignment horizontal="left" vertical="top"/>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4"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6"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3" fillId="0" borderId="0" xfId="543" applyFont="1" applyAlignment="1">
      <alignment horizontal="left" vertical="center"/>
    </xf>
    <xf numFmtId="0" fontId="184" fillId="0" borderId="0" xfId="543" applyFont="1" applyAlignment="1">
      <alignment horizontal="right" vertical="top" wrapText="1"/>
    </xf>
    <xf numFmtId="168" fontId="184" fillId="0" borderId="0" xfId="543" applyNumberFormat="1" applyFont="1" applyAlignment="1">
      <alignment horizontal="center" vertical="center"/>
    </xf>
    <xf numFmtId="0" fontId="185" fillId="0" borderId="0" xfId="543" applyFont="1" applyAlignment="1">
      <alignment horizontal="left" vertical="center"/>
    </xf>
    <xf numFmtId="0" fontId="185" fillId="0" borderId="0" xfId="543" applyFont="1" applyAlignment="1">
      <alignment horizontal="right" vertical="top" wrapText="1"/>
    </xf>
    <xf numFmtId="168" fontId="184" fillId="0" borderId="104" xfId="543" applyNumberFormat="1" applyFont="1" applyBorder="1" applyAlignment="1">
      <alignment horizontal="center" vertical="center"/>
    </xf>
    <xf numFmtId="0" fontId="185"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3" fillId="0" borderId="0" xfId="8733"/>
    <xf numFmtId="0" fontId="104" fillId="0" borderId="0" xfId="8733" applyFont="1"/>
    <xf numFmtId="0" fontId="3" fillId="47" borderId="66" xfId="8733" applyFill="1" applyBorder="1"/>
    <xf numFmtId="0" fontId="3" fillId="47" borderId="0" xfId="8733" applyFill="1"/>
    <xf numFmtId="0" fontId="103" fillId="47" borderId="41" xfId="8733" applyFont="1" applyFill="1" applyBorder="1" applyAlignment="1">
      <alignment horizontal="center"/>
    </xf>
    <xf numFmtId="0" fontId="103" fillId="47" borderId="0" xfId="8733" applyFont="1" applyFill="1"/>
    <xf numFmtId="182" fontId="175" fillId="47" borderId="0" xfId="8734" applyNumberFormat="1" applyFont="1" applyFill="1" applyBorder="1" applyAlignment="1"/>
    <xf numFmtId="0" fontId="3" fillId="47" borderId="41" xfId="8733" applyFill="1" applyBorder="1"/>
    <xf numFmtId="0" fontId="104" fillId="47" borderId="0" xfId="8733" applyFont="1" applyFill="1"/>
    <xf numFmtId="0" fontId="179" fillId="47" borderId="0" xfId="8733" applyFont="1" applyFill="1"/>
    <xf numFmtId="0" fontId="103" fillId="47" borderId="41" xfId="8733" applyFont="1" applyFill="1" applyBorder="1"/>
    <xf numFmtId="0" fontId="103" fillId="0" borderId="0" xfId="8733" applyFont="1"/>
    <xf numFmtId="0" fontId="103" fillId="54" borderId="100" xfId="8733" applyFont="1" applyFill="1" applyBorder="1"/>
    <xf numFmtId="0" fontId="3" fillId="53" borderId="99" xfId="8733" applyFill="1" applyBorder="1"/>
    <xf numFmtId="0" fontId="3" fillId="52" borderId="99" xfId="8733" applyFill="1" applyBorder="1"/>
    <xf numFmtId="0" fontId="103" fillId="45" borderId="65" xfId="8733" applyFont="1" applyFill="1" applyBorder="1"/>
    <xf numFmtId="0" fontId="3" fillId="45" borderId="80" xfId="8733" applyFill="1" applyBorder="1"/>
    <xf numFmtId="0" fontId="3" fillId="45" borderId="79" xfId="8733" applyFill="1" applyBorder="1"/>
    <xf numFmtId="0" fontId="3" fillId="45" borderId="78" xfId="8733" applyFill="1" applyBorder="1"/>
    <xf numFmtId="0" fontId="103" fillId="45" borderId="0" xfId="8733" applyFont="1" applyFill="1"/>
    <xf numFmtId="0" fontId="103" fillId="45" borderId="12" xfId="8733" applyFont="1" applyFill="1" applyBorder="1"/>
    <xf numFmtId="0" fontId="103" fillId="45" borderId="29" xfId="8733" applyFont="1" applyFill="1" applyBorder="1"/>
    <xf numFmtId="0" fontId="103" fillId="45" borderId="80" xfId="8733" applyFont="1" applyFill="1" applyBorder="1"/>
    <xf numFmtId="0" fontId="103" fillId="45" borderId="79" xfId="8733" applyFont="1" applyFill="1" applyBorder="1"/>
    <xf numFmtId="0" fontId="103" fillId="45" borderId="78" xfId="8733" applyFont="1" applyFill="1" applyBorder="1"/>
    <xf numFmtId="0" fontId="103" fillId="45" borderId="93" xfId="8733" applyFont="1" applyFill="1" applyBorder="1"/>
    <xf numFmtId="0" fontId="103" fillId="45" borderId="6" xfId="8733" applyFont="1" applyFill="1" applyBorder="1"/>
    <xf numFmtId="0" fontId="103" fillId="45" borderId="10" xfId="8733" applyFont="1" applyFill="1" applyBorder="1"/>
    <xf numFmtId="0" fontId="3" fillId="45" borderId="29" xfId="8733" applyFill="1" applyBorder="1"/>
    <xf numFmtId="0" fontId="3" fillId="45" borderId="31" xfId="8733" applyFill="1" applyBorder="1"/>
    <xf numFmtId="0" fontId="103" fillId="45" borderId="92" xfId="8733" applyFont="1" applyFill="1" applyBorder="1"/>
    <xf numFmtId="0" fontId="103" fillId="45" borderId="74" xfId="8733" applyFont="1" applyFill="1" applyBorder="1"/>
    <xf numFmtId="0" fontId="174" fillId="45" borderId="87" xfId="8733" applyFont="1" applyFill="1" applyBorder="1"/>
    <xf numFmtId="0" fontId="3" fillId="45" borderId="87" xfId="8733" applyFill="1" applyBorder="1"/>
    <xf numFmtId="0" fontId="3" fillId="45" borderId="86" xfId="8733" applyFill="1" applyBorder="1"/>
    <xf numFmtId="0" fontId="3" fillId="45" borderId="95" xfId="8733" applyFill="1" applyBorder="1"/>
    <xf numFmtId="0" fontId="181" fillId="47" borderId="0" xfId="8733" applyFont="1" applyFill="1"/>
    <xf numFmtId="0" fontId="103" fillId="45" borderId="31" xfId="8733" applyFont="1" applyFill="1" applyBorder="1"/>
    <xf numFmtId="0" fontId="3" fillId="47" borderId="0" xfId="8733" applyFill="1" applyAlignment="1">
      <alignment horizontal="left"/>
    </xf>
    <xf numFmtId="0" fontId="173" fillId="51" borderId="11" xfId="8733" applyFont="1" applyFill="1" applyBorder="1"/>
    <xf numFmtId="0" fontId="173" fillId="51" borderId="76" xfId="8733" applyFont="1" applyFill="1" applyBorder="1"/>
    <xf numFmtId="0" fontId="174" fillId="51" borderId="11" xfId="8733" applyFont="1" applyFill="1" applyBorder="1" applyAlignment="1">
      <alignment horizontal="center"/>
    </xf>
    <xf numFmtId="0" fontId="174" fillId="51" borderId="76" xfId="8733" applyFont="1" applyFill="1" applyBorder="1" applyAlignment="1">
      <alignment horizontal="center"/>
    </xf>
    <xf numFmtId="0" fontId="3" fillId="48" borderId="66" xfId="8733" applyFill="1" applyBorder="1"/>
    <xf numFmtId="0" fontId="3" fillId="48" borderId="0" xfId="8733" applyFill="1"/>
    <xf numFmtId="0" fontId="3" fillId="48" borderId="78" xfId="8733" applyFill="1" applyBorder="1"/>
    <xf numFmtId="0" fontId="103" fillId="47" borderId="66" xfId="8733" applyFont="1" applyFill="1" applyBorder="1"/>
    <xf numFmtId="49" fontId="103" fillId="47" borderId="66" xfId="8733" applyNumberFormat="1" applyFont="1" applyFill="1" applyBorder="1" applyAlignment="1">
      <alignment horizontal="right" vertical="top"/>
    </xf>
    <xf numFmtId="0" fontId="3" fillId="47" borderId="73" xfId="8733" applyFill="1" applyBorder="1"/>
    <xf numFmtId="0" fontId="3" fillId="47" borderId="42" xfId="8733" applyFill="1" applyBorder="1"/>
    <xf numFmtId="0" fontId="3" fillId="47" borderId="44" xfId="8733" applyFill="1" applyBorder="1"/>
    <xf numFmtId="0" fontId="3" fillId="44" borderId="66" xfId="8733" applyFill="1" applyBorder="1"/>
    <xf numFmtId="0" fontId="3" fillId="44" borderId="0" xfId="8733" applyFill="1"/>
    <xf numFmtId="0" fontId="3" fillId="44" borderId="41" xfId="8733" applyFill="1" applyBorder="1"/>
    <xf numFmtId="0" fontId="3" fillId="44" borderId="0" xfId="8733" applyFill="1" applyAlignment="1">
      <alignment horizontal="left"/>
    </xf>
    <xf numFmtId="0" fontId="3" fillId="44" borderId="73" xfId="8733" applyFill="1" applyBorder="1"/>
    <xf numFmtId="0" fontId="3" fillId="44" borderId="42" xfId="8733" applyFill="1" applyBorder="1"/>
    <xf numFmtId="0" fontId="3" fillId="44" borderId="44" xfId="8733" applyFill="1" applyBorder="1"/>
    <xf numFmtId="0" fontId="165" fillId="0" borderId="0" xfId="8733" applyFont="1"/>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0" fontId="170" fillId="0" borderId="0" xfId="8733" applyFont="1"/>
    <xf numFmtId="0" fontId="167" fillId="0" borderId="0" xfId="8733" applyFont="1"/>
    <xf numFmtId="185" fontId="170" fillId="0" borderId="0" xfId="698" applyNumberFormat="1" applyFont="1"/>
    <xf numFmtId="10" fontId="170" fillId="0" borderId="0" xfId="1022" applyNumberFormat="1" applyFont="1"/>
    <xf numFmtId="166" fontId="27"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166" fontId="18" fillId="5" borderId="4" xfId="0" applyNumberFormat="1" applyFont="1" applyFill="1" applyBorder="1" applyAlignment="1" applyProtection="1">
      <alignment horizontal="left"/>
      <protection locked="0"/>
    </xf>
    <xf numFmtId="9" fontId="18" fillId="0" borderId="11" xfId="4494" applyFont="1" applyBorder="1" applyAlignment="1">
      <alignment horizontal="center"/>
    </xf>
    <xf numFmtId="0" fontId="18" fillId="0" borderId="0" xfId="0" applyFont="1" applyAlignment="1">
      <alignment horizontal="left" vertical="top"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0" fontId="18" fillId="0" borderId="0" xfId="1192" applyAlignment="1" applyProtection="1">
      <alignment horizontal="left" vertical="top" wrapText="1"/>
      <protection locked="0"/>
    </xf>
    <xf numFmtId="0" fontId="18" fillId="0" borderId="27" xfId="569" applyBorder="1" applyAlignment="1">
      <alignment horizontal="left"/>
    </xf>
    <xf numFmtId="0" fontId="18" fillId="0" borderId="0" xfId="1192" applyAlignment="1">
      <alignment horizontal="left"/>
    </xf>
    <xf numFmtId="0" fontId="25" fillId="0" borderId="16" xfId="569" applyFont="1" applyBorder="1" applyAlignment="1">
      <alignment horizontal="left"/>
    </xf>
    <xf numFmtId="0" fontId="19" fillId="0" borderId="0" xfId="244" applyAlignment="1" applyProtection="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4" fontId="18" fillId="0" borderId="0" xfId="569" applyNumberFormat="1" applyAlignment="1">
      <alignment horizontal="left" vertical="top" wrapText="1"/>
    </xf>
    <xf numFmtId="0" fontId="25" fillId="0" borderId="4" xfId="0" applyFont="1" applyBorder="1" applyAlignment="1">
      <alignment horizontal="left"/>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25" fillId="0" borderId="0" xfId="1192" applyFont="1" applyAlignment="1">
      <alignment horizontal="left" vertical="top" wrapText="1"/>
    </xf>
    <xf numFmtId="4" fontId="36" fillId="0" borderId="0" xfId="569" applyNumberFormat="1" applyFont="1" applyAlignment="1">
      <alignment horizontal="left" vertical="top" wrapText="1"/>
    </xf>
    <xf numFmtId="0" fontId="19" fillId="0" borderId="0" xfId="244" quotePrefix="1" applyAlignment="1" applyProtection="1">
      <alignment horizontal="left"/>
    </xf>
    <xf numFmtId="0" fontId="36" fillId="0" borderId="0" xfId="0" applyFont="1" applyAlignment="1">
      <alignment horizontal="left"/>
    </xf>
    <xf numFmtId="4" fontId="18" fillId="0" borderId="0" xfId="0" applyNumberFormat="1" applyFont="1" applyAlignment="1">
      <alignment horizontal="left"/>
    </xf>
    <xf numFmtId="0" fontId="25" fillId="0" borderId="0" xfId="0" applyFont="1" applyAlignment="1">
      <alignment vertical="top" wrapText="1"/>
    </xf>
    <xf numFmtId="4" fontId="36" fillId="0" borderId="0" xfId="0" applyNumberFormat="1" applyFont="1" applyAlignment="1">
      <alignment horizontal="left"/>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0" fontId="36" fillId="0" borderId="0" xfId="569" applyFont="1" applyAlignment="1">
      <alignment horizontal="left" vertical="top"/>
    </xf>
    <xf numFmtId="0" fontId="36" fillId="0" borderId="0" xfId="0" applyFont="1" applyAlignment="1">
      <alignment horizontal="left" vertical="top"/>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5" fillId="0" borderId="105" xfId="543" applyNumberFormat="1" applyFont="1" applyBorder="1" applyAlignment="1">
      <alignment horizontal="right" vertical="center" wrapText="1"/>
    </xf>
    <xf numFmtId="175" fontId="185" fillId="0" borderId="107" xfId="543" applyNumberFormat="1" applyFont="1" applyBorder="1" applyAlignment="1">
      <alignment horizontal="center" vertical="center" wrapText="1"/>
    </xf>
    <xf numFmtId="175" fontId="185" fillId="0" borderId="108" xfId="543" applyNumberFormat="1" applyFont="1" applyBorder="1" applyAlignment="1">
      <alignment horizontal="center" vertical="center" wrapText="1"/>
    </xf>
    <xf numFmtId="175" fontId="185" fillId="0" borderId="109" xfId="543" applyNumberFormat="1" applyFont="1" applyBorder="1" applyAlignment="1">
      <alignment horizontal="center" vertical="center" wrapText="1"/>
    </xf>
    <xf numFmtId="0" fontId="184"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45" borderId="11" xfId="0" applyFont="1" applyFill="1" applyBorder="1" applyAlignment="1">
      <alignment horizontal="center"/>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168" fontId="27" fillId="0" borderId="11" xfId="0" applyNumberFormat="1" applyFont="1" applyBorder="1" applyAlignment="1">
      <alignment horizontal="center"/>
    </xf>
    <xf numFmtId="168" fontId="157" fillId="0" borderId="0" xfId="0" applyNumberFormat="1" applyFont="1" applyAlignment="1">
      <alignment horizontal="center" vertical="center" wrapText="1"/>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8" fillId="0" borderId="3" xfId="0" applyNumberFormat="1" applyFont="1" applyBorder="1" applyAlignment="1">
      <alignment horizontal="left" vertical="top"/>
    </xf>
    <xf numFmtId="0" fontId="27" fillId="5" borderId="11" xfId="0" applyFont="1" applyFill="1" applyBorder="1" applyAlignment="1" applyProtection="1">
      <alignment horizontal="center"/>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18" fillId="5" borderId="4" xfId="0" applyFont="1" applyFill="1" applyBorder="1" applyAlignment="1" applyProtection="1">
      <alignment wrapText="1"/>
      <protection locked="0"/>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27" fillId="0" borderId="11" xfId="0" applyNumberFormat="1" applyFont="1" applyBorder="1" applyAlignment="1">
      <alignment horizontal="center"/>
    </xf>
    <xf numFmtId="10" fontId="27" fillId="0" borderId="11" xfId="0" applyNumberFormat="1" applyFont="1" applyBorder="1" applyAlignment="1">
      <alignment horizontal="center"/>
    </xf>
    <xf numFmtId="0" fontId="0" fillId="0" borderId="4" xfId="0" applyBorder="1" applyAlignment="1">
      <alignment horizontal="left"/>
    </xf>
    <xf numFmtId="0" fontId="0" fillId="0" borderId="5" xfId="0" applyBorder="1" applyAlignment="1">
      <alignment horizontal="left"/>
    </xf>
    <xf numFmtId="0" fontId="0" fillId="5" borderId="6" xfId="0"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3" fontId="27" fillId="5" borderId="11" xfId="0" applyNumberFormat="1" applyFont="1" applyFill="1" applyBorder="1" applyAlignment="1" applyProtection="1">
      <alignment horizontal="center"/>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18" fillId="5" borderId="11" xfId="0" applyFont="1" applyFill="1" applyBorder="1" applyAlignment="1" applyProtection="1">
      <alignment vertical="center" wrapText="1"/>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5" fillId="0" borderId="6" xfId="0" applyFont="1" applyBorder="1" applyAlignment="1">
      <alignment horizontal="center"/>
    </xf>
    <xf numFmtId="0" fontId="25" fillId="0" borderId="10" xfId="0" applyFont="1" applyBorder="1" applyAlignment="1">
      <alignment horizontal="center"/>
    </xf>
    <xf numFmtId="166" fontId="27" fillId="5" borderId="4" xfId="0" applyNumberFormat="1" applyFont="1" applyFill="1" applyBorder="1" applyAlignment="1" applyProtection="1">
      <alignment horizontal="left"/>
      <protection locked="0"/>
    </xf>
    <xf numFmtId="0" fontId="0" fillId="0" borderId="6" xfId="0" applyBorder="1" applyAlignment="1">
      <alignment horizontal="left"/>
    </xf>
    <xf numFmtId="0" fontId="18" fillId="0" borderId="11" xfId="543"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7" fillId="5" borderId="4" xfId="0" applyFont="1" applyFill="1" applyBorder="1" applyAlignment="1" applyProtection="1">
      <alignment wrapText="1"/>
      <protection locked="0"/>
    </xf>
    <xf numFmtId="0" fontId="18" fillId="5" borderId="11" xfId="0" applyFont="1" applyFill="1" applyBorder="1" applyAlignment="1" applyProtection="1">
      <alignment horizontal="left" wrapText="1"/>
      <protection locked="0"/>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 fontId="27" fillId="5" borderId="6" xfId="0" applyNumberFormat="1" applyFont="1" applyFill="1" applyBorder="1" applyAlignment="1" applyProtection="1">
      <alignment horizontal="right"/>
      <protection locked="0"/>
    </xf>
    <xf numFmtId="0" fontId="37"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0" borderId="1" xfId="0" applyFont="1" applyBorder="1" applyAlignment="1">
      <alignment horizontal="center" vertical="top"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7"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0" fontId="0" fillId="43" borderId="6" xfId="0" applyFill="1" applyBorder="1" applyAlignment="1" applyProtection="1">
      <alignment horizontal="center"/>
      <protection locked="0"/>
    </xf>
    <xf numFmtId="0" fontId="27" fillId="5" borderId="6" xfId="0"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27" fillId="5" borderId="6" xfId="0" applyNumberFormat="1" applyFont="1" applyFill="1" applyBorder="1" applyAlignment="1" applyProtection="1">
      <alignment horizontal="left"/>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0" fillId="0" borderId="0" xfId="0" applyAlignment="1">
      <alignment wrapText="1"/>
    </xf>
    <xf numFmtId="0" fontId="27" fillId="0" borderId="0" xfId="0" applyFont="1" applyAlignment="1">
      <alignment horizontal="left" vertical="top" wrapText="1"/>
    </xf>
    <xf numFmtId="0" fontId="154" fillId="0" borderId="0" xfId="0" applyFont="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0" fontId="27" fillId="5" borderId="6" xfId="0" applyFont="1" applyFill="1" applyBorder="1" applyAlignment="1" applyProtection="1">
      <alignment horizontal="left" wrapText="1"/>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27" fillId="0" borderId="6" xfId="0" applyFont="1" applyBorder="1" applyAlignment="1">
      <alignment horizontal="left"/>
    </xf>
    <xf numFmtId="166" fontId="18" fillId="5" borderId="6" xfId="0" applyNumberFormat="1" applyFont="1" applyFill="1" applyBorder="1" applyAlignment="1" applyProtection="1">
      <alignment horizontal="left"/>
      <protection locked="0"/>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7" fillId="5" borderId="4" xfId="0" applyNumberFormat="1" applyFont="1" applyFill="1" applyBorder="1" applyAlignment="1" applyProtection="1">
      <alignment horizontal="right"/>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8" fillId="5" borderId="11" xfId="0" applyFont="1" applyFill="1" applyBorder="1" applyAlignment="1" applyProtection="1">
      <alignment horizontal="left" vertical="center" wrapText="1"/>
      <protection locked="0"/>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7"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9" fontId="18" fillId="0" borderId="0" xfId="543" applyNumberFormat="1" applyAlignment="1">
      <alignment horizontal="center" vertical="center"/>
    </xf>
    <xf numFmtId="0" fontId="25"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7"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8" fillId="0" borderId="3" xfId="0" applyFont="1" applyBorder="1"/>
    <xf numFmtId="0" fontId="18" fillId="0" borderId="4" xfId="0" applyFont="1" applyBorder="1"/>
    <xf numFmtId="0" fontId="18"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8" fillId="0" borderId="0" xfId="543" applyAlignment="1">
      <alignment horizontal="center"/>
    </xf>
    <xf numFmtId="2" fontId="18"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1" fontId="18" fillId="0" borderId="0" xfId="543" applyNumberFormat="1" applyAlignment="1">
      <alignment horizontal="center"/>
    </xf>
    <xf numFmtId="171" fontId="18"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5" fillId="0" borderId="11" xfId="0" applyFont="1" applyBorder="1" applyAlignment="1">
      <alignment horizontal="center" vertical="center"/>
    </xf>
    <xf numFmtId="172" fontId="25" fillId="0" borderId="11" xfId="0" applyNumberFormat="1" applyFont="1" applyBorder="1" applyAlignment="1">
      <alignment horizontal="center" vertical="center" wrapText="1"/>
    </xf>
    <xf numFmtId="10" fontId="0" fillId="5" borderId="4" xfId="0" applyNumberFormat="1" applyFill="1" applyBorder="1" applyAlignment="1" applyProtection="1">
      <alignment horizontal="center"/>
      <protection locked="0"/>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25" fillId="0" borderId="11" xfId="0"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25" fillId="0" borderId="9" xfId="0" applyFont="1" applyBorder="1" applyAlignment="1">
      <alignment horizontal="center"/>
    </xf>
    <xf numFmtId="0" fontId="25" fillId="0" borderId="9" xfId="0" applyFont="1" applyBorder="1" applyAlignment="1">
      <alignment horizontal="right"/>
    </xf>
    <xf numFmtId="0" fontId="25" fillId="0" borderId="10" xfId="0" applyFont="1" applyBorder="1" applyAlignment="1">
      <alignment horizontal="right"/>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27"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0" fontId="25" fillId="0" borderId="2" xfId="0" applyFont="1" applyBorder="1" applyAlignment="1">
      <alignment horizontal="right"/>
    </xf>
    <xf numFmtId="0" fontId="25" fillId="0" borderId="7" xfId="0" applyFont="1" applyBorder="1" applyAlignment="1">
      <alignment horizontal="right"/>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18" fillId="43" borderId="11" xfId="0" applyFont="1" applyFill="1" applyBorder="1" applyAlignment="1" applyProtection="1">
      <alignment horizontal="center"/>
      <protection locked="0"/>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25"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182" fontId="26"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12"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3" fillId="0" borderId="8" xfId="543" applyFont="1" applyBorder="1" applyAlignment="1">
      <alignment horizontal="center" vertical="center" wrapText="1"/>
    </xf>
    <xf numFmtId="0" fontId="153" fillId="0" borderId="0" xfId="543" applyFont="1" applyAlignment="1">
      <alignment horizontal="center" vertical="center" wrapText="1"/>
    </xf>
    <xf numFmtId="0" fontId="153" fillId="0" borderId="12" xfId="543" applyFont="1" applyBorder="1" applyAlignment="1">
      <alignment horizontal="center" vertical="center" wrapText="1"/>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80" fontId="0" fillId="0" borderId="6" xfId="0" applyNumberFormat="1" applyBorder="1" applyAlignment="1">
      <alignment horizontal="center"/>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6" fillId="0" borderId="0" xfId="0" applyFont="1" applyAlignment="1">
      <alignment horizontal="center"/>
    </xf>
    <xf numFmtId="0" fontId="160" fillId="0" borderId="8" xfId="543" applyFont="1" applyBorder="1" applyAlignment="1">
      <alignment horizontal="center" wrapText="1"/>
    </xf>
    <xf numFmtId="0" fontId="160" fillId="0" borderId="0" xfId="543" applyFont="1" applyAlignment="1">
      <alignment horizontal="center" wrapText="1"/>
    </xf>
    <xf numFmtId="0" fontId="160" fillId="0" borderId="12" xfId="543" applyFont="1" applyBorder="1" applyAlignment="1">
      <alignment horizontal="center" wrapText="1"/>
    </xf>
    <xf numFmtId="0" fontId="160" fillId="0" borderId="9" xfId="543" applyFont="1" applyBorder="1" applyAlignment="1">
      <alignment horizontal="center" wrapText="1"/>
    </xf>
    <xf numFmtId="0" fontId="160" fillId="0" borderId="6" xfId="543" applyFont="1" applyBorder="1" applyAlignment="1">
      <alignment horizontal="center" wrapText="1"/>
    </xf>
    <xf numFmtId="0" fontId="160" fillId="0" borderId="10" xfId="543" applyFont="1" applyBorder="1" applyAlignment="1">
      <alignment horizontal="center" wrapText="1"/>
    </xf>
    <xf numFmtId="0" fontId="160" fillId="0" borderId="8" xfId="543" applyFont="1" applyBorder="1" applyAlignment="1">
      <alignment horizontal="center" vertical="top" wrapText="1"/>
    </xf>
    <xf numFmtId="0" fontId="160" fillId="0" borderId="0" xfId="543" applyFont="1" applyAlignment="1">
      <alignment horizontal="center" vertical="top" wrapText="1"/>
    </xf>
    <xf numFmtId="0" fontId="160" fillId="0" borderId="12" xfId="543" applyFont="1" applyBorder="1" applyAlignment="1">
      <alignment horizontal="center" vertical="top" wrapText="1"/>
    </xf>
    <xf numFmtId="0" fontId="160" fillId="0" borderId="9" xfId="543" applyFont="1" applyBorder="1" applyAlignment="1">
      <alignment horizontal="center" vertical="top" wrapText="1"/>
    </xf>
    <xf numFmtId="0" fontId="160" fillId="0" borderId="6" xfId="543" applyFont="1" applyBorder="1" applyAlignment="1">
      <alignment horizontal="center" vertical="top" wrapText="1"/>
    </xf>
    <xf numFmtId="0" fontId="160" fillId="0" borderId="10" xfId="543" applyFont="1" applyBorder="1" applyAlignment="1">
      <alignment horizontal="center" vertical="top" wrapText="1"/>
    </xf>
    <xf numFmtId="0" fontId="157" fillId="0" borderId="0" xfId="0" applyFont="1" applyAlignment="1">
      <alignment horizontal="center" vertical="center" wrapText="1"/>
    </xf>
    <xf numFmtId="166" fontId="18" fillId="5" borderId="4" xfId="0" applyNumberFormat="1" applyFont="1" applyFill="1" applyBorder="1" applyAlignment="1" applyProtection="1">
      <alignment horizontal="left"/>
      <protection locked="0"/>
    </xf>
    <xf numFmtId="0" fontId="27" fillId="0" borderId="0" xfId="543" applyFont="1" applyAlignment="1">
      <alignment horizontal="center"/>
    </xf>
    <xf numFmtId="0" fontId="18" fillId="0" borderId="0" xfId="0" applyFont="1" applyAlignment="1">
      <alignment vertical="center" wrapText="1"/>
    </xf>
    <xf numFmtId="0" fontId="18" fillId="0" borderId="0" xfId="543" applyAlignment="1">
      <alignmen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70" fillId="44" borderId="80" xfId="8733" applyFont="1" applyFill="1" applyBorder="1" applyAlignment="1">
      <alignment horizontal="left"/>
    </xf>
    <xf numFmtId="0" fontId="170" fillId="44" borderId="79" xfId="8733" applyFont="1" applyFill="1" applyBorder="1" applyAlignment="1">
      <alignment horizontal="left"/>
    </xf>
    <xf numFmtId="0" fontId="170" fillId="44" borderId="78" xfId="8733" applyFont="1" applyFill="1" applyBorder="1" applyAlignment="1">
      <alignment horizontal="left"/>
    </xf>
    <xf numFmtId="0" fontId="171" fillId="45" borderId="11" xfId="8733" applyFont="1" applyFill="1" applyBorder="1" applyAlignment="1">
      <alignment horizontal="right"/>
    </xf>
    <xf numFmtId="1" fontId="170" fillId="48" borderId="11" xfId="8733" applyNumberFormat="1" applyFont="1" applyFill="1" applyBorder="1" applyAlignment="1" applyProtection="1">
      <alignment horizontal="center"/>
      <protection locked="0"/>
    </xf>
    <xf numFmtId="0" fontId="3" fillId="44" borderId="80" xfId="8733" applyFill="1" applyBorder="1" applyAlignment="1">
      <alignment horizontal="center"/>
    </xf>
    <xf numFmtId="0" fontId="3" fillId="44" borderId="79" xfId="8733" applyFill="1" applyBorder="1" applyAlignment="1">
      <alignment horizontal="center"/>
    </xf>
    <xf numFmtId="0" fontId="3" fillId="44" borderId="78" xfId="8733" applyFill="1" applyBorder="1" applyAlignment="1">
      <alignment horizontal="center"/>
    </xf>
    <xf numFmtId="0" fontId="182" fillId="51" borderId="65" xfId="8733" applyFont="1" applyFill="1" applyBorder="1" applyAlignment="1">
      <alignment horizontal="center"/>
    </xf>
    <xf numFmtId="0" fontId="182" fillId="51" borderId="29" xfId="8733" applyFont="1" applyFill="1" applyBorder="1" applyAlignment="1">
      <alignment horizontal="center"/>
    </xf>
    <xf numFmtId="0" fontId="182" fillId="51" borderId="31" xfId="8733" applyFont="1" applyFill="1" applyBorder="1" applyAlignment="1">
      <alignment horizontal="center"/>
    </xf>
    <xf numFmtId="0" fontId="167" fillId="48" borderId="66" xfId="8733" applyFont="1" applyFill="1" applyBorder="1" applyAlignment="1">
      <alignment horizontal="center"/>
    </xf>
    <xf numFmtId="0" fontId="167" fillId="48" borderId="0" xfId="8733" applyFont="1" applyFill="1" applyAlignment="1">
      <alignment horizontal="center"/>
    </xf>
    <xf numFmtId="0" fontId="167" fillId="48" borderId="41" xfId="8733" applyFont="1" applyFill="1" applyBorder="1" applyAlignment="1">
      <alignment horizontal="center"/>
    </xf>
    <xf numFmtId="0" fontId="177" fillId="45" borderId="11" xfId="8733" applyFont="1" applyFill="1" applyBorder="1" applyAlignment="1">
      <alignment horizontal="right"/>
    </xf>
    <xf numFmtId="14" fontId="170" fillId="48" borderId="11" xfId="8733" applyNumberFormat="1" applyFont="1" applyFill="1" applyBorder="1" applyAlignment="1" applyProtection="1">
      <alignment horizontal="center"/>
      <protection locked="0"/>
    </xf>
    <xf numFmtId="0" fontId="170" fillId="48" borderId="11" xfId="8733" applyFont="1" applyFill="1" applyBorder="1" applyAlignment="1" applyProtection="1">
      <alignment horizontal="center"/>
      <protection locked="0"/>
    </xf>
    <xf numFmtId="0" fontId="103" fillId="45" borderId="80" xfId="8733" applyFont="1" applyFill="1" applyBorder="1" applyAlignment="1">
      <alignment horizontal="center"/>
    </xf>
    <xf numFmtId="0" fontId="103" fillId="45" borderId="79" xfId="8733" applyFont="1" applyFill="1" applyBorder="1" applyAlignment="1">
      <alignment horizontal="center"/>
    </xf>
    <xf numFmtId="0" fontId="103" fillId="45" borderId="78" xfId="8733" applyFont="1" applyFill="1" applyBorder="1" applyAlignment="1">
      <alignment horizontal="center"/>
    </xf>
    <xf numFmtId="0" fontId="170" fillId="48" borderId="80" xfId="8733" applyFont="1" applyFill="1" applyBorder="1" applyAlignment="1" applyProtection="1">
      <alignment horizontal="center"/>
      <protection locked="0"/>
    </xf>
    <xf numFmtId="0" fontId="170" fillId="48" borderId="79" xfId="8733" applyFont="1" applyFill="1" applyBorder="1" applyAlignment="1" applyProtection="1">
      <alignment horizontal="center"/>
      <protection locked="0"/>
    </xf>
    <xf numFmtId="0" fontId="170" fillId="48" borderId="78" xfId="8733" applyFont="1" applyFill="1" applyBorder="1" applyAlignment="1" applyProtection="1">
      <alignment horizontal="center"/>
      <protection locked="0"/>
    </xf>
    <xf numFmtId="0" fontId="174" fillId="45" borderId="11" xfId="8733" applyFont="1" applyFill="1" applyBorder="1" applyAlignment="1">
      <alignment horizontal="right"/>
    </xf>
    <xf numFmtId="1" fontId="3" fillId="44" borderId="11" xfId="8733" applyNumberFormat="1" applyFill="1" applyBorder="1" applyAlignment="1">
      <alignment horizontal="center"/>
    </xf>
    <xf numFmtId="0" fontId="3" fillId="44" borderId="11" xfId="8733" applyFill="1" applyBorder="1" applyAlignment="1">
      <alignment horizontal="center"/>
    </xf>
    <xf numFmtId="0" fontId="171" fillId="45" borderId="11" xfId="8733" applyFont="1" applyFill="1" applyBorder="1" applyAlignment="1">
      <alignment horizontal="right" wrapText="1"/>
    </xf>
    <xf numFmtId="14" fontId="170" fillId="48" borderId="11" xfId="8733" applyNumberFormat="1" applyFont="1" applyFill="1" applyBorder="1" applyAlignment="1" applyProtection="1">
      <alignment horizontal="center" vertical="center"/>
      <protection locked="0"/>
    </xf>
    <xf numFmtId="0" fontId="170" fillId="48" borderId="11" xfId="8733" applyFont="1" applyFill="1" applyBorder="1" applyAlignment="1" applyProtection="1">
      <alignment horizontal="center" vertical="center"/>
      <protection locked="0"/>
    </xf>
    <xf numFmtId="168" fontId="175" fillId="44" borderId="11" xfId="8734" applyNumberFormat="1" applyFont="1" applyFill="1" applyBorder="1" applyAlignment="1" applyProtection="1">
      <alignment horizontal="left"/>
    </xf>
    <xf numFmtId="0" fontId="103" fillId="45" borderId="80" xfId="8733" applyFont="1" applyFill="1" applyBorder="1" applyAlignment="1">
      <alignment horizontal="right"/>
    </xf>
    <xf numFmtId="0" fontId="103" fillId="45" borderId="79" xfId="8733" applyFont="1" applyFill="1" applyBorder="1" applyAlignment="1">
      <alignment horizontal="right"/>
    </xf>
    <xf numFmtId="0" fontId="103" fillId="45" borderId="103" xfId="8733" applyFont="1" applyFill="1" applyBorder="1" applyAlignment="1">
      <alignment horizontal="right"/>
    </xf>
    <xf numFmtId="0" fontId="3" fillId="44" borderId="84" xfId="8733" applyFill="1" applyBorder="1" applyAlignment="1">
      <alignment horizontal="center"/>
    </xf>
    <xf numFmtId="0" fontId="3" fillId="44" borderId="102" xfId="8733" applyFill="1" applyBorder="1" applyAlignment="1">
      <alignment horizontal="center"/>
    </xf>
    <xf numFmtId="0" fontId="167" fillId="45" borderId="93" xfId="8733" applyFont="1" applyFill="1" applyBorder="1" applyAlignment="1">
      <alignment horizontal="center"/>
    </xf>
    <xf numFmtId="0" fontId="167" fillId="45" borderId="92" xfId="8733" applyFont="1" applyFill="1" applyBorder="1" applyAlignment="1">
      <alignment horizontal="center"/>
    </xf>
    <xf numFmtId="0" fontId="167" fillId="45" borderId="91" xfId="8733" applyFont="1" applyFill="1" applyBorder="1" applyAlignment="1">
      <alignment horizontal="center"/>
    </xf>
    <xf numFmtId="0" fontId="174" fillId="45" borderId="97" xfId="8733" applyFont="1" applyFill="1" applyBorder="1" applyAlignment="1">
      <alignment horizontal="center"/>
    </xf>
    <xf numFmtId="0" fontId="174" fillId="45" borderId="2" xfId="8733" applyFont="1" applyFill="1" applyBorder="1" applyAlignment="1">
      <alignment horizontal="center"/>
    </xf>
    <xf numFmtId="0" fontId="174" fillId="45" borderId="7" xfId="8733" applyFont="1" applyFill="1" applyBorder="1" applyAlignment="1">
      <alignment horizontal="center"/>
    </xf>
    <xf numFmtId="0" fontId="174" fillId="45" borderId="3" xfId="8733" applyFont="1" applyFill="1" applyBorder="1" applyAlignment="1">
      <alignment horizontal="center"/>
    </xf>
    <xf numFmtId="0" fontId="174" fillId="45" borderId="4" xfId="8733" applyFont="1" applyFill="1" applyBorder="1" applyAlignment="1">
      <alignment horizontal="center"/>
    </xf>
    <xf numFmtId="0" fontId="174" fillId="45" borderId="5" xfId="8733" applyFont="1" applyFill="1" applyBorder="1" applyAlignment="1">
      <alignment horizontal="center"/>
    </xf>
    <xf numFmtId="0" fontId="174" fillId="45" borderId="81" xfId="8733" applyFont="1" applyFill="1" applyBorder="1" applyAlignment="1">
      <alignment horizontal="center"/>
    </xf>
    <xf numFmtId="9" fontId="173" fillId="48" borderId="90" xfId="8733" applyNumberFormat="1" applyFont="1" applyFill="1" applyBorder="1" applyAlignment="1" applyProtection="1">
      <alignment horizontal="center"/>
      <protection locked="0"/>
    </xf>
    <xf numFmtId="9" fontId="173" fillId="48" borderId="4" xfId="8733" applyNumberFormat="1" applyFont="1" applyFill="1" applyBorder="1" applyAlignment="1" applyProtection="1">
      <alignment horizontal="center"/>
      <protection locked="0"/>
    </xf>
    <xf numFmtId="9" fontId="173" fillId="48" borderId="5" xfId="8733" applyNumberFormat="1" applyFont="1" applyFill="1" applyBorder="1" applyAlignment="1" applyProtection="1">
      <alignment horizontal="center"/>
      <protection locked="0"/>
    </xf>
    <xf numFmtId="0" fontId="173" fillId="44" borderId="3" xfId="8733" applyFont="1" applyFill="1" applyBorder="1" applyAlignment="1">
      <alignment horizontal="center"/>
    </xf>
    <xf numFmtId="0" fontId="173" fillId="44" borderId="4" xfId="8733" applyFont="1" applyFill="1" applyBorder="1" applyAlignment="1">
      <alignment horizontal="center"/>
    </xf>
    <xf numFmtId="0" fontId="173" fillId="44" borderId="5" xfId="8733" applyFont="1" applyFill="1" applyBorder="1" applyAlignment="1">
      <alignment horizontal="center"/>
    </xf>
    <xf numFmtId="9" fontId="174" fillId="44" borderId="3" xfId="8733" applyNumberFormat="1" applyFont="1" applyFill="1" applyBorder="1" applyAlignment="1">
      <alignment horizontal="center"/>
    </xf>
    <xf numFmtId="9" fontId="174" fillId="44" borderId="4" xfId="8733" applyNumberFormat="1" applyFont="1" applyFill="1" applyBorder="1" applyAlignment="1">
      <alignment horizontal="center"/>
    </xf>
    <xf numFmtId="9" fontId="174" fillId="44" borderId="81" xfId="8733" applyNumberFormat="1" applyFont="1" applyFill="1" applyBorder="1" applyAlignment="1">
      <alignment horizontal="center"/>
    </xf>
    <xf numFmtId="0" fontId="173" fillId="48" borderId="3" xfId="8733" applyFont="1" applyFill="1" applyBorder="1" applyAlignment="1" applyProtection="1">
      <alignment horizontal="center"/>
      <protection locked="0"/>
    </xf>
    <xf numFmtId="0" fontId="173" fillId="48" borderId="4" xfId="8733" applyFont="1" applyFill="1" applyBorder="1" applyAlignment="1" applyProtection="1">
      <alignment horizontal="center"/>
      <protection locked="0"/>
    </xf>
    <xf numFmtId="0" fontId="173" fillId="48" borderId="5" xfId="8733" applyFont="1" applyFill="1" applyBorder="1" applyAlignment="1" applyProtection="1">
      <alignment horizontal="center"/>
      <protection locked="0"/>
    </xf>
    <xf numFmtId="0" fontId="174" fillId="44" borderId="87" xfId="8733" applyFont="1" applyFill="1" applyBorder="1" applyAlignment="1">
      <alignment horizontal="center"/>
    </xf>
    <xf numFmtId="0" fontId="174" fillId="44" borderId="86" xfId="8733" applyFont="1" applyFill="1" applyBorder="1" applyAlignment="1">
      <alignment horizontal="center"/>
    </xf>
    <xf numFmtId="0" fontId="174" fillId="44" borderId="95" xfId="8733" applyFont="1" applyFill="1" applyBorder="1" applyAlignment="1">
      <alignment horizontal="center"/>
    </xf>
    <xf numFmtId="0" fontId="173" fillId="44" borderId="94" xfId="8733" applyFont="1" applyFill="1" applyBorder="1" applyAlignment="1">
      <alignment horizontal="center"/>
    </xf>
    <xf numFmtId="0" fontId="173" fillId="44" borderId="86" xfId="8733" applyFont="1" applyFill="1" applyBorder="1" applyAlignment="1">
      <alignment horizontal="center"/>
    </xf>
    <xf numFmtId="0" fontId="173" fillId="44" borderId="95" xfId="8733" applyFont="1" applyFill="1" applyBorder="1" applyAlignment="1">
      <alignment horizontal="center"/>
    </xf>
    <xf numFmtId="9" fontId="174" fillId="44" borderId="94" xfId="8733" applyNumberFormat="1" applyFont="1" applyFill="1" applyBorder="1" applyAlignment="1">
      <alignment horizontal="center"/>
    </xf>
    <xf numFmtId="9" fontId="174" fillId="44" borderId="86" xfId="8733" applyNumberFormat="1" applyFont="1" applyFill="1" applyBorder="1" applyAlignment="1">
      <alignment horizontal="center"/>
    </xf>
    <xf numFmtId="9" fontId="174" fillId="44" borderId="85" xfId="8733" applyNumberFormat="1" applyFont="1" applyFill="1" applyBorder="1" applyAlignment="1">
      <alignment horizontal="center"/>
    </xf>
    <xf numFmtId="0" fontId="174" fillId="44" borderId="101" xfId="8733" applyFont="1" applyFill="1" applyBorder="1" applyAlignment="1">
      <alignment horizontal="center"/>
    </xf>
    <xf numFmtId="0" fontId="174" fillId="44" borderId="42" xfId="8733" applyFont="1" applyFill="1" applyBorder="1" applyAlignment="1">
      <alignment horizontal="center"/>
    </xf>
    <xf numFmtId="0" fontId="174" fillId="44" borderId="96" xfId="8733" applyFont="1" applyFill="1" applyBorder="1" applyAlignment="1">
      <alignment horizontal="center"/>
    </xf>
    <xf numFmtId="9" fontId="174" fillId="44" borderId="101" xfId="1022" applyFont="1" applyFill="1" applyBorder="1" applyAlignment="1">
      <alignment horizontal="center"/>
    </xf>
    <xf numFmtId="9" fontId="174" fillId="44" borderId="42" xfId="1022" applyFont="1" applyFill="1" applyBorder="1" applyAlignment="1">
      <alignment horizontal="center"/>
    </xf>
    <xf numFmtId="9" fontId="174" fillId="44" borderId="44" xfId="1022" applyFont="1" applyFill="1" applyBorder="1" applyAlignment="1">
      <alignment horizontal="center"/>
    </xf>
    <xf numFmtId="0" fontId="167" fillId="45" borderId="80" xfId="8733" applyFont="1" applyFill="1" applyBorder="1" applyAlignment="1">
      <alignment horizontal="center"/>
    </xf>
    <xf numFmtId="0" fontId="167" fillId="45" borderId="79" xfId="8733" applyFont="1" applyFill="1" applyBorder="1" applyAlignment="1">
      <alignment horizontal="center"/>
    </xf>
    <xf numFmtId="0" fontId="167" fillId="45" borderId="78" xfId="8733" applyFont="1" applyFill="1" applyBorder="1" applyAlignment="1">
      <alignment horizontal="center"/>
    </xf>
    <xf numFmtId="0" fontId="166" fillId="45" borderId="98" xfId="8733" applyFont="1" applyFill="1" applyBorder="1" applyAlignment="1">
      <alignment horizontal="center" vertical="center" wrapText="1"/>
    </xf>
    <xf numFmtId="0" fontId="166" fillId="45" borderId="13" xfId="8733" applyFont="1" applyFill="1" applyBorder="1" applyAlignment="1">
      <alignment horizontal="center" vertical="center"/>
    </xf>
    <xf numFmtId="0" fontId="166" fillId="45" borderId="72" xfId="8733" applyFont="1" applyFill="1" applyBorder="1" applyAlignment="1">
      <alignment horizontal="center" vertical="center"/>
    </xf>
    <xf numFmtId="0" fontId="166" fillId="45" borderId="11" xfId="8733" applyFont="1" applyFill="1" applyBorder="1" applyAlignment="1">
      <alignment horizontal="center" vertical="center"/>
    </xf>
    <xf numFmtId="0" fontId="174" fillId="45" borderId="13" xfId="8733" applyFont="1" applyFill="1" applyBorder="1" applyAlignment="1">
      <alignment horizontal="center" vertical="center" wrapText="1"/>
    </xf>
    <xf numFmtId="0" fontId="174" fillId="45" borderId="13" xfId="8733" applyFont="1" applyFill="1" applyBorder="1" applyAlignment="1">
      <alignment horizontal="center" vertical="center"/>
    </xf>
    <xf numFmtId="0" fontId="174" fillId="45" borderId="11" xfId="8733" applyFont="1" applyFill="1" applyBorder="1" applyAlignment="1">
      <alignment horizontal="center" vertical="center"/>
    </xf>
    <xf numFmtId="0" fontId="174" fillId="45" borderId="9" xfId="8733" applyFont="1" applyFill="1" applyBorder="1" applyAlignment="1">
      <alignment horizontal="center" vertical="center"/>
    </xf>
    <xf numFmtId="0" fontId="174" fillId="45" borderId="3" xfId="8733" applyFont="1" applyFill="1" applyBorder="1" applyAlignment="1">
      <alignment horizontal="center" vertical="center"/>
    </xf>
    <xf numFmtId="0" fontId="166" fillId="45" borderId="80" xfId="8733" applyFont="1" applyFill="1" applyBorder="1" applyAlignment="1">
      <alignment horizontal="center"/>
    </xf>
    <xf numFmtId="0" fontId="166" fillId="45" borderId="79" xfId="8733" applyFont="1" applyFill="1" applyBorder="1" applyAlignment="1">
      <alignment horizontal="center"/>
    </xf>
    <xf numFmtId="0" fontId="166" fillId="45" borderId="78" xfId="8733" applyFont="1" applyFill="1" applyBorder="1" applyAlignment="1">
      <alignment horizontal="center"/>
    </xf>
    <xf numFmtId="0" fontId="166" fillId="45" borderId="65" xfId="8733" applyFont="1" applyFill="1" applyBorder="1" applyAlignment="1">
      <alignment horizontal="center" vertical="center" wrapText="1"/>
    </xf>
    <xf numFmtId="0" fontId="166" fillId="45" borderId="29" xfId="8733" applyFont="1" applyFill="1" applyBorder="1" applyAlignment="1">
      <alignment horizontal="center" vertical="center" wrapText="1"/>
    </xf>
    <xf numFmtId="0" fontId="166" fillId="45" borderId="31" xfId="8733" applyFont="1" applyFill="1" applyBorder="1" applyAlignment="1">
      <alignment horizontal="center" vertical="center" wrapText="1"/>
    </xf>
    <xf numFmtId="0" fontId="166" fillId="45" borderId="73" xfId="8733" applyFont="1" applyFill="1" applyBorder="1" applyAlignment="1">
      <alignment horizontal="center" vertical="center" wrapText="1"/>
    </xf>
    <xf numFmtId="0" fontId="166" fillId="45" borderId="42" xfId="8733" applyFont="1" applyFill="1" applyBorder="1" applyAlignment="1">
      <alignment horizontal="center" vertical="center" wrapText="1"/>
    </xf>
    <xf numFmtId="0" fontId="166" fillId="45" borderId="44" xfId="8733" applyFont="1" applyFill="1" applyBorder="1" applyAlignment="1">
      <alignment horizontal="center" vertical="center" wrapText="1"/>
    </xf>
    <xf numFmtId="9" fontId="174" fillId="48" borderId="13" xfId="8733" applyNumberFormat="1" applyFont="1" applyFill="1" applyBorder="1" applyAlignment="1" applyProtection="1">
      <alignment horizontal="center"/>
      <protection locked="0"/>
    </xf>
    <xf numFmtId="0" fontId="174" fillId="44" borderId="73" xfId="8733" applyFont="1" applyFill="1" applyBorder="1" applyAlignment="1">
      <alignment horizontal="center"/>
    </xf>
    <xf numFmtId="0" fontId="166" fillId="44" borderId="9" xfId="8733" applyFont="1" applyFill="1" applyBorder="1" applyAlignment="1">
      <alignment horizontal="center"/>
    </xf>
    <xf numFmtId="0" fontId="166" fillId="44" borderId="6" xfId="8733" applyFont="1" applyFill="1" applyBorder="1" applyAlignment="1">
      <alignment horizontal="center"/>
    </xf>
    <xf numFmtId="0" fontId="166" fillId="44" borderId="82" xfId="8733" applyFont="1" applyFill="1" applyBorder="1" applyAlignment="1">
      <alignment horizontal="center"/>
    </xf>
    <xf numFmtId="9" fontId="174" fillId="48" borderId="9" xfId="8733" applyNumberFormat="1" applyFont="1" applyFill="1" applyBorder="1" applyAlignment="1" applyProtection="1">
      <alignment horizontal="center"/>
      <protection locked="0"/>
    </xf>
    <xf numFmtId="9" fontId="174" fillId="48" borderId="6" xfId="8733" applyNumberFormat="1" applyFont="1" applyFill="1" applyBorder="1" applyAlignment="1" applyProtection="1">
      <alignment horizontal="center"/>
      <protection locked="0"/>
    </xf>
    <xf numFmtId="9" fontId="174" fillId="48" borderId="10" xfId="8733" applyNumberFormat="1" applyFont="1" applyFill="1" applyBorder="1" applyAlignment="1" applyProtection="1">
      <alignment horizontal="center"/>
      <protection locked="0"/>
    </xf>
    <xf numFmtId="9" fontId="166" fillId="48" borderId="9" xfId="8733" applyNumberFormat="1" applyFont="1" applyFill="1" applyBorder="1" applyAlignment="1" applyProtection="1">
      <alignment horizontal="center"/>
      <protection locked="0"/>
    </xf>
    <xf numFmtId="9" fontId="166" fillId="48" borderId="6" xfId="8733" applyNumberFormat="1" applyFont="1" applyFill="1" applyBorder="1" applyAlignment="1" applyProtection="1">
      <alignment horizontal="center"/>
      <protection locked="0"/>
    </xf>
    <xf numFmtId="9" fontId="166" fillId="48" borderId="10" xfId="8733" applyNumberFormat="1" applyFont="1" applyFill="1" applyBorder="1" applyAlignment="1" applyProtection="1">
      <alignment horizontal="center"/>
      <protection locked="0"/>
    </xf>
    <xf numFmtId="0" fontId="166" fillId="44" borderId="10" xfId="8733" applyFont="1" applyFill="1" applyBorder="1" applyAlignment="1">
      <alignment horizontal="center"/>
    </xf>
    <xf numFmtId="1" fontId="178" fillId="48" borderId="3" xfId="8733" applyNumberFormat="1" applyFont="1" applyFill="1" applyBorder="1" applyAlignment="1" applyProtection="1">
      <alignment horizontal="center"/>
      <protection locked="0"/>
    </xf>
    <xf numFmtId="1" fontId="178" fillId="48" borderId="4" xfId="8733" applyNumberFormat="1" applyFont="1" applyFill="1" applyBorder="1" applyAlignment="1" applyProtection="1">
      <alignment horizontal="center"/>
      <protection locked="0"/>
    </xf>
    <xf numFmtId="1" fontId="178" fillId="48" borderId="5" xfId="8733" applyNumberFormat="1" applyFont="1" applyFill="1" applyBorder="1" applyAlignment="1" applyProtection="1">
      <alignment horizontal="center"/>
      <protection locked="0"/>
    </xf>
    <xf numFmtId="1" fontId="166" fillId="44" borderId="3" xfId="8733" applyNumberFormat="1" applyFont="1" applyFill="1" applyBorder="1" applyAlignment="1">
      <alignment horizontal="center"/>
    </xf>
    <xf numFmtId="1" fontId="166" fillId="44" borderId="4" xfId="8733" applyNumberFormat="1" applyFont="1" applyFill="1" applyBorder="1" applyAlignment="1">
      <alignment horizontal="center"/>
    </xf>
    <xf numFmtId="1" fontId="166" fillId="44" borderId="5" xfId="8733" applyNumberFormat="1" applyFont="1" applyFill="1" applyBorder="1" applyAlignment="1">
      <alignment horizontal="center"/>
    </xf>
    <xf numFmtId="9" fontId="166" fillId="44" borderId="3" xfId="8735" applyFont="1" applyFill="1" applyBorder="1" applyAlignment="1">
      <alignment horizontal="center"/>
    </xf>
    <xf numFmtId="9" fontId="166" fillId="44" borderId="4" xfId="8735" applyFont="1" applyFill="1" applyBorder="1" applyAlignment="1">
      <alignment horizontal="center"/>
    </xf>
    <xf numFmtId="9" fontId="166" fillId="44" borderId="81" xfId="8735" applyFont="1" applyFill="1" applyBorder="1" applyAlignment="1">
      <alignment horizontal="center"/>
    </xf>
    <xf numFmtId="0" fontId="175" fillId="48" borderId="72" xfId="8733" applyFont="1" applyFill="1" applyBorder="1" applyAlignment="1" applyProtection="1">
      <alignment horizontal="right"/>
      <protection locked="0"/>
    </xf>
    <xf numFmtId="0" fontId="175" fillId="48" borderId="11" xfId="8733" applyFont="1" applyFill="1" applyBorder="1" applyAlignment="1" applyProtection="1">
      <alignment horizontal="right"/>
      <protection locked="0"/>
    </xf>
    <xf numFmtId="0" fontId="178" fillId="48" borderId="11" xfId="8733" applyFont="1" applyFill="1" applyBorder="1" applyAlignment="1" applyProtection="1">
      <alignment horizontal="center"/>
      <protection locked="0"/>
    </xf>
    <xf numFmtId="1" fontId="178" fillId="48" borderId="11" xfId="8733" applyNumberFormat="1" applyFont="1" applyFill="1" applyBorder="1" applyAlignment="1" applyProtection="1">
      <alignment horizontal="center"/>
      <protection locked="0"/>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3" fillId="48" borderId="69" xfId="8733" applyFont="1" applyFill="1" applyBorder="1" applyAlignment="1" applyProtection="1">
      <alignment horizontal="right"/>
      <protection locked="0"/>
    </xf>
    <xf numFmtId="0" fontId="173" fillId="48" borderId="70" xfId="8733" applyFont="1" applyFill="1" applyBorder="1" applyAlignment="1" applyProtection="1">
      <alignment horizontal="right"/>
      <protection locked="0"/>
    </xf>
    <xf numFmtId="0" fontId="178" fillId="48" borderId="70" xfId="8733" applyFont="1" applyFill="1" applyBorder="1" applyAlignment="1" applyProtection="1">
      <alignment horizontal="center"/>
      <protection locked="0"/>
    </xf>
    <xf numFmtId="1" fontId="178" fillId="48" borderId="70" xfId="8733" applyNumberFormat="1" applyFont="1" applyFill="1" applyBorder="1" applyAlignment="1" applyProtection="1">
      <alignment horizontal="center"/>
      <protection locked="0"/>
    </xf>
    <xf numFmtId="9" fontId="166" fillId="44" borderId="94" xfId="8735" applyFont="1" applyFill="1" applyBorder="1" applyAlignment="1">
      <alignment horizontal="center"/>
    </xf>
    <xf numFmtId="9" fontId="166" fillId="44" borderId="86" xfId="8735" applyFont="1" applyFill="1" applyBorder="1" applyAlignment="1">
      <alignment horizontal="center"/>
    </xf>
    <xf numFmtId="9" fontId="166" fillId="44" borderId="85" xfId="8735" applyFont="1" applyFill="1" applyBorder="1" applyAlignment="1">
      <alignment horizontal="center"/>
    </xf>
    <xf numFmtId="1" fontId="178" fillId="48" borderId="94" xfId="8733" applyNumberFormat="1" applyFont="1" applyFill="1" applyBorder="1" applyAlignment="1" applyProtection="1">
      <alignment horizontal="center"/>
      <protection locked="0"/>
    </xf>
    <xf numFmtId="1" fontId="178" fillId="48" borderId="86" xfId="8733" applyNumberFormat="1" applyFont="1" applyFill="1" applyBorder="1" applyAlignment="1" applyProtection="1">
      <alignment horizontal="center"/>
      <protection locked="0"/>
    </xf>
    <xf numFmtId="1" fontId="178" fillId="48" borderId="95" xfId="8733" applyNumberFormat="1" applyFont="1" applyFill="1" applyBorder="1" applyAlignment="1" applyProtection="1">
      <alignment horizontal="center"/>
      <protection locked="0"/>
    </xf>
    <xf numFmtId="0" fontId="167" fillId="45" borderId="67" xfId="8733" applyFont="1" applyFill="1" applyBorder="1" applyAlignment="1">
      <alignment horizontal="center"/>
    </xf>
    <xf numFmtId="0" fontId="167" fillId="45" borderId="68" xfId="8733" applyFont="1" applyFill="1" applyBorder="1" applyAlignment="1">
      <alignment horizontal="center"/>
    </xf>
    <xf numFmtId="0" fontId="167" fillId="45" borderId="71" xfId="8733" applyFont="1" applyFill="1" applyBorder="1" applyAlignment="1">
      <alignment horizontal="center"/>
    </xf>
    <xf numFmtId="0" fontId="174" fillId="45" borderId="72" xfId="8733" applyFont="1" applyFill="1" applyBorder="1" applyAlignment="1">
      <alignment horizontal="center"/>
    </xf>
    <xf numFmtId="0" fontId="174" fillId="45" borderId="11" xfId="8733" applyFont="1" applyFill="1" applyBorder="1" applyAlignment="1">
      <alignment horizontal="center"/>
    </xf>
    <xf numFmtId="0" fontId="166" fillId="45" borderId="11" xfId="8733" applyFont="1" applyFill="1" applyBorder="1" applyAlignment="1">
      <alignment horizontal="center" vertical="center" wrapText="1"/>
    </xf>
    <xf numFmtId="0" fontId="166" fillId="45" borderId="76" xfId="8733" applyFont="1" applyFill="1" applyBorder="1" applyAlignment="1">
      <alignment horizontal="center" vertical="center" wrapText="1"/>
    </xf>
    <xf numFmtId="0" fontId="173" fillId="48" borderId="11" xfId="8733"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 fontId="173" fillId="48" borderId="11" xfId="8733" applyNumberFormat="1" applyFont="1" applyFill="1" applyBorder="1" applyAlignment="1" applyProtection="1">
      <alignment horizontal="center"/>
      <protection locked="0"/>
    </xf>
    <xf numFmtId="0" fontId="173" fillId="48" borderId="11" xfId="700" applyNumberFormat="1" applyFont="1" applyFill="1" applyBorder="1" applyAlignment="1" applyProtection="1">
      <alignment horizontal="left"/>
      <protection locked="0"/>
    </xf>
    <xf numFmtId="0" fontId="173" fillId="48" borderId="76" xfId="700" applyNumberFormat="1" applyFont="1" applyFill="1" applyBorder="1" applyAlignment="1" applyProtection="1">
      <alignment horizontal="left"/>
      <protection locked="0"/>
    </xf>
    <xf numFmtId="0" fontId="167" fillId="45" borderId="65" xfId="8733" applyFont="1" applyFill="1" applyBorder="1" applyAlignment="1">
      <alignment horizontal="center"/>
    </xf>
    <xf numFmtId="0" fontId="167" fillId="45" borderId="29" xfId="8733" applyFont="1" applyFill="1" applyBorder="1" applyAlignment="1">
      <alignment horizontal="center"/>
    </xf>
    <xf numFmtId="0" fontId="167" fillId="45" borderId="31" xfId="8733" applyFont="1" applyFill="1" applyBorder="1" applyAlignment="1">
      <alignment horizontal="center"/>
    </xf>
    <xf numFmtId="0" fontId="173" fillId="44" borderId="72" xfId="8733" applyFont="1" applyFill="1" applyBorder="1" applyAlignment="1" applyProtection="1">
      <alignment horizontal="right"/>
      <protection locked="0"/>
    </xf>
    <xf numFmtId="0" fontId="173" fillId="44" borderId="11" xfId="8733" applyFont="1" applyFill="1" applyBorder="1" applyAlignment="1" applyProtection="1">
      <alignment horizontal="right"/>
      <protection locked="0"/>
    </xf>
    <xf numFmtId="0" fontId="173" fillId="44" borderId="76" xfId="8733" applyFont="1" applyFill="1" applyBorder="1" applyAlignment="1" applyProtection="1">
      <alignment horizontal="right"/>
      <protection locked="0"/>
    </xf>
    <xf numFmtId="0" fontId="173" fillId="48" borderId="5" xfId="8733" applyFont="1" applyFill="1" applyBorder="1" applyAlignment="1" applyProtection="1">
      <alignment horizontal="left"/>
      <protection locked="0"/>
    </xf>
    <xf numFmtId="0" fontId="173" fillId="48" borderId="11" xfId="8733" applyFont="1" applyFill="1" applyBorder="1" applyAlignment="1" applyProtection="1">
      <alignment horizontal="left"/>
      <protection locked="0"/>
    </xf>
    <xf numFmtId="0" fontId="173" fillId="48" borderId="76" xfId="8733" applyFont="1" applyFill="1" applyBorder="1" applyAlignment="1" applyProtection="1">
      <alignment horizontal="left"/>
      <protection locked="0"/>
    </xf>
    <xf numFmtId="0" fontId="174" fillId="45" borderId="69" xfId="8733" applyFont="1" applyFill="1" applyBorder="1" applyAlignment="1">
      <alignment horizontal="center"/>
    </xf>
    <xf numFmtId="0" fontId="174" fillId="45" borderId="70" xfId="8733" applyFont="1" applyFill="1" applyBorder="1" applyAlignment="1">
      <alignment horizontal="center"/>
    </xf>
    <xf numFmtId="168" fontId="174" fillId="45" borderId="70" xfId="8734" applyNumberFormat="1" applyFont="1" applyFill="1" applyBorder="1" applyAlignment="1">
      <alignment horizontal="center"/>
    </xf>
    <xf numFmtId="1" fontId="174" fillId="45" borderId="70" xfId="8734" applyNumberFormat="1" applyFont="1" applyFill="1" applyBorder="1" applyAlignment="1">
      <alignment horizontal="center"/>
    </xf>
    <xf numFmtId="0" fontId="174" fillId="45" borderId="70" xfId="8734" applyNumberFormat="1" applyFont="1" applyFill="1" applyBorder="1" applyAlignment="1">
      <alignment horizontal="center"/>
    </xf>
    <xf numFmtId="0" fontId="174" fillId="45" borderId="77" xfId="8734" applyNumberFormat="1" applyFont="1" applyFill="1" applyBorder="1" applyAlignment="1">
      <alignment horizontal="center"/>
    </xf>
    <xf numFmtId="0" fontId="170" fillId="48" borderId="74" xfId="8733" applyFont="1" applyFill="1" applyBorder="1" applyAlignment="1" applyProtection="1">
      <alignment horizontal="left"/>
      <protection locked="0"/>
    </xf>
    <xf numFmtId="0" fontId="170" fillId="48" borderId="68" xfId="8733" applyFont="1" applyFill="1" applyBorder="1" applyAlignment="1" applyProtection="1">
      <alignment horizontal="left"/>
      <protection locked="0"/>
    </xf>
    <xf numFmtId="0" fontId="170" fillId="48" borderId="71" xfId="8733" applyFont="1" applyFill="1" applyBorder="1" applyAlignment="1" applyProtection="1">
      <alignment horizontal="left"/>
      <protection locked="0"/>
    </xf>
    <xf numFmtId="0" fontId="167" fillId="45" borderId="72" xfId="8733" applyFont="1" applyFill="1" applyBorder="1" applyAlignment="1">
      <alignment horizontal="center"/>
    </xf>
    <xf numFmtId="0" fontId="167" fillId="45" borderId="11" xfId="8733" applyFont="1" applyFill="1" applyBorder="1" applyAlignment="1">
      <alignment horizontal="center"/>
    </xf>
    <xf numFmtId="0" fontId="167" fillId="45" borderId="3" xfId="8733" applyFont="1" applyFill="1" applyBorder="1" applyAlignment="1">
      <alignment horizontal="center"/>
    </xf>
    <xf numFmtId="0" fontId="167" fillId="45" borderId="4" xfId="8733" applyFont="1" applyFill="1" applyBorder="1" applyAlignment="1">
      <alignment horizontal="center"/>
    </xf>
    <xf numFmtId="0" fontId="167" fillId="45" borderId="81" xfId="8733" applyFont="1" applyFill="1" applyBorder="1" applyAlignment="1">
      <alignment horizontal="center"/>
    </xf>
    <xf numFmtId="0" fontId="103" fillId="45" borderId="69" xfId="8733" applyFont="1" applyFill="1" applyBorder="1" applyAlignment="1">
      <alignment horizontal="center"/>
    </xf>
    <xf numFmtId="0" fontId="103" fillId="45" borderId="70" xfId="8733" applyFont="1" applyFill="1" applyBorder="1" applyAlignment="1">
      <alignment horizontal="center"/>
    </xf>
    <xf numFmtId="0" fontId="173" fillId="44" borderId="69" xfId="8733" applyFont="1" applyFill="1" applyBorder="1" applyAlignment="1" applyProtection="1">
      <alignment horizontal="right"/>
      <protection locked="0"/>
    </xf>
    <xf numFmtId="0" fontId="173" fillId="44" borderId="70" xfId="8733" applyFont="1" applyFill="1" applyBorder="1" applyAlignment="1" applyProtection="1">
      <alignment horizontal="right"/>
      <protection locked="0"/>
    </xf>
    <xf numFmtId="0" fontId="173" fillId="44" borderId="77" xfId="8733" applyFont="1" applyFill="1" applyBorder="1" applyAlignment="1" applyProtection="1">
      <alignment horizontal="right"/>
      <protection locked="0"/>
    </xf>
    <xf numFmtId="0" fontId="173" fillId="48" borderId="95" xfId="8733" applyFont="1" applyFill="1" applyBorder="1" applyAlignment="1" applyProtection="1">
      <alignment horizontal="left"/>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5" fillId="48" borderId="11" xfId="700" applyNumberFormat="1" applyFont="1" applyFill="1" applyBorder="1" applyAlignment="1" applyProtection="1">
      <alignment horizontal="left"/>
      <protection locked="0"/>
    </xf>
    <xf numFmtId="168" fontId="175" fillId="48" borderId="76" xfId="700" applyNumberFormat="1" applyFont="1" applyFill="1" applyBorder="1" applyAlignment="1" applyProtection="1">
      <alignment horizontal="left"/>
      <protection locked="0"/>
    </xf>
    <xf numFmtId="0" fontId="173" fillId="48" borderId="68" xfId="8733" applyFont="1" applyFill="1" applyBorder="1" applyAlignment="1" applyProtection="1">
      <alignment horizontal="left"/>
      <protection locked="0"/>
    </xf>
    <xf numFmtId="0" fontId="173" fillId="48" borderId="71" xfId="8733" applyFont="1" applyFill="1" applyBorder="1" applyAlignment="1" applyProtection="1">
      <alignment horizontal="left"/>
      <protection locked="0"/>
    </xf>
    <xf numFmtId="0" fontId="167" fillId="45" borderId="69" xfId="8733" applyFont="1" applyFill="1" applyBorder="1" applyAlignment="1">
      <alignment horizontal="center"/>
    </xf>
    <xf numFmtId="0" fontId="167" fillId="45" borderId="70" xfId="8733" applyFont="1" applyFill="1" applyBorder="1" applyAlignment="1">
      <alignment horizontal="center"/>
    </xf>
    <xf numFmtId="0" fontId="103" fillId="45" borderId="67" xfId="8733" applyFont="1" applyFill="1" applyBorder="1" applyAlignment="1">
      <alignment horizontal="center"/>
    </xf>
    <xf numFmtId="0" fontId="103" fillId="45" borderId="68" xfId="8733" applyFont="1" applyFill="1" applyBorder="1" applyAlignment="1">
      <alignment horizontal="center"/>
    </xf>
    <xf numFmtId="0" fontId="3" fillId="48" borderId="9" xfId="8733" applyFill="1" applyBorder="1" applyAlignment="1" applyProtection="1">
      <alignment horizontal="center"/>
      <protection locked="0"/>
    </xf>
    <xf numFmtId="0" fontId="3" fillId="48" borderId="6" xfId="8733" applyFill="1" applyBorder="1" applyAlignment="1" applyProtection="1">
      <alignment horizontal="center"/>
      <protection locked="0"/>
    </xf>
    <xf numFmtId="0" fontId="3" fillId="48" borderId="82" xfId="8733" applyFill="1" applyBorder="1" applyAlignment="1" applyProtection="1">
      <alignment horizontal="center"/>
      <protection locked="0"/>
    </xf>
    <xf numFmtId="0" fontId="174" fillId="45" borderId="97" xfId="8733" applyFont="1" applyFill="1" applyBorder="1" applyAlignment="1">
      <alignment horizontal="left"/>
    </xf>
    <xf numFmtId="0" fontId="174" fillId="45" borderId="2" xfId="8733" applyFont="1" applyFill="1" applyBorder="1" applyAlignment="1">
      <alignment horizontal="left"/>
    </xf>
    <xf numFmtId="10" fontId="3" fillId="0" borderId="94" xfId="8733" applyNumberFormat="1" applyBorder="1" applyAlignment="1">
      <alignment horizontal="center"/>
    </xf>
    <xf numFmtId="10" fontId="3" fillId="0" borderId="86" xfId="8733" applyNumberFormat="1" applyBorder="1" applyAlignment="1">
      <alignment horizontal="center"/>
    </xf>
    <xf numFmtId="10" fontId="3" fillId="0" borderId="85" xfId="8733" applyNumberFormat="1" applyBorder="1" applyAlignment="1">
      <alignment horizontal="center"/>
    </xf>
    <xf numFmtId="0" fontId="174" fillId="45" borderId="73" xfId="8733" applyFont="1" applyFill="1" applyBorder="1" applyAlignment="1">
      <alignment horizontal="left"/>
    </xf>
    <xf numFmtId="0" fontId="174" fillId="45" borderId="42" xfId="8733" applyFont="1" applyFill="1" applyBorder="1" applyAlignment="1">
      <alignment horizontal="left"/>
    </xf>
    <xf numFmtId="10" fontId="3" fillId="48" borderId="94" xfId="8733" applyNumberFormat="1" applyFill="1" applyBorder="1" applyAlignment="1" applyProtection="1">
      <alignment horizontal="center"/>
      <protection locked="0"/>
    </xf>
    <xf numFmtId="10" fontId="3" fillId="48" borderId="86" xfId="8733" applyNumberFormat="1" applyFill="1" applyBorder="1" applyAlignment="1" applyProtection="1">
      <alignment horizontal="center"/>
      <protection locked="0"/>
    </xf>
    <xf numFmtId="10" fontId="3" fillId="48" borderId="85" xfId="8733" applyNumberFormat="1" applyFill="1" applyBorder="1" applyAlignment="1" applyProtection="1">
      <alignment horizontal="center"/>
      <protection locked="0"/>
    </xf>
    <xf numFmtId="0" fontId="103" fillId="45" borderId="67" xfId="8733" applyFont="1" applyFill="1" applyBorder="1" applyAlignment="1">
      <alignment horizontal="center" wrapText="1"/>
    </xf>
    <xf numFmtId="0" fontId="103" fillId="45" borderId="68" xfId="8733" applyFont="1" applyFill="1" applyBorder="1" applyAlignment="1">
      <alignment horizontal="center" wrapText="1"/>
    </xf>
    <xf numFmtId="0" fontId="103" fillId="45" borderId="71" xfId="8733" applyFont="1" applyFill="1" applyBorder="1" applyAlignment="1">
      <alignment horizontal="center" wrapText="1"/>
    </xf>
    <xf numFmtId="0" fontId="167" fillId="45" borderId="98" xfId="8733" applyFont="1" applyFill="1" applyBorder="1" applyAlignment="1">
      <alignment horizontal="center"/>
    </xf>
    <xf numFmtId="0" fontId="167" fillId="45" borderId="13" xfId="8733" applyFont="1" applyFill="1" applyBorder="1" applyAlignment="1">
      <alignment horizontal="center"/>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73" fillId="48" borderId="72" xfId="8733" applyFont="1" applyFill="1" applyBorder="1" applyAlignment="1" applyProtection="1">
      <alignment horizontal="center"/>
      <protection locked="0"/>
    </xf>
    <xf numFmtId="0" fontId="167" fillId="45" borderId="89" xfId="8733" applyFont="1" applyFill="1" applyBorder="1" applyAlignment="1">
      <alignment horizontal="right"/>
    </xf>
    <xf numFmtId="0" fontId="167" fillId="45" borderId="43" xfId="8733" applyFont="1" applyFill="1" applyBorder="1" applyAlignment="1">
      <alignment horizontal="right"/>
    </xf>
    <xf numFmtId="168" fontId="167" fillId="45" borderId="43" xfId="8733" applyNumberFormat="1" applyFont="1" applyFill="1" applyBorder="1" applyAlignment="1">
      <alignment horizontal="left"/>
    </xf>
    <xf numFmtId="168" fontId="167" fillId="45" borderId="88" xfId="8733" applyNumberFormat="1" applyFont="1" applyFill="1" applyBorder="1" applyAlignment="1">
      <alignment horizontal="left"/>
    </xf>
    <xf numFmtId="0" fontId="3" fillId="48" borderId="11" xfId="8733" applyFill="1" applyBorder="1" applyAlignment="1" applyProtection="1">
      <alignment horizontal="center"/>
      <protection locked="0"/>
    </xf>
    <xf numFmtId="0" fontId="3" fillId="48" borderId="76" xfId="8733" applyFill="1" applyBorder="1" applyAlignment="1" applyProtection="1">
      <alignment horizontal="center"/>
      <protection locked="0"/>
    </xf>
    <xf numFmtId="0" fontId="103" fillId="45" borderId="67" xfId="8733" applyFont="1" applyFill="1" applyBorder="1" applyAlignment="1">
      <alignment horizontal="left" wrapText="1"/>
    </xf>
    <xf numFmtId="0" fontId="103" fillId="45" borderId="68" xfId="8733" applyFont="1" applyFill="1" applyBorder="1" applyAlignment="1">
      <alignment horizontal="left" wrapText="1"/>
    </xf>
    <xf numFmtId="0" fontId="103" fillId="45" borderId="72" xfId="8733" applyFont="1" applyFill="1" applyBorder="1" applyAlignment="1">
      <alignment horizontal="left" wrapText="1"/>
    </xf>
    <xf numFmtId="0" fontId="103" fillId="45" borderId="11" xfId="8733" applyFont="1" applyFill="1" applyBorder="1" applyAlignment="1">
      <alignment horizontal="left" wrapText="1"/>
    </xf>
    <xf numFmtId="0" fontId="170" fillId="48" borderId="68" xfId="8733" applyFont="1" applyFill="1" applyBorder="1" applyAlignment="1" applyProtection="1">
      <alignment horizontal="left" wrapText="1"/>
      <protection locked="0"/>
    </xf>
    <xf numFmtId="0" fontId="170" fillId="48" borderId="71" xfId="8733" applyFont="1" applyFill="1" applyBorder="1" applyAlignment="1" applyProtection="1">
      <alignment horizontal="left" wrapText="1"/>
      <protection locked="0"/>
    </xf>
    <xf numFmtId="0" fontId="170" fillId="48" borderId="11" xfId="8733" applyFont="1" applyFill="1" applyBorder="1" applyAlignment="1" applyProtection="1">
      <alignment horizontal="left" wrapText="1"/>
      <protection locked="0"/>
    </xf>
    <xf numFmtId="0" fontId="170" fillId="48" borderId="76" xfId="8733" applyFont="1" applyFill="1" applyBorder="1" applyAlignment="1" applyProtection="1">
      <alignment horizontal="left" wrapText="1"/>
      <protection locked="0"/>
    </xf>
    <xf numFmtId="0" fontId="174" fillId="45" borderId="11" xfId="8733" applyFont="1" applyFill="1" applyBorder="1" applyAlignment="1">
      <alignment horizontal="center" wrapText="1"/>
    </xf>
    <xf numFmtId="0" fontId="166" fillId="45" borderId="11" xfId="8733" applyFont="1" applyFill="1" applyBorder="1" applyAlignment="1">
      <alignment horizontal="center"/>
    </xf>
    <xf numFmtId="0" fontId="166" fillId="45" borderId="76" xfId="8733" applyFont="1" applyFill="1" applyBorder="1" applyAlignment="1">
      <alignment horizontal="center"/>
    </xf>
    <xf numFmtId="0" fontId="174" fillId="45" borderId="7" xfId="8733" applyFont="1" applyFill="1" applyBorder="1" applyAlignment="1">
      <alignment horizontal="left"/>
    </xf>
    <xf numFmtId="0" fontId="174" fillId="45" borderId="96" xfId="8733" applyFont="1" applyFill="1" applyBorder="1" applyAlignment="1">
      <alignment horizontal="left"/>
    </xf>
    <xf numFmtId="0" fontId="3" fillId="48" borderId="70" xfId="8733" applyFill="1" applyBorder="1" applyAlignment="1" applyProtection="1">
      <alignment horizontal="center"/>
      <protection locked="0"/>
    </xf>
    <xf numFmtId="0" fontId="3" fillId="48" borderId="77" xfId="8733" applyFill="1" applyBorder="1" applyAlignment="1" applyProtection="1">
      <alignment horizontal="center"/>
      <protection locked="0"/>
    </xf>
    <xf numFmtId="0" fontId="170" fillId="48" borderId="3" xfId="8733" applyFont="1" applyFill="1" applyBorder="1" applyAlignment="1" applyProtection="1">
      <alignment horizontal="center"/>
      <protection locked="0"/>
    </xf>
    <xf numFmtId="0" fontId="170" fillId="48" borderId="4" xfId="8733" applyFont="1" applyFill="1" applyBorder="1" applyAlignment="1" applyProtection="1">
      <alignment horizontal="center"/>
      <protection locked="0"/>
    </xf>
    <xf numFmtId="0" fontId="170" fillId="48" borderId="81" xfId="8733" applyFont="1" applyFill="1" applyBorder="1" applyAlignment="1" applyProtection="1">
      <alignment horizontal="center"/>
      <protection locked="0"/>
    </xf>
    <xf numFmtId="0" fontId="103" fillId="45" borderId="71" xfId="8733" applyFont="1" applyFill="1" applyBorder="1" applyAlignment="1">
      <alignment horizontal="center"/>
    </xf>
    <xf numFmtId="0" fontId="180" fillId="45" borderId="11" xfId="8733" applyFont="1" applyFill="1" applyBorder="1" applyAlignment="1">
      <alignment horizontal="left"/>
    </xf>
    <xf numFmtId="0" fontId="180" fillId="45" borderId="76" xfId="8733" applyFont="1" applyFill="1" applyBorder="1" applyAlignment="1">
      <alignment horizontal="left"/>
    </xf>
    <xf numFmtId="0" fontId="177" fillId="45" borderId="72" xfId="8733" applyFont="1" applyFill="1" applyBorder="1" applyAlignment="1">
      <alignment horizontal="left"/>
    </xf>
    <xf numFmtId="0" fontId="177" fillId="45" borderId="11" xfId="8733" applyFont="1" applyFill="1" applyBorder="1" applyAlignment="1">
      <alignment horizontal="left"/>
    </xf>
    <xf numFmtId="0" fontId="177" fillId="45" borderId="69" xfId="8733" applyFont="1" applyFill="1" applyBorder="1" applyAlignment="1">
      <alignment horizontal="left"/>
    </xf>
    <xf numFmtId="0" fontId="177" fillId="45" borderId="70" xfId="8733" applyFont="1" applyFill="1" applyBorder="1" applyAlignment="1">
      <alignment horizontal="left"/>
    </xf>
    <xf numFmtId="0" fontId="3" fillId="51" borderId="70" xfId="8733" applyFill="1" applyBorder="1" applyAlignment="1" applyProtection="1">
      <alignment horizontal="center"/>
      <protection locked="0"/>
    </xf>
    <xf numFmtId="0" fontId="3" fillId="51" borderId="77" xfId="8733" applyFill="1" applyBorder="1" applyAlignment="1" applyProtection="1">
      <alignment horizontal="center"/>
      <protection locked="0"/>
    </xf>
    <xf numFmtId="0" fontId="103" fillId="45" borderId="67" xfId="8733" applyFont="1" applyFill="1" applyBorder="1" applyAlignment="1" applyProtection="1">
      <alignment horizontal="left" vertical="center" wrapText="1"/>
      <protection locked="0"/>
    </xf>
    <xf numFmtId="0" fontId="103" fillId="45" borderId="68" xfId="8733" applyFont="1" applyFill="1" applyBorder="1" applyAlignment="1" applyProtection="1">
      <alignment horizontal="left" vertical="center" wrapText="1"/>
      <protection locked="0"/>
    </xf>
    <xf numFmtId="0" fontId="103" fillId="45" borderId="72" xfId="8733" applyFont="1" applyFill="1" applyBorder="1" applyAlignment="1" applyProtection="1">
      <alignment horizontal="left" vertical="center" wrapText="1"/>
      <protection locked="0"/>
    </xf>
    <xf numFmtId="0" fontId="103" fillId="45" borderId="11" xfId="8733" applyFont="1" applyFill="1" applyBorder="1" applyAlignment="1" applyProtection="1">
      <alignment horizontal="left" vertical="center" wrapText="1"/>
      <protection locked="0"/>
    </xf>
    <xf numFmtId="0" fontId="170" fillId="48" borderId="68" xfId="8733" applyFont="1" applyFill="1" applyBorder="1" applyAlignment="1" applyProtection="1">
      <alignment horizontal="left" vertical="center" wrapText="1"/>
      <protection locked="0"/>
    </xf>
    <xf numFmtId="0" fontId="170" fillId="48" borderId="71" xfId="8733" applyFont="1" applyFill="1" applyBorder="1" applyAlignment="1" applyProtection="1">
      <alignment horizontal="left" vertical="center" wrapText="1"/>
      <protection locked="0"/>
    </xf>
    <xf numFmtId="0" fontId="170" fillId="48" borderId="11" xfId="8733" applyFont="1" applyFill="1" applyBorder="1" applyAlignment="1" applyProtection="1">
      <alignment horizontal="left" vertical="center" wrapText="1"/>
      <protection locked="0"/>
    </xf>
    <xf numFmtId="0" fontId="170" fillId="48" borderId="76" xfId="8733" applyFont="1" applyFill="1" applyBorder="1" applyAlignment="1" applyProtection="1">
      <alignment horizontal="left" vertical="center" wrapText="1"/>
      <protection locked="0"/>
    </xf>
    <xf numFmtId="0" fontId="173" fillId="48" borderId="72" xfId="8733" applyFont="1" applyFill="1" applyBorder="1" applyAlignment="1" applyProtection="1">
      <alignment horizontal="left" vertical="top" wrapText="1"/>
      <protection locked="0"/>
    </xf>
    <xf numFmtId="0" fontId="173" fillId="48" borderId="11" xfId="8733" applyFont="1" applyFill="1" applyBorder="1" applyAlignment="1" applyProtection="1">
      <alignment horizontal="left" vertical="top" wrapText="1"/>
      <protection locked="0"/>
    </xf>
    <xf numFmtId="0" fontId="173" fillId="48" borderId="69" xfId="8733" applyFont="1" applyFill="1" applyBorder="1" applyAlignment="1" applyProtection="1">
      <alignment horizontal="left" vertical="top" wrapText="1"/>
      <protection locked="0"/>
    </xf>
    <xf numFmtId="0" fontId="173" fillId="48" borderId="70" xfId="8733" applyFont="1" applyFill="1" applyBorder="1" applyAlignment="1" applyProtection="1">
      <alignment horizontal="left" vertical="top" wrapText="1"/>
      <protection locked="0"/>
    </xf>
    <xf numFmtId="0" fontId="170" fillId="48" borderId="11" xfId="8733" applyFont="1" applyFill="1" applyBorder="1" applyAlignment="1" applyProtection="1">
      <alignment horizontal="center" vertical="center" wrapText="1"/>
      <protection locked="0"/>
    </xf>
    <xf numFmtId="0" fontId="170" fillId="48" borderId="76" xfId="8733" applyFont="1" applyFill="1" applyBorder="1" applyAlignment="1" applyProtection="1">
      <alignment horizontal="center" vertical="center" wrapText="1"/>
      <protection locked="0"/>
    </xf>
    <xf numFmtId="0" fontId="170" fillId="48" borderId="70" xfId="8733" applyFont="1" applyFill="1" applyBorder="1" applyAlignment="1" applyProtection="1">
      <alignment horizontal="center" vertical="center" wrapText="1"/>
      <protection locked="0"/>
    </xf>
    <xf numFmtId="0" fontId="170" fillId="48" borderId="77" xfId="8733" applyFont="1" applyFill="1" applyBorder="1" applyAlignment="1" applyProtection="1">
      <alignment horizontal="center" vertical="center" wrapText="1"/>
      <protection locked="0"/>
    </xf>
    <xf numFmtId="0" fontId="103" fillId="45" borderId="71" xfId="8733" applyFont="1" applyFill="1" applyBorder="1" applyAlignment="1">
      <alignment horizontal="left" wrapText="1"/>
    </xf>
    <xf numFmtId="0" fontId="103" fillId="45" borderId="76" xfId="8733" applyFont="1" applyFill="1" applyBorder="1" applyAlignment="1">
      <alignment horizontal="left" wrapText="1"/>
    </xf>
    <xf numFmtId="0" fontId="103" fillId="45" borderId="65" xfId="8733" applyFont="1" applyFill="1" applyBorder="1" applyAlignment="1">
      <alignment horizontal="center"/>
    </xf>
    <xf numFmtId="0" fontId="103" fillId="45" borderId="29" xfId="8733" applyFont="1" applyFill="1" applyBorder="1" applyAlignment="1">
      <alignment horizontal="center"/>
    </xf>
    <xf numFmtId="0" fontId="103" fillId="45" borderId="31" xfId="8733" applyFont="1" applyFill="1" applyBorder="1" applyAlignment="1">
      <alignment horizontal="center"/>
    </xf>
    <xf numFmtId="0" fontId="166" fillId="48" borderId="90" xfId="8733" applyFont="1" applyFill="1" applyBorder="1" applyAlignment="1">
      <alignment horizontal="left"/>
    </xf>
    <xf numFmtId="0" fontId="166" fillId="48" borderId="4" xfId="8733" applyFont="1" applyFill="1" applyBorder="1" applyAlignment="1">
      <alignment horizontal="left"/>
    </xf>
    <xf numFmtId="0" fontId="166" fillId="48" borderId="5" xfId="8733" applyFont="1" applyFill="1" applyBorder="1" applyAlignment="1">
      <alignment horizontal="left"/>
    </xf>
    <xf numFmtId="0" fontId="166" fillId="45" borderId="72" xfId="8733" applyFont="1" applyFill="1" applyBorder="1" applyAlignment="1">
      <alignment horizontal="left"/>
    </xf>
    <xf numFmtId="0" fontId="166" fillId="45" borderId="11" xfId="8733" applyFont="1" applyFill="1" applyBorder="1" applyAlignment="1">
      <alignment horizontal="left"/>
    </xf>
    <xf numFmtId="0" fontId="178" fillId="48" borderId="11" xfId="8733" applyFont="1" applyFill="1" applyBorder="1" applyAlignment="1" applyProtection="1">
      <alignment horizontal="left"/>
      <protection locked="0"/>
    </xf>
    <xf numFmtId="0" fontId="178" fillId="48" borderId="76" xfId="8733" applyFont="1" applyFill="1" applyBorder="1" applyAlignment="1" applyProtection="1">
      <alignment horizontal="left"/>
      <protection locked="0"/>
    </xf>
    <xf numFmtId="0" fontId="175" fillId="48" borderId="72" xfId="8733" applyFont="1" applyFill="1" applyBorder="1" applyAlignment="1" applyProtection="1">
      <alignment horizontal="left" vertical="top" wrapText="1"/>
      <protection locked="0"/>
    </xf>
    <xf numFmtId="0" fontId="175" fillId="48" borderId="11" xfId="8733" applyFont="1" applyFill="1" applyBorder="1" applyAlignment="1" applyProtection="1">
      <alignment horizontal="left" vertical="top"/>
      <protection locked="0"/>
    </xf>
    <xf numFmtId="0" fontId="175" fillId="48" borderId="76" xfId="8733" applyFont="1" applyFill="1" applyBorder="1" applyAlignment="1" applyProtection="1">
      <alignment horizontal="left" vertical="top"/>
      <protection locked="0"/>
    </xf>
    <xf numFmtId="0" fontId="175" fillId="48" borderId="72" xfId="8733" applyFont="1" applyFill="1" applyBorder="1" applyAlignment="1" applyProtection="1">
      <alignment horizontal="left" vertical="top"/>
      <protection locked="0"/>
    </xf>
    <xf numFmtId="0" fontId="175" fillId="48" borderId="69" xfId="8733" applyFont="1" applyFill="1" applyBorder="1" applyAlignment="1" applyProtection="1">
      <alignment horizontal="left" vertical="top"/>
      <protection locked="0"/>
    </xf>
    <xf numFmtId="0" fontId="175" fillId="48" borderId="70" xfId="8733" applyFont="1" applyFill="1" applyBorder="1" applyAlignment="1" applyProtection="1">
      <alignment horizontal="left" vertical="top"/>
      <protection locked="0"/>
    </xf>
    <xf numFmtId="0" fontId="175" fillId="48" borderId="77" xfId="8733" applyFont="1" applyFill="1" applyBorder="1" applyAlignment="1" applyProtection="1">
      <alignment horizontal="left" vertical="top"/>
      <protection locked="0"/>
    </xf>
    <xf numFmtId="0" fontId="166" fillId="45" borderId="67" xfId="8733" applyFont="1" applyFill="1" applyBorder="1" applyAlignment="1">
      <alignment horizontal="left"/>
    </xf>
    <xf numFmtId="0" fontId="166" fillId="45" borderId="68" xfId="8733" applyFont="1" applyFill="1" applyBorder="1" applyAlignment="1">
      <alignment horizontal="left"/>
    </xf>
    <xf numFmtId="0" fontId="103" fillId="45" borderId="72" xfId="8733" applyFont="1" applyFill="1" applyBorder="1" applyAlignment="1">
      <alignment horizontal="center"/>
    </xf>
    <xf numFmtId="0" fontId="103" fillId="45" borderId="11" xfId="8733" applyFont="1" applyFill="1" applyBorder="1" applyAlignment="1">
      <alignment horizontal="center"/>
    </xf>
    <xf numFmtId="0" fontId="166" fillId="45" borderId="11" xfId="8733" applyFont="1" applyFill="1" applyBorder="1" applyAlignment="1">
      <alignment horizontal="center" wrapText="1"/>
    </xf>
    <xf numFmtId="0" fontId="166" fillId="45" borderId="76" xfId="8733" applyFont="1" applyFill="1" applyBorder="1" applyAlignment="1">
      <alignment horizontal="center" wrapText="1"/>
    </xf>
    <xf numFmtId="0" fontId="1" fillId="48" borderId="70" xfId="8733" applyFont="1" applyFill="1" applyBorder="1" applyAlignment="1" applyProtection="1">
      <alignment horizontal="center"/>
      <protection locked="0"/>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75" fillId="48" borderId="11" xfId="8733"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14" fontId="175" fillId="48" borderId="11" xfId="8733" applyNumberFormat="1" applyFont="1" applyFill="1" applyBorder="1" applyAlignment="1" applyProtection="1">
      <alignment horizontal="center"/>
      <protection locked="0"/>
    </xf>
    <xf numFmtId="0" fontId="103" fillId="45" borderId="76" xfId="8733" applyFont="1" applyFill="1" applyBorder="1" applyAlignment="1">
      <alignment horizontal="center"/>
    </xf>
    <xf numFmtId="168" fontId="175" fillId="48" borderId="11" xfId="8734" applyNumberFormat="1" applyFont="1" applyFill="1" applyBorder="1" applyAlignment="1" applyProtection="1">
      <alignment horizontal="center"/>
      <protection locked="0"/>
    </xf>
    <xf numFmtId="168" fontId="175" fillId="48" borderId="76" xfId="8734" applyNumberFormat="1" applyFont="1" applyFill="1" applyBorder="1" applyAlignment="1" applyProtection="1">
      <alignment horizontal="center"/>
      <protection locked="0"/>
    </xf>
    <xf numFmtId="0" fontId="176" fillId="48" borderId="11"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6" fillId="48" borderId="70" xfId="8733" applyFont="1" applyFill="1" applyBorder="1" applyAlignment="1" applyProtection="1">
      <alignment horizontal="left"/>
      <protection locked="0"/>
    </xf>
    <xf numFmtId="0" fontId="175" fillId="48" borderId="70" xfId="8733" applyFont="1" applyFill="1" applyBorder="1" applyAlignment="1" applyProtection="1">
      <alignment horizontal="center"/>
      <protection locked="0"/>
    </xf>
    <xf numFmtId="14" fontId="175" fillId="48" borderId="70" xfId="8733" applyNumberFormat="1" applyFont="1" applyFill="1" applyBorder="1" applyAlignment="1" applyProtection="1">
      <alignment horizontal="center"/>
      <protection locked="0"/>
    </xf>
    <xf numFmtId="168" fontId="175" fillId="48" borderId="70" xfId="8734" applyNumberFormat="1" applyFont="1" applyFill="1" applyBorder="1" applyAlignment="1" applyProtection="1">
      <alignment horizontal="center"/>
      <protection locked="0"/>
    </xf>
    <xf numFmtId="168" fontId="175" fillId="48" borderId="77" xfId="8734" applyNumberFormat="1" applyFont="1" applyFill="1" applyBorder="1" applyAlignment="1" applyProtection="1">
      <alignment horizontal="center"/>
      <protection locked="0"/>
    </xf>
    <xf numFmtId="0" fontId="167" fillId="45" borderId="67" xfId="8733" applyFont="1" applyFill="1" applyBorder="1" applyAlignment="1">
      <alignment horizontal="left"/>
    </xf>
    <xf numFmtId="0" fontId="167" fillId="45" borderId="68" xfId="8733" applyFont="1" applyFill="1" applyBorder="1" applyAlignment="1">
      <alignment horizontal="left"/>
    </xf>
    <xf numFmtId="0" fontId="167" fillId="45" borderId="71" xfId="8733" applyFont="1" applyFill="1" applyBorder="1" applyAlignment="1">
      <alignment horizontal="left"/>
    </xf>
    <xf numFmtId="14" fontId="173" fillId="48" borderId="76" xfId="8733" applyNumberFormat="1" applyFont="1" applyFill="1" applyBorder="1" applyAlignment="1" applyProtection="1">
      <alignment horizontal="center"/>
      <protection locked="0"/>
    </xf>
    <xf numFmtId="0" fontId="173" fillId="48" borderId="69" xfId="8733" applyFont="1" applyFill="1" applyBorder="1" applyAlignment="1" applyProtection="1">
      <alignment horizontal="center"/>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4" fontId="173" fillId="48" borderId="77" xfId="8733" applyNumberFormat="1" applyFont="1" applyFill="1" applyBorder="1" applyAlignment="1" applyProtection="1">
      <alignment horizontal="center"/>
      <protection locked="0"/>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5" fillId="44" borderId="11" xfId="700" applyNumberFormat="1" applyFont="1" applyFill="1" applyBorder="1" applyAlignment="1">
      <alignment horizontal="left"/>
    </xf>
    <xf numFmtId="0" fontId="103" fillId="45" borderId="65" xfId="8733" applyFont="1" applyFill="1" applyBorder="1" applyAlignment="1">
      <alignment horizontal="left" wrapText="1"/>
    </xf>
    <xf numFmtId="0" fontId="103" fillId="45" borderId="29" xfId="8733" applyFont="1" applyFill="1" applyBorder="1" applyAlignment="1">
      <alignment horizontal="left" wrapText="1"/>
    </xf>
    <xf numFmtId="0" fontId="103" fillId="45" borderId="31" xfId="8733" applyFont="1" applyFill="1" applyBorder="1" applyAlignment="1">
      <alignment horizontal="left" wrapText="1"/>
    </xf>
    <xf numFmtId="0" fontId="103" fillId="45" borderId="73" xfId="8733" applyFont="1" applyFill="1" applyBorder="1" applyAlignment="1">
      <alignment horizontal="left" wrapText="1"/>
    </xf>
    <xf numFmtId="0" fontId="103" fillId="45" borderId="42" xfId="8733" applyFont="1" applyFill="1" applyBorder="1" applyAlignment="1">
      <alignment horizontal="left" wrapText="1"/>
    </xf>
    <xf numFmtId="0" fontId="103" fillId="45" borderId="44" xfId="8733" applyFont="1" applyFill="1" applyBorder="1" applyAlignment="1">
      <alignment horizontal="left" wrapText="1"/>
    </xf>
    <xf numFmtId="168" fontId="173" fillId="48" borderId="11" xfId="700" applyNumberFormat="1" applyFont="1" applyFill="1" applyBorder="1" applyAlignment="1" applyProtection="1">
      <alignment horizontal="left"/>
      <protection locked="0"/>
    </xf>
    <xf numFmtId="43" fontId="170" fillId="50" borderId="72" xfId="698" applyFont="1" applyFill="1" applyBorder="1" applyAlignment="1" applyProtection="1">
      <alignment horizontal="left"/>
      <protection hidden="1"/>
    </xf>
    <xf numFmtId="43" fontId="170" fillId="50" borderId="11" xfId="698" applyFont="1" applyFill="1" applyBorder="1" applyAlignment="1" applyProtection="1">
      <alignment horizontal="left"/>
      <protection hidden="1"/>
    </xf>
    <xf numFmtId="44" fontId="3" fillId="48" borderId="11" xfId="700" applyFont="1" applyFill="1" applyBorder="1" applyAlignment="1" applyProtection="1">
      <alignment horizontal="center"/>
      <protection locked="0"/>
    </xf>
    <xf numFmtId="0" fontId="103" fillId="47" borderId="0" xfId="8733" applyFont="1" applyFill="1" applyAlignment="1">
      <alignment horizontal="center"/>
    </xf>
    <xf numFmtId="0" fontId="174" fillId="51" borderId="11" xfId="8733" applyFont="1" applyFill="1" applyBorder="1" applyAlignment="1">
      <alignment horizontal="center"/>
    </xf>
    <xf numFmtId="0" fontId="174" fillId="51" borderId="76" xfId="8733" applyFont="1" applyFill="1" applyBorder="1" applyAlignment="1">
      <alignment horizontal="center"/>
    </xf>
    <xf numFmtId="0" fontId="175" fillId="45" borderId="72" xfId="8733" applyFont="1" applyFill="1" applyBorder="1" applyAlignment="1">
      <alignment horizontal="right"/>
    </xf>
    <xf numFmtId="0" fontId="175" fillId="45" borderId="11" xfId="8733" applyFont="1" applyFill="1" applyBorder="1" applyAlignment="1">
      <alignment horizontal="right"/>
    </xf>
    <xf numFmtId="168" fontId="173" fillId="44" borderId="11" xfId="700" applyNumberFormat="1" applyFont="1" applyFill="1" applyBorder="1" applyAlignment="1" applyProtection="1">
      <alignment horizontal="left"/>
      <protection locked="0"/>
    </xf>
    <xf numFmtId="0" fontId="3" fillId="48" borderId="3" xfId="8733" applyFill="1" applyBorder="1" applyAlignment="1">
      <alignment horizontal="center"/>
    </xf>
    <xf numFmtId="0" fontId="3" fillId="48" borderId="4" xfId="8733" applyFill="1" applyBorder="1" applyAlignment="1">
      <alignment horizontal="center"/>
    </xf>
    <xf numFmtId="0" fontId="3" fillId="48" borderId="81" xfId="8733" applyFill="1" applyBorder="1" applyAlignment="1">
      <alignment horizontal="center"/>
    </xf>
    <xf numFmtId="43" fontId="167" fillId="50" borderId="111" xfId="698" applyFont="1" applyFill="1" applyBorder="1" applyAlignment="1" applyProtection="1">
      <alignment horizontal="center"/>
      <protection hidden="1"/>
    </xf>
    <xf numFmtId="43" fontId="167" fillId="50" borderId="84" xfId="698" applyFont="1" applyFill="1" applyBorder="1" applyAlignment="1" applyProtection="1">
      <alignment horizontal="center"/>
      <protection hidden="1"/>
    </xf>
    <xf numFmtId="43" fontId="167" fillId="50" borderId="102" xfId="698" applyFont="1" applyFill="1" applyBorder="1" applyAlignment="1" applyProtection="1">
      <alignment horizontal="center"/>
      <protection hidden="1"/>
    </xf>
    <xf numFmtId="43" fontId="170" fillId="50" borderId="98" xfId="698" applyFont="1" applyFill="1" applyBorder="1" applyAlignment="1" applyProtection="1">
      <alignment horizontal="left"/>
      <protection hidden="1"/>
    </xf>
    <xf numFmtId="43" fontId="170" fillId="50" borderId="13" xfId="698" applyFont="1" applyFill="1" applyBorder="1" applyAlignment="1" applyProtection="1">
      <alignment horizontal="left"/>
      <protection hidden="1"/>
    </xf>
    <xf numFmtId="44" fontId="3" fillId="48" borderId="13" xfId="700" applyFont="1" applyFill="1" applyBorder="1" applyAlignment="1" applyProtection="1">
      <alignment horizontal="center"/>
      <protection locked="0"/>
    </xf>
    <xf numFmtId="0" fontId="173" fillId="48" borderId="9" xfId="8733" applyFont="1" applyFill="1" applyBorder="1" applyAlignment="1">
      <alignment horizontal="center"/>
    </xf>
    <xf numFmtId="0" fontId="173" fillId="48" borderId="6" xfId="8733" applyFont="1" applyFill="1" applyBorder="1" applyAlignment="1">
      <alignment horizontal="center"/>
    </xf>
    <xf numFmtId="0" fontId="173" fillId="48" borderId="82" xfId="8733" applyFont="1" applyFill="1" applyBorder="1" applyAlignment="1">
      <alignment horizontal="center"/>
    </xf>
    <xf numFmtId="0" fontId="175" fillId="48" borderId="11" xfId="8733" applyFont="1" applyFill="1" applyBorder="1" applyAlignment="1" applyProtection="1">
      <alignment horizontal="left"/>
      <protection locked="0"/>
    </xf>
    <xf numFmtId="0" fontId="3" fillId="48" borderId="1" xfId="8733" applyFill="1" applyBorder="1" applyAlignment="1">
      <alignment horizontal="center"/>
    </xf>
    <xf numFmtId="0" fontId="3" fillId="48" borderId="2" xfId="8733" applyFill="1" applyBorder="1" applyAlignment="1">
      <alignment horizontal="center"/>
    </xf>
    <xf numFmtId="0" fontId="3" fillId="48" borderId="112" xfId="8733" applyFill="1" applyBorder="1" applyAlignment="1">
      <alignment horizontal="center"/>
    </xf>
    <xf numFmtId="0" fontId="175" fillId="48" borderId="72" xfId="8733" applyFont="1" applyFill="1" applyBorder="1" applyAlignment="1" applyProtection="1">
      <alignment horizontal="center"/>
      <protection locked="0"/>
    </xf>
    <xf numFmtId="43" fontId="170" fillId="50" borderId="72" xfId="698" applyFont="1" applyFill="1" applyBorder="1" applyAlignment="1" applyProtection="1">
      <alignment horizontal="left" wrapText="1"/>
      <protection hidden="1"/>
    </xf>
    <xf numFmtId="43" fontId="170" fillId="50" borderId="11" xfId="698" applyFont="1" applyFill="1" applyBorder="1" applyAlignment="1" applyProtection="1">
      <alignment horizontal="left" wrapText="1"/>
      <protection hidden="1"/>
    </xf>
    <xf numFmtId="44" fontId="3" fillId="48" borderId="11" xfId="700" applyFont="1" applyFill="1" applyBorder="1" applyAlignment="1" applyProtection="1">
      <alignment horizontal="center"/>
      <protection hidden="1"/>
    </xf>
    <xf numFmtId="0" fontId="175" fillId="45" borderId="67" xfId="8733" applyFont="1" applyFill="1" applyBorder="1" applyAlignment="1">
      <alignment horizontal="right"/>
    </xf>
    <xf numFmtId="0" fontId="175" fillId="45" borderId="68" xfId="8733" applyFont="1" applyFill="1" applyBorder="1" applyAlignment="1">
      <alignment horizontal="right"/>
    </xf>
    <xf numFmtId="168" fontId="170" fillId="44" borderId="68" xfId="700" applyNumberFormat="1" applyFont="1" applyFill="1" applyBorder="1" applyAlignment="1">
      <alignment horizontal="left"/>
    </xf>
    <xf numFmtId="168" fontId="170" fillId="44" borderId="71" xfId="700" applyNumberFormat="1" applyFont="1" applyFill="1" applyBorder="1" applyAlignment="1">
      <alignment horizontal="left"/>
    </xf>
    <xf numFmtId="0" fontId="172" fillId="48" borderId="66" xfId="8733" applyFont="1" applyFill="1" applyBorder="1" applyAlignment="1">
      <alignment horizontal="left" wrapText="1"/>
    </xf>
    <xf numFmtId="0" fontId="172" fillId="48" borderId="0" xfId="8733" applyFont="1" applyFill="1" applyAlignment="1">
      <alignment horizontal="left" wrapText="1"/>
    </xf>
    <xf numFmtId="0" fontId="172" fillId="48" borderId="41" xfId="8733" applyFont="1" applyFill="1" applyBorder="1" applyAlignment="1">
      <alignment horizontal="left" wrapText="1"/>
    </xf>
    <xf numFmtId="0" fontId="172" fillId="48" borderId="73" xfId="8733" applyFont="1" applyFill="1" applyBorder="1" applyAlignment="1">
      <alignment horizontal="left" wrapText="1"/>
    </xf>
    <xf numFmtId="0" fontId="172" fillId="48" borderId="42" xfId="8733" applyFont="1" applyFill="1" applyBorder="1" applyAlignment="1">
      <alignment horizontal="left" wrapText="1"/>
    </xf>
    <xf numFmtId="0" fontId="172" fillId="48" borderId="44" xfId="8733" applyFont="1" applyFill="1" applyBorder="1" applyAlignment="1">
      <alignment horizontal="left" wrapText="1"/>
    </xf>
    <xf numFmtId="0" fontId="174" fillId="45" borderId="69" xfId="8733" applyFont="1" applyFill="1" applyBorder="1" applyAlignment="1">
      <alignment horizontal="right"/>
    </xf>
    <xf numFmtId="0" fontId="174" fillId="45" borderId="70" xfId="8733" applyFont="1" applyFill="1" applyBorder="1" applyAlignment="1">
      <alignment horizontal="right"/>
    </xf>
    <xf numFmtId="0" fontId="166" fillId="44" borderId="70" xfId="700" applyNumberFormat="1" applyFont="1" applyFill="1" applyBorder="1" applyAlignment="1">
      <alignment horizontal="left"/>
    </xf>
    <xf numFmtId="168" fontId="166" fillId="44" borderId="70" xfId="700" applyNumberFormat="1" applyFont="1" applyFill="1" applyBorder="1" applyAlignment="1">
      <alignment horizontal="left"/>
    </xf>
    <xf numFmtId="168" fontId="166" fillId="44" borderId="77" xfId="700" applyNumberFormat="1" applyFont="1" applyFill="1" applyBorder="1" applyAlignment="1">
      <alignment horizontal="left"/>
    </xf>
    <xf numFmtId="0" fontId="167" fillId="47" borderId="0" xfId="8733" applyFont="1" applyFill="1" applyAlignment="1">
      <alignment horizontal="right"/>
    </xf>
    <xf numFmtId="168" fontId="171" fillId="47" borderId="0" xfId="700" applyNumberFormat="1" applyFont="1" applyFill="1" applyBorder="1" applyAlignment="1" applyProtection="1">
      <alignment horizontal="left"/>
      <protection locked="0"/>
    </xf>
    <xf numFmtId="0" fontId="173" fillId="48" borderId="87" xfId="8733" applyFont="1" applyFill="1" applyBorder="1" applyAlignment="1" applyProtection="1">
      <alignment horizontal="center"/>
      <protection locked="0"/>
    </xf>
    <xf numFmtId="0" fontId="173" fillId="48" borderId="86" xfId="8733" applyFont="1" applyFill="1" applyBorder="1" applyAlignment="1" applyProtection="1">
      <alignment horizontal="center"/>
      <protection locked="0"/>
    </xf>
    <xf numFmtId="0" fontId="175" fillId="48" borderId="70" xfId="8733" applyFont="1" applyFill="1" applyBorder="1" applyAlignment="1" applyProtection="1">
      <alignment horizontal="left"/>
      <protection locked="0"/>
    </xf>
    <xf numFmtId="0" fontId="175" fillId="48" borderId="77" xfId="8733" applyFont="1" applyFill="1" applyBorder="1" applyAlignment="1" applyProtection="1">
      <alignment horizontal="left"/>
      <protection locked="0"/>
    </xf>
    <xf numFmtId="168" fontId="173" fillId="48" borderId="86" xfId="700" applyNumberFormat="1" applyFont="1" applyFill="1" applyBorder="1" applyAlignment="1" applyProtection="1">
      <alignment horizontal="left"/>
      <protection locked="0"/>
    </xf>
    <xf numFmtId="168" fontId="173" fillId="48" borderId="85" xfId="700" applyNumberFormat="1" applyFont="1" applyFill="1" applyBorder="1" applyAlignment="1" applyProtection="1">
      <alignment horizontal="left"/>
      <protection locked="0"/>
    </xf>
    <xf numFmtId="0" fontId="173" fillId="48" borderId="87" xfId="8733" applyFont="1" applyFill="1" applyBorder="1" applyAlignment="1" applyProtection="1">
      <alignment horizontal="left"/>
      <protection locked="0"/>
    </xf>
    <xf numFmtId="0" fontId="173" fillId="48" borderId="86" xfId="8733" applyFont="1" applyFill="1" applyBorder="1" applyAlignment="1" applyProtection="1">
      <alignment horizontal="left"/>
      <protection locked="0"/>
    </xf>
    <xf numFmtId="0" fontId="173" fillId="48" borderId="85" xfId="8733" applyFont="1" applyFill="1" applyBorder="1" applyAlignment="1" applyProtection="1">
      <alignment horizontal="left"/>
      <protection locked="0"/>
    </xf>
    <xf numFmtId="0" fontId="103" fillId="48" borderId="80" xfId="8733" applyFont="1" applyFill="1" applyBorder="1" applyAlignment="1">
      <alignment horizontal="left"/>
    </xf>
    <xf numFmtId="0" fontId="103" fillId="48" borderId="79" xfId="8733" applyFont="1" applyFill="1" applyBorder="1" applyAlignment="1">
      <alignment horizontal="left"/>
    </xf>
    <xf numFmtId="44" fontId="3" fillId="48" borderId="84" xfId="700" applyFont="1" applyFill="1" applyBorder="1" applyAlignment="1" applyProtection="1">
      <alignment horizontal="center"/>
      <protection locked="0"/>
    </xf>
    <xf numFmtId="0" fontId="173" fillId="45" borderId="11" xfId="8733" applyFont="1" applyFill="1" applyBorder="1" applyAlignment="1">
      <alignment horizontal="left"/>
    </xf>
    <xf numFmtId="182" fontId="3" fillId="48" borderId="11" xfId="700" applyNumberFormat="1" applyFont="1" applyFill="1" applyBorder="1" applyAlignment="1" applyProtection="1">
      <alignment horizontal="center"/>
      <protection locked="0"/>
    </xf>
    <xf numFmtId="10" fontId="173" fillId="48" borderId="11" xfId="1022" applyNumberFormat="1" applyFont="1" applyFill="1" applyBorder="1" applyAlignment="1" applyProtection="1">
      <alignment horizontal="center"/>
      <protection locked="0"/>
    </xf>
    <xf numFmtId="182" fontId="3" fillId="0" borderId="13" xfId="8733" applyNumberFormat="1" applyBorder="1" applyAlignment="1">
      <alignment horizontal="center"/>
    </xf>
    <xf numFmtId="0" fontId="3" fillId="0" borderId="13" xfId="8733" applyBorder="1" applyAlignment="1">
      <alignment horizontal="center"/>
    </xf>
    <xf numFmtId="0" fontId="166" fillId="45" borderId="80" xfId="0" applyFont="1" applyFill="1" applyBorder="1" applyAlignment="1" applyProtection="1">
      <alignment horizontal="center" wrapText="1"/>
      <protection hidden="1"/>
    </xf>
    <xf numFmtId="0" fontId="166" fillId="45" borderId="79" xfId="0" applyFont="1" applyFill="1" applyBorder="1" applyAlignment="1" applyProtection="1">
      <alignment horizontal="center" wrapText="1"/>
      <protection hidden="1"/>
    </xf>
    <xf numFmtId="0" fontId="166" fillId="45" borderId="78" xfId="0" applyFont="1" applyFill="1" applyBorder="1" applyAlignment="1" applyProtection="1">
      <alignment horizontal="center" wrapText="1"/>
      <protection hidden="1"/>
    </xf>
    <xf numFmtId="0" fontId="166" fillId="45" borderId="13" xfId="0" applyFont="1" applyFill="1" applyBorder="1" applyAlignment="1" applyProtection="1">
      <alignment horizontal="left" wrapText="1"/>
      <protection hidden="1"/>
    </xf>
    <xf numFmtId="0" fontId="166" fillId="45" borderId="13" xfId="0" applyFont="1" applyFill="1" applyBorder="1" applyAlignment="1" applyProtection="1">
      <alignment horizontal="center" wrapText="1"/>
      <protection hidden="1"/>
    </xf>
    <xf numFmtId="0" fontId="172" fillId="45" borderId="11" xfId="8733" applyFont="1" applyFill="1" applyBorder="1" applyAlignment="1">
      <alignment horizontal="left" wrapText="1"/>
    </xf>
    <xf numFmtId="43" fontId="167" fillId="45" borderId="80" xfId="698" applyFont="1" applyFill="1" applyBorder="1" applyAlignment="1" applyProtection="1">
      <alignment horizontal="center"/>
      <protection hidden="1"/>
    </xf>
    <xf numFmtId="43" fontId="167" fillId="45" borderId="79" xfId="698" applyFont="1" applyFill="1" applyBorder="1" applyAlignment="1" applyProtection="1">
      <alignment horizontal="center"/>
      <protection hidden="1"/>
    </xf>
    <xf numFmtId="43" fontId="167" fillId="45" borderId="78" xfId="698" applyFont="1" applyFill="1" applyBorder="1" applyAlignment="1" applyProtection="1">
      <alignment horizontal="center"/>
      <protection hidden="1"/>
    </xf>
    <xf numFmtId="43" fontId="171" fillId="49" borderId="66" xfId="698" applyFont="1" applyFill="1" applyBorder="1" applyAlignment="1" applyProtection="1">
      <alignment horizontal="center" wrapText="1"/>
      <protection hidden="1"/>
    </xf>
    <xf numFmtId="43" fontId="171" fillId="49" borderId="0" xfId="698" applyFont="1" applyFill="1" applyBorder="1" applyAlignment="1" applyProtection="1">
      <alignment horizontal="center" wrapText="1"/>
      <protection hidden="1"/>
    </xf>
    <xf numFmtId="43" fontId="171" fillId="49" borderId="12" xfId="698" applyFont="1" applyFill="1" applyBorder="1" applyAlignment="1" applyProtection="1">
      <alignment horizontal="center" wrapText="1"/>
      <protection hidden="1"/>
    </xf>
    <xf numFmtId="43" fontId="171" fillId="49" borderId="83" xfId="698" applyFont="1" applyFill="1" applyBorder="1" applyAlignment="1" applyProtection="1">
      <alignment horizontal="center" wrapText="1"/>
      <protection hidden="1"/>
    </xf>
    <xf numFmtId="43" fontId="171" fillId="49" borderId="6" xfId="698" applyFont="1" applyFill="1" applyBorder="1" applyAlignment="1" applyProtection="1">
      <alignment horizontal="center" wrapText="1"/>
      <protection hidden="1"/>
    </xf>
    <xf numFmtId="43" fontId="171" fillId="49" borderId="10" xfId="698" applyFont="1" applyFill="1" applyBorder="1" applyAlignment="1" applyProtection="1">
      <alignment horizontal="center" wrapText="1"/>
      <protection hidden="1"/>
    </xf>
    <xf numFmtId="43" fontId="171" fillId="49" borderId="8" xfId="698" applyFont="1" applyFill="1" applyBorder="1" applyAlignment="1" applyProtection="1">
      <alignment horizontal="center" wrapText="1"/>
      <protection hidden="1"/>
    </xf>
    <xf numFmtId="43" fontId="171" fillId="49" borderId="9" xfId="698" applyFont="1" applyFill="1" applyBorder="1" applyAlignment="1" applyProtection="1">
      <alignment horizontal="center" wrapText="1"/>
      <protection hidden="1"/>
    </xf>
    <xf numFmtId="14" fontId="171" fillId="0" borderId="8" xfId="700" applyNumberFormat="1" applyFont="1" applyFill="1" applyBorder="1" applyAlignment="1" applyProtection="1">
      <alignment horizontal="center" wrapText="1"/>
      <protection hidden="1"/>
    </xf>
    <xf numFmtId="14" fontId="171" fillId="0" borderId="0" xfId="700" applyNumberFormat="1" applyFont="1" applyFill="1" applyBorder="1" applyAlignment="1" applyProtection="1">
      <alignment horizontal="center" wrapText="1"/>
      <protection hidden="1"/>
    </xf>
    <xf numFmtId="14" fontId="171" fillId="0" borderId="12" xfId="700" applyNumberFormat="1" applyFont="1" applyFill="1" applyBorder="1" applyAlignment="1" applyProtection="1">
      <alignment horizontal="center" wrapText="1"/>
      <protection hidden="1"/>
    </xf>
    <xf numFmtId="14" fontId="171" fillId="0" borderId="9" xfId="700" applyNumberFormat="1" applyFont="1" applyFill="1" applyBorder="1" applyAlignment="1" applyProtection="1">
      <alignment horizontal="center" wrapText="1"/>
      <protection hidden="1"/>
    </xf>
    <xf numFmtId="14" fontId="171" fillId="0" borderId="6" xfId="700" applyNumberFormat="1" applyFont="1" applyFill="1" applyBorder="1" applyAlignment="1" applyProtection="1">
      <alignment horizontal="center" wrapText="1"/>
      <protection hidden="1"/>
    </xf>
    <xf numFmtId="14" fontId="171" fillId="0" borderId="10" xfId="700" applyNumberFormat="1" applyFont="1" applyFill="1" applyBorder="1" applyAlignment="1" applyProtection="1">
      <alignment horizontal="center" wrapText="1"/>
      <protection hidden="1"/>
    </xf>
    <xf numFmtId="44" fontId="171" fillId="0" borderId="8" xfId="700" applyFont="1" applyBorder="1" applyAlignment="1" applyProtection="1">
      <alignment horizontal="center" wrapText="1"/>
      <protection hidden="1"/>
    </xf>
    <xf numFmtId="44" fontId="171" fillId="0" borderId="0" xfId="700" applyFont="1" applyBorder="1" applyAlignment="1" applyProtection="1">
      <alignment horizontal="center" wrapText="1"/>
      <protection hidden="1"/>
    </xf>
    <xf numFmtId="44" fontId="171" fillId="0" borderId="12" xfId="700" applyFont="1" applyBorder="1" applyAlignment="1" applyProtection="1">
      <alignment horizontal="center" wrapText="1"/>
      <protection hidden="1"/>
    </xf>
    <xf numFmtId="44" fontId="171" fillId="0" borderId="9" xfId="700" applyFont="1" applyBorder="1" applyAlignment="1" applyProtection="1">
      <alignment horizontal="center" wrapText="1"/>
      <protection hidden="1"/>
    </xf>
    <xf numFmtId="44" fontId="171" fillId="0" borderId="6" xfId="700" applyFont="1" applyBorder="1" applyAlignment="1" applyProtection="1">
      <alignment horizontal="center" wrapText="1"/>
      <protection hidden="1"/>
    </xf>
    <xf numFmtId="44" fontId="171" fillId="0" borderId="10" xfId="700" applyFont="1" applyBorder="1" applyAlignment="1" applyProtection="1">
      <alignment horizontal="center" wrapText="1"/>
      <protection hidden="1"/>
    </xf>
    <xf numFmtId="43" fontId="171" fillId="49" borderId="41" xfId="698" applyFont="1" applyFill="1" applyBorder="1" applyAlignment="1" applyProtection="1">
      <alignment horizontal="center" wrapText="1"/>
      <protection hidden="1"/>
    </xf>
    <xf numFmtId="43" fontId="171" fillId="49" borderId="82" xfId="698" applyFont="1" applyFill="1" applyBorder="1" applyAlignment="1" applyProtection="1">
      <alignment horizontal="center" wrapText="1"/>
      <protection hidden="1"/>
    </xf>
    <xf numFmtId="0" fontId="169" fillId="50" borderId="3" xfId="698" applyNumberFormat="1" applyFont="1" applyFill="1" applyBorder="1" applyAlignment="1" applyProtection="1">
      <alignment horizontal="center"/>
      <protection locked="0"/>
    </xf>
    <xf numFmtId="0" fontId="169" fillId="50" borderId="4" xfId="698" applyNumberFormat="1" applyFont="1" applyFill="1" applyBorder="1" applyAlignment="1" applyProtection="1">
      <alignment horizontal="center"/>
      <protection locked="0"/>
    </xf>
    <xf numFmtId="0" fontId="169" fillId="50" borderId="81" xfId="698" applyNumberFormat="1" applyFont="1" applyFill="1" applyBorder="1" applyAlignment="1" applyProtection="1">
      <alignment horizontal="center"/>
      <protection locked="0"/>
    </xf>
    <xf numFmtId="0" fontId="170" fillId="49" borderId="72" xfId="698" applyNumberFormat="1" applyFont="1" applyFill="1" applyBorder="1" applyAlignment="1" applyProtection="1">
      <alignment horizontal="center"/>
      <protection hidden="1"/>
    </xf>
    <xf numFmtId="0" fontId="170" fillId="49" borderId="11" xfId="698" applyNumberFormat="1" applyFont="1" applyFill="1" applyBorder="1" applyAlignment="1" applyProtection="1">
      <alignment horizontal="center"/>
      <protection hidden="1"/>
    </xf>
    <xf numFmtId="0" fontId="170" fillId="48" borderId="11" xfId="0" applyFont="1" applyFill="1" applyBorder="1" applyAlignment="1" applyProtection="1">
      <alignment horizontal="center"/>
      <protection locked="0"/>
    </xf>
    <xf numFmtId="14" fontId="169" fillId="48" borderId="11" xfId="700" applyNumberFormat="1" applyFont="1" applyFill="1" applyBorder="1" applyAlignment="1" applyProtection="1">
      <alignment horizontal="center"/>
      <protection locked="0"/>
    </xf>
    <xf numFmtId="168" fontId="170" fillId="48" borderId="11" xfId="700" applyNumberFormat="1" applyFont="1" applyFill="1" applyBorder="1" applyAlignment="1" applyProtection="1">
      <alignment horizontal="center"/>
      <protection locked="0"/>
    </xf>
    <xf numFmtId="9" fontId="170" fillId="48" borderId="11" xfId="1022" applyFont="1" applyFill="1" applyBorder="1" applyAlignment="1" applyProtection="1">
      <alignment horizontal="center"/>
      <protection locked="0"/>
    </xf>
    <xf numFmtId="44" fontId="169" fillId="48" borderId="11" xfId="700" applyFont="1" applyFill="1" applyBorder="1" applyAlignment="1" applyProtection="1">
      <alignment horizontal="center"/>
      <protection locked="0"/>
    </xf>
    <xf numFmtId="0" fontId="168" fillId="47" borderId="65" xfId="8733" applyFont="1" applyFill="1" applyBorder="1" applyAlignment="1">
      <alignment horizontal="center"/>
    </xf>
    <xf numFmtId="0" fontId="168" fillId="47" borderId="29" xfId="8733" applyFont="1" applyFill="1" applyBorder="1" applyAlignment="1">
      <alignment horizontal="center"/>
    </xf>
    <xf numFmtId="0" fontId="168" fillId="47" borderId="31" xfId="8733" applyFont="1" applyFill="1" applyBorder="1" applyAlignment="1">
      <alignment horizontal="center"/>
    </xf>
    <xf numFmtId="0" fontId="3" fillId="47" borderId="66" xfId="8733" applyFill="1" applyBorder="1" applyAlignment="1">
      <alignment horizontal="center"/>
    </xf>
    <xf numFmtId="0" fontId="3" fillId="47" borderId="0" xfId="8733" applyFill="1" applyAlignment="1">
      <alignment horizontal="center"/>
    </xf>
    <xf numFmtId="0" fontId="3" fillId="47" borderId="41" xfId="8733" applyFill="1" applyBorder="1" applyAlignment="1">
      <alignment horizontal="center"/>
    </xf>
    <xf numFmtId="0" fontId="167" fillId="47" borderId="66" xfId="8733" applyFont="1" applyFill="1" applyBorder="1" applyAlignment="1">
      <alignment horizontal="center"/>
    </xf>
    <xf numFmtId="0" fontId="167" fillId="47" borderId="0" xfId="8733" applyFont="1" applyFill="1" applyAlignment="1">
      <alignment horizontal="center"/>
    </xf>
    <xf numFmtId="0" fontId="167" fillId="47" borderId="41" xfId="8733" applyFont="1" applyFill="1" applyBorder="1" applyAlignment="1">
      <alignment horizontal="center"/>
    </xf>
    <xf numFmtId="0" fontId="103" fillId="47" borderId="66" xfId="8733" applyFont="1" applyFill="1" applyBorder="1" applyAlignment="1">
      <alignment horizontal="center"/>
    </xf>
    <xf numFmtId="0" fontId="103" fillId="47" borderId="41" xfId="8733" applyFont="1" applyFill="1" applyBorder="1" applyAlignment="1">
      <alignment horizontal="center"/>
    </xf>
    <xf numFmtId="0" fontId="103" fillId="47" borderId="0" xfId="8733" applyFont="1" applyFill="1" applyAlignment="1">
      <alignment horizontal="left"/>
    </xf>
    <xf numFmtId="43" fontId="167" fillId="49" borderId="72" xfId="698" applyFont="1" applyFill="1" applyBorder="1" applyAlignment="1" applyProtection="1">
      <alignment horizontal="right"/>
      <protection hidden="1"/>
    </xf>
    <xf numFmtId="43" fontId="167" fillId="49" borderId="11" xfId="698" applyFont="1" applyFill="1" applyBorder="1" applyAlignment="1" applyProtection="1">
      <alignment horizontal="right"/>
      <protection hidden="1"/>
    </xf>
    <xf numFmtId="44" fontId="167" fillId="0" borderId="11" xfId="700" applyFont="1" applyBorder="1" applyAlignment="1" applyProtection="1">
      <alignment horizontal="center"/>
      <protection hidden="1"/>
    </xf>
    <xf numFmtId="168" fontId="167" fillId="0" borderId="11" xfId="700" applyNumberFormat="1" applyFont="1" applyBorder="1" applyAlignment="1" applyProtection="1">
      <alignment horizontal="center"/>
      <protection hidden="1"/>
    </xf>
    <xf numFmtId="9" fontId="167" fillId="0" borderId="11" xfId="4494" applyFont="1" applyBorder="1" applyAlignment="1" applyProtection="1">
      <alignment horizontal="center"/>
      <protection hidden="1"/>
    </xf>
    <xf numFmtId="43" fontId="167" fillId="49" borderId="3" xfId="698" applyFont="1" applyFill="1" applyBorder="1" applyAlignment="1" applyProtection="1">
      <alignment horizontal="center"/>
      <protection hidden="1"/>
    </xf>
    <xf numFmtId="43" fontId="167" fillId="49" borderId="4" xfId="698" applyFont="1" applyFill="1" applyBorder="1" applyAlignment="1" applyProtection="1">
      <alignment horizontal="center"/>
      <protection hidden="1"/>
    </xf>
    <xf numFmtId="43" fontId="167" fillId="49" borderId="81" xfId="698" applyFont="1" applyFill="1" applyBorder="1" applyAlignment="1" applyProtection="1">
      <alignment horizontal="center"/>
      <protection hidden="1"/>
    </xf>
    <xf numFmtId="0" fontId="103" fillId="44" borderId="0" xfId="8733" applyFont="1" applyFill="1" applyAlignment="1">
      <alignment horizontal="left"/>
    </xf>
    <xf numFmtId="0" fontId="3" fillId="48" borderId="80" xfId="8733" applyFill="1" applyBorder="1" applyAlignment="1" applyProtection="1">
      <alignment horizontal="left"/>
      <protection locked="0"/>
    </xf>
    <xf numFmtId="0" fontId="3" fillId="48" borderId="79" xfId="8733" applyFill="1" applyBorder="1" applyAlignment="1" applyProtection="1">
      <alignment horizontal="left"/>
      <protection locked="0"/>
    </xf>
    <xf numFmtId="0" fontId="3" fillId="48" borderId="78" xfId="8733" applyFill="1" applyBorder="1" applyAlignment="1" applyProtection="1">
      <alignment horizontal="left"/>
      <protection locked="0"/>
    </xf>
    <xf numFmtId="0" fontId="166" fillId="44" borderId="0" xfId="8733" applyFont="1" applyFill="1" applyAlignment="1">
      <alignment horizontal="left" vertical="top"/>
    </xf>
    <xf numFmtId="0" fontId="103" fillId="44" borderId="0" xfId="8730" applyFont="1" applyFill="1" applyBorder="1" applyAlignment="1">
      <alignment horizontal="left" vertical="top"/>
    </xf>
    <xf numFmtId="14" fontId="3" fillId="48" borderId="80" xfId="8733" applyNumberFormat="1" applyFill="1" applyBorder="1" applyAlignment="1" applyProtection="1">
      <alignment horizontal="center"/>
      <protection locked="0"/>
    </xf>
    <xf numFmtId="14" fontId="3" fillId="48" borderId="79" xfId="8733" applyNumberFormat="1" applyFill="1" applyBorder="1" applyAlignment="1" applyProtection="1">
      <alignment horizontal="center"/>
      <protection locked="0"/>
    </xf>
    <xf numFmtId="14" fontId="3" fillId="48" borderId="78" xfId="8733" applyNumberFormat="1" applyFill="1" applyBorder="1" applyAlignment="1" applyProtection="1">
      <alignment horizontal="center"/>
      <protection locked="0"/>
    </xf>
    <xf numFmtId="0" fontId="167" fillId="47" borderId="0" xfId="8733" applyFont="1" applyFill="1" applyAlignment="1">
      <alignment horizontal="left" vertical="top" wrapText="1"/>
    </xf>
    <xf numFmtId="0" fontId="103" fillId="47" borderId="42" xfId="8733" applyFont="1" applyFill="1" applyBorder="1" applyAlignment="1">
      <alignment horizontal="center"/>
    </xf>
    <xf numFmtId="0" fontId="1" fillId="48" borderId="80" xfId="8733" applyFont="1" applyFill="1" applyBorder="1" applyAlignment="1" applyProtection="1">
      <alignment horizontal="center"/>
      <protection locked="0"/>
    </xf>
    <xf numFmtId="0" fontId="3" fillId="48" borderId="79" xfId="8733" applyFill="1" applyBorder="1" applyAlignment="1" applyProtection="1">
      <alignment horizontal="center"/>
      <protection locked="0"/>
    </xf>
    <xf numFmtId="0" fontId="3" fillId="48" borderId="78" xfId="8733" applyFill="1" applyBorder="1" applyAlignment="1" applyProtection="1">
      <alignment horizontal="center"/>
      <protection locked="0"/>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0" fontId="18" fillId="45" borderId="11" xfId="4495" applyFont="1"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168" fontId="18" fillId="0" borderId="0" xfId="1192" applyNumberFormat="1" applyAlignment="1">
      <alignment horizontal="right"/>
    </xf>
    <xf numFmtId="0" fontId="143" fillId="0" borderId="0" xfId="1192" applyFont="1" applyAlignment="1">
      <alignment horizontal="center"/>
    </xf>
    <xf numFmtId="168" fontId="18" fillId="43" borderId="6" xfId="543" applyNumberFormat="1" applyFill="1" applyBorder="1" applyAlignment="1" applyProtection="1">
      <alignment horizontal="center"/>
      <protection locked="0"/>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168" fontId="18" fillId="0" borderId="6" xfId="1192" applyNumberFormat="1" applyBorder="1" applyAlignment="1">
      <alignment horizontal="right"/>
    </xf>
    <xf numFmtId="168" fontId="18" fillId="0" borderId="4" xfId="1192" applyNumberFormat="1" applyBorder="1" applyAlignment="1">
      <alignment horizontal="right"/>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0" fontId="26" fillId="0" borderId="2" xfId="4495" applyNumberFormat="1" applyFont="1" applyBorder="1" applyAlignment="1">
      <alignment horizontal="center"/>
    </xf>
    <xf numFmtId="0" fontId="26" fillId="0" borderId="0" xfId="4495" applyFont="1" applyAlignment="1">
      <alignment horizontal="center"/>
    </xf>
    <xf numFmtId="9" fontId="26" fillId="5" borderId="6" xfId="4495" applyNumberFormat="1" applyFont="1" applyFill="1" applyBorder="1" applyAlignment="1">
      <alignment horizontal="left"/>
    </xf>
    <xf numFmtId="0" fontId="131"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121" fillId="5" borderId="6"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18" fillId="5" borderId="6" xfId="4495" applyFont="1" applyFill="1" applyBorder="1" applyAlignment="1" applyProtection="1">
      <alignment horizontal="center" vertical="center" wrapText="1" shrinkToFit="1"/>
      <protection locked="0"/>
    </xf>
    <xf numFmtId="0" fontId="119" fillId="0" borderId="4" xfId="1192" applyFont="1" applyBorder="1" applyAlignment="1">
      <alignment horizontal="left"/>
    </xf>
    <xf numFmtId="0" fontId="143" fillId="0" borderId="6" xfId="1192" applyFont="1" applyBorder="1" applyAlignment="1">
      <alignment horizontal="center"/>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0" fontId="121" fillId="0" borderId="0" xfId="4495" applyAlignment="1">
      <alignment horizontal="center"/>
    </xf>
    <xf numFmtId="0" fontId="26" fillId="5" borderId="6" xfId="4495" applyFont="1" applyFill="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25" fillId="0" borderId="0" xfId="4495" applyFont="1" applyAlignment="1">
      <alignment horizontal="right"/>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21" fillId="0" borderId="53" xfId="4495" applyBorder="1" applyAlignment="1">
      <alignment horizontal="center"/>
    </xf>
    <xf numFmtId="0" fontId="26" fillId="5" borderId="0" xfId="4495" applyFont="1" applyFill="1" applyAlignment="1">
      <alignment horizontal="left" vertical="top"/>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25" fillId="0" borderId="3" xfId="4495" applyFont="1" applyBorder="1" applyAlignment="1">
      <alignment horizontal="left"/>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25" fillId="0" borderId="0" xfId="4495" applyFont="1" applyAlignment="1">
      <alignment horizontal="center"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54" fillId="0" borderId="51" xfId="4495" applyFont="1" applyBorder="1" applyAlignment="1">
      <alignment horizontal="left" wrapText="1"/>
    </xf>
    <xf numFmtId="0" fontId="54" fillId="0" borderId="0" xfId="4495" applyFont="1" applyAlignment="1">
      <alignment horizontal="left" wrapText="1"/>
    </xf>
    <xf numFmtId="0" fontId="25" fillId="0" borderId="54" xfId="4495" applyFont="1" applyBorder="1" applyAlignment="1">
      <alignment horizontal="center" vertical="top"/>
    </xf>
    <xf numFmtId="0" fontId="131"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8" fillId="0" borderId="0" xfId="0" applyFont="1" applyAlignment="1" applyProtection="1">
      <alignment horizontal="left"/>
      <protection locked="0"/>
    </xf>
    <xf numFmtId="168" fontId="157" fillId="0" borderId="0" xfId="0" applyNumberFormat="1" applyFont="1" applyAlignment="1">
      <alignment horizontal="center" vertical="top" wrapText="1"/>
    </xf>
    <xf numFmtId="168" fontId="157" fillId="0" borderId="12" xfId="0" applyNumberFormat="1" applyFont="1" applyBorder="1" applyAlignment="1">
      <alignment horizontal="center"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2" fontId="18" fillId="0" borderId="0" xfId="1192" applyNumberFormat="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0" fontId="18" fillId="0" borderId="6" xfId="1192" applyBorder="1" applyAlignment="1">
      <alignment horizontal="left"/>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0" fontId="123" fillId="5" borderId="6" xfId="4496" applyFont="1" applyFill="1" applyBorder="1" applyAlignment="1" applyProtection="1">
      <alignment horizontal="center"/>
      <protection locked="0"/>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43" borderId="55" xfId="4496" applyFont="1" applyFill="1" applyBorder="1" applyAlignment="1" applyProtection="1">
      <alignment horizontal="left" vertical="top" wrapText="1"/>
      <protection locked="0"/>
    </xf>
    <xf numFmtId="0" fontId="123" fillId="43" borderId="6" xfId="4496" applyFont="1" applyFill="1" applyBorder="1" applyAlignment="1" applyProtection="1">
      <alignment horizontal="left" vertical="top" wrapText="1"/>
      <protection locked="0"/>
    </xf>
    <xf numFmtId="0" fontId="123" fillId="43" borderId="56" xfId="4496" applyFont="1" applyFill="1" applyBorder="1" applyAlignment="1" applyProtection="1">
      <alignment horizontal="left" vertical="top" wrapText="1"/>
      <protection locked="0"/>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23" fillId="5" borderId="55" xfId="4496" applyFont="1" applyFill="1" applyBorder="1" applyAlignment="1" applyProtection="1">
      <alignment horizontal="center"/>
      <protection locked="0"/>
    </xf>
    <xf numFmtId="0" fontId="123" fillId="0" borderId="47" xfId="4496" applyFont="1" applyBorder="1"/>
    <xf numFmtId="0" fontId="123" fillId="0" borderId="48" xfId="4496" applyFont="1" applyBorder="1"/>
    <xf numFmtId="0" fontId="123" fillId="0" borderId="49" xfId="4496" applyFont="1" applyBorder="1"/>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8" fillId="45" borderId="3" xfId="4499" applyFont="1" applyFill="1" applyBorder="1" applyAlignment="1" applyProtection="1">
      <alignment horizontal="center" vertical="center"/>
    </xf>
    <xf numFmtId="9" fontId="138" fillId="45" borderId="4" xfId="4499" applyFont="1" applyFill="1" applyBorder="1" applyAlignment="1" applyProtection="1">
      <alignment horizontal="center" vertical="center"/>
    </xf>
    <xf numFmtId="9" fontId="138"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8" fillId="0" borderId="75" xfId="4496" applyFont="1" applyBorder="1" applyAlignment="1">
      <alignment horizontal="center" vertical="top" wrapText="1"/>
    </xf>
    <xf numFmtId="0" fontId="138"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168" fontId="99" fillId="0" borderId="13" xfId="4499" applyNumberFormat="1" applyFont="1" applyFill="1" applyBorder="1" applyAlignment="1" applyProtection="1">
      <alignment horizontal="left" vertical="center" indent="1"/>
    </xf>
    <xf numFmtId="168" fontId="99" fillId="0" borderId="11"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67" xfId="4496" applyFont="1" applyBorder="1" applyAlignment="1">
      <alignment horizontal="right"/>
    </xf>
    <xf numFmtId="0" fontId="99" fillId="0" borderId="68" xfId="4496" applyFont="1" applyBorder="1" applyAlignment="1">
      <alignment horizontal="right"/>
    </xf>
    <xf numFmtId="0" fontId="99" fillId="0" borderId="0" xfId="4496" applyFont="1" applyAlignment="1">
      <alignment horizontal="left" wrapText="1" indent="1"/>
    </xf>
    <xf numFmtId="49" fontId="137"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8" fillId="45" borderId="3" xfId="4496" applyFont="1" applyFill="1" applyBorder="1" applyAlignment="1">
      <alignment horizontal="center" vertical="center"/>
    </xf>
    <xf numFmtId="0" fontId="138" fillId="45" borderId="4" xfId="4496" applyFont="1" applyFill="1" applyBorder="1" applyAlignment="1">
      <alignment horizontal="center" vertical="center"/>
    </xf>
    <xf numFmtId="0" fontId="138" fillId="45" borderId="5" xfId="4496" applyFont="1" applyFill="1" applyBorder="1" applyAlignment="1">
      <alignment horizontal="center" vertical="center"/>
    </xf>
    <xf numFmtId="0" fontId="138"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0" fontId="99" fillId="0" borderId="72" xfId="4496" applyFont="1" applyBorder="1" applyAlignment="1">
      <alignment horizontal="right"/>
    </xf>
    <xf numFmtId="0" fontId="99" fillId="0" borderId="11"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99" fillId="0" borderId="11" xfId="4496" applyFont="1" applyBorder="1"/>
    <xf numFmtId="0" fontId="99" fillId="0" borderId="76" xfId="4496" applyFont="1" applyBorder="1"/>
    <xf numFmtId="0" fontId="99" fillId="0" borderId="70" xfId="4496" applyFont="1" applyBorder="1"/>
    <xf numFmtId="0" fontId="99" fillId="0" borderId="77" xfId="4496" applyFont="1" applyBorder="1"/>
    <xf numFmtId="0" fontId="99" fillId="0" borderId="68" xfId="4496" applyFont="1" applyBorder="1"/>
    <xf numFmtId="0" fontId="99" fillId="0" borderId="71" xfId="4496" applyFont="1" applyBorder="1"/>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25632">
    <cellStyle name="20% - Accent1" xfId="1" builtinId="30" customBuiltin="1"/>
    <cellStyle name="20% - Accent1 10" xfId="4504" xr:uid="{00000000-0005-0000-0000-000001000000}"/>
    <cellStyle name="20% - Accent1 10 2" xfId="21402" xr:uid="{88E760B7-A281-4579-84C3-5F62DCEAABD3}"/>
    <cellStyle name="20% - Accent1 10 3" xfId="12954" xr:uid="{895C4A88-11EA-4991-A910-357D433EFA91}"/>
    <cellStyle name="20% - Accent1 11" xfId="17184" xr:uid="{66332244-7BD7-43A7-8321-3A18B08FB87E}"/>
    <cellStyle name="20% - Accent1 12" xfId="8736" xr:uid="{349AB853-0EB4-40B5-AFCE-4FA74650CBC0}"/>
    <cellStyle name="20% - Accent1 2" xfId="2" xr:uid="{00000000-0005-0000-0000-000002000000}"/>
    <cellStyle name="20% - Accent1 2 10" xfId="17185" xr:uid="{46005481-9BC9-4C11-A51C-86D47208113E}"/>
    <cellStyle name="20% - Accent1 2 11" xfId="8737" xr:uid="{6B962F2F-1DF2-4961-A7AD-99DA3793C84E}"/>
    <cellStyle name="20% - Accent1 2 2" xfId="3" xr:uid="{00000000-0005-0000-0000-000003000000}"/>
    <cellStyle name="20% - Accent1 2 2 10" xfId="8738" xr:uid="{B92EE663-1330-48E8-8B42-7D506275A497}"/>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23964" xr:uid="{5226F998-1772-4C15-9212-139728CE6075}"/>
    <cellStyle name="20% - Accent1 2 2 2 2 2 2 3" xfId="15516" xr:uid="{2CFDE008-A83E-4EBC-8D27-F871E61E8090}"/>
    <cellStyle name="20% - Accent1 2 2 2 2 2 3" xfId="19746" xr:uid="{EDD1866F-D75D-4C0E-A901-59BAB2F5940C}"/>
    <cellStyle name="20% - Accent1 2 2 2 2 2 4" xfId="11298" xr:uid="{D8733BAA-94AD-4B6A-983B-A8809B5327DD}"/>
    <cellStyle name="20% - Accent1 2 2 2 2 3" xfId="4921" xr:uid="{00000000-0005-0000-0000-000008000000}"/>
    <cellStyle name="20% - Accent1 2 2 2 2 3 2" xfId="21819" xr:uid="{888F05F2-613D-4005-889B-550DE7772E7B}"/>
    <cellStyle name="20% - Accent1 2 2 2 2 3 3" xfId="13371" xr:uid="{53D84B54-7BD6-4B3F-AEC6-0246DC6D153A}"/>
    <cellStyle name="20% - Accent1 2 2 2 2 4" xfId="17601" xr:uid="{BA0D5CF8-DB95-49DA-8173-79DA3088BB30}"/>
    <cellStyle name="20% - Accent1 2 2 2 2 5" xfId="9153" xr:uid="{1F94AFBF-3676-4254-8FC4-61E1704E57E2}"/>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24377" xr:uid="{33863B55-FF12-46FF-A8C3-0A345EA04B24}"/>
    <cellStyle name="20% - Accent1 2 2 2 3 2 2 3" xfId="15929" xr:uid="{79D8BAAD-3CC4-4927-AE8A-BF4AB3CBF165}"/>
    <cellStyle name="20% - Accent1 2 2 2 3 2 3" xfId="20159" xr:uid="{85660FA9-FDF1-42F6-82F9-8FC11B51AA8D}"/>
    <cellStyle name="20% - Accent1 2 2 2 3 2 4" xfId="11711" xr:uid="{6F307A2F-0524-4426-A70D-D66FADFD5D33}"/>
    <cellStyle name="20% - Accent1 2 2 2 3 3" xfId="5334" xr:uid="{00000000-0005-0000-0000-00000C000000}"/>
    <cellStyle name="20% - Accent1 2 2 2 3 3 2" xfId="22232" xr:uid="{321C8E41-1DFE-4E0C-8578-22F6397C482C}"/>
    <cellStyle name="20% - Accent1 2 2 2 3 3 3" xfId="13784" xr:uid="{3895B97A-AFC4-4E6D-BEE9-477721B6D585}"/>
    <cellStyle name="20% - Accent1 2 2 2 3 4" xfId="18014" xr:uid="{66545BF2-F199-4C73-B6F8-A310E9B56BB0}"/>
    <cellStyle name="20% - Accent1 2 2 2 3 5" xfId="9566" xr:uid="{ED5E9E18-2405-42F8-9604-946322B0721E}"/>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24790" xr:uid="{F431CF48-A168-43D1-B532-3D9B6CF19B61}"/>
    <cellStyle name="20% - Accent1 2 2 2 4 2 2 3" xfId="16342" xr:uid="{537A6C87-D841-404B-9E96-EE582F167038}"/>
    <cellStyle name="20% - Accent1 2 2 2 4 2 3" xfId="20572" xr:uid="{FABAFD77-44A3-4B02-945E-3F0B6B7D8A91}"/>
    <cellStyle name="20% - Accent1 2 2 2 4 2 4" xfId="12124" xr:uid="{2DB4B6F5-3F4D-4E18-BBAB-8DF1CD74ADCE}"/>
    <cellStyle name="20% - Accent1 2 2 2 4 3" xfId="5747" xr:uid="{00000000-0005-0000-0000-000010000000}"/>
    <cellStyle name="20% - Accent1 2 2 2 4 3 2" xfId="22645" xr:uid="{2C494C10-25B2-4F00-A9BA-8A9CEED608A2}"/>
    <cellStyle name="20% - Accent1 2 2 2 4 3 3" xfId="14197" xr:uid="{A3D8A05B-98A9-4865-B38D-B0C1165EC96E}"/>
    <cellStyle name="20% - Accent1 2 2 2 4 4" xfId="18427" xr:uid="{6E4F27BA-C4E3-49EB-83E3-50D434990E05}"/>
    <cellStyle name="20% - Accent1 2 2 2 4 5" xfId="9979" xr:uid="{26392E61-6749-405E-8382-2C63D8BB774A}"/>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25203" xr:uid="{2309B518-8192-42C7-885B-3C63A9A307E2}"/>
    <cellStyle name="20% - Accent1 2 2 2 5 2 2 3" xfId="16755" xr:uid="{54674765-D984-44C9-A2D7-81056BD13E37}"/>
    <cellStyle name="20% - Accent1 2 2 2 5 2 3" xfId="20985" xr:uid="{0D8BAD2F-E833-4FF3-89A4-A1751C333C53}"/>
    <cellStyle name="20% - Accent1 2 2 2 5 2 4" xfId="12537" xr:uid="{ACD780A8-E943-4ECE-91E1-96FC9BF86FF5}"/>
    <cellStyle name="20% - Accent1 2 2 2 5 3" xfId="6160" xr:uid="{00000000-0005-0000-0000-000014000000}"/>
    <cellStyle name="20% - Accent1 2 2 2 5 3 2" xfId="23058" xr:uid="{0EAFD38F-8372-46DF-BDDF-63E066FC33E1}"/>
    <cellStyle name="20% - Accent1 2 2 2 5 3 3" xfId="14610" xr:uid="{6F2BD09D-2BD4-438E-88E0-9244C6F53F41}"/>
    <cellStyle name="20% - Accent1 2 2 2 5 4" xfId="18840" xr:uid="{B2F130EA-89E5-4EFD-A146-4875DB4E71FE}"/>
    <cellStyle name="20% - Accent1 2 2 2 5 5" xfId="10392" xr:uid="{56DDC968-184D-4949-B245-1B951C974B25}"/>
    <cellStyle name="20% - Accent1 2 2 2 6" xfId="2267" xr:uid="{00000000-0005-0000-0000-000015000000}"/>
    <cellStyle name="20% - Accent1 2 2 2 6 2" xfId="6573" xr:uid="{00000000-0005-0000-0000-000016000000}"/>
    <cellStyle name="20% - Accent1 2 2 2 6 2 2" xfId="23471" xr:uid="{BF9A5E7C-1761-48E3-9EC7-8478F11D29EA}"/>
    <cellStyle name="20% - Accent1 2 2 2 6 2 3" xfId="15023" xr:uid="{D9F436E7-3389-407F-9150-DDBAC3252CF6}"/>
    <cellStyle name="20% - Accent1 2 2 2 6 3" xfId="19253" xr:uid="{9FCC0F62-EB4B-4FE6-9DE0-FD1F310E756D}"/>
    <cellStyle name="20% - Accent1 2 2 2 6 4" xfId="10805" xr:uid="{626AF04F-4239-4759-85FA-BCB4F8E8BBA6}"/>
    <cellStyle name="20% - Accent1 2 2 2 7" xfId="4507" xr:uid="{00000000-0005-0000-0000-000017000000}"/>
    <cellStyle name="20% - Accent1 2 2 2 7 2" xfId="21405" xr:uid="{0186A62B-7549-48E6-BC95-C09F78DFD19A}"/>
    <cellStyle name="20% - Accent1 2 2 2 7 3" xfId="12957" xr:uid="{C5EC24A8-6A88-458B-9D76-178E138DD955}"/>
    <cellStyle name="20% - Accent1 2 2 2 8" xfId="17187" xr:uid="{336C517C-A0DF-42ED-95EA-0FF65344E68F}"/>
    <cellStyle name="20% - Accent1 2 2 2 9" xfId="8739" xr:uid="{7365027C-5CF0-43A0-9DF2-060B5C7F96C2}"/>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23963" xr:uid="{FB162406-0322-48B3-9A52-7B8FF267609E}"/>
    <cellStyle name="20% - Accent1 2 2 3 2 2 3" xfId="15515" xr:uid="{71C4520D-2E98-424A-B808-9480384FD3B5}"/>
    <cellStyle name="20% - Accent1 2 2 3 2 3" xfId="19745" xr:uid="{3BE5D8B2-77F7-44DA-9219-D2C3583D3589}"/>
    <cellStyle name="20% - Accent1 2 2 3 2 4" xfId="11297" xr:uid="{E5AF7388-A22E-4026-853D-46B354332A58}"/>
    <cellStyle name="20% - Accent1 2 2 3 3" xfId="4920" xr:uid="{00000000-0005-0000-0000-00001B000000}"/>
    <cellStyle name="20% - Accent1 2 2 3 3 2" xfId="21818" xr:uid="{A9DB7E95-AD91-457F-BFAA-B80B9DCF388C}"/>
    <cellStyle name="20% - Accent1 2 2 3 3 3" xfId="13370" xr:uid="{D6FAAB54-8B27-4C3C-BCD6-974848EF2742}"/>
    <cellStyle name="20% - Accent1 2 2 3 4" xfId="17600" xr:uid="{40A1188F-0ECC-44FB-8E41-FBC713771205}"/>
    <cellStyle name="20% - Accent1 2 2 3 5" xfId="9152" xr:uid="{A62D0332-2F85-4DDB-98C5-CD75F52DEAC0}"/>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24376" xr:uid="{D2CB79DE-6882-4205-902F-243A3770D90F}"/>
    <cellStyle name="20% - Accent1 2 2 4 2 2 3" xfId="15928" xr:uid="{B15D3BA1-F358-4142-A018-C712A0FDF32A}"/>
    <cellStyle name="20% - Accent1 2 2 4 2 3" xfId="20158" xr:uid="{BF8047E0-7338-445D-BE8F-6226CF3B8FF0}"/>
    <cellStyle name="20% - Accent1 2 2 4 2 4" xfId="11710" xr:uid="{7174505F-F3BB-4D91-AE0C-33AFA3FFA2FA}"/>
    <cellStyle name="20% - Accent1 2 2 4 3" xfId="5333" xr:uid="{00000000-0005-0000-0000-00001F000000}"/>
    <cellStyle name="20% - Accent1 2 2 4 3 2" xfId="22231" xr:uid="{620EC873-AE3E-4B61-8122-6EE209C3D4EE}"/>
    <cellStyle name="20% - Accent1 2 2 4 3 3" xfId="13783" xr:uid="{5238D0F4-E2D2-4B85-A41E-7DB8E53F8F2F}"/>
    <cellStyle name="20% - Accent1 2 2 4 4" xfId="18013" xr:uid="{EB53EB27-D4E8-4BAC-93D2-2B961BBBA096}"/>
    <cellStyle name="20% - Accent1 2 2 4 5" xfId="9565" xr:uid="{1051B6A3-4D28-4C4D-9683-FAEE02CBDA76}"/>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24789" xr:uid="{369551AB-9D2A-4D5C-9A6B-DA13AB4E610B}"/>
    <cellStyle name="20% - Accent1 2 2 5 2 2 3" xfId="16341" xr:uid="{B424AC5B-B56F-4ED9-A77F-F05E77EFBE09}"/>
    <cellStyle name="20% - Accent1 2 2 5 2 3" xfId="20571" xr:uid="{73D7B451-2EFA-4CEB-BF6C-EFA6EC621925}"/>
    <cellStyle name="20% - Accent1 2 2 5 2 4" xfId="12123" xr:uid="{AE20CD19-3D1D-49C3-AA2F-4DF1F04BFCB6}"/>
    <cellStyle name="20% - Accent1 2 2 5 3" xfId="5746" xr:uid="{00000000-0005-0000-0000-000023000000}"/>
    <cellStyle name="20% - Accent1 2 2 5 3 2" xfId="22644" xr:uid="{E3F1A26A-1E7C-462F-9767-0CB197B169BD}"/>
    <cellStyle name="20% - Accent1 2 2 5 3 3" xfId="14196" xr:uid="{C22BB027-4F79-4E12-B463-78BCD639FA5E}"/>
    <cellStyle name="20% - Accent1 2 2 5 4" xfId="18426" xr:uid="{20158A44-5537-45B6-9F40-A2BAE190F49F}"/>
    <cellStyle name="20% - Accent1 2 2 5 5" xfId="9978" xr:uid="{83CB974C-78A0-4CFD-ABD9-E762B31556AE}"/>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25202" xr:uid="{32CA6DFE-D66A-4003-986D-D6EED1D8CB90}"/>
    <cellStyle name="20% - Accent1 2 2 6 2 2 3" xfId="16754" xr:uid="{03858624-114C-4352-ADF8-84957FCC3B0C}"/>
    <cellStyle name="20% - Accent1 2 2 6 2 3" xfId="20984" xr:uid="{23A41AFC-ED0C-44E3-BCAC-89142BB77500}"/>
    <cellStyle name="20% - Accent1 2 2 6 2 4" xfId="12536" xr:uid="{E2ABA2DE-0D3E-450B-B9EC-87E33159E3AF}"/>
    <cellStyle name="20% - Accent1 2 2 6 3" xfId="6159" xr:uid="{00000000-0005-0000-0000-000027000000}"/>
    <cellStyle name="20% - Accent1 2 2 6 3 2" xfId="23057" xr:uid="{59078A91-49B7-4DE0-9E4C-54E9B1E1BE75}"/>
    <cellStyle name="20% - Accent1 2 2 6 3 3" xfId="14609" xr:uid="{80A73D20-551A-4050-BEC5-67483BC72973}"/>
    <cellStyle name="20% - Accent1 2 2 6 4" xfId="18839" xr:uid="{D44CF4E0-DCC7-4ACB-A907-E3DC2FD2771A}"/>
    <cellStyle name="20% - Accent1 2 2 6 5" xfId="10391" xr:uid="{D83F1FA1-DA66-49DB-A438-C5C3F75CD7FC}"/>
    <cellStyle name="20% - Accent1 2 2 7" xfId="2266" xr:uid="{00000000-0005-0000-0000-000028000000}"/>
    <cellStyle name="20% - Accent1 2 2 7 2" xfId="6572" xr:uid="{00000000-0005-0000-0000-000029000000}"/>
    <cellStyle name="20% - Accent1 2 2 7 2 2" xfId="23470" xr:uid="{2193AE61-7E7C-4D28-A802-20FA48B708C5}"/>
    <cellStyle name="20% - Accent1 2 2 7 2 3" xfId="15022" xr:uid="{B86FA9CA-8994-4FA0-92BB-2C7B48EDF3E1}"/>
    <cellStyle name="20% - Accent1 2 2 7 3" xfId="19252" xr:uid="{06B41BE9-661A-4197-B374-0EFC1AC7AB95}"/>
    <cellStyle name="20% - Accent1 2 2 7 4" xfId="10804" xr:uid="{EE2C7E2D-F0B4-410B-BD97-0ABBA7AD968C}"/>
    <cellStyle name="20% - Accent1 2 2 8" xfId="4506" xr:uid="{00000000-0005-0000-0000-00002A000000}"/>
    <cellStyle name="20% - Accent1 2 2 8 2" xfId="21404" xr:uid="{827B2FA1-A2F1-4D34-A3EE-38A2E522E9B2}"/>
    <cellStyle name="20% - Accent1 2 2 8 3" xfId="12956" xr:uid="{AAE78139-5222-438D-8424-22B17C2522E0}"/>
    <cellStyle name="20% - Accent1 2 2 9" xfId="17186" xr:uid="{8596B779-0D7C-4C46-92E6-C6D00E120E1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23965" xr:uid="{9FEE79EA-D456-4101-95B0-B44E2664C6B5}"/>
    <cellStyle name="20% - Accent1 2 3 2 2 2 3" xfId="15517" xr:uid="{6655A7A2-F196-4B7B-A758-1CA0E8F6F7E8}"/>
    <cellStyle name="20% - Accent1 2 3 2 2 3" xfId="19747" xr:uid="{71FA6513-B0DF-4660-A39F-C797F4DB511D}"/>
    <cellStyle name="20% - Accent1 2 3 2 2 4" xfId="11299" xr:uid="{DDEA5E13-7A1B-4D79-833B-18691EB09C88}"/>
    <cellStyle name="20% - Accent1 2 3 2 3" xfId="4922" xr:uid="{00000000-0005-0000-0000-00002F000000}"/>
    <cellStyle name="20% - Accent1 2 3 2 3 2" xfId="21820" xr:uid="{C982CD4A-D2E9-468A-A8BA-D87009F6F3B4}"/>
    <cellStyle name="20% - Accent1 2 3 2 3 3" xfId="13372" xr:uid="{3AAF8A05-A5A6-4C6A-9231-E60733B2E0E2}"/>
    <cellStyle name="20% - Accent1 2 3 2 4" xfId="17602" xr:uid="{6770917E-64DF-4B61-926F-079BC08BDBAE}"/>
    <cellStyle name="20% - Accent1 2 3 2 5" xfId="9154" xr:uid="{B78367AF-CF05-4B29-A5D0-BEA115802380}"/>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24378" xr:uid="{BDF90EA5-DD52-4E51-AD48-A422A9701088}"/>
    <cellStyle name="20% - Accent1 2 3 3 2 2 3" xfId="15930" xr:uid="{466A311A-5BB8-469B-AA06-AD4DE7DB921A}"/>
    <cellStyle name="20% - Accent1 2 3 3 2 3" xfId="20160" xr:uid="{4DDECC6C-C114-429C-AACD-A65F84FBDAAD}"/>
    <cellStyle name="20% - Accent1 2 3 3 2 4" xfId="11712" xr:uid="{B102B7FC-3407-4E08-B7CE-9ED6A57B5C65}"/>
    <cellStyle name="20% - Accent1 2 3 3 3" xfId="5335" xr:uid="{00000000-0005-0000-0000-000033000000}"/>
    <cellStyle name="20% - Accent1 2 3 3 3 2" xfId="22233" xr:uid="{9697AF21-A527-4536-8B6A-89A1BA22A140}"/>
    <cellStyle name="20% - Accent1 2 3 3 3 3" xfId="13785" xr:uid="{2B5395A0-EE8C-4FF0-9FAD-A98790C9E9E7}"/>
    <cellStyle name="20% - Accent1 2 3 3 4" xfId="18015" xr:uid="{F42935EF-93BE-4005-A4FB-5B61138CF562}"/>
    <cellStyle name="20% - Accent1 2 3 3 5" xfId="9567" xr:uid="{3D98606D-C2E9-42D9-8D0A-8EA9C65B54F5}"/>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24791" xr:uid="{4BB91A44-6F94-4BB2-A307-DF16F3752348}"/>
    <cellStyle name="20% - Accent1 2 3 4 2 2 3" xfId="16343" xr:uid="{C3136B24-3354-4C10-9D29-52203FE9A342}"/>
    <cellStyle name="20% - Accent1 2 3 4 2 3" xfId="20573" xr:uid="{B93FB65D-1C82-485F-9B92-C49915901184}"/>
    <cellStyle name="20% - Accent1 2 3 4 2 4" xfId="12125" xr:uid="{0F0476B6-2972-459E-A5B6-A44903339448}"/>
    <cellStyle name="20% - Accent1 2 3 4 3" xfId="5748" xr:uid="{00000000-0005-0000-0000-000037000000}"/>
    <cellStyle name="20% - Accent1 2 3 4 3 2" xfId="22646" xr:uid="{0547CD49-0655-4255-84E7-EE593E77F8B0}"/>
    <cellStyle name="20% - Accent1 2 3 4 3 3" xfId="14198" xr:uid="{F61A8EC1-434E-43F6-80C4-1AB81CDCE781}"/>
    <cellStyle name="20% - Accent1 2 3 4 4" xfId="18428" xr:uid="{034E9491-B882-4BB1-BCAE-BF6179C495DB}"/>
    <cellStyle name="20% - Accent1 2 3 4 5" xfId="9980" xr:uid="{B37C1477-3365-4600-8FA1-83A24AB4D3FF}"/>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25204" xr:uid="{1FF7E618-8CA7-4D28-8BF1-BF2EC7F5774D}"/>
    <cellStyle name="20% - Accent1 2 3 5 2 2 3" xfId="16756" xr:uid="{7F41B47F-EDF9-441F-B1ED-8ADB0B4E46DD}"/>
    <cellStyle name="20% - Accent1 2 3 5 2 3" xfId="20986" xr:uid="{3F525E05-3EB2-4CC4-A10B-8E3334ECB495}"/>
    <cellStyle name="20% - Accent1 2 3 5 2 4" xfId="12538" xr:uid="{F45AE098-3D40-4DCF-9DDF-C8888D07FB3D}"/>
    <cellStyle name="20% - Accent1 2 3 5 3" xfId="6161" xr:uid="{00000000-0005-0000-0000-00003B000000}"/>
    <cellStyle name="20% - Accent1 2 3 5 3 2" xfId="23059" xr:uid="{02283815-4AC3-4238-9E21-A62046D36161}"/>
    <cellStyle name="20% - Accent1 2 3 5 3 3" xfId="14611" xr:uid="{D5695C99-E4A6-4A64-BCD1-E45F7ABD7DF2}"/>
    <cellStyle name="20% - Accent1 2 3 5 4" xfId="18841" xr:uid="{59E4A89E-7235-451D-86B0-268A3E0004DF}"/>
    <cellStyle name="20% - Accent1 2 3 5 5" xfId="10393" xr:uid="{467B2EFC-50B8-4464-BAF8-EC26DABDD697}"/>
    <cellStyle name="20% - Accent1 2 3 6" xfId="2268" xr:uid="{00000000-0005-0000-0000-00003C000000}"/>
    <cellStyle name="20% - Accent1 2 3 6 2" xfId="6574" xr:uid="{00000000-0005-0000-0000-00003D000000}"/>
    <cellStyle name="20% - Accent1 2 3 6 2 2" xfId="23472" xr:uid="{96DCEDB6-7EC1-4230-8694-1C3E73BF65FF}"/>
    <cellStyle name="20% - Accent1 2 3 6 2 3" xfId="15024" xr:uid="{4E875C22-6C38-4829-8601-3AB9C9F0E0A7}"/>
    <cellStyle name="20% - Accent1 2 3 6 3" xfId="19254" xr:uid="{1C1A95E5-4B96-4289-98A1-AE5DA7C89A63}"/>
    <cellStyle name="20% - Accent1 2 3 6 4" xfId="10806" xr:uid="{8A0918A9-37A1-4899-B28F-25ECA2248BFF}"/>
    <cellStyle name="20% - Accent1 2 3 7" xfId="4508" xr:uid="{00000000-0005-0000-0000-00003E000000}"/>
    <cellStyle name="20% - Accent1 2 3 7 2" xfId="21406" xr:uid="{B66D7917-A5C7-489F-B363-668C031A5275}"/>
    <cellStyle name="20% - Accent1 2 3 7 3" xfId="12958" xr:uid="{275E5C3F-1FF0-4B87-A1FD-5FEC463C23D7}"/>
    <cellStyle name="20% - Accent1 2 3 8" xfId="17188" xr:uid="{5807E2DD-8B2B-48F7-ABEB-A98A02383FD0}"/>
    <cellStyle name="20% - Accent1 2 3 9" xfId="8740" xr:uid="{F2323858-459B-4E04-A787-4DBA570642A0}"/>
    <cellStyle name="20% - Accent1 2 4" xfId="571" xr:uid="{00000000-0005-0000-0000-00003F000000}"/>
    <cellStyle name="20% - Accent1 2 4 2" xfId="2842" xr:uid="{00000000-0005-0000-0000-000040000000}"/>
    <cellStyle name="20% - Accent1 2 4 2 2" xfId="7064" xr:uid="{00000000-0005-0000-0000-000041000000}"/>
    <cellStyle name="20% - Accent1 2 4 2 2 2" xfId="23962" xr:uid="{783A6707-3282-4879-BE7B-6F3BAE2FA27E}"/>
    <cellStyle name="20% - Accent1 2 4 2 2 3" xfId="15514" xr:uid="{F940A294-6201-4C85-9A35-7B46E46C474E}"/>
    <cellStyle name="20% - Accent1 2 4 2 3" xfId="19744" xr:uid="{3E005C62-F618-4252-A77D-569B3A2514A6}"/>
    <cellStyle name="20% - Accent1 2 4 2 4" xfId="11296" xr:uid="{F9908BCD-63ED-4C47-B6D0-FE6BAA64FAFE}"/>
    <cellStyle name="20% - Accent1 2 4 3" xfId="4919" xr:uid="{00000000-0005-0000-0000-000042000000}"/>
    <cellStyle name="20% - Accent1 2 4 3 2" xfId="21817" xr:uid="{275B8424-B365-4F54-B4B9-F8D7DAB4D948}"/>
    <cellStyle name="20% - Accent1 2 4 3 3" xfId="13369" xr:uid="{608E7D8D-4836-439A-8BCD-B96337276A4C}"/>
    <cellStyle name="20% - Accent1 2 4 4" xfId="17599" xr:uid="{F6A7A82B-BF0A-44C0-B16D-5D149949D7CA}"/>
    <cellStyle name="20% - Accent1 2 4 5" xfId="9151" xr:uid="{5C63F305-65A9-4521-B2E6-59F57C2299A8}"/>
    <cellStyle name="20% - Accent1 2 5" xfId="1024" xr:uid="{00000000-0005-0000-0000-000043000000}"/>
    <cellStyle name="20% - Accent1 2 5 2" xfId="3255" xr:uid="{00000000-0005-0000-0000-000044000000}"/>
    <cellStyle name="20% - Accent1 2 5 2 2" xfId="7477" xr:uid="{00000000-0005-0000-0000-000045000000}"/>
    <cellStyle name="20% - Accent1 2 5 2 2 2" xfId="24375" xr:uid="{CD5FB5A0-5EB7-4BCF-83B0-12418F39A8FE}"/>
    <cellStyle name="20% - Accent1 2 5 2 2 3" xfId="15927" xr:uid="{9EFB7543-8E10-4798-ADA9-C3C656E9600E}"/>
    <cellStyle name="20% - Accent1 2 5 2 3" xfId="20157" xr:uid="{DB6485C9-FED3-4223-A3FF-05B823D4E06C}"/>
    <cellStyle name="20% - Accent1 2 5 2 4" xfId="11709" xr:uid="{890935E4-D620-4A87-9803-2E5992759A11}"/>
    <cellStyle name="20% - Accent1 2 5 3" xfId="5332" xr:uid="{00000000-0005-0000-0000-000046000000}"/>
    <cellStyle name="20% - Accent1 2 5 3 2" xfId="22230" xr:uid="{84B4B1C3-45DD-48A8-BC85-79D5566196E5}"/>
    <cellStyle name="20% - Accent1 2 5 3 3" xfId="13782" xr:uid="{B2AD4154-CE05-4191-B4A0-D9CDD0AD4279}"/>
    <cellStyle name="20% - Accent1 2 5 4" xfId="18012" xr:uid="{201B834A-6CB9-46AF-8D7F-97C27D8D6A0F}"/>
    <cellStyle name="20% - Accent1 2 5 5" xfId="9564" xr:uid="{C163FF0C-DC66-40BC-B599-E7BFACAB7694}"/>
    <cellStyle name="20% - Accent1 2 6" xfId="1438" xr:uid="{00000000-0005-0000-0000-000047000000}"/>
    <cellStyle name="20% - Accent1 2 6 2" xfId="3668" xr:uid="{00000000-0005-0000-0000-000048000000}"/>
    <cellStyle name="20% - Accent1 2 6 2 2" xfId="7890" xr:uid="{00000000-0005-0000-0000-000049000000}"/>
    <cellStyle name="20% - Accent1 2 6 2 2 2" xfId="24788" xr:uid="{950B196E-15E5-4B02-ABE3-0F7A979347D1}"/>
    <cellStyle name="20% - Accent1 2 6 2 2 3" xfId="16340" xr:uid="{8F86C578-0904-48C4-909E-45CC035A083C}"/>
    <cellStyle name="20% - Accent1 2 6 2 3" xfId="20570" xr:uid="{52FA448E-CB38-4828-B7CB-395A7DE34504}"/>
    <cellStyle name="20% - Accent1 2 6 2 4" xfId="12122" xr:uid="{B5CB92E8-564C-4D8D-8426-59E87AA5F3C8}"/>
    <cellStyle name="20% - Accent1 2 6 3" xfId="5745" xr:uid="{00000000-0005-0000-0000-00004A000000}"/>
    <cellStyle name="20% - Accent1 2 6 3 2" xfId="22643" xr:uid="{DD63F078-F6A1-4D61-8792-29CF19547BD7}"/>
    <cellStyle name="20% - Accent1 2 6 3 3" xfId="14195" xr:uid="{DC31456E-552D-40DC-877B-96516D41AB9E}"/>
    <cellStyle name="20% - Accent1 2 6 4" xfId="18425" xr:uid="{D7008A54-CBBA-4D31-869E-55E4D9B0CF39}"/>
    <cellStyle name="20% - Accent1 2 6 5" xfId="9977" xr:uid="{F89557EC-2C49-46D4-B20A-2A87A323DA2C}"/>
    <cellStyle name="20% - Accent1 2 7" xfId="1852" xr:uid="{00000000-0005-0000-0000-00004B000000}"/>
    <cellStyle name="20% - Accent1 2 7 2" xfId="4081" xr:uid="{00000000-0005-0000-0000-00004C000000}"/>
    <cellStyle name="20% - Accent1 2 7 2 2" xfId="8303" xr:uid="{00000000-0005-0000-0000-00004D000000}"/>
    <cellStyle name="20% - Accent1 2 7 2 2 2" xfId="25201" xr:uid="{4366BC73-1485-42DC-A199-6F956A21BE91}"/>
    <cellStyle name="20% - Accent1 2 7 2 2 3" xfId="16753" xr:uid="{F4E695AE-A590-4B42-A855-EFAFAF785747}"/>
    <cellStyle name="20% - Accent1 2 7 2 3" xfId="20983" xr:uid="{B0835191-66FD-4829-B6B5-E5DA141BE97E}"/>
    <cellStyle name="20% - Accent1 2 7 2 4" xfId="12535" xr:uid="{903D4E0E-F14C-448C-AED5-5AB49942D767}"/>
    <cellStyle name="20% - Accent1 2 7 3" xfId="6158" xr:uid="{00000000-0005-0000-0000-00004E000000}"/>
    <cellStyle name="20% - Accent1 2 7 3 2" xfId="23056" xr:uid="{FBCA91BA-F311-4567-AB02-89EB130770BF}"/>
    <cellStyle name="20% - Accent1 2 7 3 3" xfId="14608" xr:uid="{C5B5CAAD-A330-42C6-A550-40D419D5275C}"/>
    <cellStyle name="20% - Accent1 2 7 4" xfId="18838" xr:uid="{040CD373-6B67-422F-A14B-59DB1A69C860}"/>
    <cellStyle name="20% - Accent1 2 7 5" xfId="10390" xr:uid="{B72825DC-11B0-409B-B4CA-2E73516A29A8}"/>
    <cellStyle name="20% - Accent1 2 8" xfId="2265" xr:uid="{00000000-0005-0000-0000-00004F000000}"/>
    <cellStyle name="20% - Accent1 2 8 2" xfId="6571" xr:uid="{00000000-0005-0000-0000-000050000000}"/>
    <cellStyle name="20% - Accent1 2 8 2 2" xfId="23469" xr:uid="{721A63D5-8B4D-48CE-99C8-93378F627FCC}"/>
    <cellStyle name="20% - Accent1 2 8 2 3" xfId="15021" xr:uid="{D9DBF524-146C-4DDC-846F-B896EB2048C1}"/>
    <cellStyle name="20% - Accent1 2 8 3" xfId="19251" xr:uid="{C5F03D79-EC8E-4A9D-B05B-BC5EBD8EA664}"/>
    <cellStyle name="20% - Accent1 2 8 4" xfId="10803" xr:uid="{3C2D195A-410B-4DBB-9F1E-EE2054C8FD34}"/>
    <cellStyle name="20% - Accent1 2 9" xfId="4505" xr:uid="{00000000-0005-0000-0000-000051000000}"/>
    <cellStyle name="20% - Accent1 2 9 2" xfId="21403" xr:uid="{F4D5BA5A-213E-4099-8048-B50DDECC7518}"/>
    <cellStyle name="20% - Accent1 2 9 3" xfId="12955" xr:uid="{3EB17FE1-5725-4255-A1AE-73FCB8BBB894}"/>
    <cellStyle name="20% - Accent1 3" xfId="6" xr:uid="{00000000-0005-0000-0000-000052000000}"/>
    <cellStyle name="20% - Accent1 3 10" xfId="8741" xr:uid="{73782D9C-24BD-471E-AB0F-63DECBC8EA7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23967" xr:uid="{57E68D4E-6509-42A2-930E-AFDA2A89C323}"/>
    <cellStyle name="20% - Accent1 3 2 2 2 2 3" xfId="15519" xr:uid="{AA874F5E-BEAE-4688-BFE4-C118B8A3AF60}"/>
    <cellStyle name="20% - Accent1 3 2 2 2 3" xfId="19749" xr:uid="{E021C2E8-155E-4E5D-B4A6-71956CBA5DD9}"/>
    <cellStyle name="20% - Accent1 3 2 2 2 4" xfId="11301" xr:uid="{CA0B151D-5F0D-423E-BFE9-340DCDD40661}"/>
    <cellStyle name="20% - Accent1 3 2 2 3" xfId="4924" xr:uid="{00000000-0005-0000-0000-000057000000}"/>
    <cellStyle name="20% - Accent1 3 2 2 3 2" xfId="21822" xr:uid="{FD27BD0F-5887-4D7D-BDE0-B155F9C63229}"/>
    <cellStyle name="20% - Accent1 3 2 2 3 3" xfId="13374" xr:uid="{FDCCE9E5-5269-451B-8132-4DF94D707B3D}"/>
    <cellStyle name="20% - Accent1 3 2 2 4" xfId="17604" xr:uid="{D665C0B4-9632-4BCD-B4B6-1163276C4854}"/>
    <cellStyle name="20% - Accent1 3 2 2 5" xfId="9156" xr:uid="{5FF33ACB-1F4F-488C-B42F-4DE7B7C769BE}"/>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24380" xr:uid="{D70F8B7B-361A-4958-A050-8FF96731BF52}"/>
    <cellStyle name="20% - Accent1 3 2 3 2 2 3" xfId="15932" xr:uid="{B1D640EE-8E74-4D1A-BB23-19C4FA6F9614}"/>
    <cellStyle name="20% - Accent1 3 2 3 2 3" xfId="20162" xr:uid="{C40D62DA-0CE7-4A5C-B473-4BC6CDED9638}"/>
    <cellStyle name="20% - Accent1 3 2 3 2 4" xfId="11714" xr:uid="{21428BD0-16DF-4719-9767-62F5308326EF}"/>
    <cellStyle name="20% - Accent1 3 2 3 3" xfId="5337" xr:uid="{00000000-0005-0000-0000-00005B000000}"/>
    <cellStyle name="20% - Accent1 3 2 3 3 2" xfId="22235" xr:uid="{603B05BE-296C-4B80-9C82-D29569D184D6}"/>
    <cellStyle name="20% - Accent1 3 2 3 3 3" xfId="13787" xr:uid="{B68D8EB1-147A-4968-9161-9561E82F891A}"/>
    <cellStyle name="20% - Accent1 3 2 3 4" xfId="18017" xr:uid="{B518CD72-5B49-43B7-9A49-7826537F3312}"/>
    <cellStyle name="20% - Accent1 3 2 3 5" xfId="9569" xr:uid="{54B6D329-8E48-4DD4-B893-C18BCA4E69BD}"/>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24793" xr:uid="{862ABEB2-4399-419D-BC38-251BB0A8D562}"/>
    <cellStyle name="20% - Accent1 3 2 4 2 2 3" xfId="16345" xr:uid="{E1C295DD-1234-4195-9D82-2621085F186A}"/>
    <cellStyle name="20% - Accent1 3 2 4 2 3" xfId="20575" xr:uid="{550FA8C7-27BF-4505-99B3-E50B4D60BAA9}"/>
    <cellStyle name="20% - Accent1 3 2 4 2 4" xfId="12127" xr:uid="{038E6FC1-D1A3-4043-B2E3-0B241514F64F}"/>
    <cellStyle name="20% - Accent1 3 2 4 3" xfId="5750" xr:uid="{00000000-0005-0000-0000-00005F000000}"/>
    <cellStyle name="20% - Accent1 3 2 4 3 2" xfId="22648" xr:uid="{112C6B63-90E3-453F-A29B-2DD7067BD1DC}"/>
    <cellStyle name="20% - Accent1 3 2 4 3 3" xfId="14200" xr:uid="{F2C2D115-453D-46AE-977F-DFE53FDED9C8}"/>
    <cellStyle name="20% - Accent1 3 2 4 4" xfId="18430" xr:uid="{B1CFEBC3-EE54-48F4-9DE8-130DF5B01BEC}"/>
    <cellStyle name="20% - Accent1 3 2 4 5" xfId="9982" xr:uid="{1A08063A-FE1A-429B-A9EB-49EA3922F801}"/>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25206" xr:uid="{A8679426-E9AC-49D2-ABAE-5E55F71F6AEB}"/>
    <cellStyle name="20% - Accent1 3 2 5 2 2 3" xfId="16758" xr:uid="{2D376C29-BE75-4F5F-B077-4EBB97C2DFDE}"/>
    <cellStyle name="20% - Accent1 3 2 5 2 3" xfId="20988" xr:uid="{9B056880-22D8-4209-B5AC-73138A1C98F5}"/>
    <cellStyle name="20% - Accent1 3 2 5 2 4" xfId="12540" xr:uid="{E46CAAA3-48C3-4703-B819-F7A8BBDDE14C}"/>
    <cellStyle name="20% - Accent1 3 2 5 3" xfId="6163" xr:uid="{00000000-0005-0000-0000-000063000000}"/>
    <cellStyle name="20% - Accent1 3 2 5 3 2" xfId="23061" xr:uid="{EA110CF1-D3E0-4A6D-AD1D-076EE83AAFAE}"/>
    <cellStyle name="20% - Accent1 3 2 5 3 3" xfId="14613" xr:uid="{74017FBB-55CF-40B8-985B-8313DDC771A6}"/>
    <cellStyle name="20% - Accent1 3 2 5 4" xfId="18843" xr:uid="{0D8BF6F6-1E28-46EA-B886-B8193F04582F}"/>
    <cellStyle name="20% - Accent1 3 2 5 5" xfId="10395" xr:uid="{F8F4A473-4472-4044-B849-1AC96609A1E5}"/>
    <cellStyle name="20% - Accent1 3 2 6" xfId="2270" xr:uid="{00000000-0005-0000-0000-000064000000}"/>
    <cellStyle name="20% - Accent1 3 2 6 2" xfId="6576" xr:uid="{00000000-0005-0000-0000-000065000000}"/>
    <cellStyle name="20% - Accent1 3 2 6 2 2" xfId="23474" xr:uid="{192310CA-9125-4D11-B68D-19A7A4782689}"/>
    <cellStyle name="20% - Accent1 3 2 6 2 3" xfId="15026" xr:uid="{B34FD9C9-E3B0-4E8F-9040-4FE24EF1ED57}"/>
    <cellStyle name="20% - Accent1 3 2 6 3" xfId="19256" xr:uid="{41EDEEF6-6DF1-45BC-ACDC-E389AAD557BF}"/>
    <cellStyle name="20% - Accent1 3 2 6 4" xfId="10808" xr:uid="{1937C6D6-57D5-453C-B506-A97C3FF21267}"/>
    <cellStyle name="20% - Accent1 3 2 7" xfId="4510" xr:uid="{00000000-0005-0000-0000-000066000000}"/>
    <cellStyle name="20% - Accent1 3 2 7 2" xfId="21408" xr:uid="{AA76EF2E-7EA9-4099-80F7-6730E7A54556}"/>
    <cellStyle name="20% - Accent1 3 2 7 3" xfId="12960" xr:uid="{5F624BEE-6BB2-40DA-8781-A39940DCCB7F}"/>
    <cellStyle name="20% - Accent1 3 2 8" xfId="17190" xr:uid="{2416F12D-3CEC-488F-A9C0-2F420F08BE04}"/>
    <cellStyle name="20% - Accent1 3 2 9" xfId="8742" xr:uid="{468D4357-01C7-4CA9-8D79-82709F597712}"/>
    <cellStyle name="20% - Accent1 3 3" xfId="575" xr:uid="{00000000-0005-0000-0000-000067000000}"/>
    <cellStyle name="20% - Accent1 3 3 2" xfId="2846" xr:uid="{00000000-0005-0000-0000-000068000000}"/>
    <cellStyle name="20% - Accent1 3 3 2 2" xfId="7068" xr:uid="{00000000-0005-0000-0000-000069000000}"/>
    <cellStyle name="20% - Accent1 3 3 2 2 2" xfId="23966" xr:uid="{A4ADDD89-D79F-4343-9D91-02E10C6BE473}"/>
    <cellStyle name="20% - Accent1 3 3 2 2 3" xfId="15518" xr:uid="{B06AB39D-DEF9-491B-9A4D-E7570FFB2289}"/>
    <cellStyle name="20% - Accent1 3 3 2 3" xfId="19748" xr:uid="{76A8E88A-0B95-4809-9D3C-C234FD0FF070}"/>
    <cellStyle name="20% - Accent1 3 3 2 4" xfId="11300" xr:uid="{D491DA36-9486-4EF5-98F3-37F303878D0D}"/>
    <cellStyle name="20% - Accent1 3 3 3" xfId="4923" xr:uid="{00000000-0005-0000-0000-00006A000000}"/>
    <cellStyle name="20% - Accent1 3 3 3 2" xfId="21821" xr:uid="{2CA08931-95BF-4CDD-9571-1A133B678D61}"/>
    <cellStyle name="20% - Accent1 3 3 3 3" xfId="13373" xr:uid="{90C63C8F-83A0-425A-A084-306FCB78B7D0}"/>
    <cellStyle name="20% - Accent1 3 3 4" xfId="17603" xr:uid="{35BC503F-EE57-44C8-9787-A07D7A4F6615}"/>
    <cellStyle name="20% - Accent1 3 3 5" xfId="9155" xr:uid="{F7F40665-962F-441D-B92D-71FEC6D35C70}"/>
    <cellStyle name="20% - Accent1 3 4" xfId="1028" xr:uid="{00000000-0005-0000-0000-00006B000000}"/>
    <cellStyle name="20% - Accent1 3 4 2" xfId="3259" xr:uid="{00000000-0005-0000-0000-00006C000000}"/>
    <cellStyle name="20% - Accent1 3 4 2 2" xfId="7481" xr:uid="{00000000-0005-0000-0000-00006D000000}"/>
    <cellStyle name="20% - Accent1 3 4 2 2 2" xfId="24379" xr:uid="{A4B86BCF-44FB-446A-9E72-43E301434A21}"/>
    <cellStyle name="20% - Accent1 3 4 2 2 3" xfId="15931" xr:uid="{32088DC6-F8F6-4727-95A4-8ED9C4A3694E}"/>
    <cellStyle name="20% - Accent1 3 4 2 3" xfId="20161" xr:uid="{9249950D-DE1F-4095-A3D2-68B683E4F901}"/>
    <cellStyle name="20% - Accent1 3 4 2 4" xfId="11713" xr:uid="{3E00AF55-94FF-442F-AE8C-70558350A883}"/>
    <cellStyle name="20% - Accent1 3 4 3" xfId="5336" xr:uid="{00000000-0005-0000-0000-00006E000000}"/>
    <cellStyle name="20% - Accent1 3 4 3 2" xfId="22234" xr:uid="{5DE7BAA0-6FD4-44A2-8839-65A3FD8080CD}"/>
    <cellStyle name="20% - Accent1 3 4 3 3" xfId="13786" xr:uid="{7FFF95D3-8AC0-4F60-A185-D38263B3600B}"/>
    <cellStyle name="20% - Accent1 3 4 4" xfId="18016" xr:uid="{01B91395-31A0-4A32-B8E9-698787AEA34F}"/>
    <cellStyle name="20% - Accent1 3 4 5" xfId="9568" xr:uid="{A803CE96-80DD-49B4-85C3-8650F52F511D}"/>
    <cellStyle name="20% - Accent1 3 5" xfId="1442" xr:uid="{00000000-0005-0000-0000-00006F000000}"/>
    <cellStyle name="20% - Accent1 3 5 2" xfId="3672" xr:uid="{00000000-0005-0000-0000-000070000000}"/>
    <cellStyle name="20% - Accent1 3 5 2 2" xfId="7894" xr:uid="{00000000-0005-0000-0000-000071000000}"/>
    <cellStyle name="20% - Accent1 3 5 2 2 2" xfId="24792" xr:uid="{F20E1E41-9472-4118-A703-E270284F8455}"/>
    <cellStyle name="20% - Accent1 3 5 2 2 3" xfId="16344" xr:uid="{DEAC9AEB-B551-4626-9395-3D10BE0F7F51}"/>
    <cellStyle name="20% - Accent1 3 5 2 3" xfId="20574" xr:uid="{7E98E71D-3D94-4476-8D42-3D2888FFE672}"/>
    <cellStyle name="20% - Accent1 3 5 2 4" xfId="12126" xr:uid="{507846EE-2BE6-48A3-B37E-B7589E34FB94}"/>
    <cellStyle name="20% - Accent1 3 5 3" xfId="5749" xr:uid="{00000000-0005-0000-0000-000072000000}"/>
    <cellStyle name="20% - Accent1 3 5 3 2" xfId="22647" xr:uid="{8B57CB97-958A-44EC-BDB5-801013B22E9E}"/>
    <cellStyle name="20% - Accent1 3 5 3 3" xfId="14199" xr:uid="{39BC8DC3-CE71-41E6-84A7-7E40D95D014F}"/>
    <cellStyle name="20% - Accent1 3 5 4" xfId="18429" xr:uid="{5F834102-1A11-42B8-B903-ED328C539ED1}"/>
    <cellStyle name="20% - Accent1 3 5 5" xfId="9981" xr:uid="{09934A01-B48F-4984-AE8B-BD3C145E9E06}"/>
    <cellStyle name="20% - Accent1 3 6" xfId="1856" xr:uid="{00000000-0005-0000-0000-000073000000}"/>
    <cellStyle name="20% - Accent1 3 6 2" xfId="4085" xr:uid="{00000000-0005-0000-0000-000074000000}"/>
    <cellStyle name="20% - Accent1 3 6 2 2" xfId="8307" xr:uid="{00000000-0005-0000-0000-000075000000}"/>
    <cellStyle name="20% - Accent1 3 6 2 2 2" xfId="25205" xr:uid="{025684DF-5F1F-4AF6-B4FA-030F7E17E57B}"/>
    <cellStyle name="20% - Accent1 3 6 2 2 3" xfId="16757" xr:uid="{02F6C7E3-6BD7-4992-BF11-4D583B70A86C}"/>
    <cellStyle name="20% - Accent1 3 6 2 3" xfId="20987" xr:uid="{CBA84969-1369-4E87-AE00-3170ACDEE43E}"/>
    <cellStyle name="20% - Accent1 3 6 2 4" xfId="12539" xr:uid="{F885C214-AF84-4AB0-8F7A-4740AA44E9B9}"/>
    <cellStyle name="20% - Accent1 3 6 3" xfId="6162" xr:uid="{00000000-0005-0000-0000-000076000000}"/>
    <cellStyle name="20% - Accent1 3 6 3 2" xfId="23060" xr:uid="{5594FDCA-7E2D-4919-8B6D-246F3BD65820}"/>
    <cellStyle name="20% - Accent1 3 6 3 3" xfId="14612" xr:uid="{F93F33E2-AF15-42B4-989F-0F5BEA6094A1}"/>
    <cellStyle name="20% - Accent1 3 6 4" xfId="18842" xr:uid="{0614A9ED-F622-4791-8B83-9E97E6F9D7A6}"/>
    <cellStyle name="20% - Accent1 3 6 5" xfId="10394" xr:uid="{61EFC971-843C-43C9-9F66-C5F9DFA0B5DE}"/>
    <cellStyle name="20% - Accent1 3 7" xfId="2269" xr:uid="{00000000-0005-0000-0000-000077000000}"/>
    <cellStyle name="20% - Accent1 3 7 2" xfId="6575" xr:uid="{00000000-0005-0000-0000-000078000000}"/>
    <cellStyle name="20% - Accent1 3 7 2 2" xfId="23473" xr:uid="{5F9BEA51-2991-461D-A5BF-D22FB1DF9A7C}"/>
    <cellStyle name="20% - Accent1 3 7 2 3" xfId="15025" xr:uid="{ECB4E093-E8AF-42F0-A6D9-ACFFD4703559}"/>
    <cellStyle name="20% - Accent1 3 7 3" xfId="19255" xr:uid="{FD7F6650-46BF-46DC-8D0F-B8BAB69458E9}"/>
    <cellStyle name="20% - Accent1 3 7 4" xfId="10807" xr:uid="{7C22EFBF-A826-4027-A669-733F10205A7C}"/>
    <cellStyle name="20% - Accent1 3 8" xfId="4509" xr:uid="{00000000-0005-0000-0000-000079000000}"/>
    <cellStyle name="20% - Accent1 3 8 2" xfId="21407" xr:uid="{829877B5-77A5-45C2-BD6C-0F1B1602E89D}"/>
    <cellStyle name="20% - Accent1 3 8 3" xfId="12959" xr:uid="{4B7F613F-A6D1-4688-A837-A4400F089644}"/>
    <cellStyle name="20% - Accent1 3 9" xfId="17189" xr:uid="{FAF98915-9E17-4EEF-9A33-AA3B96809A56}"/>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2 2 2" xfId="23968" xr:uid="{0D2D2B69-249E-47AE-A0E4-84F9A0ADCBBC}"/>
    <cellStyle name="20% - Accent1 4 2 2 2 3" xfId="15520" xr:uid="{28236722-2928-4F99-8277-29DC8E6BECDE}"/>
    <cellStyle name="20% - Accent1 4 2 2 3" xfId="19750" xr:uid="{CE9CFE29-7A28-4A82-91FF-5A184B8FDD1E}"/>
    <cellStyle name="20% - Accent1 4 2 2 4" xfId="11302" xr:uid="{C0D5A211-82C1-4588-B3B7-57F931C7D87D}"/>
    <cellStyle name="20% - Accent1 4 2 3" xfId="4925" xr:uid="{00000000-0005-0000-0000-00007E000000}"/>
    <cellStyle name="20% - Accent1 4 2 3 2" xfId="21823" xr:uid="{FAFDB72C-DF3C-4EF2-9ABD-FAAFEA4049C7}"/>
    <cellStyle name="20% - Accent1 4 2 3 3" xfId="13375" xr:uid="{B712C4DC-CF18-4E9A-AC49-CA5CA0A31C2E}"/>
    <cellStyle name="20% - Accent1 4 2 4" xfId="17605" xr:uid="{90ABF170-3187-4786-B1B5-B0FA2F5BFCA7}"/>
    <cellStyle name="20% - Accent1 4 2 5" xfId="9157" xr:uid="{1571C06B-4610-49FA-9C23-199A40583F66}"/>
    <cellStyle name="20% - Accent1 4 3" xfId="1030" xr:uid="{00000000-0005-0000-0000-00007F000000}"/>
    <cellStyle name="20% - Accent1 4 3 2" xfId="3261" xr:uid="{00000000-0005-0000-0000-000080000000}"/>
    <cellStyle name="20% - Accent1 4 3 2 2" xfId="7483" xr:uid="{00000000-0005-0000-0000-000081000000}"/>
    <cellStyle name="20% - Accent1 4 3 2 2 2" xfId="24381" xr:uid="{111477C0-DDB1-451E-BE3D-E1D07C54EEEF}"/>
    <cellStyle name="20% - Accent1 4 3 2 2 3" xfId="15933" xr:uid="{126994F7-2046-4E6F-A5D0-9F5DC680A0BA}"/>
    <cellStyle name="20% - Accent1 4 3 2 3" xfId="20163" xr:uid="{4C6C4653-EC2F-467D-A312-3FD5DD966569}"/>
    <cellStyle name="20% - Accent1 4 3 2 4" xfId="11715" xr:uid="{9326E807-5CC7-4DA3-8E22-79C616245C89}"/>
    <cellStyle name="20% - Accent1 4 3 3" xfId="5338" xr:uid="{00000000-0005-0000-0000-000082000000}"/>
    <cellStyle name="20% - Accent1 4 3 3 2" xfId="22236" xr:uid="{4AD5C295-D6A5-4A56-9512-8C2974CF8E13}"/>
    <cellStyle name="20% - Accent1 4 3 3 3" xfId="13788" xr:uid="{A2930732-B88F-4C46-B8E8-F05DA9459EBF}"/>
    <cellStyle name="20% - Accent1 4 3 4" xfId="18018" xr:uid="{BF3E2DBE-E6BC-40F6-809F-E5000002BBE4}"/>
    <cellStyle name="20% - Accent1 4 3 5" xfId="9570" xr:uid="{20F0365D-6CE8-42F6-8F17-A33F41D87AFA}"/>
    <cellStyle name="20% - Accent1 4 4" xfId="1444" xr:uid="{00000000-0005-0000-0000-000083000000}"/>
    <cellStyle name="20% - Accent1 4 4 2" xfId="3674" xr:uid="{00000000-0005-0000-0000-000084000000}"/>
    <cellStyle name="20% - Accent1 4 4 2 2" xfId="7896" xr:uid="{00000000-0005-0000-0000-000085000000}"/>
    <cellStyle name="20% - Accent1 4 4 2 2 2" xfId="24794" xr:uid="{2732172E-345A-4A7C-8AB4-B1E754F9A37B}"/>
    <cellStyle name="20% - Accent1 4 4 2 2 3" xfId="16346" xr:uid="{7D357EF5-F5B7-4997-800C-E221A21EAC3A}"/>
    <cellStyle name="20% - Accent1 4 4 2 3" xfId="20576" xr:uid="{AA0A38F6-85D7-451C-8E08-3567AF106461}"/>
    <cellStyle name="20% - Accent1 4 4 2 4" xfId="12128" xr:uid="{FDFCD597-3B15-4417-9DC7-6EA421661DCB}"/>
    <cellStyle name="20% - Accent1 4 4 3" xfId="5751" xr:uid="{00000000-0005-0000-0000-000086000000}"/>
    <cellStyle name="20% - Accent1 4 4 3 2" xfId="22649" xr:uid="{68B08335-0F52-4890-9BAC-8F07D02FED80}"/>
    <cellStyle name="20% - Accent1 4 4 3 3" xfId="14201" xr:uid="{A2029D4E-D2E1-4A38-AE43-C7F269B2880D}"/>
    <cellStyle name="20% - Accent1 4 4 4" xfId="18431" xr:uid="{335C0017-F77B-44BE-9F02-F8F1C03460B8}"/>
    <cellStyle name="20% - Accent1 4 4 5" xfId="9983" xr:uid="{79BB8D7C-45DB-4522-9960-42A8B3E0CC1C}"/>
    <cellStyle name="20% - Accent1 4 5" xfId="1858" xr:uid="{00000000-0005-0000-0000-000087000000}"/>
    <cellStyle name="20% - Accent1 4 5 2" xfId="4087" xr:uid="{00000000-0005-0000-0000-000088000000}"/>
    <cellStyle name="20% - Accent1 4 5 2 2" xfId="8309" xr:uid="{00000000-0005-0000-0000-000089000000}"/>
    <cellStyle name="20% - Accent1 4 5 2 2 2" xfId="25207" xr:uid="{061834D7-1EA8-4EE3-8054-9B18636C7166}"/>
    <cellStyle name="20% - Accent1 4 5 2 2 3" xfId="16759" xr:uid="{4B83F8D2-7069-4C5D-A81F-6FE855E6A087}"/>
    <cellStyle name="20% - Accent1 4 5 2 3" xfId="20989" xr:uid="{E130D8A0-945B-406E-8AC3-BC7737C63207}"/>
    <cellStyle name="20% - Accent1 4 5 2 4" xfId="12541" xr:uid="{5C161CEE-438A-4C9F-B742-CE7810939353}"/>
    <cellStyle name="20% - Accent1 4 5 3" xfId="6164" xr:uid="{00000000-0005-0000-0000-00008A000000}"/>
    <cellStyle name="20% - Accent1 4 5 3 2" xfId="23062" xr:uid="{61338941-3A42-41A7-8DAB-C9054D6374C1}"/>
    <cellStyle name="20% - Accent1 4 5 3 3" xfId="14614" xr:uid="{655FAE8A-92E2-44D6-B97D-FEC845D5AE10}"/>
    <cellStyle name="20% - Accent1 4 5 4" xfId="18844" xr:uid="{C2850FFA-309E-45FE-B137-3585071F530A}"/>
    <cellStyle name="20% - Accent1 4 5 5" xfId="10396" xr:uid="{4BD984A1-E2DD-4B64-8A17-663CB714D6CA}"/>
    <cellStyle name="20% - Accent1 4 6" xfId="2271" xr:uid="{00000000-0005-0000-0000-00008B000000}"/>
    <cellStyle name="20% - Accent1 4 6 2" xfId="6577" xr:uid="{00000000-0005-0000-0000-00008C000000}"/>
    <cellStyle name="20% - Accent1 4 6 2 2" xfId="23475" xr:uid="{D0EBA57E-8A53-457E-B1C5-C7B2E4120A4B}"/>
    <cellStyle name="20% - Accent1 4 6 2 3" xfId="15027" xr:uid="{ECC4EFA3-C9A2-4BC9-803E-0B13A10E7DA1}"/>
    <cellStyle name="20% - Accent1 4 6 3" xfId="19257" xr:uid="{7DD8254F-C4EC-4415-B54D-9F08F30203BF}"/>
    <cellStyle name="20% - Accent1 4 6 4" xfId="10809" xr:uid="{F965E39F-E76E-4CBE-8245-77EBEB5B620D}"/>
    <cellStyle name="20% - Accent1 4 7" xfId="4511" xr:uid="{00000000-0005-0000-0000-00008D000000}"/>
    <cellStyle name="20% - Accent1 4 7 2" xfId="21409" xr:uid="{D9076AA4-9FC5-4CB2-B62C-9DCF93E6DC34}"/>
    <cellStyle name="20% - Accent1 4 7 3" xfId="12961" xr:uid="{F1E060B4-FC5E-4281-868F-533C39AF1926}"/>
    <cellStyle name="20% - Accent1 4 8" xfId="17191" xr:uid="{E7B8E778-4B6A-42A7-8F4B-C65B6A10D19F}"/>
    <cellStyle name="20% - Accent1 4 9" xfId="8743" xr:uid="{385523A2-023D-455B-B085-A6FFD79F3316}"/>
    <cellStyle name="20% - Accent1 5" xfId="570" xr:uid="{00000000-0005-0000-0000-00008E000000}"/>
    <cellStyle name="20% - Accent1 5 2" xfId="2841" xr:uid="{00000000-0005-0000-0000-00008F000000}"/>
    <cellStyle name="20% - Accent1 5 2 2" xfId="7063" xr:uid="{00000000-0005-0000-0000-000090000000}"/>
    <cellStyle name="20% - Accent1 5 2 2 2" xfId="23961" xr:uid="{2A204E31-6427-4139-B13F-8E61A83B6FF5}"/>
    <cellStyle name="20% - Accent1 5 2 2 3" xfId="15513" xr:uid="{A265E0A5-F718-40CD-8B75-469A55298AED}"/>
    <cellStyle name="20% - Accent1 5 2 3" xfId="19743" xr:uid="{1F8A25BA-8566-4743-AA85-8A1088699656}"/>
    <cellStyle name="20% - Accent1 5 2 4" xfId="11295" xr:uid="{27BB350C-7FB9-4D68-907B-82517E5613A1}"/>
    <cellStyle name="20% - Accent1 5 3" xfId="4918" xr:uid="{00000000-0005-0000-0000-000091000000}"/>
    <cellStyle name="20% - Accent1 5 3 2" xfId="21816" xr:uid="{ECD0EF7D-E2F0-49BE-A11B-12785EAD3D3E}"/>
    <cellStyle name="20% - Accent1 5 3 3" xfId="13368" xr:uid="{C89089F3-2A1B-4F3C-88E3-386D5A5C2A5A}"/>
    <cellStyle name="20% - Accent1 5 4" xfId="17598" xr:uid="{5548C53A-29F6-4CF5-836E-2430D1BBBA00}"/>
    <cellStyle name="20% - Accent1 5 5" xfId="9150" xr:uid="{5357395F-9917-4424-A999-E47CDD4DADAD}"/>
    <cellStyle name="20% - Accent1 6" xfId="1023" xr:uid="{00000000-0005-0000-0000-000092000000}"/>
    <cellStyle name="20% - Accent1 6 2" xfId="3254" xr:uid="{00000000-0005-0000-0000-000093000000}"/>
    <cellStyle name="20% - Accent1 6 2 2" xfId="7476" xr:uid="{00000000-0005-0000-0000-000094000000}"/>
    <cellStyle name="20% - Accent1 6 2 2 2" xfId="24374" xr:uid="{F868D53E-9FAB-4C6D-ACC2-EF31B4EC9EB0}"/>
    <cellStyle name="20% - Accent1 6 2 2 3" xfId="15926" xr:uid="{E72B8AC1-B55A-49CE-B160-F7BE5B7B9403}"/>
    <cellStyle name="20% - Accent1 6 2 3" xfId="20156" xr:uid="{51D1EED2-5C50-49FD-8D6A-6767BE9A6E61}"/>
    <cellStyle name="20% - Accent1 6 2 4" xfId="11708" xr:uid="{9E28C8D8-24C4-48C4-AC80-B667AB6A9EB4}"/>
    <cellStyle name="20% - Accent1 6 3" xfId="5331" xr:uid="{00000000-0005-0000-0000-000095000000}"/>
    <cellStyle name="20% - Accent1 6 3 2" xfId="22229" xr:uid="{5827E52A-4F6E-4B63-840B-A86F154CBE77}"/>
    <cellStyle name="20% - Accent1 6 3 3" xfId="13781" xr:uid="{E307CB86-304D-40DF-94B6-D92B3FB35198}"/>
    <cellStyle name="20% - Accent1 6 4" xfId="18011" xr:uid="{9E42AC6F-A888-4E64-80AE-DCB9223C1848}"/>
    <cellStyle name="20% - Accent1 6 5" xfId="9563" xr:uid="{228DE9F4-AD2B-4860-BAAE-999347C251FD}"/>
    <cellStyle name="20% - Accent1 7" xfId="1437" xr:uid="{00000000-0005-0000-0000-000096000000}"/>
    <cellStyle name="20% - Accent1 7 2" xfId="3667" xr:uid="{00000000-0005-0000-0000-000097000000}"/>
    <cellStyle name="20% - Accent1 7 2 2" xfId="7889" xr:uid="{00000000-0005-0000-0000-000098000000}"/>
    <cellStyle name="20% - Accent1 7 2 2 2" xfId="24787" xr:uid="{AA769F91-6E8F-401D-AC23-858A27933ED7}"/>
    <cellStyle name="20% - Accent1 7 2 2 3" xfId="16339" xr:uid="{51B1422E-6C84-43CB-B57F-14601785CA81}"/>
    <cellStyle name="20% - Accent1 7 2 3" xfId="20569" xr:uid="{5A1BFDB6-C40B-4890-900F-36566F68B265}"/>
    <cellStyle name="20% - Accent1 7 2 4" xfId="12121" xr:uid="{17C8EACE-08CB-4E99-8B23-B10A6C0A7B69}"/>
    <cellStyle name="20% - Accent1 7 3" xfId="5744" xr:uid="{00000000-0005-0000-0000-000099000000}"/>
    <cellStyle name="20% - Accent1 7 3 2" xfId="22642" xr:uid="{FD2097EA-0D80-411B-BF4C-A5A54BF66A6A}"/>
    <cellStyle name="20% - Accent1 7 3 3" xfId="14194" xr:uid="{36B7AD7E-F980-43DD-A195-9609EEC27AB3}"/>
    <cellStyle name="20% - Accent1 7 4" xfId="18424" xr:uid="{112AC36E-4DD0-4400-A6DB-36239C67CE01}"/>
    <cellStyle name="20% - Accent1 7 5" xfId="9976" xr:uid="{2FE20757-50B0-4C7D-8DD0-A4E3527B6E07}"/>
    <cellStyle name="20% - Accent1 8" xfId="1851" xr:uid="{00000000-0005-0000-0000-00009A000000}"/>
    <cellStyle name="20% - Accent1 8 2" xfId="4080" xr:uid="{00000000-0005-0000-0000-00009B000000}"/>
    <cellStyle name="20% - Accent1 8 2 2" xfId="8302" xr:uid="{00000000-0005-0000-0000-00009C000000}"/>
    <cellStyle name="20% - Accent1 8 2 2 2" xfId="25200" xr:uid="{B1B6B2A8-4D2A-4266-81FB-9B1CD37355D1}"/>
    <cellStyle name="20% - Accent1 8 2 2 3" xfId="16752" xr:uid="{60FBC60F-217B-48D3-BBB3-96B2C3A8D09B}"/>
    <cellStyle name="20% - Accent1 8 2 3" xfId="20982" xr:uid="{D39D6D05-33BD-4C69-B524-E1E4E6CAF8A1}"/>
    <cellStyle name="20% - Accent1 8 2 4" xfId="12534" xr:uid="{06979E79-B7F3-47CC-926C-CD296AABAFC5}"/>
    <cellStyle name="20% - Accent1 8 3" xfId="6157" xr:uid="{00000000-0005-0000-0000-00009D000000}"/>
    <cellStyle name="20% - Accent1 8 3 2" xfId="23055" xr:uid="{D31B7395-6483-41C2-967E-D7CC09A1EB4B}"/>
    <cellStyle name="20% - Accent1 8 3 3" xfId="14607" xr:uid="{422B6922-F002-4610-9D5C-B8BBB55A302A}"/>
    <cellStyle name="20% - Accent1 8 4" xfId="18837" xr:uid="{4CA7F22F-9004-474B-939B-A0DFADF58B0F}"/>
    <cellStyle name="20% - Accent1 8 5" xfId="10389" xr:uid="{24ABC5DB-EE01-4A3C-A3E2-843F0EDC00EB}"/>
    <cellStyle name="20% - Accent1 9" xfId="2264" xr:uid="{00000000-0005-0000-0000-00009E000000}"/>
    <cellStyle name="20% - Accent1 9 2" xfId="6570" xr:uid="{00000000-0005-0000-0000-00009F000000}"/>
    <cellStyle name="20% - Accent1 9 2 2" xfId="23468" xr:uid="{F82154F7-1C8D-4CC8-916C-E57E3F7CC277}"/>
    <cellStyle name="20% - Accent1 9 2 3" xfId="15020" xr:uid="{77BFD693-4B10-4C9F-AA0B-FB49C6B83C73}"/>
    <cellStyle name="20% - Accent1 9 3" xfId="19250" xr:uid="{23B522E0-B12A-4330-A20F-E897B88B7587}"/>
    <cellStyle name="20% - Accent1 9 4" xfId="10802" xr:uid="{81009CFA-B0AB-4EFB-9041-9768906973AE}"/>
    <cellStyle name="20% - Accent2" xfId="9" builtinId="34" customBuiltin="1"/>
    <cellStyle name="20% - Accent2 10" xfId="4512" xr:uid="{00000000-0005-0000-0000-0000A1000000}"/>
    <cellStyle name="20% - Accent2 10 2" xfId="21410" xr:uid="{68E735C0-38F9-4009-8510-E5B3BF7D1505}"/>
    <cellStyle name="20% - Accent2 10 3" xfId="12962" xr:uid="{BC00E678-AB4B-43B4-9EC6-CCFDB3A75859}"/>
    <cellStyle name="20% - Accent2 11" xfId="17192" xr:uid="{A6A94838-D8BE-4808-A79A-BB9E02D9393D}"/>
    <cellStyle name="20% - Accent2 12" xfId="8744" xr:uid="{3D6D5292-6DD9-4D17-9D5C-26137F8E3720}"/>
    <cellStyle name="20% - Accent2 2" xfId="10" xr:uid="{00000000-0005-0000-0000-0000A2000000}"/>
    <cellStyle name="20% - Accent2 2 10" xfId="17193" xr:uid="{AC58585D-B9CB-4A93-A9A0-C7A1104A4730}"/>
    <cellStyle name="20% - Accent2 2 11" xfId="8745" xr:uid="{8B31EF2E-F323-4A76-9472-89D8E23814C3}"/>
    <cellStyle name="20% - Accent2 2 2" xfId="11" xr:uid="{00000000-0005-0000-0000-0000A3000000}"/>
    <cellStyle name="20% - Accent2 2 2 10" xfId="8746" xr:uid="{E3EDA99A-8989-4639-9DFB-2642B1B7696C}"/>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23972" xr:uid="{52A7C960-56B7-43F5-9AED-80BF1B47289F}"/>
    <cellStyle name="20% - Accent2 2 2 2 2 2 2 3" xfId="15524" xr:uid="{59899B9C-C39C-4BB7-A894-7B8DBABF4E2B}"/>
    <cellStyle name="20% - Accent2 2 2 2 2 2 3" xfId="19754" xr:uid="{BC5647E1-FF52-4FCE-920E-84FA9B3CA26F}"/>
    <cellStyle name="20% - Accent2 2 2 2 2 2 4" xfId="11306" xr:uid="{ADFCECCA-2E76-4D0D-A142-D7F3AD011794}"/>
    <cellStyle name="20% - Accent2 2 2 2 2 3" xfId="4929" xr:uid="{00000000-0005-0000-0000-0000A8000000}"/>
    <cellStyle name="20% - Accent2 2 2 2 2 3 2" xfId="21827" xr:uid="{E83A672F-1675-4958-9FD0-60D253652D51}"/>
    <cellStyle name="20% - Accent2 2 2 2 2 3 3" xfId="13379" xr:uid="{8D143A26-CFE6-49C4-B4B8-AADC218F060F}"/>
    <cellStyle name="20% - Accent2 2 2 2 2 4" xfId="17609" xr:uid="{CE45B4CA-D0C6-48CF-A278-34CF2E09B078}"/>
    <cellStyle name="20% - Accent2 2 2 2 2 5" xfId="9161" xr:uid="{17A2CE49-633D-45B4-B149-1AF527F0B445}"/>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24385" xr:uid="{91B2BFC0-35C9-44FC-9564-DA15ADFA4DCB}"/>
    <cellStyle name="20% - Accent2 2 2 2 3 2 2 3" xfId="15937" xr:uid="{50373BFD-BC7A-4494-82C7-842637DBFB0D}"/>
    <cellStyle name="20% - Accent2 2 2 2 3 2 3" xfId="20167" xr:uid="{3A8EF15E-9C3D-44D3-9C9A-541EF6CF533C}"/>
    <cellStyle name="20% - Accent2 2 2 2 3 2 4" xfId="11719" xr:uid="{BA990966-1DA9-41C5-B909-D6C29E7B239D}"/>
    <cellStyle name="20% - Accent2 2 2 2 3 3" xfId="5342" xr:uid="{00000000-0005-0000-0000-0000AC000000}"/>
    <cellStyle name="20% - Accent2 2 2 2 3 3 2" xfId="22240" xr:uid="{807D5E9F-8273-45C9-86E5-D852BDB061EB}"/>
    <cellStyle name="20% - Accent2 2 2 2 3 3 3" xfId="13792" xr:uid="{D14CBF74-A282-4A0E-B778-2639C219169A}"/>
    <cellStyle name="20% - Accent2 2 2 2 3 4" xfId="18022" xr:uid="{52B885CD-7C03-4221-92C0-B8DF711896EB}"/>
    <cellStyle name="20% - Accent2 2 2 2 3 5" xfId="9574" xr:uid="{A5E49B5C-10B7-4641-923C-13B7443F056A}"/>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24798" xr:uid="{CEC114BE-4CEF-4747-AD64-93CDC0173605}"/>
    <cellStyle name="20% - Accent2 2 2 2 4 2 2 3" xfId="16350" xr:uid="{95C01144-233A-4A58-8E44-E11252E5EEFB}"/>
    <cellStyle name="20% - Accent2 2 2 2 4 2 3" xfId="20580" xr:uid="{B2E6F19F-6D7C-4B19-B186-214B44608853}"/>
    <cellStyle name="20% - Accent2 2 2 2 4 2 4" xfId="12132" xr:uid="{0038BF6D-EEC9-455E-8A9F-E0729DD186AA}"/>
    <cellStyle name="20% - Accent2 2 2 2 4 3" xfId="5755" xr:uid="{00000000-0005-0000-0000-0000B0000000}"/>
    <cellStyle name="20% - Accent2 2 2 2 4 3 2" xfId="22653" xr:uid="{EA7DE75E-71A5-4130-BC7F-CDF243E6DFAA}"/>
    <cellStyle name="20% - Accent2 2 2 2 4 3 3" xfId="14205" xr:uid="{DF27C9AB-51D7-4762-A9D6-C30F648AFFA2}"/>
    <cellStyle name="20% - Accent2 2 2 2 4 4" xfId="18435" xr:uid="{86588257-9801-429B-B659-99F16401787C}"/>
    <cellStyle name="20% - Accent2 2 2 2 4 5" xfId="9987" xr:uid="{49A492F2-4D8E-47A9-BCE6-05D9CAEF809A}"/>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25211" xr:uid="{4FB11C46-6C8C-4A48-9C19-6A0D328F89D3}"/>
    <cellStyle name="20% - Accent2 2 2 2 5 2 2 3" xfId="16763" xr:uid="{C70CFDB1-0E96-49DC-B2EB-340D21652930}"/>
    <cellStyle name="20% - Accent2 2 2 2 5 2 3" xfId="20993" xr:uid="{3BA983A5-209B-43FE-8A88-E96BA778F1D6}"/>
    <cellStyle name="20% - Accent2 2 2 2 5 2 4" xfId="12545" xr:uid="{A9F5D7E1-7D80-4FB8-BCE9-385B084AE182}"/>
    <cellStyle name="20% - Accent2 2 2 2 5 3" xfId="6168" xr:uid="{00000000-0005-0000-0000-0000B4000000}"/>
    <cellStyle name="20% - Accent2 2 2 2 5 3 2" xfId="23066" xr:uid="{EF115786-C622-48A9-BC03-8C0E667BE028}"/>
    <cellStyle name="20% - Accent2 2 2 2 5 3 3" xfId="14618" xr:uid="{E520EA1A-C0D4-4F45-8BC2-374154366A96}"/>
    <cellStyle name="20% - Accent2 2 2 2 5 4" xfId="18848" xr:uid="{CEDB718C-86FD-4D87-9C89-DC643F840E59}"/>
    <cellStyle name="20% - Accent2 2 2 2 5 5" xfId="10400" xr:uid="{D44B73A6-7DC7-4A95-BD11-8E10662E6BCF}"/>
    <cellStyle name="20% - Accent2 2 2 2 6" xfId="2275" xr:uid="{00000000-0005-0000-0000-0000B5000000}"/>
    <cellStyle name="20% - Accent2 2 2 2 6 2" xfId="6581" xr:uid="{00000000-0005-0000-0000-0000B6000000}"/>
    <cellStyle name="20% - Accent2 2 2 2 6 2 2" xfId="23479" xr:uid="{168E11CB-F031-42D5-88E7-078C926B1D54}"/>
    <cellStyle name="20% - Accent2 2 2 2 6 2 3" xfId="15031" xr:uid="{DE542847-0CAD-44D2-A575-A1D43AEA2192}"/>
    <cellStyle name="20% - Accent2 2 2 2 6 3" xfId="19261" xr:uid="{908B2F9A-54DA-4B23-91FE-BA6F7BCD9A99}"/>
    <cellStyle name="20% - Accent2 2 2 2 6 4" xfId="10813" xr:uid="{130E6B17-642D-47D7-912E-CBEEA710FB87}"/>
    <cellStyle name="20% - Accent2 2 2 2 7" xfId="4515" xr:uid="{00000000-0005-0000-0000-0000B7000000}"/>
    <cellStyle name="20% - Accent2 2 2 2 7 2" xfId="21413" xr:uid="{61C51A98-093C-41D3-807E-8C61FFED5ED1}"/>
    <cellStyle name="20% - Accent2 2 2 2 7 3" xfId="12965" xr:uid="{5BC2A978-A0C7-4631-B9F9-46DA700DA98E}"/>
    <cellStyle name="20% - Accent2 2 2 2 8" xfId="17195" xr:uid="{23F4D84E-7FDA-4417-A7C0-EBB0FE4483A2}"/>
    <cellStyle name="20% - Accent2 2 2 2 9" xfId="8747" xr:uid="{DF93E34E-0C2B-4963-A199-CCE9BC6474FE}"/>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23971" xr:uid="{200D2FCB-4182-4CD0-903F-6160D7151686}"/>
    <cellStyle name="20% - Accent2 2 2 3 2 2 3" xfId="15523" xr:uid="{C3B6EA2D-789A-40F5-B8AD-DD4AA10D8F3D}"/>
    <cellStyle name="20% - Accent2 2 2 3 2 3" xfId="19753" xr:uid="{B9545BA1-E7B0-431F-9F82-ED4C19D993C4}"/>
    <cellStyle name="20% - Accent2 2 2 3 2 4" xfId="11305" xr:uid="{2BA970AC-AACC-4764-AA33-0D23C20F37DB}"/>
    <cellStyle name="20% - Accent2 2 2 3 3" xfId="4928" xr:uid="{00000000-0005-0000-0000-0000BB000000}"/>
    <cellStyle name="20% - Accent2 2 2 3 3 2" xfId="21826" xr:uid="{7C1A1793-9065-4AC5-BE51-D4E94461F2A2}"/>
    <cellStyle name="20% - Accent2 2 2 3 3 3" xfId="13378" xr:uid="{489A0287-4802-4DE1-AE92-CE51A360C7F0}"/>
    <cellStyle name="20% - Accent2 2 2 3 4" xfId="17608" xr:uid="{CBF3BBCF-F231-4404-9BEE-B15FC991FCE6}"/>
    <cellStyle name="20% - Accent2 2 2 3 5" xfId="9160" xr:uid="{EEFE52F5-9F6D-429F-BC0D-747EC1B64893}"/>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24384" xr:uid="{F6F7B3DB-1D86-47F2-BD4A-CB0E3D827B63}"/>
    <cellStyle name="20% - Accent2 2 2 4 2 2 3" xfId="15936" xr:uid="{65EFC2AF-A20B-437E-B2FC-948BFF45E649}"/>
    <cellStyle name="20% - Accent2 2 2 4 2 3" xfId="20166" xr:uid="{A2BE8044-1107-45C2-BCD7-07900BE7E41B}"/>
    <cellStyle name="20% - Accent2 2 2 4 2 4" xfId="11718" xr:uid="{DBDE8FB4-522F-4F83-BAEB-D854F8918A0E}"/>
    <cellStyle name="20% - Accent2 2 2 4 3" xfId="5341" xr:uid="{00000000-0005-0000-0000-0000BF000000}"/>
    <cellStyle name="20% - Accent2 2 2 4 3 2" xfId="22239" xr:uid="{FA2643E0-9F3F-4F1A-BEB7-C631A34B7466}"/>
    <cellStyle name="20% - Accent2 2 2 4 3 3" xfId="13791" xr:uid="{8244F84E-89A9-419B-B6F7-7446CAE66E3E}"/>
    <cellStyle name="20% - Accent2 2 2 4 4" xfId="18021" xr:uid="{F003BFD1-5A74-4AC1-8F98-B7ED3B3B07C9}"/>
    <cellStyle name="20% - Accent2 2 2 4 5" xfId="9573" xr:uid="{A484E8FC-19B4-4288-8EF1-3F0A1DE4AC89}"/>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24797" xr:uid="{1F12F504-36FD-4F2C-8035-87074175DCE2}"/>
    <cellStyle name="20% - Accent2 2 2 5 2 2 3" xfId="16349" xr:uid="{EB9190AB-F52C-4795-A558-191EF72D9E56}"/>
    <cellStyle name="20% - Accent2 2 2 5 2 3" xfId="20579" xr:uid="{9912A457-5535-401D-82D5-94FF863E141B}"/>
    <cellStyle name="20% - Accent2 2 2 5 2 4" xfId="12131" xr:uid="{1AFD7A2B-0FF8-4955-8316-4713882BB349}"/>
    <cellStyle name="20% - Accent2 2 2 5 3" xfId="5754" xr:uid="{00000000-0005-0000-0000-0000C3000000}"/>
    <cellStyle name="20% - Accent2 2 2 5 3 2" xfId="22652" xr:uid="{5BADCEE1-6698-4959-9B85-C96240EE2B66}"/>
    <cellStyle name="20% - Accent2 2 2 5 3 3" xfId="14204" xr:uid="{DEB3C3B3-FA9E-4E61-91BC-592334BA9E4E}"/>
    <cellStyle name="20% - Accent2 2 2 5 4" xfId="18434" xr:uid="{E025BDA8-C7CB-4668-9D1B-37066D070DCC}"/>
    <cellStyle name="20% - Accent2 2 2 5 5" xfId="9986" xr:uid="{D05D2235-AD5E-4F2B-849D-E04B1BB13C47}"/>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25210" xr:uid="{748EB136-A624-469B-9838-B8BF2887A70E}"/>
    <cellStyle name="20% - Accent2 2 2 6 2 2 3" xfId="16762" xr:uid="{72B375E4-73DA-41BD-B1A6-7E447716793E}"/>
    <cellStyle name="20% - Accent2 2 2 6 2 3" xfId="20992" xr:uid="{3C338EF8-E620-46CC-A317-964C2606D8BE}"/>
    <cellStyle name="20% - Accent2 2 2 6 2 4" xfId="12544" xr:uid="{213FF2FE-00D0-4D30-A374-A934AAB64947}"/>
    <cellStyle name="20% - Accent2 2 2 6 3" xfId="6167" xr:uid="{00000000-0005-0000-0000-0000C7000000}"/>
    <cellStyle name="20% - Accent2 2 2 6 3 2" xfId="23065" xr:uid="{2D6CA1E9-7D4A-4256-BABA-4615E1DECB5A}"/>
    <cellStyle name="20% - Accent2 2 2 6 3 3" xfId="14617" xr:uid="{903C3192-1366-4409-82F1-FD7D158B4EAB}"/>
    <cellStyle name="20% - Accent2 2 2 6 4" xfId="18847" xr:uid="{2D635182-2220-4A5C-908C-CD17675BD752}"/>
    <cellStyle name="20% - Accent2 2 2 6 5" xfId="10399" xr:uid="{F539B8AF-D83C-437B-B061-CE05A1A92892}"/>
    <cellStyle name="20% - Accent2 2 2 7" xfId="2274" xr:uid="{00000000-0005-0000-0000-0000C8000000}"/>
    <cellStyle name="20% - Accent2 2 2 7 2" xfId="6580" xr:uid="{00000000-0005-0000-0000-0000C9000000}"/>
    <cellStyle name="20% - Accent2 2 2 7 2 2" xfId="23478" xr:uid="{B543549F-D417-4C54-A70A-1E20EA6F64B0}"/>
    <cellStyle name="20% - Accent2 2 2 7 2 3" xfId="15030" xr:uid="{76831556-3363-4054-BC08-B96A3975ADE3}"/>
    <cellStyle name="20% - Accent2 2 2 7 3" xfId="19260" xr:uid="{AE1B663B-246B-43E3-A539-9C68998D61C5}"/>
    <cellStyle name="20% - Accent2 2 2 7 4" xfId="10812" xr:uid="{FDF76D99-7524-471D-95D4-0D8621A1E3BD}"/>
    <cellStyle name="20% - Accent2 2 2 8" xfId="4514" xr:uid="{00000000-0005-0000-0000-0000CA000000}"/>
    <cellStyle name="20% - Accent2 2 2 8 2" xfId="21412" xr:uid="{3C237D61-9368-4DB4-A726-0925A6761463}"/>
    <cellStyle name="20% - Accent2 2 2 8 3" xfId="12964" xr:uid="{33E1C885-EFC3-47F0-99CD-6BD87D401879}"/>
    <cellStyle name="20% - Accent2 2 2 9" xfId="17194" xr:uid="{B229DF83-3DA9-478F-955F-45F3598BE576}"/>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23973" xr:uid="{E1243BC5-9BB6-4BF2-A782-E78B6541609C}"/>
    <cellStyle name="20% - Accent2 2 3 2 2 2 3" xfId="15525" xr:uid="{15E285C7-8D12-4C61-B97A-2F3CE80C62BA}"/>
    <cellStyle name="20% - Accent2 2 3 2 2 3" xfId="19755" xr:uid="{ED8E7915-BB8B-458D-9FDB-3B08717BFBD5}"/>
    <cellStyle name="20% - Accent2 2 3 2 2 4" xfId="11307" xr:uid="{A4E7126C-0A69-45A3-A9AE-D3F3C2CF6BFF}"/>
    <cellStyle name="20% - Accent2 2 3 2 3" xfId="4930" xr:uid="{00000000-0005-0000-0000-0000CF000000}"/>
    <cellStyle name="20% - Accent2 2 3 2 3 2" xfId="21828" xr:uid="{4507A29D-9AA3-492A-943F-AA4F8D5FB4B4}"/>
    <cellStyle name="20% - Accent2 2 3 2 3 3" xfId="13380" xr:uid="{E2C9B224-45E0-4AC6-B010-0654C9194A32}"/>
    <cellStyle name="20% - Accent2 2 3 2 4" xfId="17610" xr:uid="{47A6F440-3D04-492B-8332-7FAC4F9391A3}"/>
    <cellStyle name="20% - Accent2 2 3 2 5" xfId="9162" xr:uid="{DDDE2D07-E2E1-4852-B72D-C6FD8E8200D2}"/>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24386" xr:uid="{96BCF9A5-9F74-40B5-8BD6-E66E52DC6E59}"/>
    <cellStyle name="20% - Accent2 2 3 3 2 2 3" xfId="15938" xr:uid="{FEB25334-05CB-4327-92D1-741479CA4D48}"/>
    <cellStyle name="20% - Accent2 2 3 3 2 3" xfId="20168" xr:uid="{52A18351-FC40-417A-9DDB-9AE977A6893B}"/>
    <cellStyle name="20% - Accent2 2 3 3 2 4" xfId="11720" xr:uid="{8EFF7879-53DF-4F97-AFDF-074B428D97C3}"/>
    <cellStyle name="20% - Accent2 2 3 3 3" xfId="5343" xr:uid="{00000000-0005-0000-0000-0000D3000000}"/>
    <cellStyle name="20% - Accent2 2 3 3 3 2" xfId="22241" xr:uid="{3631200D-E60D-40CA-ACAA-624458C62B13}"/>
    <cellStyle name="20% - Accent2 2 3 3 3 3" xfId="13793" xr:uid="{E44F8469-BD15-4C06-BA52-57FECBBE9048}"/>
    <cellStyle name="20% - Accent2 2 3 3 4" xfId="18023" xr:uid="{37736136-F37F-427F-B84B-6AA32A561846}"/>
    <cellStyle name="20% - Accent2 2 3 3 5" xfId="9575" xr:uid="{C1E6F83E-7D3D-40B7-9C64-F6C5093FB5FD}"/>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24799" xr:uid="{88D1091C-591C-474F-ABA2-62F96313F0AA}"/>
    <cellStyle name="20% - Accent2 2 3 4 2 2 3" xfId="16351" xr:uid="{C81ED189-F007-473B-ABEC-871705AD45EB}"/>
    <cellStyle name="20% - Accent2 2 3 4 2 3" xfId="20581" xr:uid="{22960173-24FA-46A3-BC76-56109057790E}"/>
    <cellStyle name="20% - Accent2 2 3 4 2 4" xfId="12133" xr:uid="{89EC7443-2E1D-4767-9D96-BD4DA22EFC45}"/>
    <cellStyle name="20% - Accent2 2 3 4 3" xfId="5756" xr:uid="{00000000-0005-0000-0000-0000D7000000}"/>
    <cellStyle name="20% - Accent2 2 3 4 3 2" xfId="22654" xr:uid="{C3777CB1-7454-413A-BD80-A8EFEE72EBFB}"/>
    <cellStyle name="20% - Accent2 2 3 4 3 3" xfId="14206" xr:uid="{12360AA9-9585-4C60-8FBB-E88A5B847E4F}"/>
    <cellStyle name="20% - Accent2 2 3 4 4" xfId="18436" xr:uid="{A5CE2623-614D-4EB3-B350-360C04BE6F4F}"/>
    <cellStyle name="20% - Accent2 2 3 4 5" xfId="9988" xr:uid="{05199637-E96C-428A-B401-9DD7CAD4B014}"/>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25212" xr:uid="{0C3D583B-12BC-476A-B974-E23DEF7FC430}"/>
    <cellStyle name="20% - Accent2 2 3 5 2 2 3" xfId="16764" xr:uid="{D9437E44-8B77-4113-99FA-5C23BE7A4A0D}"/>
    <cellStyle name="20% - Accent2 2 3 5 2 3" xfId="20994" xr:uid="{01BA843F-BD5A-4EE7-8E71-04C89915A41F}"/>
    <cellStyle name="20% - Accent2 2 3 5 2 4" xfId="12546" xr:uid="{A8FA4A5B-ABAB-48C2-81CB-377709921A5A}"/>
    <cellStyle name="20% - Accent2 2 3 5 3" xfId="6169" xr:uid="{00000000-0005-0000-0000-0000DB000000}"/>
    <cellStyle name="20% - Accent2 2 3 5 3 2" xfId="23067" xr:uid="{65077FD4-2ABE-47A5-8D15-5CC72D283DD7}"/>
    <cellStyle name="20% - Accent2 2 3 5 3 3" xfId="14619" xr:uid="{C1FB7059-BFEC-4070-89B1-CB0E03DBAA35}"/>
    <cellStyle name="20% - Accent2 2 3 5 4" xfId="18849" xr:uid="{23D59C73-3097-4EBE-9136-F22E160933C5}"/>
    <cellStyle name="20% - Accent2 2 3 5 5" xfId="10401" xr:uid="{83F74970-628F-40CF-B34F-468EFCF64F60}"/>
    <cellStyle name="20% - Accent2 2 3 6" xfId="2276" xr:uid="{00000000-0005-0000-0000-0000DC000000}"/>
    <cellStyle name="20% - Accent2 2 3 6 2" xfId="6582" xr:uid="{00000000-0005-0000-0000-0000DD000000}"/>
    <cellStyle name="20% - Accent2 2 3 6 2 2" xfId="23480" xr:uid="{5032F0F4-362F-4E29-9BF8-57B19BE05DFD}"/>
    <cellStyle name="20% - Accent2 2 3 6 2 3" xfId="15032" xr:uid="{B8885161-3F75-41C8-B363-457E28C0EAC9}"/>
    <cellStyle name="20% - Accent2 2 3 6 3" xfId="19262" xr:uid="{3AF8CD3D-AE93-4AF3-BB03-ADE941AC707D}"/>
    <cellStyle name="20% - Accent2 2 3 6 4" xfId="10814" xr:uid="{24FF4DE6-F452-4D08-9D00-C02258076321}"/>
    <cellStyle name="20% - Accent2 2 3 7" xfId="4516" xr:uid="{00000000-0005-0000-0000-0000DE000000}"/>
    <cellStyle name="20% - Accent2 2 3 7 2" xfId="21414" xr:uid="{BFAB7189-6CC3-4984-AD85-85952BC11E16}"/>
    <cellStyle name="20% - Accent2 2 3 7 3" xfId="12966" xr:uid="{A6ADC186-63D4-4E33-95DA-2463B8042ABE}"/>
    <cellStyle name="20% - Accent2 2 3 8" xfId="17196" xr:uid="{50A03C2C-857C-44BE-9CAB-7BD292EAD335}"/>
    <cellStyle name="20% - Accent2 2 3 9" xfId="8748" xr:uid="{B4C47F37-9FAF-415F-9E80-EB160CFB868B}"/>
    <cellStyle name="20% - Accent2 2 4" xfId="579" xr:uid="{00000000-0005-0000-0000-0000DF000000}"/>
    <cellStyle name="20% - Accent2 2 4 2" xfId="2850" xr:uid="{00000000-0005-0000-0000-0000E0000000}"/>
    <cellStyle name="20% - Accent2 2 4 2 2" xfId="7072" xr:uid="{00000000-0005-0000-0000-0000E1000000}"/>
    <cellStyle name="20% - Accent2 2 4 2 2 2" xfId="23970" xr:uid="{F9B7356B-7139-435A-B2AC-8662897744CD}"/>
    <cellStyle name="20% - Accent2 2 4 2 2 3" xfId="15522" xr:uid="{9D84BF42-EFB0-4E6B-AAA4-B232D47C167E}"/>
    <cellStyle name="20% - Accent2 2 4 2 3" xfId="19752" xr:uid="{43E45AD9-05ED-44A6-BBF8-E2BADA7E57D5}"/>
    <cellStyle name="20% - Accent2 2 4 2 4" xfId="11304" xr:uid="{26E15191-F564-4C2F-9D9E-3BEF81433FA4}"/>
    <cellStyle name="20% - Accent2 2 4 3" xfId="4927" xr:uid="{00000000-0005-0000-0000-0000E2000000}"/>
    <cellStyle name="20% - Accent2 2 4 3 2" xfId="21825" xr:uid="{A1FE56C9-3F38-402E-9688-5470E94A6F4A}"/>
    <cellStyle name="20% - Accent2 2 4 3 3" xfId="13377" xr:uid="{6BD7F88D-2381-4177-B1DD-BEFA23FF7C6B}"/>
    <cellStyle name="20% - Accent2 2 4 4" xfId="17607" xr:uid="{5BDD1DBA-9167-4F0D-B634-C9DEB2F4107F}"/>
    <cellStyle name="20% - Accent2 2 4 5" xfId="9159" xr:uid="{873F2155-74D3-4DC8-8984-2A6A7F3FB20A}"/>
    <cellStyle name="20% - Accent2 2 5" xfId="1032" xr:uid="{00000000-0005-0000-0000-0000E3000000}"/>
    <cellStyle name="20% - Accent2 2 5 2" xfId="3263" xr:uid="{00000000-0005-0000-0000-0000E4000000}"/>
    <cellStyle name="20% - Accent2 2 5 2 2" xfId="7485" xr:uid="{00000000-0005-0000-0000-0000E5000000}"/>
    <cellStyle name="20% - Accent2 2 5 2 2 2" xfId="24383" xr:uid="{94D6C998-BED8-4AC4-94F5-0390B5A5121D}"/>
    <cellStyle name="20% - Accent2 2 5 2 2 3" xfId="15935" xr:uid="{DB76FAB8-A967-466A-ADAE-34161A329DAC}"/>
    <cellStyle name="20% - Accent2 2 5 2 3" xfId="20165" xr:uid="{B7E2D630-28ED-4A8D-97E6-7928A68589DC}"/>
    <cellStyle name="20% - Accent2 2 5 2 4" xfId="11717" xr:uid="{F4A01591-4ACF-4DB3-9102-D67893B8753F}"/>
    <cellStyle name="20% - Accent2 2 5 3" xfId="5340" xr:uid="{00000000-0005-0000-0000-0000E6000000}"/>
    <cellStyle name="20% - Accent2 2 5 3 2" xfId="22238" xr:uid="{8225557B-4291-4AE5-8EC4-2F7A6E6CF932}"/>
    <cellStyle name="20% - Accent2 2 5 3 3" xfId="13790" xr:uid="{89809EF7-1BBB-4705-9DB0-5FEF9A160A68}"/>
    <cellStyle name="20% - Accent2 2 5 4" xfId="18020" xr:uid="{365E44C7-BADD-4E73-9351-3F36DBA0E2A7}"/>
    <cellStyle name="20% - Accent2 2 5 5" xfId="9572" xr:uid="{61F1249E-8AF6-4C67-BD7C-0FBF2AF728EC}"/>
    <cellStyle name="20% - Accent2 2 6" xfId="1446" xr:uid="{00000000-0005-0000-0000-0000E7000000}"/>
    <cellStyle name="20% - Accent2 2 6 2" xfId="3676" xr:uid="{00000000-0005-0000-0000-0000E8000000}"/>
    <cellStyle name="20% - Accent2 2 6 2 2" xfId="7898" xr:uid="{00000000-0005-0000-0000-0000E9000000}"/>
    <cellStyle name="20% - Accent2 2 6 2 2 2" xfId="24796" xr:uid="{0F09CE57-607A-456D-8670-5A1C7E8AB018}"/>
    <cellStyle name="20% - Accent2 2 6 2 2 3" xfId="16348" xr:uid="{B4E55316-FF34-43B0-86D3-5ADDE0969D1F}"/>
    <cellStyle name="20% - Accent2 2 6 2 3" xfId="20578" xr:uid="{CC7C9546-99E0-4DED-8C8D-F846630CBB64}"/>
    <cellStyle name="20% - Accent2 2 6 2 4" xfId="12130" xr:uid="{B4605B31-0399-4715-A0DE-9D51648E00D1}"/>
    <cellStyle name="20% - Accent2 2 6 3" xfId="5753" xr:uid="{00000000-0005-0000-0000-0000EA000000}"/>
    <cellStyle name="20% - Accent2 2 6 3 2" xfId="22651" xr:uid="{DE75BBED-7F2A-4261-A86F-EC7E36C4F693}"/>
    <cellStyle name="20% - Accent2 2 6 3 3" xfId="14203" xr:uid="{60FDD5E1-3E54-493E-B4EC-0794A981FB5F}"/>
    <cellStyle name="20% - Accent2 2 6 4" xfId="18433" xr:uid="{3455661E-70F2-4FD0-8FE8-3F962DA1DAB5}"/>
    <cellStyle name="20% - Accent2 2 6 5" xfId="9985" xr:uid="{963B5D8F-E411-40A0-BF6A-F12FF7BC34F4}"/>
    <cellStyle name="20% - Accent2 2 7" xfId="1860" xr:uid="{00000000-0005-0000-0000-0000EB000000}"/>
    <cellStyle name="20% - Accent2 2 7 2" xfId="4089" xr:uid="{00000000-0005-0000-0000-0000EC000000}"/>
    <cellStyle name="20% - Accent2 2 7 2 2" xfId="8311" xr:uid="{00000000-0005-0000-0000-0000ED000000}"/>
    <cellStyle name="20% - Accent2 2 7 2 2 2" xfId="25209" xr:uid="{D50BFC28-CDFE-4CE9-A02A-247B04305890}"/>
    <cellStyle name="20% - Accent2 2 7 2 2 3" xfId="16761" xr:uid="{FAABB82F-EFB2-440A-AAC0-7795754AE216}"/>
    <cellStyle name="20% - Accent2 2 7 2 3" xfId="20991" xr:uid="{37F47180-A90A-4C22-A7F0-3EB2455B73C3}"/>
    <cellStyle name="20% - Accent2 2 7 2 4" xfId="12543" xr:uid="{70426B97-3619-4349-BDA9-D428C0FF353F}"/>
    <cellStyle name="20% - Accent2 2 7 3" xfId="6166" xr:uid="{00000000-0005-0000-0000-0000EE000000}"/>
    <cellStyle name="20% - Accent2 2 7 3 2" xfId="23064" xr:uid="{05A3BA29-B2DC-43CA-8C1E-A0869FA75E7F}"/>
    <cellStyle name="20% - Accent2 2 7 3 3" xfId="14616" xr:uid="{6441F618-8719-4BB0-8E3F-B43E47F46A50}"/>
    <cellStyle name="20% - Accent2 2 7 4" xfId="18846" xr:uid="{1A1D5134-5338-4484-B071-EDF38484B437}"/>
    <cellStyle name="20% - Accent2 2 7 5" xfId="10398" xr:uid="{08020397-ECAF-443F-8F9B-BE4B940D570E}"/>
    <cellStyle name="20% - Accent2 2 8" xfId="2273" xr:uid="{00000000-0005-0000-0000-0000EF000000}"/>
    <cellStyle name="20% - Accent2 2 8 2" xfId="6579" xr:uid="{00000000-0005-0000-0000-0000F0000000}"/>
    <cellStyle name="20% - Accent2 2 8 2 2" xfId="23477" xr:uid="{0765B8CA-0953-43E5-8DF6-B8A944212EE8}"/>
    <cellStyle name="20% - Accent2 2 8 2 3" xfId="15029" xr:uid="{679413B2-235D-4915-826A-5A09376F0679}"/>
    <cellStyle name="20% - Accent2 2 8 3" xfId="19259" xr:uid="{B54EB0B3-58B3-47BD-A626-A18F621341C2}"/>
    <cellStyle name="20% - Accent2 2 8 4" xfId="10811" xr:uid="{AC8A1C76-74E5-445D-BFE2-4EFFEE61ABE7}"/>
    <cellStyle name="20% - Accent2 2 9" xfId="4513" xr:uid="{00000000-0005-0000-0000-0000F1000000}"/>
    <cellStyle name="20% - Accent2 2 9 2" xfId="21411" xr:uid="{5B46D6E5-BB17-411A-83A7-0EC7A98FF6B4}"/>
    <cellStyle name="20% - Accent2 2 9 3" xfId="12963" xr:uid="{E905C179-B4E6-4A41-B41C-C443F04C6368}"/>
    <cellStyle name="20% - Accent2 3" xfId="14" xr:uid="{00000000-0005-0000-0000-0000F2000000}"/>
    <cellStyle name="20% - Accent2 3 10" xfId="8749" xr:uid="{4D5716E0-6DF2-4E9E-9831-328A4A8E470C}"/>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23975" xr:uid="{BA3DCBFD-0A15-4E75-BE31-48A69845AD3B}"/>
    <cellStyle name="20% - Accent2 3 2 2 2 2 3" xfId="15527" xr:uid="{DAEA981E-BD4B-4A4C-BCFC-51BBC9BC6E50}"/>
    <cellStyle name="20% - Accent2 3 2 2 2 3" xfId="19757" xr:uid="{1283CDE6-8784-40BF-927D-FFC363A3CA0D}"/>
    <cellStyle name="20% - Accent2 3 2 2 2 4" xfId="11309" xr:uid="{A20A5649-FA90-473C-AC28-650951E1A965}"/>
    <cellStyle name="20% - Accent2 3 2 2 3" xfId="4932" xr:uid="{00000000-0005-0000-0000-0000F7000000}"/>
    <cellStyle name="20% - Accent2 3 2 2 3 2" xfId="21830" xr:uid="{0EAB0C88-BE64-45CE-AC84-9CBDED700380}"/>
    <cellStyle name="20% - Accent2 3 2 2 3 3" xfId="13382" xr:uid="{070A18EE-76FA-4AB6-B05D-9C82266A2976}"/>
    <cellStyle name="20% - Accent2 3 2 2 4" xfId="17612" xr:uid="{1FF1E095-06F7-4F82-9953-78720A39F8F0}"/>
    <cellStyle name="20% - Accent2 3 2 2 5" xfId="9164" xr:uid="{02E9A1EA-AAEF-414A-89DB-56E27F4434C1}"/>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24388" xr:uid="{2846EBED-9175-4746-8337-134B9C9883CD}"/>
    <cellStyle name="20% - Accent2 3 2 3 2 2 3" xfId="15940" xr:uid="{A16945D0-C97C-4639-A356-4042B97B909D}"/>
    <cellStyle name="20% - Accent2 3 2 3 2 3" xfId="20170" xr:uid="{91C8EB7E-13E0-4DEB-A2A8-E878EF0A2C33}"/>
    <cellStyle name="20% - Accent2 3 2 3 2 4" xfId="11722" xr:uid="{03398034-E926-4D3C-A967-A58CC919CE92}"/>
    <cellStyle name="20% - Accent2 3 2 3 3" xfId="5345" xr:uid="{00000000-0005-0000-0000-0000FB000000}"/>
    <cellStyle name="20% - Accent2 3 2 3 3 2" xfId="22243" xr:uid="{1057FB53-9A9B-48A9-AB2B-918DD5D7C53F}"/>
    <cellStyle name="20% - Accent2 3 2 3 3 3" xfId="13795" xr:uid="{286D08F6-63BC-49F8-8166-5619926F0084}"/>
    <cellStyle name="20% - Accent2 3 2 3 4" xfId="18025" xr:uid="{CEFFD9B5-8498-4545-95F0-9CF7E40E7BE6}"/>
    <cellStyle name="20% - Accent2 3 2 3 5" xfId="9577" xr:uid="{C88AB6FE-9E50-4E96-A056-045BCDAAA965}"/>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24801" xr:uid="{28D14185-E58B-41F5-B0C8-1278EA4EAAB0}"/>
    <cellStyle name="20% - Accent2 3 2 4 2 2 3" xfId="16353" xr:uid="{AA3F30EC-EA38-4047-B78F-BE13D949178B}"/>
    <cellStyle name="20% - Accent2 3 2 4 2 3" xfId="20583" xr:uid="{9CF080F3-0BFF-48EA-ACAE-A0A8B7ACEF1A}"/>
    <cellStyle name="20% - Accent2 3 2 4 2 4" xfId="12135" xr:uid="{BD4FFBAC-688F-452E-A3DB-BA8EF15F63A6}"/>
    <cellStyle name="20% - Accent2 3 2 4 3" xfId="5758" xr:uid="{00000000-0005-0000-0000-0000FF000000}"/>
    <cellStyle name="20% - Accent2 3 2 4 3 2" xfId="22656" xr:uid="{9E1F134E-0E08-4E6F-8C0B-D93426BE1978}"/>
    <cellStyle name="20% - Accent2 3 2 4 3 3" xfId="14208" xr:uid="{A3BC0D18-3321-4390-A455-0362760943B9}"/>
    <cellStyle name="20% - Accent2 3 2 4 4" xfId="18438" xr:uid="{DB1006A0-D000-4296-9DF3-D32D38E633C5}"/>
    <cellStyle name="20% - Accent2 3 2 4 5" xfId="9990" xr:uid="{59C68BC0-442C-4011-BED4-6F5831B80523}"/>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25214" xr:uid="{02C11FFD-993D-48B4-9BAE-43942A3E9EB4}"/>
    <cellStyle name="20% - Accent2 3 2 5 2 2 3" xfId="16766" xr:uid="{23CAF0FB-10A2-465A-BC91-A6691AA9EEEC}"/>
    <cellStyle name="20% - Accent2 3 2 5 2 3" xfId="20996" xr:uid="{68FE6D48-BE44-4292-837E-C872B34F5BFF}"/>
    <cellStyle name="20% - Accent2 3 2 5 2 4" xfId="12548" xr:uid="{8A074664-9B4D-4C22-996B-AC892F724D16}"/>
    <cellStyle name="20% - Accent2 3 2 5 3" xfId="6171" xr:uid="{00000000-0005-0000-0000-000003010000}"/>
    <cellStyle name="20% - Accent2 3 2 5 3 2" xfId="23069" xr:uid="{7F52491B-FD93-49E0-BD56-60B1B5D6EBE6}"/>
    <cellStyle name="20% - Accent2 3 2 5 3 3" xfId="14621" xr:uid="{D79C892B-A4CA-49D2-99D6-BAEE7DBD6AB3}"/>
    <cellStyle name="20% - Accent2 3 2 5 4" xfId="18851" xr:uid="{9891E63C-F396-4BB6-AEF2-28352F0A35A7}"/>
    <cellStyle name="20% - Accent2 3 2 5 5" xfId="10403" xr:uid="{5FDFDD45-28DB-4AE7-BB10-BF6836B64498}"/>
    <cellStyle name="20% - Accent2 3 2 6" xfId="2278" xr:uid="{00000000-0005-0000-0000-000004010000}"/>
    <cellStyle name="20% - Accent2 3 2 6 2" xfId="6584" xr:uid="{00000000-0005-0000-0000-000005010000}"/>
    <cellStyle name="20% - Accent2 3 2 6 2 2" xfId="23482" xr:uid="{162A0499-6481-4AAE-950A-11D16541F832}"/>
    <cellStyle name="20% - Accent2 3 2 6 2 3" xfId="15034" xr:uid="{D0570BF6-F276-42A3-8D37-9118E07A8198}"/>
    <cellStyle name="20% - Accent2 3 2 6 3" xfId="19264" xr:uid="{39E93EE0-E932-47B4-8F47-6817A17F6330}"/>
    <cellStyle name="20% - Accent2 3 2 6 4" xfId="10816" xr:uid="{201CF2A8-5328-40B3-97E7-9EBBF62D6103}"/>
    <cellStyle name="20% - Accent2 3 2 7" xfId="4518" xr:uid="{00000000-0005-0000-0000-000006010000}"/>
    <cellStyle name="20% - Accent2 3 2 7 2" xfId="21416" xr:uid="{A21BBB0F-6DB2-4755-9100-D4708BA2AD85}"/>
    <cellStyle name="20% - Accent2 3 2 7 3" xfId="12968" xr:uid="{9FDFE180-0A9B-493F-83F1-CEB928AE12F0}"/>
    <cellStyle name="20% - Accent2 3 2 8" xfId="17198" xr:uid="{5426DD44-56FA-4999-AC37-61EA83B86146}"/>
    <cellStyle name="20% - Accent2 3 2 9" xfId="8750" xr:uid="{ACBB3634-21C6-4971-92B8-DB8F1A772AE2}"/>
    <cellStyle name="20% - Accent2 3 3" xfId="583" xr:uid="{00000000-0005-0000-0000-000007010000}"/>
    <cellStyle name="20% - Accent2 3 3 2" xfId="2854" xr:uid="{00000000-0005-0000-0000-000008010000}"/>
    <cellStyle name="20% - Accent2 3 3 2 2" xfId="7076" xr:uid="{00000000-0005-0000-0000-000009010000}"/>
    <cellStyle name="20% - Accent2 3 3 2 2 2" xfId="23974" xr:uid="{9B9B4AB6-A8B6-4B00-9AC6-8EC0BCE6C236}"/>
    <cellStyle name="20% - Accent2 3 3 2 2 3" xfId="15526" xr:uid="{CA7DB1AC-B158-48B5-846A-5777BCAA47C8}"/>
    <cellStyle name="20% - Accent2 3 3 2 3" xfId="19756" xr:uid="{5370BC0C-9FE3-40D1-96A6-7256E16C4E17}"/>
    <cellStyle name="20% - Accent2 3 3 2 4" xfId="11308" xr:uid="{B0D05A55-8F80-448E-9DF3-EFE8FF06D132}"/>
    <cellStyle name="20% - Accent2 3 3 3" xfId="4931" xr:uid="{00000000-0005-0000-0000-00000A010000}"/>
    <cellStyle name="20% - Accent2 3 3 3 2" xfId="21829" xr:uid="{46032F22-77F1-46D8-93E3-32C7C5BB0BED}"/>
    <cellStyle name="20% - Accent2 3 3 3 3" xfId="13381" xr:uid="{5B658B40-09C1-4CA6-B0A2-9DEF0659BB36}"/>
    <cellStyle name="20% - Accent2 3 3 4" xfId="17611" xr:uid="{3018F888-9293-4362-8266-87CA3A3EFA1C}"/>
    <cellStyle name="20% - Accent2 3 3 5" xfId="9163" xr:uid="{F44FC87C-7B2C-4A04-B0CA-512F05CE0B95}"/>
    <cellStyle name="20% - Accent2 3 4" xfId="1036" xr:uid="{00000000-0005-0000-0000-00000B010000}"/>
    <cellStyle name="20% - Accent2 3 4 2" xfId="3267" xr:uid="{00000000-0005-0000-0000-00000C010000}"/>
    <cellStyle name="20% - Accent2 3 4 2 2" xfId="7489" xr:uid="{00000000-0005-0000-0000-00000D010000}"/>
    <cellStyle name="20% - Accent2 3 4 2 2 2" xfId="24387" xr:uid="{E0092A50-E344-4AAD-8616-384F086F5BB8}"/>
    <cellStyle name="20% - Accent2 3 4 2 2 3" xfId="15939" xr:uid="{A56EE176-2658-4511-8E9C-ED65F547C49A}"/>
    <cellStyle name="20% - Accent2 3 4 2 3" xfId="20169" xr:uid="{704C1D9D-17ED-4488-9178-8165B2C082CD}"/>
    <cellStyle name="20% - Accent2 3 4 2 4" xfId="11721" xr:uid="{539C9454-E521-46A4-B86E-169EFC0D850F}"/>
    <cellStyle name="20% - Accent2 3 4 3" xfId="5344" xr:uid="{00000000-0005-0000-0000-00000E010000}"/>
    <cellStyle name="20% - Accent2 3 4 3 2" xfId="22242" xr:uid="{1CB58EFF-2CDF-451A-B08D-FAF94696EF3B}"/>
    <cellStyle name="20% - Accent2 3 4 3 3" xfId="13794" xr:uid="{2D46B040-B108-4138-B4C9-0193EE2B1B75}"/>
    <cellStyle name="20% - Accent2 3 4 4" xfId="18024" xr:uid="{F560F0E9-E970-4436-8BD0-2AE0B5FD1627}"/>
    <cellStyle name="20% - Accent2 3 4 5" xfId="9576" xr:uid="{90A51AE6-8469-4711-9893-25B030D60B90}"/>
    <cellStyle name="20% - Accent2 3 5" xfId="1450" xr:uid="{00000000-0005-0000-0000-00000F010000}"/>
    <cellStyle name="20% - Accent2 3 5 2" xfId="3680" xr:uid="{00000000-0005-0000-0000-000010010000}"/>
    <cellStyle name="20% - Accent2 3 5 2 2" xfId="7902" xr:uid="{00000000-0005-0000-0000-000011010000}"/>
    <cellStyle name="20% - Accent2 3 5 2 2 2" xfId="24800" xr:uid="{EB4CF499-F652-4736-A943-6D546E6D54AA}"/>
    <cellStyle name="20% - Accent2 3 5 2 2 3" xfId="16352" xr:uid="{F08B1264-6820-4ACD-90B0-5B513929675F}"/>
    <cellStyle name="20% - Accent2 3 5 2 3" xfId="20582" xr:uid="{9A23437F-6DE6-4337-B7D1-A498CF4AEE4D}"/>
    <cellStyle name="20% - Accent2 3 5 2 4" xfId="12134" xr:uid="{BD3B8EB5-2FE2-4B4E-AEFF-A9C96C0A00F8}"/>
    <cellStyle name="20% - Accent2 3 5 3" xfId="5757" xr:uid="{00000000-0005-0000-0000-000012010000}"/>
    <cellStyle name="20% - Accent2 3 5 3 2" xfId="22655" xr:uid="{562D2408-8246-418B-A834-0B17EB8CCE82}"/>
    <cellStyle name="20% - Accent2 3 5 3 3" xfId="14207" xr:uid="{08115847-8FF9-4D2D-BE9D-39D86E89BC54}"/>
    <cellStyle name="20% - Accent2 3 5 4" xfId="18437" xr:uid="{8745FEE7-EC4E-498D-ACF4-C1E09CCC8B44}"/>
    <cellStyle name="20% - Accent2 3 5 5" xfId="9989" xr:uid="{8BAB0E7C-6EB2-4312-B843-AAA4D5F9611A}"/>
    <cellStyle name="20% - Accent2 3 6" xfId="1864" xr:uid="{00000000-0005-0000-0000-000013010000}"/>
    <cellStyle name="20% - Accent2 3 6 2" xfId="4093" xr:uid="{00000000-0005-0000-0000-000014010000}"/>
    <cellStyle name="20% - Accent2 3 6 2 2" xfId="8315" xr:uid="{00000000-0005-0000-0000-000015010000}"/>
    <cellStyle name="20% - Accent2 3 6 2 2 2" xfId="25213" xr:uid="{1698E7E7-E6AF-4C6E-80E1-5F0CE6416D0D}"/>
    <cellStyle name="20% - Accent2 3 6 2 2 3" xfId="16765" xr:uid="{D8A41A1D-36C3-43C9-84E6-AC00C18014A2}"/>
    <cellStyle name="20% - Accent2 3 6 2 3" xfId="20995" xr:uid="{DE66D9C7-5397-4215-BECF-D018D12D5F97}"/>
    <cellStyle name="20% - Accent2 3 6 2 4" xfId="12547" xr:uid="{D8C3A587-10EF-4631-8E21-5734B2C48202}"/>
    <cellStyle name="20% - Accent2 3 6 3" xfId="6170" xr:uid="{00000000-0005-0000-0000-000016010000}"/>
    <cellStyle name="20% - Accent2 3 6 3 2" xfId="23068" xr:uid="{4086446D-8473-4015-9729-862978440B6D}"/>
    <cellStyle name="20% - Accent2 3 6 3 3" xfId="14620" xr:uid="{530EDE5D-5662-43D0-B82A-DB555DF4B004}"/>
    <cellStyle name="20% - Accent2 3 6 4" xfId="18850" xr:uid="{7B5A7EA9-77E9-4C63-8984-4B51837B09B7}"/>
    <cellStyle name="20% - Accent2 3 6 5" xfId="10402" xr:uid="{C481188D-BBBE-41C4-8A89-4CCAFC97CD7D}"/>
    <cellStyle name="20% - Accent2 3 7" xfId="2277" xr:uid="{00000000-0005-0000-0000-000017010000}"/>
    <cellStyle name="20% - Accent2 3 7 2" xfId="6583" xr:uid="{00000000-0005-0000-0000-000018010000}"/>
    <cellStyle name="20% - Accent2 3 7 2 2" xfId="23481" xr:uid="{7E171480-FC25-493E-BE37-A14C7EBBE2E8}"/>
    <cellStyle name="20% - Accent2 3 7 2 3" xfId="15033" xr:uid="{8344E544-208F-42E4-9072-B5F30693BDCD}"/>
    <cellStyle name="20% - Accent2 3 7 3" xfId="19263" xr:uid="{D38614E7-E13F-4A2F-9B99-C9E577271B76}"/>
    <cellStyle name="20% - Accent2 3 7 4" xfId="10815" xr:uid="{8048067F-986F-4B5F-BD41-B8AB32C38498}"/>
    <cellStyle name="20% - Accent2 3 8" xfId="4517" xr:uid="{00000000-0005-0000-0000-000019010000}"/>
    <cellStyle name="20% - Accent2 3 8 2" xfId="21415" xr:uid="{15417028-F09C-4864-BD85-B71E4B0FF731}"/>
    <cellStyle name="20% - Accent2 3 8 3" xfId="12967" xr:uid="{7F777F1A-49D9-47BF-AEB6-40DB6E8D26A8}"/>
    <cellStyle name="20% - Accent2 3 9" xfId="17197" xr:uid="{FAA7D644-38CE-46F2-92AC-1D1526AB972C}"/>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2 2 2" xfId="23976" xr:uid="{65B99E6F-E291-4F38-869F-9D55BCFA485D}"/>
    <cellStyle name="20% - Accent2 4 2 2 2 3" xfId="15528" xr:uid="{BE1719AF-A848-4FE9-80AD-CE8F263993FD}"/>
    <cellStyle name="20% - Accent2 4 2 2 3" xfId="19758" xr:uid="{08A96B31-87AD-4B3F-8191-9A3630F15845}"/>
    <cellStyle name="20% - Accent2 4 2 2 4" xfId="11310" xr:uid="{F09FEDBF-F607-426B-A9A6-A1A56C58CF82}"/>
    <cellStyle name="20% - Accent2 4 2 3" xfId="4933" xr:uid="{00000000-0005-0000-0000-00001E010000}"/>
    <cellStyle name="20% - Accent2 4 2 3 2" xfId="21831" xr:uid="{8A23F080-DF2C-4C06-9B4C-B39203E7FFA5}"/>
    <cellStyle name="20% - Accent2 4 2 3 3" xfId="13383" xr:uid="{2B16D035-3958-4F1B-8413-EB5FE8EEE888}"/>
    <cellStyle name="20% - Accent2 4 2 4" xfId="17613" xr:uid="{B18A4473-2141-44A0-84E5-A49BEDC85E54}"/>
    <cellStyle name="20% - Accent2 4 2 5" xfId="9165" xr:uid="{5A6DE6F3-5F86-4D41-B22D-E5AE0E761E34}"/>
    <cellStyle name="20% - Accent2 4 3" xfId="1038" xr:uid="{00000000-0005-0000-0000-00001F010000}"/>
    <cellStyle name="20% - Accent2 4 3 2" xfId="3269" xr:uid="{00000000-0005-0000-0000-000020010000}"/>
    <cellStyle name="20% - Accent2 4 3 2 2" xfId="7491" xr:uid="{00000000-0005-0000-0000-000021010000}"/>
    <cellStyle name="20% - Accent2 4 3 2 2 2" xfId="24389" xr:uid="{EB04BCE9-B067-4E08-B33D-91C753921F67}"/>
    <cellStyle name="20% - Accent2 4 3 2 2 3" xfId="15941" xr:uid="{4AE98034-3274-44DD-B423-14CEBBC61766}"/>
    <cellStyle name="20% - Accent2 4 3 2 3" xfId="20171" xr:uid="{31FEBFF0-DD1B-4862-8B41-7FCCC703D7AB}"/>
    <cellStyle name="20% - Accent2 4 3 2 4" xfId="11723" xr:uid="{6DEC7AA7-D49E-4F41-8878-ABDB484ACBB5}"/>
    <cellStyle name="20% - Accent2 4 3 3" xfId="5346" xr:uid="{00000000-0005-0000-0000-000022010000}"/>
    <cellStyle name="20% - Accent2 4 3 3 2" xfId="22244" xr:uid="{B9CDCD0E-CE7E-41BD-A654-3E301FF5EC7D}"/>
    <cellStyle name="20% - Accent2 4 3 3 3" xfId="13796" xr:uid="{B9E5B530-1AC8-4EFA-A5CF-99577DB19401}"/>
    <cellStyle name="20% - Accent2 4 3 4" xfId="18026" xr:uid="{925C5EB6-A5F2-46E8-BA05-15044C9A0D47}"/>
    <cellStyle name="20% - Accent2 4 3 5" xfId="9578" xr:uid="{2599D071-EC78-45AA-BE15-578ABA8098CF}"/>
    <cellStyle name="20% - Accent2 4 4" xfId="1452" xr:uid="{00000000-0005-0000-0000-000023010000}"/>
    <cellStyle name="20% - Accent2 4 4 2" xfId="3682" xr:uid="{00000000-0005-0000-0000-000024010000}"/>
    <cellStyle name="20% - Accent2 4 4 2 2" xfId="7904" xr:uid="{00000000-0005-0000-0000-000025010000}"/>
    <cellStyle name="20% - Accent2 4 4 2 2 2" xfId="24802" xr:uid="{BA6B5DCE-4DF9-4E00-B2D5-4570E021DB72}"/>
    <cellStyle name="20% - Accent2 4 4 2 2 3" xfId="16354" xr:uid="{A3C2E733-D8E1-4EFC-B397-A1B48D5B9710}"/>
    <cellStyle name="20% - Accent2 4 4 2 3" xfId="20584" xr:uid="{D0F53A76-95B6-4A46-93E4-78FC0A8C52D2}"/>
    <cellStyle name="20% - Accent2 4 4 2 4" xfId="12136" xr:uid="{E07B3957-3602-4C0F-8B02-BAEA93D8235C}"/>
    <cellStyle name="20% - Accent2 4 4 3" xfId="5759" xr:uid="{00000000-0005-0000-0000-000026010000}"/>
    <cellStyle name="20% - Accent2 4 4 3 2" xfId="22657" xr:uid="{40CF7600-2185-4F45-A336-98E27420FBF8}"/>
    <cellStyle name="20% - Accent2 4 4 3 3" xfId="14209" xr:uid="{8D974A31-0D48-46FF-84BB-25A1569204AE}"/>
    <cellStyle name="20% - Accent2 4 4 4" xfId="18439" xr:uid="{FC68D115-6B57-4CC3-8239-74907E563A3A}"/>
    <cellStyle name="20% - Accent2 4 4 5" xfId="9991" xr:uid="{4635F491-F5F0-46EF-99D1-5D71F19E1BB7}"/>
    <cellStyle name="20% - Accent2 4 5" xfId="1866" xr:uid="{00000000-0005-0000-0000-000027010000}"/>
    <cellStyle name="20% - Accent2 4 5 2" xfId="4095" xr:uid="{00000000-0005-0000-0000-000028010000}"/>
    <cellStyle name="20% - Accent2 4 5 2 2" xfId="8317" xr:uid="{00000000-0005-0000-0000-000029010000}"/>
    <cellStyle name="20% - Accent2 4 5 2 2 2" xfId="25215" xr:uid="{6B7DDF0E-A2FE-4E97-9822-3F5939EF3C96}"/>
    <cellStyle name="20% - Accent2 4 5 2 2 3" xfId="16767" xr:uid="{EA20D664-216C-49E7-870F-6DC946725AFE}"/>
    <cellStyle name="20% - Accent2 4 5 2 3" xfId="20997" xr:uid="{04CE66D2-C128-4F8B-B3F8-052E6A89F5B1}"/>
    <cellStyle name="20% - Accent2 4 5 2 4" xfId="12549" xr:uid="{D335FC9A-1222-4077-8A84-C68AF4130265}"/>
    <cellStyle name="20% - Accent2 4 5 3" xfId="6172" xr:uid="{00000000-0005-0000-0000-00002A010000}"/>
    <cellStyle name="20% - Accent2 4 5 3 2" xfId="23070" xr:uid="{F2BFA93E-51AA-49AB-9895-442D05023EE7}"/>
    <cellStyle name="20% - Accent2 4 5 3 3" xfId="14622" xr:uid="{5529E858-6C58-4613-A7D9-ACE60BBB200A}"/>
    <cellStyle name="20% - Accent2 4 5 4" xfId="18852" xr:uid="{DC312F03-0B20-4BF9-A79C-83CFBD59B2DC}"/>
    <cellStyle name="20% - Accent2 4 5 5" xfId="10404" xr:uid="{6359167C-8405-4E10-BCCD-F26C543E7283}"/>
    <cellStyle name="20% - Accent2 4 6" xfId="2279" xr:uid="{00000000-0005-0000-0000-00002B010000}"/>
    <cellStyle name="20% - Accent2 4 6 2" xfId="6585" xr:uid="{00000000-0005-0000-0000-00002C010000}"/>
    <cellStyle name="20% - Accent2 4 6 2 2" xfId="23483" xr:uid="{FB95C0A8-1E91-4D70-9603-F5214DF4587B}"/>
    <cellStyle name="20% - Accent2 4 6 2 3" xfId="15035" xr:uid="{2738AD0F-27C2-48DE-84F7-4ED5EEF03F88}"/>
    <cellStyle name="20% - Accent2 4 6 3" xfId="19265" xr:uid="{44DAD211-140D-4EDD-B9EE-1FE8A8818589}"/>
    <cellStyle name="20% - Accent2 4 6 4" xfId="10817" xr:uid="{D847A841-4D0A-4BA2-803E-BB1D68E62982}"/>
    <cellStyle name="20% - Accent2 4 7" xfId="4519" xr:uid="{00000000-0005-0000-0000-00002D010000}"/>
    <cellStyle name="20% - Accent2 4 7 2" xfId="21417" xr:uid="{675F091F-84CE-4D77-8D24-0625E671945E}"/>
    <cellStyle name="20% - Accent2 4 7 3" xfId="12969" xr:uid="{56DBE77E-02E8-434B-8BE2-E9D44F1BABAB}"/>
    <cellStyle name="20% - Accent2 4 8" xfId="17199" xr:uid="{5DC263E5-1728-4412-8761-D8EE81913939}"/>
    <cellStyle name="20% - Accent2 4 9" xfId="8751" xr:uid="{84382930-6B5B-4F15-BE0C-F0CE580B4837}"/>
    <cellStyle name="20% - Accent2 5" xfId="578" xr:uid="{00000000-0005-0000-0000-00002E010000}"/>
    <cellStyle name="20% - Accent2 5 2" xfId="2849" xr:uid="{00000000-0005-0000-0000-00002F010000}"/>
    <cellStyle name="20% - Accent2 5 2 2" xfId="7071" xr:uid="{00000000-0005-0000-0000-000030010000}"/>
    <cellStyle name="20% - Accent2 5 2 2 2" xfId="23969" xr:uid="{1B5B1E88-280B-4C32-A89E-51DF1565CB89}"/>
    <cellStyle name="20% - Accent2 5 2 2 3" xfId="15521" xr:uid="{E81B142C-1CC2-4B82-91EF-A672974544D2}"/>
    <cellStyle name="20% - Accent2 5 2 3" xfId="19751" xr:uid="{9451A380-B110-44A6-A365-8F6D32B21F46}"/>
    <cellStyle name="20% - Accent2 5 2 4" xfId="11303" xr:uid="{2F2ED437-3B30-4849-8094-E45B76694BF1}"/>
    <cellStyle name="20% - Accent2 5 3" xfId="4926" xr:uid="{00000000-0005-0000-0000-000031010000}"/>
    <cellStyle name="20% - Accent2 5 3 2" xfId="21824" xr:uid="{8E8D1260-4C89-4839-BB57-9EA5E489F24D}"/>
    <cellStyle name="20% - Accent2 5 3 3" xfId="13376" xr:uid="{18AAA022-68FD-4858-AE86-17ABA38B183A}"/>
    <cellStyle name="20% - Accent2 5 4" xfId="17606" xr:uid="{5E219F9E-7E70-4E7B-AA77-D6C187B1B17A}"/>
    <cellStyle name="20% - Accent2 5 5" xfId="9158" xr:uid="{F4287665-F05E-49BE-B972-BA25CCC1BA39}"/>
    <cellStyle name="20% - Accent2 6" xfId="1031" xr:uid="{00000000-0005-0000-0000-000032010000}"/>
    <cellStyle name="20% - Accent2 6 2" xfId="3262" xr:uid="{00000000-0005-0000-0000-000033010000}"/>
    <cellStyle name="20% - Accent2 6 2 2" xfId="7484" xr:uid="{00000000-0005-0000-0000-000034010000}"/>
    <cellStyle name="20% - Accent2 6 2 2 2" xfId="24382" xr:uid="{2D31F946-4E59-48B5-B3A3-F22C0DA80892}"/>
    <cellStyle name="20% - Accent2 6 2 2 3" xfId="15934" xr:uid="{FEBEE4BB-0502-402F-B87C-1D7017DB324F}"/>
    <cellStyle name="20% - Accent2 6 2 3" xfId="20164" xr:uid="{7E25F4B1-AC57-4ADA-899B-E093604A8657}"/>
    <cellStyle name="20% - Accent2 6 2 4" xfId="11716" xr:uid="{2D71BC1B-846D-4B2E-84BD-E782B8A145F1}"/>
    <cellStyle name="20% - Accent2 6 3" xfId="5339" xr:uid="{00000000-0005-0000-0000-000035010000}"/>
    <cellStyle name="20% - Accent2 6 3 2" xfId="22237" xr:uid="{DEB36A97-8D31-4515-8438-EEB283F7AC50}"/>
    <cellStyle name="20% - Accent2 6 3 3" xfId="13789" xr:uid="{0EB1DF52-19CC-4731-85E3-517811CF7D10}"/>
    <cellStyle name="20% - Accent2 6 4" xfId="18019" xr:uid="{3B51A0C2-DE74-4A48-8018-5C83526855E3}"/>
    <cellStyle name="20% - Accent2 6 5" xfId="9571" xr:uid="{F95D8BE9-EEAB-4AEE-82C6-80F5991A76F1}"/>
    <cellStyle name="20% - Accent2 7" xfId="1445" xr:uid="{00000000-0005-0000-0000-000036010000}"/>
    <cellStyle name="20% - Accent2 7 2" xfId="3675" xr:uid="{00000000-0005-0000-0000-000037010000}"/>
    <cellStyle name="20% - Accent2 7 2 2" xfId="7897" xr:uid="{00000000-0005-0000-0000-000038010000}"/>
    <cellStyle name="20% - Accent2 7 2 2 2" xfId="24795" xr:uid="{0EE503A1-FC5A-4775-864B-AACA1C27176A}"/>
    <cellStyle name="20% - Accent2 7 2 2 3" xfId="16347" xr:uid="{0CC25260-D6C9-443F-BB37-C89ED710ED01}"/>
    <cellStyle name="20% - Accent2 7 2 3" xfId="20577" xr:uid="{093CA78F-E4AB-40A5-BBA7-84C9BBF6C540}"/>
    <cellStyle name="20% - Accent2 7 2 4" xfId="12129" xr:uid="{4B921787-01DF-4954-A8DB-0588EDB93151}"/>
    <cellStyle name="20% - Accent2 7 3" xfId="5752" xr:uid="{00000000-0005-0000-0000-000039010000}"/>
    <cellStyle name="20% - Accent2 7 3 2" xfId="22650" xr:uid="{59D83252-BFAF-498B-BB03-3E2ABA002CDF}"/>
    <cellStyle name="20% - Accent2 7 3 3" xfId="14202" xr:uid="{EAB912D6-3843-4A1E-935A-7F9407554649}"/>
    <cellStyle name="20% - Accent2 7 4" xfId="18432" xr:uid="{D41BA3BA-6C02-4F43-BAF6-C151DD75EEBF}"/>
    <cellStyle name="20% - Accent2 7 5" xfId="9984" xr:uid="{5D132BED-8623-4DF0-95BE-C643639214CD}"/>
    <cellStyle name="20% - Accent2 8" xfId="1859" xr:uid="{00000000-0005-0000-0000-00003A010000}"/>
    <cellStyle name="20% - Accent2 8 2" xfId="4088" xr:uid="{00000000-0005-0000-0000-00003B010000}"/>
    <cellStyle name="20% - Accent2 8 2 2" xfId="8310" xr:uid="{00000000-0005-0000-0000-00003C010000}"/>
    <cellStyle name="20% - Accent2 8 2 2 2" xfId="25208" xr:uid="{D2B8E455-C102-479B-A432-B763BC5FF7E2}"/>
    <cellStyle name="20% - Accent2 8 2 2 3" xfId="16760" xr:uid="{DC498FC1-6C18-4369-B17B-93597962E1F8}"/>
    <cellStyle name="20% - Accent2 8 2 3" xfId="20990" xr:uid="{5810324A-EC46-4C3D-83A3-25659223A522}"/>
    <cellStyle name="20% - Accent2 8 2 4" xfId="12542" xr:uid="{0007DFE8-2800-4BB3-8B62-CDD580EEE5E4}"/>
    <cellStyle name="20% - Accent2 8 3" xfId="6165" xr:uid="{00000000-0005-0000-0000-00003D010000}"/>
    <cellStyle name="20% - Accent2 8 3 2" xfId="23063" xr:uid="{94DAB764-A389-45CE-ABFA-AEFBCDCFE457}"/>
    <cellStyle name="20% - Accent2 8 3 3" xfId="14615" xr:uid="{EEE170A5-3D9C-40C6-95B7-5269B823CA6D}"/>
    <cellStyle name="20% - Accent2 8 4" xfId="18845" xr:uid="{6E9D5E43-3830-49F0-94FF-0651119E8C4D}"/>
    <cellStyle name="20% - Accent2 8 5" xfId="10397" xr:uid="{79355B96-B666-42CA-B48D-9A31E28EDAC2}"/>
    <cellStyle name="20% - Accent2 9" xfId="2272" xr:uid="{00000000-0005-0000-0000-00003E010000}"/>
    <cellStyle name="20% - Accent2 9 2" xfId="6578" xr:uid="{00000000-0005-0000-0000-00003F010000}"/>
    <cellStyle name="20% - Accent2 9 2 2" xfId="23476" xr:uid="{0025E713-9C7C-4092-80AD-84BE4519348C}"/>
    <cellStyle name="20% - Accent2 9 2 3" xfId="15028" xr:uid="{687E5F3B-EC27-4B96-9CCB-FFC35E0EB001}"/>
    <cellStyle name="20% - Accent2 9 3" xfId="19258" xr:uid="{2BE3A5B5-9651-4B88-9DEE-1C1883701350}"/>
    <cellStyle name="20% - Accent2 9 4" xfId="10810" xr:uid="{41975E35-71D9-4816-8241-4F4925EBDCE1}"/>
    <cellStyle name="20% - Accent3" xfId="17" builtinId="38" customBuiltin="1"/>
    <cellStyle name="20% - Accent3 10" xfId="4520" xr:uid="{00000000-0005-0000-0000-000041010000}"/>
    <cellStyle name="20% - Accent3 10 2" xfId="21418" xr:uid="{789DE604-E3C1-43AD-8AE1-8C928A2B34D1}"/>
    <cellStyle name="20% - Accent3 10 3" xfId="12970" xr:uid="{9521ED11-FB07-4A95-8645-C046E4595E27}"/>
    <cellStyle name="20% - Accent3 11" xfId="17200" xr:uid="{356FCBC5-CA5A-4730-86F0-0DC723165F90}"/>
    <cellStyle name="20% - Accent3 12" xfId="8752" xr:uid="{02AAD206-DF70-4B77-9665-F84373B9BE44}"/>
    <cellStyle name="20% - Accent3 2" xfId="18" xr:uid="{00000000-0005-0000-0000-000042010000}"/>
    <cellStyle name="20% - Accent3 2 10" xfId="17201" xr:uid="{2EEE7130-377C-4F70-8E91-AC02A761BBAE}"/>
    <cellStyle name="20% - Accent3 2 11" xfId="8753" xr:uid="{785B1C7E-E439-4EAF-99EB-249DBCDAB25D}"/>
    <cellStyle name="20% - Accent3 2 2" xfId="19" xr:uid="{00000000-0005-0000-0000-000043010000}"/>
    <cellStyle name="20% - Accent3 2 2 10" xfId="8754" xr:uid="{7F436822-5CC8-4448-84EF-40FDAB2A4B9F}"/>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23980" xr:uid="{6261F641-6514-432C-A0B1-01C48DB580E5}"/>
    <cellStyle name="20% - Accent3 2 2 2 2 2 2 3" xfId="15532" xr:uid="{D09EECAD-4E32-4A9F-8051-AA9272FE4615}"/>
    <cellStyle name="20% - Accent3 2 2 2 2 2 3" xfId="19762" xr:uid="{62ACDDF8-A7CF-47B0-8DC0-AA1E93E28887}"/>
    <cellStyle name="20% - Accent3 2 2 2 2 2 4" xfId="11314" xr:uid="{2B7DCDF5-50D5-4281-B503-11256A98F551}"/>
    <cellStyle name="20% - Accent3 2 2 2 2 3" xfId="4937" xr:uid="{00000000-0005-0000-0000-000048010000}"/>
    <cellStyle name="20% - Accent3 2 2 2 2 3 2" xfId="21835" xr:uid="{E85FA373-05A8-45A3-BF0A-9C1976F8D7EF}"/>
    <cellStyle name="20% - Accent3 2 2 2 2 3 3" xfId="13387" xr:uid="{CC5D9FA1-31E6-417B-8802-FB229171B10B}"/>
    <cellStyle name="20% - Accent3 2 2 2 2 4" xfId="17617" xr:uid="{BB5FA4F8-82D1-4FE6-86F1-A0BB8AE70E3D}"/>
    <cellStyle name="20% - Accent3 2 2 2 2 5" xfId="9169" xr:uid="{F655CBFF-468D-4E04-B32E-058E239F8E58}"/>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24393" xr:uid="{042FC286-30D2-4D7D-AF63-5F5A2D661625}"/>
    <cellStyle name="20% - Accent3 2 2 2 3 2 2 3" xfId="15945" xr:uid="{42979CC4-2933-4F69-8D0D-2FBDB006180E}"/>
    <cellStyle name="20% - Accent3 2 2 2 3 2 3" xfId="20175" xr:uid="{5C863063-67AB-4174-A93B-CF26D02B31E3}"/>
    <cellStyle name="20% - Accent3 2 2 2 3 2 4" xfId="11727" xr:uid="{0BC165E3-B7D5-4B69-80BC-67C30A4DA4F3}"/>
    <cellStyle name="20% - Accent3 2 2 2 3 3" xfId="5350" xr:uid="{00000000-0005-0000-0000-00004C010000}"/>
    <cellStyle name="20% - Accent3 2 2 2 3 3 2" xfId="22248" xr:uid="{F13EDF62-0197-40CD-AC4D-2B8E1E33CD7C}"/>
    <cellStyle name="20% - Accent3 2 2 2 3 3 3" xfId="13800" xr:uid="{39D9A7D4-765C-4E44-A4F8-BDA64AFE74AC}"/>
    <cellStyle name="20% - Accent3 2 2 2 3 4" xfId="18030" xr:uid="{9E77D4FC-BE63-4464-82FF-22779C698486}"/>
    <cellStyle name="20% - Accent3 2 2 2 3 5" xfId="9582" xr:uid="{04598DBD-9980-4DD8-A1F0-76C41FEDADB4}"/>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24806" xr:uid="{88CAC041-6383-4698-8989-0E9186051B6C}"/>
    <cellStyle name="20% - Accent3 2 2 2 4 2 2 3" xfId="16358" xr:uid="{C4A70442-2B12-4746-9B4F-9DD05B6D131F}"/>
    <cellStyle name="20% - Accent3 2 2 2 4 2 3" xfId="20588" xr:uid="{BAB1798C-B884-4298-9078-D90291E11360}"/>
    <cellStyle name="20% - Accent3 2 2 2 4 2 4" xfId="12140" xr:uid="{205A2C5E-F5F7-435E-816E-17A83817A180}"/>
    <cellStyle name="20% - Accent3 2 2 2 4 3" xfId="5763" xr:uid="{00000000-0005-0000-0000-000050010000}"/>
    <cellStyle name="20% - Accent3 2 2 2 4 3 2" xfId="22661" xr:uid="{0CDB7004-23A8-4458-8C76-7A87FE71B42E}"/>
    <cellStyle name="20% - Accent3 2 2 2 4 3 3" xfId="14213" xr:uid="{BDCE4820-EEF0-4029-A015-D9B1EE285F21}"/>
    <cellStyle name="20% - Accent3 2 2 2 4 4" xfId="18443" xr:uid="{7DF50668-05BC-4CDB-B9FC-F77BD1307466}"/>
    <cellStyle name="20% - Accent3 2 2 2 4 5" xfId="9995" xr:uid="{6194C99F-8E37-47F1-948F-BA9172C4AF73}"/>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25219" xr:uid="{0269A9D1-CFB9-4AE4-8C94-DF65BB673388}"/>
    <cellStyle name="20% - Accent3 2 2 2 5 2 2 3" xfId="16771" xr:uid="{23B915A4-08D2-46C4-AB89-39AE954F5FF4}"/>
    <cellStyle name="20% - Accent3 2 2 2 5 2 3" xfId="21001" xr:uid="{374BD139-3D23-4061-9288-66AD6594B69D}"/>
    <cellStyle name="20% - Accent3 2 2 2 5 2 4" xfId="12553" xr:uid="{268EFD5F-8D4A-4FB2-A9C9-37D97C779AA7}"/>
    <cellStyle name="20% - Accent3 2 2 2 5 3" xfId="6176" xr:uid="{00000000-0005-0000-0000-000054010000}"/>
    <cellStyle name="20% - Accent3 2 2 2 5 3 2" xfId="23074" xr:uid="{33D0A8D3-810F-4E18-919D-69D538E9223E}"/>
    <cellStyle name="20% - Accent3 2 2 2 5 3 3" xfId="14626" xr:uid="{36EFD3A6-D97B-4D49-80A7-95369D73CE03}"/>
    <cellStyle name="20% - Accent3 2 2 2 5 4" xfId="18856" xr:uid="{6AD0EA5B-6A4F-4468-AB3C-6CF260441171}"/>
    <cellStyle name="20% - Accent3 2 2 2 5 5" xfId="10408" xr:uid="{C2E9BFB3-CE95-4D66-B24F-57FA0B5A601C}"/>
    <cellStyle name="20% - Accent3 2 2 2 6" xfId="2283" xr:uid="{00000000-0005-0000-0000-000055010000}"/>
    <cellStyle name="20% - Accent3 2 2 2 6 2" xfId="6589" xr:uid="{00000000-0005-0000-0000-000056010000}"/>
    <cellStyle name="20% - Accent3 2 2 2 6 2 2" xfId="23487" xr:uid="{4C9D626E-C6FA-42D4-BDD7-9CC782AB2817}"/>
    <cellStyle name="20% - Accent3 2 2 2 6 2 3" xfId="15039" xr:uid="{A0641455-E8AA-486B-A399-1F4F650475CB}"/>
    <cellStyle name="20% - Accent3 2 2 2 6 3" xfId="19269" xr:uid="{0F16076A-F186-4064-9F09-4A5A7762BA90}"/>
    <cellStyle name="20% - Accent3 2 2 2 6 4" xfId="10821" xr:uid="{050848E8-8823-4353-BEBF-DC6D65AD21DE}"/>
    <cellStyle name="20% - Accent3 2 2 2 7" xfId="4523" xr:uid="{00000000-0005-0000-0000-000057010000}"/>
    <cellStyle name="20% - Accent3 2 2 2 7 2" xfId="21421" xr:uid="{89C2EAE9-86F9-43C7-BA21-0D7AA9E29F9F}"/>
    <cellStyle name="20% - Accent3 2 2 2 7 3" xfId="12973" xr:uid="{8F12C028-71EE-4673-AAEB-1711D21F6F25}"/>
    <cellStyle name="20% - Accent3 2 2 2 8" xfId="17203" xr:uid="{9D2E7279-E753-4D71-A633-D30869BB7D49}"/>
    <cellStyle name="20% - Accent3 2 2 2 9" xfId="8755" xr:uid="{AE39E29E-AF51-4031-ADC9-15B23F097727}"/>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23979" xr:uid="{D5E4BA68-211F-46DD-8ACB-E32932BA91E3}"/>
    <cellStyle name="20% - Accent3 2 2 3 2 2 3" xfId="15531" xr:uid="{AFDFB7E7-1EF0-4376-8645-BAC0F3F4B787}"/>
    <cellStyle name="20% - Accent3 2 2 3 2 3" xfId="19761" xr:uid="{41AD9401-558C-4022-A6C1-60F6AED6BDAB}"/>
    <cellStyle name="20% - Accent3 2 2 3 2 4" xfId="11313" xr:uid="{6A521380-E094-41CA-8886-798D0FDB3ABC}"/>
    <cellStyle name="20% - Accent3 2 2 3 3" xfId="4936" xr:uid="{00000000-0005-0000-0000-00005B010000}"/>
    <cellStyle name="20% - Accent3 2 2 3 3 2" xfId="21834" xr:uid="{537D8F43-CD5A-40D7-B894-701807130163}"/>
    <cellStyle name="20% - Accent3 2 2 3 3 3" xfId="13386" xr:uid="{C9E28614-8641-4A0E-B420-199F800C0ED1}"/>
    <cellStyle name="20% - Accent3 2 2 3 4" xfId="17616" xr:uid="{5DCDA6BE-31CC-4D7C-8E9A-8B21820CCC83}"/>
    <cellStyle name="20% - Accent3 2 2 3 5" xfId="9168" xr:uid="{8BA45137-B928-4483-9747-A689F8E57A22}"/>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24392" xr:uid="{1A5ACD69-7813-45F5-933E-BEBE862CE9D4}"/>
    <cellStyle name="20% - Accent3 2 2 4 2 2 3" xfId="15944" xr:uid="{E7A9AE0F-02A6-4BC2-A2E4-BD3C06084A34}"/>
    <cellStyle name="20% - Accent3 2 2 4 2 3" xfId="20174" xr:uid="{CF10A11B-DD58-4C46-A1E0-3F8CF9542E59}"/>
    <cellStyle name="20% - Accent3 2 2 4 2 4" xfId="11726" xr:uid="{BE1A3858-A59D-49EC-A17F-C0C80E567297}"/>
    <cellStyle name="20% - Accent3 2 2 4 3" xfId="5349" xr:uid="{00000000-0005-0000-0000-00005F010000}"/>
    <cellStyle name="20% - Accent3 2 2 4 3 2" xfId="22247" xr:uid="{AA12874F-1FD7-44FD-9A42-948949E31733}"/>
    <cellStyle name="20% - Accent3 2 2 4 3 3" xfId="13799" xr:uid="{D8B83E7C-4175-4D34-9E87-256888C2E90A}"/>
    <cellStyle name="20% - Accent3 2 2 4 4" xfId="18029" xr:uid="{C7C70E2B-9563-445D-96D5-7ACE5372C6DB}"/>
    <cellStyle name="20% - Accent3 2 2 4 5" xfId="9581" xr:uid="{9B3FBA58-375B-4D6A-8F8D-92679EEA2B22}"/>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24805" xr:uid="{9A57DF85-A59E-40B3-ACAC-AF362A3314DB}"/>
    <cellStyle name="20% - Accent3 2 2 5 2 2 3" xfId="16357" xr:uid="{E327678B-9B14-4723-BBB0-2AF773AE69F9}"/>
    <cellStyle name="20% - Accent3 2 2 5 2 3" xfId="20587" xr:uid="{0E8241EA-5397-4C38-AFD8-3F17E30219F9}"/>
    <cellStyle name="20% - Accent3 2 2 5 2 4" xfId="12139" xr:uid="{6D895C5C-78A5-4C9A-8DBF-C7DCF4874EE6}"/>
    <cellStyle name="20% - Accent3 2 2 5 3" xfId="5762" xr:uid="{00000000-0005-0000-0000-000063010000}"/>
    <cellStyle name="20% - Accent3 2 2 5 3 2" xfId="22660" xr:uid="{8163AF70-5B92-433B-BDED-5D1D7DE4450E}"/>
    <cellStyle name="20% - Accent3 2 2 5 3 3" xfId="14212" xr:uid="{B4E19D8E-878C-4F3A-A074-1684484F249C}"/>
    <cellStyle name="20% - Accent3 2 2 5 4" xfId="18442" xr:uid="{E8422352-C987-41DB-8C36-F1ACACB8B525}"/>
    <cellStyle name="20% - Accent3 2 2 5 5" xfId="9994" xr:uid="{72C39FC2-800B-4D8C-B05D-33A489FB5AF7}"/>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25218" xr:uid="{06E1AF44-0CA7-46FD-9284-C4E117E8D5A8}"/>
    <cellStyle name="20% - Accent3 2 2 6 2 2 3" xfId="16770" xr:uid="{9ADF8447-A401-461D-BC77-BA66CA93799F}"/>
    <cellStyle name="20% - Accent3 2 2 6 2 3" xfId="21000" xr:uid="{E2C20092-BDD5-4586-9D6E-141490ED7023}"/>
    <cellStyle name="20% - Accent3 2 2 6 2 4" xfId="12552" xr:uid="{12C51432-51CD-46B5-BCC7-246B7A51E1BE}"/>
    <cellStyle name="20% - Accent3 2 2 6 3" xfId="6175" xr:uid="{00000000-0005-0000-0000-000067010000}"/>
    <cellStyle name="20% - Accent3 2 2 6 3 2" xfId="23073" xr:uid="{39A37436-287A-4753-B24D-B38B40E5F159}"/>
    <cellStyle name="20% - Accent3 2 2 6 3 3" xfId="14625" xr:uid="{2C202622-AEFE-4465-92FB-07BE31162E28}"/>
    <cellStyle name="20% - Accent3 2 2 6 4" xfId="18855" xr:uid="{5C83F234-D130-461D-9AD4-C4953E2EDB03}"/>
    <cellStyle name="20% - Accent3 2 2 6 5" xfId="10407" xr:uid="{12FC29C6-F998-4A80-BDE7-FEF344244352}"/>
    <cellStyle name="20% - Accent3 2 2 7" xfId="2282" xr:uid="{00000000-0005-0000-0000-000068010000}"/>
    <cellStyle name="20% - Accent3 2 2 7 2" xfId="6588" xr:uid="{00000000-0005-0000-0000-000069010000}"/>
    <cellStyle name="20% - Accent3 2 2 7 2 2" xfId="23486" xr:uid="{93CD0704-84C6-4481-A439-1E406A3A490D}"/>
    <cellStyle name="20% - Accent3 2 2 7 2 3" xfId="15038" xr:uid="{57A6FA5E-1EEB-4319-83DB-AD0E5F7988A6}"/>
    <cellStyle name="20% - Accent3 2 2 7 3" xfId="19268" xr:uid="{E78B5288-A82F-4871-808B-DA8B9CCEE9B1}"/>
    <cellStyle name="20% - Accent3 2 2 7 4" xfId="10820" xr:uid="{278A586D-909D-403F-A61A-5CBD59105A85}"/>
    <cellStyle name="20% - Accent3 2 2 8" xfId="4522" xr:uid="{00000000-0005-0000-0000-00006A010000}"/>
    <cellStyle name="20% - Accent3 2 2 8 2" xfId="21420" xr:uid="{7AB84635-A94E-4A1E-A104-0170411CD78F}"/>
    <cellStyle name="20% - Accent3 2 2 8 3" xfId="12972" xr:uid="{EA4BBD02-BA3C-486A-B69C-830DFA351F16}"/>
    <cellStyle name="20% - Accent3 2 2 9" xfId="17202" xr:uid="{9BC73935-72C3-4BD8-8C32-B135DF7BC3D1}"/>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23981" xr:uid="{2C4E2725-D3D0-49E7-B5FF-3EA9F0A649F4}"/>
    <cellStyle name="20% - Accent3 2 3 2 2 2 3" xfId="15533" xr:uid="{2B76D534-FE2B-4CBB-913C-46712C3400F3}"/>
    <cellStyle name="20% - Accent3 2 3 2 2 3" xfId="19763" xr:uid="{8B7D99F9-186C-4159-BCB0-44CAA037270F}"/>
    <cellStyle name="20% - Accent3 2 3 2 2 4" xfId="11315" xr:uid="{24DC1515-53E8-4A3A-B950-A2ACFC158435}"/>
    <cellStyle name="20% - Accent3 2 3 2 3" xfId="4938" xr:uid="{00000000-0005-0000-0000-00006F010000}"/>
    <cellStyle name="20% - Accent3 2 3 2 3 2" xfId="21836" xr:uid="{A8AC022D-602E-4271-864B-0E6631988FD2}"/>
    <cellStyle name="20% - Accent3 2 3 2 3 3" xfId="13388" xr:uid="{639FA37F-9224-400B-86F9-A6F77447C370}"/>
    <cellStyle name="20% - Accent3 2 3 2 4" xfId="17618" xr:uid="{1F39B013-6E97-48B2-A53B-C6AAC5F28A17}"/>
    <cellStyle name="20% - Accent3 2 3 2 5" xfId="9170" xr:uid="{E6A7F3C1-CF40-4558-9F3A-EE0047B0A0ED}"/>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24394" xr:uid="{C79DCBB6-D536-486E-9ABA-04E794DC6F0E}"/>
    <cellStyle name="20% - Accent3 2 3 3 2 2 3" xfId="15946" xr:uid="{D5694ED2-6636-4A11-A135-C0D97B26E70E}"/>
    <cellStyle name="20% - Accent3 2 3 3 2 3" xfId="20176" xr:uid="{5201A239-ACDD-45CC-9C57-1AAD4FE61444}"/>
    <cellStyle name="20% - Accent3 2 3 3 2 4" xfId="11728" xr:uid="{7B2C1B32-4DD1-4757-ADE1-F0F1D95DC847}"/>
    <cellStyle name="20% - Accent3 2 3 3 3" xfId="5351" xr:uid="{00000000-0005-0000-0000-000073010000}"/>
    <cellStyle name="20% - Accent3 2 3 3 3 2" xfId="22249" xr:uid="{40FC13B1-BDB6-424B-B220-9F951C33BB07}"/>
    <cellStyle name="20% - Accent3 2 3 3 3 3" xfId="13801" xr:uid="{9918669A-F83E-41D8-9548-CC6503FE0E52}"/>
    <cellStyle name="20% - Accent3 2 3 3 4" xfId="18031" xr:uid="{6588D6D9-08FF-4FF4-AA2C-22FFB8C50FFE}"/>
    <cellStyle name="20% - Accent3 2 3 3 5" xfId="9583" xr:uid="{164E2F83-CA71-422B-A511-6AE34C179C04}"/>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24807" xr:uid="{BAF50D6D-9EAE-49F7-AD97-2945EEB6A7AE}"/>
    <cellStyle name="20% - Accent3 2 3 4 2 2 3" xfId="16359" xr:uid="{C9104EDA-F320-48F0-86B8-BA352CA9DC14}"/>
    <cellStyle name="20% - Accent3 2 3 4 2 3" xfId="20589" xr:uid="{43EF7AEA-1F7F-49D7-8522-F54B89E866C0}"/>
    <cellStyle name="20% - Accent3 2 3 4 2 4" xfId="12141" xr:uid="{BE725689-6B0C-4191-A572-C27EA5708739}"/>
    <cellStyle name="20% - Accent3 2 3 4 3" xfId="5764" xr:uid="{00000000-0005-0000-0000-000077010000}"/>
    <cellStyle name="20% - Accent3 2 3 4 3 2" xfId="22662" xr:uid="{A2BD41E4-469B-42EE-822D-96F7D64FE9D8}"/>
    <cellStyle name="20% - Accent3 2 3 4 3 3" xfId="14214" xr:uid="{D5B07AEB-CB3D-47A1-817B-42774AD98939}"/>
    <cellStyle name="20% - Accent3 2 3 4 4" xfId="18444" xr:uid="{BD840F35-2B4C-4333-A340-418C427DD725}"/>
    <cellStyle name="20% - Accent3 2 3 4 5" xfId="9996" xr:uid="{63DB0C30-D509-428A-8AAE-F76BC13BE5BC}"/>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25220" xr:uid="{25F20977-A2AD-4C70-8681-00E4D4EA05BE}"/>
    <cellStyle name="20% - Accent3 2 3 5 2 2 3" xfId="16772" xr:uid="{74E3365B-C3A3-47AB-837D-060F9E88BF9D}"/>
    <cellStyle name="20% - Accent3 2 3 5 2 3" xfId="21002" xr:uid="{45573739-5432-4A71-B791-8B42443A24B3}"/>
    <cellStyle name="20% - Accent3 2 3 5 2 4" xfId="12554" xr:uid="{306C635E-1AF7-45E5-A605-01383D41585E}"/>
    <cellStyle name="20% - Accent3 2 3 5 3" xfId="6177" xr:uid="{00000000-0005-0000-0000-00007B010000}"/>
    <cellStyle name="20% - Accent3 2 3 5 3 2" xfId="23075" xr:uid="{7DB989EF-20BC-4BBB-A5FA-E53F4ECAC76B}"/>
    <cellStyle name="20% - Accent3 2 3 5 3 3" xfId="14627" xr:uid="{115D6396-B639-4E52-8FC9-BBF16BB6E76B}"/>
    <cellStyle name="20% - Accent3 2 3 5 4" xfId="18857" xr:uid="{1FD617FF-AB0A-452B-8863-4268E0F284D6}"/>
    <cellStyle name="20% - Accent3 2 3 5 5" xfId="10409" xr:uid="{CEA1D521-682C-40B5-8498-5C832E78F55A}"/>
    <cellStyle name="20% - Accent3 2 3 6" xfId="2284" xr:uid="{00000000-0005-0000-0000-00007C010000}"/>
    <cellStyle name="20% - Accent3 2 3 6 2" xfId="6590" xr:uid="{00000000-0005-0000-0000-00007D010000}"/>
    <cellStyle name="20% - Accent3 2 3 6 2 2" xfId="23488" xr:uid="{5909011C-79B0-41E0-BBA5-5C0D3728AD00}"/>
    <cellStyle name="20% - Accent3 2 3 6 2 3" xfId="15040" xr:uid="{BC9EDC77-8A97-4CB2-B7DF-FB2DEDAE1012}"/>
    <cellStyle name="20% - Accent3 2 3 6 3" xfId="19270" xr:uid="{CC71037B-C823-4843-A485-0E0D09CB9A9F}"/>
    <cellStyle name="20% - Accent3 2 3 6 4" xfId="10822" xr:uid="{C5705CBA-2027-428B-92FD-901FBCB184EC}"/>
    <cellStyle name="20% - Accent3 2 3 7" xfId="4524" xr:uid="{00000000-0005-0000-0000-00007E010000}"/>
    <cellStyle name="20% - Accent3 2 3 7 2" xfId="21422" xr:uid="{EDDC557F-DB32-4619-8125-6DD6A047D469}"/>
    <cellStyle name="20% - Accent3 2 3 7 3" xfId="12974" xr:uid="{DCE5064B-2929-4D26-900D-1FDFB24C6D18}"/>
    <cellStyle name="20% - Accent3 2 3 8" xfId="17204" xr:uid="{7C6D7CC9-B625-4D4D-8C4D-8F0912770C1C}"/>
    <cellStyle name="20% - Accent3 2 3 9" xfId="8756" xr:uid="{15CED75A-F2DC-48C0-8E74-00754B5748C7}"/>
    <cellStyle name="20% - Accent3 2 4" xfId="587" xr:uid="{00000000-0005-0000-0000-00007F010000}"/>
    <cellStyle name="20% - Accent3 2 4 2" xfId="2858" xr:uid="{00000000-0005-0000-0000-000080010000}"/>
    <cellStyle name="20% - Accent3 2 4 2 2" xfId="7080" xr:uid="{00000000-0005-0000-0000-000081010000}"/>
    <cellStyle name="20% - Accent3 2 4 2 2 2" xfId="23978" xr:uid="{E62A2260-49E1-426A-B87B-0F7BAC025079}"/>
    <cellStyle name="20% - Accent3 2 4 2 2 3" xfId="15530" xr:uid="{CFC3FA74-9CB4-4750-BD11-FFFD10F8249D}"/>
    <cellStyle name="20% - Accent3 2 4 2 3" xfId="19760" xr:uid="{3AD6AF12-38C4-4C77-BEB6-D6E0FD11E3A4}"/>
    <cellStyle name="20% - Accent3 2 4 2 4" xfId="11312" xr:uid="{04B26044-6659-48FA-B0A4-704E6443D86A}"/>
    <cellStyle name="20% - Accent3 2 4 3" xfId="4935" xr:uid="{00000000-0005-0000-0000-000082010000}"/>
    <cellStyle name="20% - Accent3 2 4 3 2" xfId="21833" xr:uid="{E9DC863F-90EE-405E-A46C-89082981DF9A}"/>
    <cellStyle name="20% - Accent3 2 4 3 3" xfId="13385" xr:uid="{2AB571D6-B0F2-484E-B62C-35C44B44DD52}"/>
    <cellStyle name="20% - Accent3 2 4 4" xfId="17615" xr:uid="{D356ABAB-E0B0-43B1-AFDF-674D83640598}"/>
    <cellStyle name="20% - Accent3 2 4 5" xfId="9167" xr:uid="{F5A58457-9A10-47D1-B7F5-A4C5AB60CE8A}"/>
    <cellStyle name="20% - Accent3 2 5" xfId="1040" xr:uid="{00000000-0005-0000-0000-000083010000}"/>
    <cellStyle name="20% - Accent3 2 5 2" xfId="3271" xr:uid="{00000000-0005-0000-0000-000084010000}"/>
    <cellStyle name="20% - Accent3 2 5 2 2" xfId="7493" xr:uid="{00000000-0005-0000-0000-000085010000}"/>
    <cellStyle name="20% - Accent3 2 5 2 2 2" xfId="24391" xr:uid="{899696BD-D86A-4926-AF63-F1CAE5B4230C}"/>
    <cellStyle name="20% - Accent3 2 5 2 2 3" xfId="15943" xr:uid="{E09CE3DD-AA09-4ADD-A616-CEBDDB2C4D21}"/>
    <cellStyle name="20% - Accent3 2 5 2 3" xfId="20173" xr:uid="{0048266A-E46F-4DD8-846C-0B9CECC37D3F}"/>
    <cellStyle name="20% - Accent3 2 5 2 4" xfId="11725" xr:uid="{A4C3313C-4778-4183-A717-EB6E00C00EA6}"/>
    <cellStyle name="20% - Accent3 2 5 3" xfId="5348" xr:uid="{00000000-0005-0000-0000-000086010000}"/>
    <cellStyle name="20% - Accent3 2 5 3 2" xfId="22246" xr:uid="{D0EA65E8-4FCC-4FD5-8CB1-C1CC0726C0E3}"/>
    <cellStyle name="20% - Accent3 2 5 3 3" xfId="13798" xr:uid="{D4E7B01A-5F1E-4BFE-88BB-572084EACC4C}"/>
    <cellStyle name="20% - Accent3 2 5 4" xfId="18028" xr:uid="{25737B94-8539-4FF3-8B1A-D3288B4C6E95}"/>
    <cellStyle name="20% - Accent3 2 5 5" xfId="9580" xr:uid="{BEC7E545-1AD7-4E29-9817-2429ED1E2CAB}"/>
    <cellStyle name="20% - Accent3 2 6" xfId="1454" xr:uid="{00000000-0005-0000-0000-000087010000}"/>
    <cellStyle name="20% - Accent3 2 6 2" xfId="3684" xr:uid="{00000000-0005-0000-0000-000088010000}"/>
    <cellStyle name="20% - Accent3 2 6 2 2" xfId="7906" xr:uid="{00000000-0005-0000-0000-000089010000}"/>
    <cellStyle name="20% - Accent3 2 6 2 2 2" xfId="24804" xr:uid="{6CE81E43-6FFC-4799-96EC-3ACA74C7C851}"/>
    <cellStyle name="20% - Accent3 2 6 2 2 3" xfId="16356" xr:uid="{2771B716-2093-4D0D-BE3E-9627217B703D}"/>
    <cellStyle name="20% - Accent3 2 6 2 3" xfId="20586" xr:uid="{352F8374-99B0-47B2-8D12-98FC87B510B5}"/>
    <cellStyle name="20% - Accent3 2 6 2 4" xfId="12138" xr:uid="{A8D69B1C-3353-4414-8138-2CD1E2247D92}"/>
    <cellStyle name="20% - Accent3 2 6 3" xfId="5761" xr:uid="{00000000-0005-0000-0000-00008A010000}"/>
    <cellStyle name="20% - Accent3 2 6 3 2" xfId="22659" xr:uid="{D19AC21E-2E5A-4329-A31F-EB31D593BA1A}"/>
    <cellStyle name="20% - Accent3 2 6 3 3" xfId="14211" xr:uid="{D197DD1B-308D-4FD4-B301-7F60F3FCC099}"/>
    <cellStyle name="20% - Accent3 2 6 4" xfId="18441" xr:uid="{2EB1F6BF-22A6-47F3-8EAC-EA3CD0C2423B}"/>
    <cellStyle name="20% - Accent3 2 6 5" xfId="9993" xr:uid="{CE4D3068-0260-4C8B-86AD-B69848498667}"/>
    <cellStyle name="20% - Accent3 2 7" xfId="1868" xr:uid="{00000000-0005-0000-0000-00008B010000}"/>
    <cellStyle name="20% - Accent3 2 7 2" xfId="4097" xr:uid="{00000000-0005-0000-0000-00008C010000}"/>
    <cellStyle name="20% - Accent3 2 7 2 2" xfId="8319" xr:uid="{00000000-0005-0000-0000-00008D010000}"/>
    <cellStyle name="20% - Accent3 2 7 2 2 2" xfId="25217" xr:uid="{F5529F39-9965-4CF7-B622-D41528321E2D}"/>
    <cellStyle name="20% - Accent3 2 7 2 2 3" xfId="16769" xr:uid="{959A13B2-B8F7-4789-974B-451C49E7A656}"/>
    <cellStyle name="20% - Accent3 2 7 2 3" xfId="20999" xr:uid="{1F3E3D9D-019C-4644-A7E6-E9CCBD569F31}"/>
    <cellStyle name="20% - Accent3 2 7 2 4" xfId="12551" xr:uid="{45C05A35-D966-4223-8521-EF56B576F6A5}"/>
    <cellStyle name="20% - Accent3 2 7 3" xfId="6174" xr:uid="{00000000-0005-0000-0000-00008E010000}"/>
    <cellStyle name="20% - Accent3 2 7 3 2" xfId="23072" xr:uid="{8ED8E0A1-5860-43E0-A9AC-1E9CE209AC23}"/>
    <cellStyle name="20% - Accent3 2 7 3 3" xfId="14624" xr:uid="{237843FA-3E28-4F08-B14C-960F05D22D0D}"/>
    <cellStyle name="20% - Accent3 2 7 4" xfId="18854" xr:uid="{464C7EBB-4110-4640-8DF4-A00844F60359}"/>
    <cellStyle name="20% - Accent3 2 7 5" xfId="10406" xr:uid="{F26375A2-E54E-48FA-B65D-D9781ACE6E94}"/>
    <cellStyle name="20% - Accent3 2 8" xfId="2281" xr:uid="{00000000-0005-0000-0000-00008F010000}"/>
    <cellStyle name="20% - Accent3 2 8 2" xfId="6587" xr:uid="{00000000-0005-0000-0000-000090010000}"/>
    <cellStyle name="20% - Accent3 2 8 2 2" xfId="23485" xr:uid="{047E5BB2-A100-4C00-BF57-13E13177A8EF}"/>
    <cellStyle name="20% - Accent3 2 8 2 3" xfId="15037" xr:uid="{8759CAFB-3FC9-4672-AF88-38CF05BB51A4}"/>
    <cellStyle name="20% - Accent3 2 8 3" xfId="19267" xr:uid="{D236DDF4-5BA0-4AB0-9B77-13659E4BF837}"/>
    <cellStyle name="20% - Accent3 2 8 4" xfId="10819" xr:uid="{555F031D-519D-4489-9027-F1D3EAD356FC}"/>
    <cellStyle name="20% - Accent3 2 9" xfId="4521" xr:uid="{00000000-0005-0000-0000-000091010000}"/>
    <cellStyle name="20% - Accent3 2 9 2" xfId="21419" xr:uid="{6B19C7D0-74E7-4113-BEB9-10B32EFF6F92}"/>
    <cellStyle name="20% - Accent3 2 9 3" xfId="12971" xr:uid="{25F744F0-8ADF-4DD5-95D5-8ECEF2C151ED}"/>
    <cellStyle name="20% - Accent3 3" xfId="22" xr:uid="{00000000-0005-0000-0000-000092010000}"/>
    <cellStyle name="20% - Accent3 3 10" xfId="8757" xr:uid="{EBF6554F-EA09-4540-AC3A-B177E232ABDD}"/>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23983" xr:uid="{0FA87069-38C6-48BA-8D10-F2257028BAED}"/>
    <cellStyle name="20% - Accent3 3 2 2 2 2 3" xfId="15535" xr:uid="{BBBBE292-3C26-4C7C-AFF4-D8480D7E53A3}"/>
    <cellStyle name="20% - Accent3 3 2 2 2 3" xfId="19765" xr:uid="{B9C471E8-F925-40D2-81FF-D17E6FD5D426}"/>
    <cellStyle name="20% - Accent3 3 2 2 2 4" xfId="11317" xr:uid="{31E03229-4284-44B9-9AA8-DF8C80DC8F30}"/>
    <cellStyle name="20% - Accent3 3 2 2 3" xfId="4940" xr:uid="{00000000-0005-0000-0000-000097010000}"/>
    <cellStyle name="20% - Accent3 3 2 2 3 2" xfId="21838" xr:uid="{DC573170-6BCF-4B10-936C-F8B065074718}"/>
    <cellStyle name="20% - Accent3 3 2 2 3 3" xfId="13390" xr:uid="{591E5B11-B9CD-4BC1-A3D1-639DEF4D3E54}"/>
    <cellStyle name="20% - Accent3 3 2 2 4" xfId="17620" xr:uid="{A201E946-2A21-4CA1-812F-70F9C8A784E6}"/>
    <cellStyle name="20% - Accent3 3 2 2 5" xfId="9172" xr:uid="{3282AAEE-21CE-4F38-ACB8-483E5CC7906E}"/>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24396" xr:uid="{FD315250-42B3-4B99-A9BD-8844511B1173}"/>
    <cellStyle name="20% - Accent3 3 2 3 2 2 3" xfId="15948" xr:uid="{4B1EFFFD-80D3-46C5-A6AA-DF1C047B38AC}"/>
    <cellStyle name="20% - Accent3 3 2 3 2 3" xfId="20178" xr:uid="{F6F233A8-C16D-40AD-9ED2-A4EA6BF27880}"/>
    <cellStyle name="20% - Accent3 3 2 3 2 4" xfId="11730" xr:uid="{8DD1E0AE-EE43-406E-9BE5-8649F82A387D}"/>
    <cellStyle name="20% - Accent3 3 2 3 3" xfId="5353" xr:uid="{00000000-0005-0000-0000-00009B010000}"/>
    <cellStyle name="20% - Accent3 3 2 3 3 2" xfId="22251" xr:uid="{6E816097-CADB-496D-8F0B-36299EC86105}"/>
    <cellStyle name="20% - Accent3 3 2 3 3 3" xfId="13803" xr:uid="{54E523D9-8EF3-4F83-973C-D2A54B2FFB23}"/>
    <cellStyle name="20% - Accent3 3 2 3 4" xfId="18033" xr:uid="{EAF97845-D618-4B0B-957B-CA65C8ED7634}"/>
    <cellStyle name="20% - Accent3 3 2 3 5" xfId="9585" xr:uid="{CEE00355-F870-448B-8FF8-31C7116D17C0}"/>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24809" xr:uid="{471C19D6-CFB5-477D-9580-9329CB87016B}"/>
    <cellStyle name="20% - Accent3 3 2 4 2 2 3" xfId="16361" xr:uid="{19C3A0AB-718C-4536-8521-A72EB0387319}"/>
    <cellStyle name="20% - Accent3 3 2 4 2 3" xfId="20591" xr:uid="{F1D6F00D-E446-4BDF-8512-A37AF21BE08E}"/>
    <cellStyle name="20% - Accent3 3 2 4 2 4" xfId="12143" xr:uid="{CB9BE75B-73ED-464B-949C-F2A12A4EBD1C}"/>
    <cellStyle name="20% - Accent3 3 2 4 3" xfId="5766" xr:uid="{00000000-0005-0000-0000-00009F010000}"/>
    <cellStyle name="20% - Accent3 3 2 4 3 2" xfId="22664" xr:uid="{35213A93-2213-4108-8B63-DFAA6E7A876B}"/>
    <cellStyle name="20% - Accent3 3 2 4 3 3" xfId="14216" xr:uid="{47BDEE72-07B3-4962-9BA0-D8FD2D7D2A03}"/>
    <cellStyle name="20% - Accent3 3 2 4 4" xfId="18446" xr:uid="{D6A92C22-170E-4A7B-80DD-35A69C92F37F}"/>
    <cellStyle name="20% - Accent3 3 2 4 5" xfId="9998" xr:uid="{53864358-C6E6-46E9-8E2D-912C482875F1}"/>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25222" xr:uid="{05674582-F0A3-4C3C-B6C6-9A44D429DE43}"/>
    <cellStyle name="20% - Accent3 3 2 5 2 2 3" xfId="16774" xr:uid="{AB3FF117-F55D-4DCF-B609-631DCAC176DE}"/>
    <cellStyle name="20% - Accent3 3 2 5 2 3" xfId="21004" xr:uid="{0DDF51D4-0382-41E3-831A-489245231FC1}"/>
    <cellStyle name="20% - Accent3 3 2 5 2 4" xfId="12556" xr:uid="{8D843E21-8866-4896-8CA9-C96ABD85F416}"/>
    <cellStyle name="20% - Accent3 3 2 5 3" xfId="6179" xr:uid="{00000000-0005-0000-0000-0000A3010000}"/>
    <cellStyle name="20% - Accent3 3 2 5 3 2" xfId="23077" xr:uid="{81A78B84-58FA-49A8-8333-FFDCDF8042CE}"/>
    <cellStyle name="20% - Accent3 3 2 5 3 3" xfId="14629" xr:uid="{DC327CEC-F770-457B-AD74-E12CA6FA2314}"/>
    <cellStyle name="20% - Accent3 3 2 5 4" xfId="18859" xr:uid="{ADDBB79B-3EBC-475E-B160-1D77A7356B5F}"/>
    <cellStyle name="20% - Accent3 3 2 5 5" xfId="10411" xr:uid="{1A7218BC-F7BF-4C13-811E-B359DA63CCBA}"/>
    <cellStyle name="20% - Accent3 3 2 6" xfId="2286" xr:uid="{00000000-0005-0000-0000-0000A4010000}"/>
    <cellStyle name="20% - Accent3 3 2 6 2" xfId="6592" xr:uid="{00000000-0005-0000-0000-0000A5010000}"/>
    <cellStyle name="20% - Accent3 3 2 6 2 2" xfId="23490" xr:uid="{455D793F-AD24-4FCE-A146-8637B8CFFCD6}"/>
    <cellStyle name="20% - Accent3 3 2 6 2 3" xfId="15042" xr:uid="{58F426A3-98F6-490B-8620-58399CAC4DCA}"/>
    <cellStyle name="20% - Accent3 3 2 6 3" xfId="19272" xr:uid="{22826DD8-C094-447C-8CDC-B6C2ACD82E97}"/>
    <cellStyle name="20% - Accent3 3 2 6 4" xfId="10824" xr:uid="{657EE05E-1AC0-43B1-BB72-6B397D90345B}"/>
    <cellStyle name="20% - Accent3 3 2 7" xfId="4526" xr:uid="{00000000-0005-0000-0000-0000A6010000}"/>
    <cellStyle name="20% - Accent3 3 2 7 2" xfId="21424" xr:uid="{0B96DD25-3FD5-4B61-AE0B-4C79DCD55445}"/>
    <cellStyle name="20% - Accent3 3 2 7 3" xfId="12976" xr:uid="{CEA92D1F-E768-44D5-8180-731D89D0A87E}"/>
    <cellStyle name="20% - Accent3 3 2 8" xfId="17206" xr:uid="{8B77645A-F6CA-4D70-8178-7D83C2FC6AC1}"/>
    <cellStyle name="20% - Accent3 3 2 9" xfId="8758" xr:uid="{AEA58652-A6F5-4202-BFA8-90F01D313B69}"/>
    <cellStyle name="20% - Accent3 3 3" xfId="591" xr:uid="{00000000-0005-0000-0000-0000A7010000}"/>
    <cellStyle name="20% - Accent3 3 3 2" xfId="2862" xr:uid="{00000000-0005-0000-0000-0000A8010000}"/>
    <cellStyle name="20% - Accent3 3 3 2 2" xfId="7084" xr:uid="{00000000-0005-0000-0000-0000A9010000}"/>
    <cellStyle name="20% - Accent3 3 3 2 2 2" xfId="23982" xr:uid="{AFED924B-4ABC-48F3-BB51-868159DAC82E}"/>
    <cellStyle name="20% - Accent3 3 3 2 2 3" xfId="15534" xr:uid="{CF9B35BE-6A2F-4498-9E33-011238B261AF}"/>
    <cellStyle name="20% - Accent3 3 3 2 3" xfId="19764" xr:uid="{83A10F91-CC14-45CA-9F27-F62C36229440}"/>
    <cellStyle name="20% - Accent3 3 3 2 4" xfId="11316" xr:uid="{8005C145-5107-4D85-944E-DAA7132F1817}"/>
    <cellStyle name="20% - Accent3 3 3 3" xfId="4939" xr:uid="{00000000-0005-0000-0000-0000AA010000}"/>
    <cellStyle name="20% - Accent3 3 3 3 2" xfId="21837" xr:uid="{80EB34C7-3257-45C5-974F-B46A57973922}"/>
    <cellStyle name="20% - Accent3 3 3 3 3" xfId="13389" xr:uid="{456F50A6-66EB-4D70-894A-BDFEB9B2BF7E}"/>
    <cellStyle name="20% - Accent3 3 3 4" xfId="17619" xr:uid="{468CA301-FEA4-4578-AF05-CD57387F6A2E}"/>
    <cellStyle name="20% - Accent3 3 3 5" xfId="9171" xr:uid="{FA11D22A-0FE5-4CA3-8C59-376A7D2355F9}"/>
    <cellStyle name="20% - Accent3 3 4" xfId="1044" xr:uid="{00000000-0005-0000-0000-0000AB010000}"/>
    <cellStyle name="20% - Accent3 3 4 2" xfId="3275" xr:uid="{00000000-0005-0000-0000-0000AC010000}"/>
    <cellStyle name="20% - Accent3 3 4 2 2" xfId="7497" xr:uid="{00000000-0005-0000-0000-0000AD010000}"/>
    <cellStyle name="20% - Accent3 3 4 2 2 2" xfId="24395" xr:uid="{6F0C4BEC-BE49-4BC7-ABAD-3295D4CE70AD}"/>
    <cellStyle name="20% - Accent3 3 4 2 2 3" xfId="15947" xr:uid="{798F06D7-EA5B-4BDE-A542-6D2EA99B3878}"/>
    <cellStyle name="20% - Accent3 3 4 2 3" xfId="20177" xr:uid="{5A27886A-958C-4A03-8074-C43230445B82}"/>
    <cellStyle name="20% - Accent3 3 4 2 4" xfId="11729" xr:uid="{8E4398B9-E427-4896-BE70-3A9DC403C0A7}"/>
    <cellStyle name="20% - Accent3 3 4 3" xfId="5352" xr:uid="{00000000-0005-0000-0000-0000AE010000}"/>
    <cellStyle name="20% - Accent3 3 4 3 2" xfId="22250" xr:uid="{0A36552C-CB8F-488B-ABB2-73B727755A69}"/>
    <cellStyle name="20% - Accent3 3 4 3 3" xfId="13802" xr:uid="{644B8248-01A9-47AD-9AC0-1B80836696DD}"/>
    <cellStyle name="20% - Accent3 3 4 4" xfId="18032" xr:uid="{5D7CC7A8-9978-4DE1-867E-57A65C80E92D}"/>
    <cellStyle name="20% - Accent3 3 4 5" xfId="9584" xr:uid="{B6B99239-A563-42F6-916A-5DD1369D7BA8}"/>
    <cellStyle name="20% - Accent3 3 5" xfId="1458" xr:uid="{00000000-0005-0000-0000-0000AF010000}"/>
    <cellStyle name="20% - Accent3 3 5 2" xfId="3688" xr:uid="{00000000-0005-0000-0000-0000B0010000}"/>
    <cellStyle name="20% - Accent3 3 5 2 2" xfId="7910" xr:uid="{00000000-0005-0000-0000-0000B1010000}"/>
    <cellStyle name="20% - Accent3 3 5 2 2 2" xfId="24808" xr:uid="{3C0F06B7-41BD-4AA9-A344-C10EFDA24CB5}"/>
    <cellStyle name="20% - Accent3 3 5 2 2 3" xfId="16360" xr:uid="{B621E648-3355-420B-8BF1-597874DE9A2B}"/>
    <cellStyle name="20% - Accent3 3 5 2 3" xfId="20590" xr:uid="{3FCECBAE-CFB8-444E-9C0E-63F81CD83351}"/>
    <cellStyle name="20% - Accent3 3 5 2 4" xfId="12142" xr:uid="{2FBB27AD-DE90-42E4-8917-24C2FD8927E5}"/>
    <cellStyle name="20% - Accent3 3 5 3" xfId="5765" xr:uid="{00000000-0005-0000-0000-0000B2010000}"/>
    <cellStyle name="20% - Accent3 3 5 3 2" xfId="22663" xr:uid="{83F8E6EB-D2DD-4D3F-9365-B5E4142A765B}"/>
    <cellStyle name="20% - Accent3 3 5 3 3" xfId="14215" xr:uid="{001C7C38-CD67-4B12-8225-8FBF6818B5FE}"/>
    <cellStyle name="20% - Accent3 3 5 4" xfId="18445" xr:uid="{34198FF9-75C5-4B72-93CF-D3EBE3878D68}"/>
    <cellStyle name="20% - Accent3 3 5 5" xfId="9997" xr:uid="{D2370FFB-1593-4013-855D-1815C551AFF2}"/>
    <cellStyle name="20% - Accent3 3 6" xfId="1872" xr:uid="{00000000-0005-0000-0000-0000B3010000}"/>
    <cellStyle name="20% - Accent3 3 6 2" xfId="4101" xr:uid="{00000000-0005-0000-0000-0000B4010000}"/>
    <cellStyle name="20% - Accent3 3 6 2 2" xfId="8323" xr:uid="{00000000-0005-0000-0000-0000B5010000}"/>
    <cellStyle name="20% - Accent3 3 6 2 2 2" xfId="25221" xr:uid="{807E3410-92EE-4D4C-877E-EC1B3B362DE5}"/>
    <cellStyle name="20% - Accent3 3 6 2 2 3" xfId="16773" xr:uid="{2B0BC58C-C88C-4D4D-BAFC-272783579ADE}"/>
    <cellStyle name="20% - Accent3 3 6 2 3" xfId="21003" xr:uid="{A381C0CB-7F81-4638-81BD-BA7ADF0D0442}"/>
    <cellStyle name="20% - Accent3 3 6 2 4" xfId="12555" xr:uid="{107357D6-C6F8-4A06-BD00-1308BA32B81E}"/>
    <cellStyle name="20% - Accent3 3 6 3" xfId="6178" xr:uid="{00000000-0005-0000-0000-0000B6010000}"/>
    <cellStyle name="20% - Accent3 3 6 3 2" xfId="23076" xr:uid="{86039764-2A82-4562-855C-CC49D735436B}"/>
    <cellStyle name="20% - Accent3 3 6 3 3" xfId="14628" xr:uid="{1060BC83-7DA9-4D9C-9B0D-47E8FFE30C78}"/>
    <cellStyle name="20% - Accent3 3 6 4" xfId="18858" xr:uid="{BF2A6BA0-79BB-4561-8617-0315D4A82F07}"/>
    <cellStyle name="20% - Accent3 3 6 5" xfId="10410" xr:uid="{15314489-C373-423A-B07E-7482ECDF36CF}"/>
    <cellStyle name="20% - Accent3 3 7" xfId="2285" xr:uid="{00000000-0005-0000-0000-0000B7010000}"/>
    <cellStyle name="20% - Accent3 3 7 2" xfId="6591" xr:uid="{00000000-0005-0000-0000-0000B8010000}"/>
    <cellStyle name="20% - Accent3 3 7 2 2" xfId="23489" xr:uid="{FB599B4C-03BE-4A82-AE89-4AF9064E854B}"/>
    <cellStyle name="20% - Accent3 3 7 2 3" xfId="15041" xr:uid="{068F379F-64C1-4CEB-85A9-6322E45A71EF}"/>
    <cellStyle name="20% - Accent3 3 7 3" xfId="19271" xr:uid="{D73A1E5D-0A5F-43ED-8286-8BE96E627E48}"/>
    <cellStyle name="20% - Accent3 3 7 4" xfId="10823" xr:uid="{5613F0BD-7044-4A1B-BFCB-EC57CB11E208}"/>
    <cellStyle name="20% - Accent3 3 8" xfId="4525" xr:uid="{00000000-0005-0000-0000-0000B9010000}"/>
    <cellStyle name="20% - Accent3 3 8 2" xfId="21423" xr:uid="{AE8C60DD-5E0E-47E6-9305-266396A25EF4}"/>
    <cellStyle name="20% - Accent3 3 8 3" xfId="12975" xr:uid="{8F1FD4F6-9784-4399-BF74-6CD425CB71AE}"/>
    <cellStyle name="20% - Accent3 3 9" xfId="17205" xr:uid="{D0E06304-CF72-4AD9-A942-BF3693B9A0BB}"/>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2 2 2" xfId="23984" xr:uid="{8783EB8E-C40C-4F17-BEC1-9F226DE409F8}"/>
    <cellStyle name="20% - Accent3 4 2 2 2 3" xfId="15536" xr:uid="{40250D01-7216-4DDB-83CE-EB2A6A45C17A}"/>
    <cellStyle name="20% - Accent3 4 2 2 3" xfId="19766" xr:uid="{0A46798D-0133-481B-80BE-7AE72E70A81F}"/>
    <cellStyle name="20% - Accent3 4 2 2 4" xfId="11318" xr:uid="{A05C87CE-7610-462C-8391-AD67910680EC}"/>
    <cellStyle name="20% - Accent3 4 2 3" xfId="4941" xr:uid="{00000000-0005-0000-0000-0000BE010000}"/>
    <cellStyle name="20% - Accent3 4 2 3 2" xfId="21839" xr:uid="{84569A6B-ED54-4A3D-A922-EC1102E99EDC}"/>
    <cellStyle name="20% - Accent3 4 2 3 3" xfId="13391" xr:uid="{36435AC3-A5BA-4BC4-B164-E8168E884ED1}"/>
    <cellStyle name="20% - Accent3 4 2 4" xfId="17621" xr:uid="{94CEE9A8-D072-4DD2-9932-0F56EB6619C1}"/>
    <cellStyle name="20% - Accent3 4 2 5" xfId="9173" xr:uid="{A7B16AE7-2E5E-4A24-BA4E-EEF5D9E270CA}"/>
    <cellStyle name="20% - Accent3 4 3" xfId="1046" xr:uid="{00000000-0005-0000-0000-0000BF010000}"/>
    <cellStyle name="20% - Accent3 4 3 2" xfId="3277" xr:uid="{00000000-0005-0000-0000-0000C0010000}"/>
    <cellStyle name="20% - Accent3 4 3 2 2" xfId="7499" xr:uid="{00000000-0005-0000-0000-0000C1010000}"/>
    <cellStyle name="20% - Accent3 4 3 2 2 2" xfId="24397" xr:uid="{4F7F0A60-7A90-488E-BA9B-B71B9C9A3EAB}"/>
    <cellStyle name="20% - Accent3 4 3 2 2 3" xfId="15949" xr:uid="{D008A761-3D4B-40FA-839A-BEACCAB09FD5}"/>
    <cellStyle name="20% - Accent3 4 3 2 3" xfId="20179" xr:uid="{C1A7EAA6-1205-4477-A601-17BD6400D296}"/>
    <cellStyle name="20% - Accent3 4 3 2 4" xfId="11731" xr:uid="{CC00B33D-80FA-418A-AC89-2EC3BF58D206}"/>
    <cellStyle name="20% - Accent3 4 3 3" xfId="5354" xr:uid="{00000000-0005-0000-0000-0000C2010000}"/>
    <cellStyle name="20% - Accent3 4 3 3 2" xfId="22252" xr:uid="{21F3627B-2CB8-44AF-A693-58E4B9878799}"/>
    <cellStyle name="20% - Accent3 4 3 3 3" xfId="13804" xr:uid="{62E4373C-1061-47D0-88C5-743894575515}"/>
    <cellStyle name="20% - Accent3 4 3 4" xfId="18034" xr:uid="{79F050FE-0685-4279-B190-B9F25C043A0A}"/>
    <cellStyle name="20% - Accent3 4 3 5" xfId="9586" xr:uid="{78DAE898-D79F-4A57-A8C0-26968B21781D}"/>
    <cellStyle name="20% - Accent3 4 4" xfId="1460" xr:uid="{00000000-0005-0000-0000-0000C3010000}"/>
    <cellStyle name="20% - Accent3 4 4 2" xfId="3690" xr:uid="{00000000-0005-0000-0000-0000C4010000}"/>
    <cellStyle name="20% - Accent3 4 4 2 2" xfId="7912" xr:uid="{00000000-0005-0000-0000-0000C5010000}"/>
    <cellStyle name="20% - Accent3 4 4 2 2 2" xfId="24810" xr:uid="{DDF621CA-05C0-4FBB-83ED-0F6EDDEC313B}"/>
    <cellStyle name="20% - Accent3 4 4 2 2 3" xfId="16362" xr:uid="{63CC6619-4325-4FCD-89A3-A8BDAA5F7D6D}"/>
    <cellStyle name="20% - Accent3 4 4 2 3" xfId="20592" xr:uid="{06A59268-423E-4795-94A2-2B9EA2AC71D4}"/>
    <cellStyle name="20% - Accent3 4 4 2 4" xfId="12144" xr:uid="{5AE25446-D600-49E9-B06A-B5CEBC247725}"/>
    <cellStyle name="20% - Accent3 4 4 3" xfId="5767" xr:uid="{00000000-0005-0000-0000-0000C6010000}"/>
    <cellStyle name="20% - Accent3 4 4 3 2" xfId="22665" xr:uid="{2DB531FF-FB66-41C8-9132-34CD7F633179}"/>
    <cellStyle name="20% - Accent3 4 4 3 3" xfId="14217" xr:uid="{2997F150-585B-41FD-B837-F67B15C4FF2D}"/>
    <cellStyle name="20% - Accent3 4 4 4" xfId="18447" xr:uid="{83EE2AA4-2216-4221-B177-5C217E31232E}"/>
    <cellStyle name="20% - Accent3 4 4 5" xfId="9999" xr:uid="{8741F96E-A4C5-4BDA-A840-86C8F114C91D}"/>
    <cellStyle name="20% - Accent3 4 5" xfId="1874" xr:uid="{00000000-0005-0000-0000-0000C7010000}"/>
    <cellStyle name="20% - Accent3 4 5 2" xfId="4103" xr:uid="{00000000-0005-0000-0000-0000C8010000}"/>
    <cellStyle name="20% - Accent3 4 5 2 2" xfId="8325" xr:uid="{00000000-0005-0000-0000-0000C9010000}"/>
    <cellStyle name="20% - Accent3 4 5 2 2 2" xfId="25223" xr:uid="{F8F0C522-19E0-4CB5-8162-B16B5A6C6521}"/>
    <cellStyle name="20% - Accent3 4 5 2 2 3" xfId="16775" xr:uid="{7162B352-C4B7-4F14-BBC0-49EBF22CC0CB}"/>
    <cellStyle name="20% - Accent3 4 5 2 3" xfId="21005" xr:uid="{2D7E166A-3475-4F9F-8D16-6523948261A4}"/>
    <cellStyle name="20% - Accent3 4 5 2 4" xfId="12557" xr:uid="{D3CA22D3-A93D-4E0D-BF56-4D87450A3B6C}"/>
    <cellStyle name="20% - Accent3 4 5 3" xfId="6180" xr:uid="{00000000-0005-0000-0000-0000CA010000}"/>
    <cellStyle name="20% - Accent3 4 5 3 2" xfId="23078" xr:uid="{23188C04-C40C-4E09-8C49-2B5F2F385B07}"/>
    <cellStyle name="20% - Accent3 4 5 3 3" xfId="14630" xr:uid="{7302A961-09FE-4C65-88DE-172D5CBCCDC8}"/>
    <cellStyle name="20% - Accent3 4 5 4" xfId="18860" xr:uid="{6E1A5182-9AAB-4459-A7BF-3DEF07A664C6}"/>
    <cellStyle name="20% - Accent3 4 5 5" xfId="10412" xr:uid="{D5C54A99-A397-4ACA-A60E-7D221522E3BE}"/>
    <cellStyle name="20% - Accent3 4 6" xfId="2287" xr:uid="{00000000-0005-0000-0000-0000CB010000}"/>
    <cellStyle name="20% - Accent3 4 6 2" xfId="6593" xr:uid="{00000000-0005-0000-0000-0000CC010000}"/>
    <cellStyle name="20% - Accent3 4 6 2 2" xfId="23491" xr:uid="{F9ADEBB8-E90F-40AE-BC52-ADFB54977DBD}"/>
    <cellStyle name="20% - Accent3 4 6 2 3" xfId="15043" xr:uid="{97A29B7A-0A75-4334-98D3-E63BFE4182EF}"/>
    <cellStyle name="20% - Accent3 4 6 3" xfId="19273" xr:uid="{E5299FA1-CAB4-402C-8F7D-126D8A22E0FD}"/>
    <cellStyle name="20% - Accent3 4 6 4" xfId="10825" xr:uid="{9F503864-7419-44F4-AE04-2F0EB36FB238}"/>
    <cellStyle name="20% - Accent3 4 7" xfId="4527" xr:uid="{00000000-0005-0000-0000-0000CD010000}"/>
    <cellStyle name="20% - Accent3 4 7 2" xfId="21425" xr:uid="{5D30F262-5B14-414B-8623-144CA15C7574}"/>
    <cellStyle name="20% - Accent3 4 7 3" xfId="12977" xr:uid="{A91D42FC-C1CC-49E8-873F-6A8F855B9C29}"/>
    <cellStyle name="20% - Accent3 4 8" xfId="17207" xr:uid="{7176203D-768E-45D8-87D1-BDE068534D9B}"/>
    <cellStyle name="20% - Accent3 4 9" xfId="8759" xr:uid="{E0835931-A575-4604-950C-D1865968F251}"/>
    <cellStyle name="20% - Accent3 5" xfId="586" xr:uid="{00000000-0005-0000-0000-0000CE010000}"/>
    <cellStyle name="20% - Accent3 5 2" xfId="2857" xr:uid="{00000000-0005-0000-0000-0000CF010000}"/>
    <cellStyle name="20% - Accent3 5 2 2" xfId="7079" xr:uid="{00000000-0005-0000-0000-0000D0010000}"/>
    <cellStyle name="20% - Accent3 5 2 2 2" xfId="23977" xr:uid="{FF256138-4238-4E7F-ACF7-E63D49CC23FE}"/>
    <cellStyle name="20% - Accent3 5 2 2 3" xfId="15529" xr:uid="{577FAB74-9DE9-487E-AD5D-1248C0C660D9}"/>
    <cellStyle name="20% - Accent3 5 2 3" xfId="19759" xr:uid="{A4EB0F17-6FC2-47F5-9740-BCB3424DAA41}"/>
    <cellStyle name="20% - Accent3 5 2 4" xfId="11311" xr:uid="{314B4A8A-C818-4536-AE57-00B5EBEF9DBA}"/>
    <cellStyle name="20% - Accent3 5 3" xfId="4934" xr:uid="{00000000-0005-0000-0000-0000D1010000}"/>
    <cellStyle name="20% - Accent3 5 3 2" xfId="21832" xr:uid="{A18022D5-FF41-4FEE-ADB9-C523DA1DA07A}"/>
    <cellStyle name="20% - Accent3 5 3 3" xfId="13384" xr:uid="{72CB0660-B355-48DA-9CF1-4E45F072CE2D}"/>
    <cellStyle name="20% - Accent3 5 4" xfId="17614" xr:uid="{0E055B54-61B9-406F-8ABC-8DDE1AB57E91}"/>
    <cellStyle name="20% - Accent3 5 5" xfId="9166" xr:uid="{E4305901-D526-46E0-95B7-F6F9177B66A1}"/>
    <cellStyle name="20% - Accent3 6" xfId="1039" xr:uid="{00000000-0005-0000-0000-0000D2010000}"/>
    <cellStyle name="20% - Accent3 6 2" xfId="3270" xr:uid="{00000000-0005-0000-0000-0000D3010000}"/>
    <cellStyle name="20% - Accent3 6 2 2" xfId="7492" xr:uid="{00000000-0005-0000-0000-0000D4010000}"/>
    <cellStyle name="20% - Accent3 6 2 2 2" xfId="24390" xr:uid="{32544095-848E-46C7-A4E4-8BDEA4A5FD49}"/>
    <cellStyle name="20% - Accent3 6 2 2 3" xfId="15942" xr:uid="{300A9A2A-BD4B-4938-83B3-77D6E5185C65}"/>
    <cellStyle name="20% - Accent3 6 2 3" xfId="20172" xr:uid="{36E387AC-3BC8-4887-AA84-19D3561EEB98}"/>
    <cellStyle name="20% - Accent3 6 2 4" xfId="11724" xr:uid="{5F4552C0-6AFB-43C9-9221-1F4DFC4BD005}"/>
    <cellStyle name="20% - Accent3 6 3" xfId="5347" xr:uid="{00000000-0005-0000-0000-0000D5010000}"/>
    <cellStyle name="20% - Accent3 6 3 2" xfId="22245" xr:uid="{046B3063-0AEB-499B-87A9-F1B456FAF8A9}"/>
    <cellStyle name="20% - Accent3 6 3 3" xfId="13797" xr:uid="{F4A0FC4D-5E14-4AD1-9C69-9AEB2322CF58}"/>
    <cellStyle name="20% - Accent3 6 4" xfId="18027" xr:uid="{00B07BF1-A243-495D-A5B5-F8E91AE50226}"/>
    <cellStyle name="20% - Accent3 6 5" xfId="9579" xr:uid="{66E3B056-AF5E-45C1-ADAC-466673851E5A}"/>
    <cellStyle name="20% - Accent3 7" xfId="1453" xr:uid="{00000000-0005-0000-0000-0000D6010000}"/>
    <cellStyle name="20% - Accent3 7 2" xfId="3683" xr:uid="{00000000-0005-0000-0000-0000D7010000}"/>
    <cellStyle name="20% - Accent3 7 2 2" xfId="7905" xr:uid="{00000000-0005-0000-0000-0000D8010000}"/>
    <cellStyle name="20% - Accent3 7 2 2 2" xfId="24803" xr:uid="{E7C6DA04-A06D-4FE0-898A-43EE9B7E868C}"/>
    <cellStyle name="20% - Accent3 7 2 2 3" xfId="16355" xr:uid="{79FF77F9-D911-48CA-AF7D-7E07E19F9C56}"/>
    <cellStyle name="20% - Accent3 7 2 3" xfId="20585" xr:uid="{30B977D4-05FD-4F2C-8422-04FA72AACBB4}"/>
    <cellStyle name="20% - Accent3 7 2 4" xfId="12137" xr:uid="{C2437B4A-98EB-47AD-835D-A80B67F62986}"/>
    <cellStyle name="20% - Accent3 7 3" xfId="5760" xr:uid="{00000000-0005-0000-0000-0000D9010000}"/>
    <cellStyle name="20% - Accent3 7 3 2" xfId="22658" xr:uid="{1770AAED-BD11-45E4-BE95-A9F72CB5A626}"/>
    <cellStyle name="20% - Accent3 7 3 3" xfId="14210" xr:uid="{45CF17B8-4586-4D83-BDE0-908029F450B0}"/>
    <cellStyle name="20% - Accent3 7 4" xfId="18440" xr:uid="{7B0D6FAF-28E9-4B2B-9773-6ADCBEB1B24D}"/>
    <cellStyle name="20% - Accent3 7 5" xfId="9992" xr:uid="{88A2364C-9EF4-4593-884A-B44202348D95}"/>
    <cellStyle name="20% - Accent3 8" xfId="1867" xr:uid="{00000000-0005-0000-0000-0000DA010000}"/>
    <cellStyle name="20% - Accent3 8 2" xfId="4096" xr:uid="{00000000-0005-0000-0000-0000DB010000}"/>
    <cellStyle name="20% - Accent3 8 2 2" xfId="8318" xr:uid="{00000000-0005-0000-0000-0000DC010000}"/>
    <cellStyle name="20% - Accent3 8 2 2 2" xfId="25216" xr:uid="{007D757C-D313-4B9B-BF61-859A5EC5368B}"/>
    <cellStyle name="20% - Accent3 8 2 2 3" xfId="16768" xr:uid="{588C8592-FFCE-44FA-92C1-9571A2324DB7}"/>
    <cellStyle name="20% - Accent3 8 2 3" xfId="20998" xr:uid="{CA87E2CF-5643-41D0-A6E6-5153AE49E22F}"/>
    <cellStyle name="20% - Accent3 8 2 4" xfId="12550" xr:uid="{2566D273-F9D4-42A0-A054-5BB2675043FC}"/>
    <cellStyle name="20% - Accent3 8 3" xfId="6173" xr:uid="{00000000-0005-0000-0000-0000DD010000}"/>
    <cellStyle name="20% - Accent3 8 3 2" xfId="23071" xr:uid="{0E4426C3-8C33-4CC5-A60D-086D8A0640D5}"/>
    <cellStyle name="20% - Accent3 8 3 3" xfId="14623" xr:uid="{417F0E72-5CC3-4B7F-9C2C-D74FF690A387}"/>
    <cellStyle name="20% - Accent3 8 4" xfId="18853" xr:uid="{C54DAC96-287B-49B2-ADB4-191BE0ACEE2B}"/>
    <cellStyle name="20% - Accent3 8 5" xfId="10405" xr:uid="{CAB219E5-D56D-4246-9093-B1D4380EE459}"/>
    <cellStyle name="20% - Accent3 9" xfId="2280" xr:uid="{00000000-0005-0000-0000-0000DE010000}"/>
    <cellStyle name="20% - Accent3 9 2" xfId="6586" xr:uid="{00000000-0005-0000-0000-0000DF010000}"/>
    <cellStyle name="20% - Accent3 9 2 2" xfId="23484" xr:uid="{13E65B59-AC56-4A9D-880C-3BD29DAAFDDB}"/>
    <cellStyle name="20% - Accent3 9 2 3" xfId="15036" xr:uid="{7F6F6300-04A8-4727-92E5-61E5DC82F0AA}"/>
    <cellStyle name="20% - Accent3 9 3" xfId="19266" xr:uid="{0A734F94-19FC-4F9C-872C-33D2038EA855}"/>
    <cellStyle name="20% - Accent3 9 4" xfId="10818" xr:uid="{CCFED699-90E0-4AA8-9FCE-5EC3E3A66D82}"/>
    <cellStyle name="20% - Accent4" xfId="25" builtinId="42" customBuiltin="1"/>
    <cellStyle name="20% - Accent4 10" xfId="4528" xr:uid="{00000000-0005-0000-0000-0000E1010000}"/>
    <cellStyle name="20% - Accent4 10 2" xfId="21426" xr:uid="{E5D334C0-5599-44E1-87FF-3A4B0A942724}"/>
    <cellStyle name="20% - Accent4 10 3" xfId="12978" xr:uid="{1FE5625A-CD52-4C0F-968E-0159196F1B05}"/>
    <cellStyle name="20% - Accent4 11" xfId="17208" xr:uid="{15BD68C8-B757-4637-B15E-769C615938F5}"/>
    <cellStyle name="20% - Accent4 12" xfId="8760" xr:uid="{257F4ED8-21DE-4FED-B81C-FA9AF5D4D0A2}"/>
    <cellStyle name="20% - Accent4 2" xfId="26" xr:uid="{00000000-0005-0000-0000-0000E2010000}"/>
    <cellStyle name="20% - Accent4 2 10" xfId="17209" xr:uid="{1290F8DD-9B02-46E2-8874-144F7AC21872}"/>
    <cellStyle name="20% - Accent4 2 11" xfId="8761" xr:uid="{75F8E804-25F7-4263-BFE6-88100C149F87}"/>
    <cellStyle name="20% - Accent4 2 2" xfId="27" xr:uid="{00000000-0005-0000-0000-0000E3010000}"/>
    <cellStyle name="20% - Accent4 2 2 10" xfId="8762" xr:uid="{20741B3D-4857-401D-B85F-FDE9F9CD3378}"/>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23988" xr:uid="{9A4F4CE3-4828-488B-B02B-1A890383040F}"/>
    <cellStyle name="20% - Accent4 2 2 2 2 2 2 3" xfId="15540" xr:uid="{A1711EC9-850F-40D0-A9E0-500A9EEED230}"/>
    <cellStyle name="20% - Accent4 2 2 2 2 2 3" xfId="19770" xr:uid="{04A4774E-76B2-4140-96F3-6AB4C7960719}"/>
    <cellStyle name="20% - Accent4 2 2 2 2 2 4" xfId="11322" xr:uid="{17B71659-390B-445B-96EC-48A00AAF6DDE}"/>
    <cellStyle name="20% - Accent4 2 2 2 2 3" xfId="4945" xr:uid="{00000000-0005-0000-0000-0000E8010000}"/>
    <cellStyle name="20% - Accent4 2 2 2 2 3 2" xfId="21843" xr:uid="{7E07D4C6-DFD4-400D-91E4-F5CEF7A6F10B}"/>
    <cellStyle name="20% - Accent4 2 2 2 2 3 3" xfId="13395" xr:uid="{8212002D-B6AE-4648-BFAF-7A7FC60011CD}"/>
    <cellStyle name="20% - Accent4 2 2 2 2 4" xfId="17625" xr:uid="{78701E73-E327-48E5-BFF9-17C5E6C0ABCC}"/>
    <cellStyle name="20% - Accent4 2 2 2 2 5" xfId="9177" xr:uid="{56788361-58EE-482B-94F4-F56089C18D55}"/>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24401" xr:uid="{A31B1AED-B484-481C-AB5B-8425E392C30E}"/>
    <cellStyle name="20% - Accent4 2 2 2 3 2 2 3" xfId="15953" xr:uid="{837628C5-CDB5-4C8B-A320-E510B08E0441}"/>
    <cellStyle name="20% - Accent4 2 2 2 3 2 3" xfId="20183" xr:uid="{E3CBCBEA-79BD-4407-BB7E-752DE3B6ED3C}"/>
    <cellStyle name="20% - Accent4 2 2 2 3 2 4" xfId="11735" xr:uid="{1B8D6865-9CA4-458D-A1FA-BDF0E1DBC17F}"/>
    <cellStyle name="20% - Accent4 2 2 2 3 3" xfId="5358" xr:uid="{00000000-0005-0000-0000-0000EC010000}"/>
    <cellStyle name="20% - Accent4 2 2 2 3 3 2" xfId="22256" xr:uid="{58AF86C2-5CF4-4F0F-9B14-CF82841DBA12}"/>
    <cellStyle name="20% - Accent4 2 2 2 3 3 3" xfId="13808" xr:uid="{B83C2664-E42F-4074-9BB6-20EF723F5DD4}"/>
    <cellStyle name="20% - Accent4 2 2 2 3 4" xfId="18038" xr:uid="{9C276264-D9B7-4800-B89A-E5D02EA5BA8F}"/>
    <cellStyle name="20% - Accent4 2 2 2 3 5" xfId="9590" xr:uid="{850DAA98-7706-4F5E-A48E-7E5AA99ADCFF}"/>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24814" xr:uid="{5D1666A4-7047-4800-AD09-8F5ACE5E698E}"/>
    <cellStyle name="20% - Accent4 2 2 2 4 2 2 3" xfId="16366" xr:uid="{6F55749C-109F-4431-80C1-602875B33BA0}"/>
    <cellStyle name="20% - Accent4 2 2 2 4 2 3" xfId="20596" xr:uid="{FF869357-B9F6-45E5-A38C-C3DE9331EE41}"/>
    <cellStyle name="20% - Accent4 2 2 2 4 2 4" xfId="12148" xr:uid="{3C88DAAE-B5A8-4984-B921-1BCC570898A2}"/>
    <cellStyle name="20% - Accent4 2 2 2 4 3" xfId="5771" xr:uid="{00000000-0005-0000-0000-0000F0010000}"/>
    <cellStyle name="20% - Accent4 2 2 2 4 3 2" xfId="22669" xr:uid="{872BC69E-165F-46C4-B288-782FD4150E49}"/>
    <cellStyle name="20% - Accent4 2 2 2 4 3 3" xfId="14221" xr:uid="{BE7BBF6A-EBD5-46EE-B59E-32E878B4BB95}"/>
    <cellStyle name="20% - Accent4 2 2 2 4 4" xfId="18451" xr:uid="{47DD5F0C-199B-40A7-BFC2-2FAC5FB606D4}"/>
    <cellStyle name="20% - Accent4 2 2 2 4 5" xfId="10003" xr:uid="{FA53E583-3566-4294-8023-10AF971CB6E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25227" xr:uid="{0EC9E253-D9E7-477B-BB32-F9EB12FD6D70}"/>
    <cellStyle name="20% - Accent4 2 2 2 5 2 2 3" xfId="16779" xr:uid="{337E245E-A640-4608-831F-2FE361042DD0}"/>
    <cellStyle name="20% - Accent4 2 2 2 5 2 3" xfId="21009" xr:uid="{B77D0BC6-7BEA-46C7-8957-B56A471B2DCE}"/>
    <cellStyle name="20% - Accent4 2 2 2 5 2 4" xfId="12561" xr:uid="{B0AF8B18-13C0-4AFC-ACCA-91FBFEEB7593}"/>
    <cellStyle name="20% - Accent4 2 2 2 5 3" xfId="6184" xr:uid="{00000000-0005-0000-0000-0000F4010000}"/>
    <cellStyle name="20% - Accent4 2 2 2 5 3 2" xfId="23082" xr:uid="{7B6DB76B-07F7-4195-A36F-5650A9F83CBF}"/>
    <cellStyle name="20% - Accent4 2 2 2 5 3 3" xfId="14634" xr:uid="{84EE0B91-A895-4FF8-9D17-A2E98351046C}"/>
    <cellStyle name="20% - Accent4 2 2 2 5 4" xfId="18864" xr:uid="{0EE5E8CC-7187-421E-9712-DD567B32AC54}"/>
    <cellStyle name="20% - Accent4 2 2 2 5 5" xfId="10416" xr:uid="{C9AEFCD1-D669-4666-BDCB-9D3C885ABC33}"/>
    <cellStyle name="20% - Accent4 2 2 2 6" xfId="2291" xr:uid="{00000000-0005-0000-0000-0000F5010000}"/>
    <cellStyle name="20% - Accent4 2 2 2 6 2" xfId="6597" xr:uid="{00000000-0005-0000-0000-0000F6010000}"/>
    <cellStyle name="20% - Accent4 2 2 2 6 2 2" xfId="23495" xr:uid="{D1BE1824-5E17-4FCF-BC14-8883C40DCE9D}"/>
    <cellStyle name="20% - Accent4 2 2 2 6 2 3" xfId="15047" xr:uid="{F9F81DB6-75A6-4446-9D11-8A9741D357DA}"/>
    <cellStyle name="20% - Accent4 2 2 2 6 3" xfId="19277" xr:uid="{A1F2384B-3173-46C2-9E1F-0F0D4A4CA61B}"/>
    <cellStyle name="20% - Accent4 2 2 2 6 4" xfId="10829" xr:uid="{E8E7B52B-1DD9-4CEA-AED2-81E3596C1B3E}"/>
    <cellStyle name="20% - Accent4 2 2 2 7" xfId="4531" xr:uid="{00000000-0005-0000-0000-0000F7010000}"/>
    <cellStyle name="20% - Accent4 2 2 2 7 2" xfId="21429" xr:uid="{13289DB3-AB08-4828-83C5-B135F84CEB49}"/>
    <cellStyle name="20% - Accent4 2 2 2 7 3" xfId="12981" xr:uid="{B1C0191A-E841-48CF-BB52-C99A84918254}"/>
    <cellStyle name="20% - Accent4 2 2 2 8" xfId="17211" xr:uid="{0AB48371-1AD0-4B98-97E9-4BC65E2B0558}"/>
    <cellStyle name="20% - Accent4 2 2 2 9" xfId="8763" xr:uid="{1E60E25F-4C5A-437A-98ED-9A004D2F456B}"/>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23987" xr:uid="{078A29E4-11C8-45AF-B79E-7C37AEE23D5D}"/>
    <cellStyle name="20% - Accent4 2 2 3 2 2 3" xfId="15539" xr:uid="{A1272069-48A2-47DF-852A-5B34D2C95AE6}"/>
    <cellStyle name="20% - Accent4 2 2 3 2 3" xfId="19769" xr:uid="{EB2020D9-6BDC-4D6A-9F40-5CA6210C2678}"/>
    <cellStyle name="20% - Accent4 2 2 3 2 4" xfId="11321" xr:uid="{43A1227E-8393-44AE-AF24-BC9DE623BE68}"/>
    <cellStyle name="20% - Accent4 2 2 3 3" xfId="4944" xr:uid="{00000000-0005-0000-0000-0000FB010000}"/>
    <cellStyle name="20% - Accent4 2 2 3 3 2" xfId="21842" xr:uid="{ADF45C76-F1A2-4FF8-AE9F-B303FA3FE14F}"/>
    <cellStyle name="20% - Accent4 2 2 3 3 3" xfId="13394" xr:uid="{1F3A6709-F211-42A5-B5E7-FEF432E16158}"/>
    <cellStyle name="20% - Accent4 2 2 3 4" xfId="17624" xr:uid="{5C07648D-B771-4E0A-9013-EAC36172369D}"/>
    <cellStyle name="20% - Accent4 2 2 3 5" xfId="9176" xr:uid="{99B0576E-9050-49EA-9763-6A4C443C1F0B}"/>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24400" xr:uid="{755C3140-E0FF-489C-A1CA-83137E1CF036}"/>
    <cellStyle name="20% - Accent4 2 2 4 2 2 3" xfId="15952" xr:uid="{5D2282E7-AF41-4EEC-91FE-E88995B4DDC7}"/>
    <cellStyle name="20% - Accent4 2 2 4 2 3" xfId="20182" xr:uid="{49877AFE-00F0-410A-B5BF-0C16B64E8927}"/>
    <cellStyle name="20% - Accent4 2 2 4 2 4" xfId="11734" xr:uid="{ADB502B8-01DC-406C-A21E-DFF70453F945}"/>
    <cellStyle name="20% - Accent4 2 2 4 3" xfId="5357" xr:uid="{00000000-0005-0000-0000-0000FF010000}"/>
    <cellStyle name="20% - Accent4 2 2 4 3 2" xfId="22255" xr:uid="{8A2ADDDA-9569-48A2-A737-3DE64AD7F458}"/>
    <cellStyle name="20% - Accent4 2 2 4 3 3" xfId="13807" xr:uid="{30CE3C22-33C8-49ED-956D-0C85DBD249CC}"/>
    <cellStyle name="20% - Accent4 2 2 4 4" xfId="18037" xr:uid="{E517FB3E-D079-4765-8D85-20EC27187B34}"/>
    <cellStyle name="20% - Accent4 2 2 4 5" xfId="9589" xr:uid="{142D08C0-6EFF-4AA9-8EA9-3CB8B41947C8}"/>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24813" xr:uid="{C3749C33-CADE-46E7-ABD1-5F1A52EFE685}"/>
    <cellStyle name="20% - Accent4 2 2 5 2 2 3" xfId="16365" xr:uid="{F351909A-B9F1-4CB1-A490-AC06A382291D}"/>
    <cellStyle name="20% - Accent4 2 2 5 2 3" xfId="20595" xr:uid="{70F67612-9B21-44E3-8F23-96BEA78DFBFD}"/>
    <cellStyle name="20% - Accent4 2 2 5 2 4" xfId="12147" xr:uid="{F674EDFE-C664-49D7-990A-51E4205CFE8A}"/>
    <cellStyle name="20% - Accent4 2 2 5 3" xfId="5770" xr:uid="{00000000-0005-0000-0000-000003020000}"/>
    <cellStyle name="20% - Accent4 2 2 5 3 2" xfId="22668" xr:uid="{0486BB7A-AAC9-43B1-960C-937339664B25}"/>
    <cellStyle name="20% - Accent4 2 2 5 3 3" xfId="14220" xr:uid="{48CE766C-2463-4969-9E80-BC4F7367A15B}"/>
    <cellStyle name="20% - Accent4 2 2 5 4" xfId="18450" xr:uid="{380D8F95-7D9B-4479-BD49-9E424407FDF5}"/>
    <cellStyle name="20% - Accent4 2 2 5 5" xfId="10002" xr:uid="{EE630AB6-5472-4664-BA1B-6E02A2E8178F}"/>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25226" xr:uid="{0DDE084E-A825-4113-A84C-BDA1A4F59C92}"/>
    <cellStyle name="20% - Accent4 2 2 6 2 2 3" xfId="16778" xr:uid="{7EDABED3-66C8-48A4-8E38-126F89052474}"/>
    <cellStyle name="20% - Accent4 2 2 6 2 3" xfId="21008" xr:uid="{4A849284-E329-4C89-A452-13AD567969BA}"/>
    <cellStyle name="20% - Accent4 2 2 6 2 4" xfId="12560" xr:uid="{E051E3C4-EAEB-4894-8711-2EABD0DCA9AC}"/>
    <cellStyle name="20% - Accent4 2 2 6 3" xfId="6183" xr:uid="{00000000-0005-0000-0000-000007020000}"/>
    <cellStyle name="20% - Accent4 2 2 6 3 2" xfId="23081" xr:uid="{FC95D3F6-490F-4C61-ADF1-4A32A3B984F5}"/>
    <cellStyle name="20% - Accent4 2 2 6 3 3" xfId="14633" xr:uid="{CCC56097-2FDF-4DDB-B242-6EC66ED1B70D}"/>
    <cellStyle name="20% - Accent4 2 2 6 4" xfId="18863" xr:uid="{66B8BFE4-067B-4B00-84D3-9FA95C916200}"/>
    <cellStyle name="20% - Accent4 2 2 6 5" xfId="10415" xr:uid="{6745D9B1-18A7-42C1-9A7D-30DB93613604}"/>
    <cellStyle name="20% - Accent4 2 2 7" xfId="2290" xr:uid="{00000000-0005-0000-0000-000008020000}"/>
    <cellStyle name="20% - Accent4 2 2 7 2" xfId="6596" xr:uid="{00000000-0005-0000-0000-000009020000}"/>
    <cellStyle name="20% - Accent4 2 2 7 2 2" xfId="23494" xr:uid="{FCCCBC7B-859F-478D-A626-6D554794C4E9}"/>
    <cellStyle name="20% - Accent4 2 2 7 2 3" xfId="15046" xr:uid="{032E0EF6-1C86-44C5-A72F-A1FCF005C5FF}"/>
    <cellStyle name="20% - Accent4 2 2 7 3" xfId="19276" xr:uid="{803818CF-8713-4660-A45F-7FD74BAEDD3F}"/>
    <cellStyle name="20% - Accent4 2 2 7 4" xfId="10828" xr:uid="{FD3CBCD6-6482-40C1-ABC0-0FD40B371410}"/>
    <cellStyle name="20% - Accent4 2 2 8" xfId="4530" xr:uid="{00000000-0005-0000-0000-00000A020000}"/>
    <cellStyle name="20% - Accent4 2 2 8 2" xfId="21428" xr:uid="{EABDF291-669F-4A83-903C-252F5B99B065}"/>
    <cellStyle name="20% - Accent4 2 2 8 3" xfId="12980" xr:uid="{EB4E12FB-F359-4357-8B40-AAD94B8479C4}"/>
    <cellStyle name="20% - Accent4 2 2 9" xfId="17210" xr:uid="{748C4DD8-6AD5-40EE-ACD0-3A879170D7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23989" xr:uid="{1D5A2E4F-E8F4-441B-9833-6D8EEE7BC0F9}"/>
    <cellStyle name="20% - Accent4 2 3 2 2 2 3" xfId="15541" xr:uid="{BC5ED4A0-EAF6-4377-81BA-C281B43E3CDA}"/>
    <cellStyle name="20% - Accent4 2 3 2 2 3" xfId="19771" xr:uid="{0ED1D537-BF31-404C-9D8E-1D80B6DD652B}"/>
    <cellStyle name="20% - Accent4 2 3 2 2 4" xfId="11323" xr:uid="{6DCCA4F3-A8B6-4F1F-8C34-2DE6854CA492}"/>
    <cellStyle name="20% - Accent4 2 3 2 3" xfId="4946" xr:uid="{00000000-0005-0000-0000-00000F020000}"/>
    <cellStyle name="20% - Accent4 2 3 2 3 2" xfId="21844" xr:uid="{460B88C5-0674-47CE-BB95-88BC1F265575}"/>
    <cellStyle name="20% - Accent4 2 3 2 3 3" xfId="13396" xr:uid="{F47832C1-278B-4386-8BA2-DD4C68AFAE7F}"/>
    <cellStyle name="20% - Accent4 2 3 2 4" xfId="17626" xr:uid="{F03051D7-9812-4226-BE59-D6E50ACD643B}"/>
    <cellStyle name="20% - Accent4 2 3 2 5" xfId="9178" xr:uid="{C791187A-4F7C-450D-B479-89C0F408F24F}"/>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24402" xr:uid="{3E50B2B9-52D6-4697-B758-31D7141C9EAF}"/>
    <cellStyle name="20% - Accent4 2 3 3 2 2 3" xfId="15954" xr:uid="{F49DD3B4-B3F3-4FBA-880B-0F020D41F3F4}"/>
    <cellStyle name="20% - Accent4 2 3 3 2 3" xfId="20184" xr:uid="{34721AE4-B2CD-4D25-A65E-4A55B81A3CE2}"/>
    <cellStyle name="20% - Accent4 2 3 3 2 4" xfId="11736" xr:uid="{7E96738E-5B38-4826-A609-3AFDA09A4980}"/>
    <cellStyle name="20% - Accent4 2 3 3 3" xfId="5359" xr:uid="{00000000-0005-0000-0000-000013020000}"/>
    <cellStyle name="20% - Accent4 2 3 3 3 2" xfId="22257" xr:uid="{A586513C-2EE4-470D-8FDB-71098E89536A}"/>
    <cellStyle name="20% - Accent4 2 3 3 3 3" xfId="13809" xr:uid="{6A7181DC-00F5-4126-AF45-F8E6ACE7CFB4}"/>
    <cellStyle name="20% - Accent4 2 3 3 4" xfId="18039" xr:uid="{3A42D181-9374-4408-80C5-992389AA6608}"/>
    <cellStyle name="20% - Accent4 2 3 3 5" xfId="9591" xr:uid="{98F2E274-C306-404F-BECB-E277FB2AFED2}"/>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24815" xr:uid="{F166E533-4F66-4E07-B632-B49850047880}"/>
    <cellStyle name="20% - Accent4 2 3 4 2 2 3" xfId="16367" xr:uid="{C7580137-04F1-47B5-8322-A2201B6EB42C}"/>
    <cellStyle name="20% - Accent4 2 3 4 2 3" xfId="20597" xr:uid="{19C5A15F-6B14-402C-B421-435346A6D299}"/>
    <cellStyle name="20% - Accent4 2 3 4 2 4" xfId="12149" xr:uid="{A45C63A5-5604-4750-9760-65061F6B6F4B}"/>
    <cellStyle name="20% - Accent4 2 3 4 3" xfId="5772" xr:uid="{00000000-0005-0000-0000-000017020000}"/>
    <cellStyle name="20% - Accent4 2 3 4 3 2" xfId="22670" xr:uid="{5325B973-0681-4FCA-87CA-4591B6F58D8D}"/>
    <cellStyle name="20% - Accent4 2 3 4 3 3" xfId="14222" xr:uid="{9C9F28AC-9A70-42B3-AC8E-819008E3FD6F}"/>
    <cellStyle name="20% - Accent4 2 3 4 4" xfId="18452" xr:uid="{B0BB0BBC-18FB-4479-A9DA-738F0BAE2945}"/>
    <cellStyle name="20% - Accent4 2 3 4 5" xfId="10004" xr:uid="{3A448899-2AD7-45E6-96BD-6B4A55E73FF8}"/>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25228" xr:uid="{294B0D43-8087-4DB1-BB7E-6757BF42F14B}"/>
    <cellStyle name="20% - Accent4 2 3 5 2 2 3" xfId="16780" xr:uid="{BEFE7E1E-6E95-486D-8287-C511E2E10E14}"/>
    <cellStyle name="20% - Accent4 2 3 5 2 3" xfId="21010" xr:uid="{EF3BE5C9-EAF5-4F7A-9C12-3E94A3786825}"/>
    <cellStyle name="20% - Accent4 2 3 5 2 4" xfId="12562" xr:uid="{DC32F7E2-72A2-483B-801A-8D8597843872}"/>
    <cellStyle name="20% - Accent4 2 3 5 3" xfId="6185" xr:uid="{00000000-0005-0000-0000-00001B020000}"/>
    <cellStyle name="20% - Accent4 2 3 5 3 2" xfId="23083" xr:uid="{587D98F2-C320-454C-A606-B0500147D26E}"/>
    <cellStyle name="20% - Accent4 2 3 5 3 3" xfId="14635" xr:uid="{888B2E26-D98E-410D-B458-90E900165EC8}"/>
    <cellStyle name="20% - Accent4 2 3 5 4" xfId="18865" xr:uid="{8B41C49E-CDEA-4B90-A69D-20A4C4BB91AF}"/>
    <cellStyle name="20% - Accent4 2 3 5 5" xfId="10417" xr:uid="{685E75F1-BA5E-4B23-83C2-8D52B7270FB2}"/>
    <cellStyle name="20% - Accent4 2 3 6" xfId="2292" xr:uid="{00000000-0005-0000-0000-00001C020000}"/>
    <cellStyle name="20% - Accent4 2 3 6 2" xfId="6598" xr:uid="{00000000-0005-0000-0000-00001D020000}"/>
    <cellStyle name="20% - Accent4 2 3 6 2 2" xfId="23496" xr:uid="{61862952-A26B-4F11-8EE5-56E0ED77D1A1}"/>
    <cellStyle name="20% - Accent4 2 3 6 2 3" xfId="15048" xr:uid="{AB2FCAE1-8F0A-4F9C-953E-4C5844CDA155}"/>
    <cellStyle name="20% - Accent4 2 3 6 3" xfId="19278" xr:uid="{339041C6-0391-46FA-B107-DF80DED93C06}"/>
    <cellStyle name="20% - Accent4 2 3 6 4" xfId="10830" xr:uid="{4D330B77-5A9F-426F-AB78-1962058A2552}"/>
    <cellStyle name="20% - Accent4 2 3 7" xfId="4532" xr:uid="{00000000-0005-0000-0000-00001E020000}"/>
    <cellStyle name="20% - Accent4 2 3 7 2" xfId="21430" xr:uid="{3FB5BB14-36A4-446B-A433-DA962B051A7C}"/>
    <cellStyle name="20% - Accent4 2 3 7 3" xfId="12982" xr:uid="{9E94067F-000C-4EEE-94C1-9642C491689B}"/>
    <cellStyle name="20% - Accent4 2 3 8" xfId="17212" xr:uid="{4AE2582D-0A28-49CA-8E2F-EE271A030904}"/>
    <cellStyle name="20% - Accent4 2 3 9" xfId="8764" xr:uid="{AE3819F5-341E-4CF3-9526-81184C7D6DCF}"/>
    <cellStyle name="20% - Accent4 2 4" xfId="595" xr:uid="{00000000-0005-0000-0000-00001F020000}"/>
    <cellStyle name="20% - Accent4 2 4 2" xfId="2866" xr:uid="{00000000-0005-0000-0000-000020020000}"/>
    <cellStyle name="20% - Accent4 2 4 2 2" xfId="7088" xr:uid="{00000000-0005-0000-0000-000021020000}"/>
    <cellStyle name="20% - Accent4 2 4 2 2 2" xfId="23986" xr:uid="{70A26DB2-8898-4D62-B794-D3FC5446B759}"/>
    <cellStyle name="20% - Accent4 2 4 2 2 3" xfId="15538" xr:uid="{D8ABE1FD-8E00-446A-9522-31F101B52727}"/>
    <cellStyle name="20% - Accent4 2 4 2 3" xfId="19768" xr:uid="{8F45EBDA-815D-48BF-9395-9F76F7B6C03F}"/>
    <cellStyle name="20% - Accent4 2 4 2 4" xfId="11320" xr:uid="{B3F49A1C-01F7-4806-84DF-F1240C3D4FF4}"/>
    <cellStyle name="20% - Accent4 2 4 3" xfId="4943" xr:uid="{00000000-0005-0000-0000-000022020000}"/>
    <cellStyle name="20% - Accent4 2 4 3 2" xfId="21841" xr:uid="{210055EC-7C5C-473D-A25E-920AC6D0A39E}"/>
    <cellStyle name="20% - Accent4 2 4 3 3" xfId="13393" xr:uid="{AAEBB08D-9A28-4584-ABAC-F527C1AC5985}"/>
    <cellStyle name="20% - Accent4 2 4 4" xfId="17623" xr:uid="{39721DD3-B3DE-44E5-9D25-916DF0CA8878}"/>
    <cellStyle name="20% - Accent4 2 4 5" xfId="9175" xr:uid="{E80F5128-61F4-4446-8CCD-35B93BCB9544}"/>
    <cellStyle name="20% - Accent4 2 5" xfId="1048" xr:uid="{00000000-0005-0000-0000-000023020000}"/>
    <cellStyle name="20% - Accent4 2 5 2" xfId="3279" xr:uid="{00000000-0005-0000-0000-000024020000}"/>
    <cellStyle name="20% - Accent4 2 5 2 2" xfId="7501" xr:uid="{00000000-0005-0000-0000-000025020000}"/>
    <cellStyle name="20% - Accent4 2 5 2 2 2" xfId="24399" xr:uid="{254051C8-B4F7-4190-85A6-187400B822F3}"/>
    <cellStyle name="20% - Accent4 2 5 2 2 3" xfId="15951" xr:uid="{258B801B-756C-4AF1-A221-27516B112F65}"/>
    <cellStyle name="20% - Accent4 2 5 2 3" xfId="20181" xr:uid="{B430DCF1-D340-4F2A-8305-310A0F525065}"/>
    <cellStyle name="20% - Accent4 2 5 2 4" xfId="11733" xr:uid="{F6D9F7E7-06B2-4A77-8FA7-FA836C0617D6}"/>
    <cellStyle name="20% - Accent4 2 5 3" xfId="5356" xr:uid="{00000000-0005-0000-0000-000026020000}"/>
    <cellStyle name="20% - Accent4 2 5 3 2" xfId="22254" xr:uid="{CB04221A-992D-4820-BD2B-5BA17C449747}"/>
    <cellStyle name="20% - Accent4 2 5 3 3" xfId="13806" xr:uid="{10D76E62-3A61-4797-BBA8-E580A03E2A1A}"/>
    <cellStyle name="20% - Accent4 2 5 4" xfId="18036" xr:uid="{66B75D81-A681-4225-8C83-65DF567BE6F4}"/>
    <cellStyle name="20% - Accent4 2 5 5" xfId="9588" xr:uid="{D0BA6005-E6B3-414B-BBD4-90808E725FF9}"/>
    <cellStyle name="20% - Accent4 2 6" xfId="1462" xr:uid="{00000000-0005-0000-0000-000027020000}"/>
    <cellStyle name="20% - Accent4 2 6 2" xfId="3692" xr:uid="{00000000-0005-0000-0000-000028020000}"/>
    <cellStyle name="20% - Accent4 2 6 2 2" xfId="7914" xr:uid="{00000000-0005-0000-0000-000029020000}"/>
    <cellStyle name="20% - Accent4 2 6 2 2 2" xfId="24812" xr:uid="{82E049F6-FEB8-405A-A1DA-02B3E0964949}"/>
    <cellStyle name="20% - Accent4 2 6 2 2 3" xfId="16364" xr:uid="{2E1EB2AC-8575-48CA-B1AC-5F9FED6FD5D2}"/>
    <cellStyle name="20% - Accent4 2 6 2 3" xfId="20594" xr:uid="{24566441-545E-41AF-B703-44A958461A92}"/>
    <cellStyle name="20% - Accent4 2 6 2 4" xfId="12146" xr:uid="{B2F064D3-7A15-4B7B-BB36-92EE9C3D3CD9}"/>
    <cellStyle name="20% - Accent4 2 6 3" xfId="5769" xr:uid="{00000000-0005-0000-0000-00002A020000}"/>
    <cellStyle name="20% - Accent4 2 6 3 2" xfId="22667" xr:uid="{2235E2F8-5F5D-4F9A-896F-34441E9FD279}"/>
    <cellStyle name="20% - Accent4 2 6 3 3" xfId="14219" xr:uid="{105DAB51-43B5-4416-A1C6-E88D637E585A}"/>
    <cellStyle name="20% - Accent4 2 6 4" xfId="18449" xr:uid="{D0A94BDF-F08A-438E-8730-FEDB621B79CE}"/>
    <cellStyle name="20% - Accent4 2 6 5" xfId="10001" xr:uid="{1BE94969-CEB1-4746-A6A8-1998A77B9CAC}"/>
    <cellStyle name="20% - Accent4 2 7" xfId="1876" xr:uid="{00000000-0005-0000-0000-00002B020000}"/>
    <cellStyle name="20% - Accent4 2 7 2" xfId="4105" xr:uid="{00000000-0005-0000-0000-00002C020000}"/>
    <cellStyle name="20% - Accent4 2 7 2 2" xfId="8327" xr:uid="{00000000-0005-0000-0000-00002D020000}"/>
    <cellStyle name="20% - Accent4 2 7 2 2 2" xfId="25225" xr:uid="{1D89338A-2263-4399-9B5E-BA2CFB4B8324}"/>
    <cellStyle name="20% - Accent4 2 7 2 2 3" xfId="16777" xr:uid="{EB8081E1-BABF-415A-A63E-E2FB990AB311}"/>
    <cellStyle name="20% - Accent4 2 7 2 3" xfId="21007" xr:uid="{E9339664-D34F-4C1C-BB4A-47C52BA8568C}"/>
    <cellStyle name="20% - Accent4 2 7 2 4" xfId="12559" xr:uid="{B285CE2C-8E29-4A36-8130-323608ADAFE9}"/>
    <cellStyle name="20% - Accent4 2 7 3" xfId="6182" xr:uid="{00000000-0005-0000-0000-00002E020000}"/>
    <cellStyle name="20% - Accent4 2 7 3 2" xfId="23080" xr:uid="{9F962F30-F168-43AC-8C9A-630903CCEA61}"/>
    <cellStyle name="20% - Accent4 2 7 3 3" xfId="14632" xr:uid="{E099C091-9DD5-42BB-84A4-DE280E8A4C8F}"/>
    <cellStyle name="20% - Accent4 2 7 4" xfId="18862" xr:uid="{BFE67625-97DF-47D2-AC7D-80D3988EC7F2}"/>
    <cellStyle name="20% - Accent4 2 7 5" xfId="10414" xr:uid="{75B65CB7-1260-43D0-9641-2306D514AC71}"/>
    <cellStyle name="20% - Accent4 2 8" xfId="2289" xr:uid="{00000000-0005-0000-0000-00002F020000}"/>
    <cellStyle name="20% - Accent4 2 8 2" xfId="6595" xr:uid="{00000000-0005-0000-0000-000030020000}"/>
    <cellStyle name="20% - Accent4 2 8 2 2" xfId="23493" xr:uid="{000F4CA4-0712-4384-BB18-BC4D045EB0E5}"/>
    <cellStyle name="20% - Accent4 2 8 2 3" xfId="15045" xr:uid="{68385808-38AD-413B-AC17-82941178D252}"/>
    <cellStyle name="20% - Accent4 2 8 3" xfId="19275" xr:uid="{6A0C7BE1-B5FA-40B3-A884-3DE2023B1EE8}"/>
    <cellStyle name="20% - Accent4 2 8 4" xfId="10827" xr:uid="{E9BF3E2D-B36C-4F36-AA09-7438922DBC05}"/>
    <cellStyle name="20% - Accent4 2 9" xfId="4529" xr:uid="{00000000-0005-0000-0000-000031020000}"/>
    <cellStyle name="20% - Accent4 2 9 2" xfId="21427" xr:uid="{E15792FB-C34D-41BD-AF1F-651C179A9A9A}"/>
    <cellStyle name="20% - Accent4 2 9 3" xfId="12979" xr:uid="{84933C8A-0357-479A-919F-7A2B3DE01AE5}"/>
    <cellStyle name="20% - Accent4 3" xfId="30" xr:uid="{00000000-0005-0000-0000-000032020000}"/>
    <cellStyle name="20% - Accent4 3 10" xfId="8765" xr:uid="{6F585017-4BAF-48AC-87A1-A8D4C2D87E52}"/>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23991" xr:uid="{B31E4E0E-3706-49AB-8770-57F56B81400A}"/>
    <cellStyle name="20% - Accent4 3 2 2 2 2 3" xfId="15543" xr:uid="{521E831E-76D3-46FC-9BB3-C471F7E84D3F}"/>
    <cellStyle name="20% - Accent4 3 2 2 2 3" xfId="19773" xr:uid="{B9B77250-703A-443E-BB1C-8D5E1F9BBD3E}"/>
    <cellStyle name="20% - Accent4 3 2 2 2 4" xfId="11325" xr:uid="{162C426F-4703-4A60-B618-C3DA945DB48F}"/>
    <cellStyle name="20% - Accent4 3 2 2 3" xfId="4948" xr:uid="{00000000-0005-0000-0000-000037020000}"/>
    <cellStyle name="20% - Accent4 3 2 2 3 2" xfId="21846" xr:uid="{6FD0ED4F-404F-4215-A63C-ADB69151C56E}"/>
    <cellStyle name="20% - Accent4 3 2 2 3 3" xfId="13398" xr:uid="{1C2F5FAD-7046-4860-86AE-2D2A9394E08A}"/>
    <cellStyle name="20% - Accent4 3 2 2 4" xfId="17628" xr:uid="{7159BE54-70B9-4110-972E-BD6EC0D91AAC}"/>
    <cellStyle name="20% - Accent4 3 2 2 5" xfId="9180" xr:uid="{6081C63F-6350-4A6F-AF72-5B328CC7EDFB}"/>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24404" xr:uid="{8E5729C8-ACE7-4F68-A73E-184877C9AD56}"/>
    <cellStyle name="20% - Accent4 3 2 3 2 2 3" xfId="15956" xr:uid="{3430279D-766D-4A5E-97D2-227326D41643}"/>
    <cellStyle name="20% - Accent4 3 2 3 2 3" xfId="20186" xr:uid="{0ABF0EFE-C2AE-451E-8CB4-5A7940C5F9EE}"/>
    <cellStyle name="20% - Accent4 3 2 3 2 4" xfId="11738" xr:uid="{FD5FFBD0-1E58-4391-ABC0-581A0C536E87}"/>
    <cellStyle name="20% - Accent4 3 2 3 3" xfId="5361" xr:uid="{00000000-0005-0000-0000-00003B020000}"/>
    <cellStyle name="20% - Accent4 3 2 3 3 2" xfId="22259" xr:uid="{D9213F1A-D583-438A-90EB-B23789534128}"/>
    <cellStyle name="20% - Accent4 3 2 3 3 3" xfId="13811" xr:uid="{BA953F46-8D5F-43AE-BC2F-31DD48F3900E}"/>
    <cellStyle name="20% - Accent4 3 2 3 4" xfId="18041" xr:uid="{216C362D-BE3F-4A5F-8D50-31D778E91AE1}"/>
    <cellStyle name="20% - Accent4 3 2 3 5" xfId="9593" xr:uid="{C5F7F7B1-BA10-4659-9B2F-E923163D02B5}"/>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24817" xr:uid="{0BDBC4E5-2B2D-400A-ACB1-130ACFFCF6AD}"/>
    <cellStyle name="20% - Accent4 3 2 4 2 2 3" xfId="16369" xr:uid="{BEC74981-13DC-4C55-B6D1-FE9019282607}"/>
    <cellStyle name="20% - Accent4 3 2 4 2 3" xfId="20599" xr:uid="{B96AA722-D633-4DAA-95A7-D35C253BE846}"/>
    <cellStyle name="20% - Accent4 3 2 4 2 4" xfId="12151" xr:uid="{9547EC77-D71E-4224-83D3-6A7468BBC4B0}"/>
    <cellStyle name="20% - Accent4 3 2 4 3" xfId="5774" xr:uid="{00000000-0005-0000-0000-00003F020000}"/>
    <cellStyle name="20% - Accent4 3 2 4 3 2" xfId="22672" xr:uid="{F4B19D77-9B8C-4857-9A61-1E27ECD6266A}"/>
    <cellStyle name="20% - Accent4 3 2 4 3 3" xfId="14224" xr:uid="{E2A0F2D0-18CB-4091-9EDF-2A2F44C70E5F}"/>
    <cellStyle name="20% - Accent4 3 2 4 4" xfId="18454" xr:uid="{E69D14F3-799C-49DD-AD8C-E4BDDAA0B2BE}"/>
    <cellStyle name="20% - Accent4 3 2 4 5" xfId="10006" xr:uid="{FF04B5CB-2818-4C92-9818-B4A9121EB906}"/>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25230" xr:uid="{CE5F26A3-54B2-44D7-82FC-6A3620DA622C}"/>
    <cellStyle name="20% - Accent4 3 2 5 2 2 3" xfId="16782" xr:uid="{CB9046D5-C7AB-403F-82A4-103008C927D6}"/>
    <cellStyle name="20% - Accent4 3 2 5 2 3" xfId="21012" xr:uid="{6AF7B8FD-3BE6-492F-8021-2CE1B96CECA4}"/>
    <cellStyle name="20% - Accent4 3 2 5 2 4" xfId="12564" xr:uid="{A414CC06-A1CB-4C9A-8600-28ADDF07F169}"/>
    <cellStyle name="20% - Accent4 3 2 5 3" xfId="6187" xr:uid="{00000000-0005-0000-0000-000043020000}"/>
    <cellStyle name="20% - Accent4 3 2 5 3 2" xfId="23085" xr:uid="{39EE7DF7-306E-4E18-A9DB-343BD1100E20}"/>
    <cellStyle name="20% - Accent4 3 2 5 3 3" xfId="14637" xr:uid="{AB208B88-4B03-4550-8620-4E597D747E21}"/>
    <cellStyle name="20% - Accent4 3 2 5 4" xfId="18867" xr:uid="{9ED5AABB-BB65-4484-87A1-572C4C26B756}"/>
    <cellStyle name="20% - Accent4 3 2 5 5" xfId="10419" xr:uid="{76A68EAE-C5B5-4198-9CC0-97342D2153D2}"/>
    <cellStyle name="20% - Accent4 3 2 6" xfId="2294" xr:uid="{00000000-0005-0000-0000-000044020000}"/>
    <cellStyle name="20% - Accent4 3 2 6 2" xfId="6600" xr:uid="{00000000-0005-0000-0000-000045020000}"/>
    <cellStyle name="20% - Accent4 3 2 6 2 2" xfId="23498" xr:uid="{72B7524D-B9CB-4186-9E10-466BDD9C1166}"/>
    <cellStyle name="20% - Accent4 3 2 6 2 3" xfId="15050" xr:uid="{C4A8D3F2-319A-4AA4-8FA5-F2ABD265C8F4}"/>
    <cellStyle name="20% - Accent4 3 2 6 3" xfId="19280" xr:uid="{F4572158-654A-4040-BF63-8C49E1A164DB}"/>
    <cellStyle name="20% - Accent4 3 2 6 4" xfId="10832" xr:uid="{4491995B-91D0-4E54-B7F8-A1A146D0DE77}"/>
    <cellStyle name="20% - Accent4 3 2 7" xfId="4534" xr:uid="{00000000-0005-0000-0000-000046020000}"/>
    <cellStyle name="20% - Accent4 3 2 7 2" xfId="21432" xr:uid="{ED7BA180-0BA0-4EFA-8941-88473531132C}"/>
    <cellStyle name="20% - Accent4 3 2 7 3" xfId="12984" xr:uid="{6897681F-7720-47D0-913C-909DFA465C40}"/>
    <cellStyle name="20% - Accent4 3 2 8" xfId="17214" xr:uid="{2018607C-58CD-4044-B1FF-211792B23309}"/>
    <cellStyle name="20% - Accent4 3 2 9" xfId="8766" xr:uid="{3B0C0346-10A2-443C-A7D1-422BAD5555E3}"/>
    <cellStyle name="20% - Accent4 3 3" xfId="599" xr:uid="{00000000-0005-0000-0000-000047020000}"/>
    <cellStyle name="20% - Accent4 3 3 2" xfId="2870" xr:uid="{00000000-0005-0000-0000-000048020000}"/>
    <cellStyle name="20% - Accent4 3 3 2 2" xfId="7092" xr:uid="{00000000-0005-0000-0000-000049020000}"/>
    <cellStyle name="20% - Accent4 3 3 2 2 2" xfId="23990" xr:uid="{5FDC9F93-9A1B-415E-AA79-E844532D6951}"/>
    <cellStyle name="20% - Accent4 3 3 2 2 3" xfId="15542" xr:uid="{5F268CB8-AD7D-45F5-828B-94B9739FB129}"/>
    <cellStyle name="20% - Accent4 3 3 2 3" xfId="19772" xr:uid="{3DD92A05-BEE4-4D1E-B7F4-07796FFC941C}"/>
    <cellStyle name="20% - Accent4 3 3 2 4" xfId="11324" xr:uid="{54DC1247-E5C0-4510-A3EF-375838712425}"/>
    <cellStyle name="20% - Accent4 3 3 3" xfId="4947" xr:uid="{00000000-0005-0000-0000-00004A020000}"/>
    <cellStyle name="20% - Accent4 3 3 3 2" xfId="21845" xr:uid="{43513DE5-DA5B-40EC-B808-C1408F589668}"/>
    <cellStyle name="20% - Accent4 3 3 3 3" xfId="13397" xr:uid="{5A88F7CE-3B6E-4435-BC78-A19FDD2812A8}"/>
    <cellStyle name="20% - Accent4 3 3 4" xfId="17627" xr:uid="{7F7E84F8-EE1D-414F-9F7E-FEF76A9E60C8}"/>
    <cellStyle name="20% - Accent4 3 3 5" xfId="9179" xr:uid="{B7F527AA-661A-4C8C-84F0-BA098F4881EF}"/>
    <cellStyle name="20% - Accent4 3 4" xfId="1052" xr:uid="{00000000-0005-0000-0000-00004B020000}"/>
    <cellStyle name="20% - Accent4 3 4 2" xfId="3283" xr:uid="{00000000-0005-0000-0000-00004C020000}"/>
    <cellStyle name="20% - Accent4 3 4 2 2" xfId="7505" xr:uid="{00000000-0005-0000-0000-00004D020000}"/>
    <cellStyle name="20% - Accent4 3 4 2 2 2" xfId="24403" xr:uid="{9F435C0B-3112-439F-B5D8-A09BFD2B813A}"/>
    <cellStyle name="20% - Accent4 3 4 2 2 3" xfId="15955" xr:uid="{2049C7FE-26D3-4B97-B08B-68F40F2FDCF8}"/>
    <cellStyle name="20% - Accent4 3 4 2 3" xfId="20185" xr:uid="{40FAA413-7544-4071-97F4-271C7395FD61}"/>
    <cellStyle name="20% - Accent4 3 4 2 4" xfId="11737" xr:uid="{70D63A41-73CD-41A2-BE18-2D111954691F}"/>
    <cellStyle name="20% - Accent4 3 4 3" xfId="5360" xr:uid="{00000000-0005-0000-0000-00004E020000}"/>
    <cellStyle name="20% - Accent4 3 4 3 2" xfId="22258" xr:uid="{04AE81E7-117D-4D48-BE23-05FF2481152E}"/>
    <cellStyle name="20% - Accent4 3 4 3 3" xfId="13810" xr:uid="{CA131254-175F-4D38-ADA7-A45CB94128B5}"/>
    <cellStyle name="20% - Accent4 3 4 4" xfId="18040" xr:uid="{4AB01762-6B34-4A10-9067-FDCCDE195DDD}"/>
    <cellStyle name="20% - Accent4 3 4 5" xfId="9592" xr:uid="{B7ECFBD0-DC6F-45B2-A2B7-8B3741C49598}"/>
    <cellStyle name="20% - Accent4 3 5" xfId="1466" xr:uid="{00000000-0005-0000-0000-00004F020000}"/>
    <cellStyle name="20% - Accent4 3 5 2" xfId="3696" xr:uid="{00000000-0005-0000-0000-000050020000}"/>
    <cellStyle name="20% - Accent4 3 5 2 2" xfId="7918" xr:uid="{00000000-0005-0000-0000-000051020000}"/>
    <cellStyle name="20% - Accent4 3 5 2 2 2" xfId="24816" xr:uid="{DCD174E3-D307-45D1-9D1C-F666B3F475A1}"/>
    <cellStyle name="20% - Accent4 3 5 2 2 3" xfId="16368" xr:uid="{5E05B7E6-657B-465D-BCBF-10B30B15BD60}"/>
    <cellStyle name="20% - Accent4 3 5 2 3" xfId="20598" xr:uid="{6EC1E0FF-1079-40BF-9EA1-6AAAB9AB1AAC}"/>
    <cellStyle name="20% - Accent4 3 5 2 4" xfId="12150" xr:uid="{7C7F095C-2A26-4C82-B450-0769966D76FC}"/>
    <cellStyle name="20% - Accent4 3 5 3" xfId="5773" xr:uid="{00000000-0005-0000-0000-000052020000}"/>
    <cellStyle name="20% - Accent4 3 5 3 2" xfId="22671" xr:uid="{589D788A-EE5E-4B76-B9AA-2B4528D09FB6}"/>
    <cellStyle name="20% - Accent4 3 5 3 3" xfId="14223" xr:uid="{E1479439-9ADE-4E60-A3F3-1523E8689D29}"/>
    <cellStyle name="20% - Accent4 3 5 4" xfId="18453" xr:uid="{043B5333-569C-4904-818F-80B35DBAD3B7}"/>
    <cellStyle name="20% - Accent4 3 5 5" xfId="10005" xr:uid="{6A2B2D40-E28F-4502-ABEC-CC93C3902C67}"/>
    <cellStyle name="20% - Accent4 3 6" xfId="1880" xr:uid="{00000000-0005-0000-0000-000053020000}"/>
    <cellStyle name="20% - Accent4 3 6 2" xfId="4109" xr:uid="{00000000-0005-0000-0000-000054020000}"/>
    <cellStyle name="20% - Accent4 3 6 2 2" xfId="8331" xr:uid="{00000000-0005-0000-0000-000055020000}"/>
    <cellStyle name="20% - Accent4 3 6 2 2 2" xfId="25229" xr:uid="{AC277F8A-3DAB-47C2-B4A3-EACC350270C0}"/>
    <cellStyle name="20% - Accent4 3 6 2 2 3" xfId="16781" xr:uid="{8C8D922A-A991-4EE9-B353-F40B6B1013BF}"/>
    <cellStyle name="20% - Accent4 3 6 2 3" xfId="21011" xr:uid="{C0D59CD6-84B9-420C-A35B-7961EE791EC1}"/>
    <cellStyle name="20% - Accent4 3 6 2 4" xfId="12563" xr:uid="{5188EC54-6027-40EA-8B48-198B4E92A9BE}"/>
    <cellStyle name="20% - Accent4 3 6 3" xfId="6186" xr:uid="{00000000-0005-0000-0000-000056020000}"/>
    <cellStyle name="20% - Accent4 3 6 3 2" xfId="23084" xr:uid="{F2D4A70E-1ACC-4760-953D-99122BBBAA9E}"/>
    <cellStyle name="20% - Accent4 3 6 3 3" xfId="14636" xr:uid="{34EACBDE-CF4F-4991-9091-AA5EA7B2C51A}"/>
    <cellStyle name="20% - Accent4 3 6 4" xfId="18866" xr:uid="{FD0064F1-A9D1-4689-B13D-6BEFEC487F3D}"/>
    <cellStyle name="20% - Accent4 3 6 5" xfId="10418" xr:uid="{2EA202A6-B2A4-49FC-ABB7-C68E1613BB75}"/>
    <cellStyle name="20% - Accent4 3 7" xfId="2293" xr:uid="{00000000-0005-0000-0000-000057020000}"/>
    <cellStyle name="20% - Accent4 3 7 2" xfId="6599" xr:uid="{00000000-0005-0000-0000-000058020000}"/>
    <cellStyle name="20% - Accent4 3 7 2 2" xfId="23497" xr:uid="{7D386E99-64B9-4CB8-BC8F-7210B626797F}"/>
    <cellStyle name="20% - Accent4 3 7 2 3" xfId="15049" xr:uid="{3C339ACC-FA74-4693-80FA-3341844B7FEA}"/>
    <cellStyle name="20% - Accent4 3 7 3" xfId="19279" xr:uid="{01ECA4FF-7CBD-4A2B-B0CC-88E9CF7A8682}"/>
    <cellStyle name="20% - Accent4 3 7 4" xfId="10831" xr:uid="{56D6B25A-4D51-409E-B495-17D5CDD566EA}"/>
    <cellStyle name="20% - Accent4 3 8" xfId="4533" xr:uid="{00000000-0005-0000-0000-000059020000}"/>
    <cellStyle name="20% - Accent4 3 8 2" xfId="21431" xr:uid="{BA201B9C-9AAD-4BEB-A003-F5B223A0D867}"/>
    <cellStyle name="20% - Accent4 3 8 3" xfId="12983" xr:uid="{654DABEE-F4CF-4221-AF40-94F6E65C4899}"/>
    <cellStyle name="20% - Accent4 3 9" xfId="17213" xr:uid="{5ADF55A8-30FD-47AC-A37D-7B19B3A9AAA4}"/>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2 2 2" xfId="23992" xr:uid="{9F5CC506-E1A9-404B-92B9-413B761CE4E2}"/>
    <cellStyle name="20% - Accent4 4 2 2 2 3" xfId="15544" xr:uid="{5DECC23F-566D-4528-9663-8FA3720D86FA}"/>
    <cellStyle name="20% - Accent4 4 2 2 3" xfId="19774" xr:uid="{FF2B32D3-22DE-436D-846A-EB9C826AD22C}"/>
    <cellStyle name="20% - Accent4 4 2 2 4" xfId="11326" xr:uid="{256A045B-ED90-4D74-B057-26B8581CE6B9}"/>
    <cellStyle name="20% - Accent4 4 2 3" xfId="4949" xr:uid="{00000000-0005-0000-0000-00005E020000}"/>
    <cellStyle name="20% - Accent4 4 2 3 2" xfId="21847" xr:uid="{E8CA3776-EA3B-4F98-9700-F5D634DE8819}"/>
    <cellStyle name="20% - Accent4 4 2 3 3" xfId="13399" xr:uid="{707E9C63-FA17-4282-8457-1A7E05B6F175}"/>
    <cellStyle name="20% - Accent4 4 2 4" xfId="17629" xr:uid="{E6F0D10C-88BD-4169-95C7-3EDAE50B798C}"/>
    <cellStyle name="20% - Accent4 4 2 5" xfId="9181" xr:uid="{65705F89-1012-4CC8-8F50-C728B61C9DFB}"/>
    <cellStyle name="20% - Accent4 4 3" xfId="1054" xr:uid="{00000000-0005-0000-0000-00005F020000}"/>
    <cellStyle name="20% - Accent4 4 3 2" xfId="3285" xr:uid="{00000000-0005-0000-0000-000060020000}"/>
    <cellStyle name="20% - Accent4 4 3 2 2" xfId="7507" xr:uid="{00000000-0005-0000-0000-000061020000}"/>
    <cellStyle name="20% - Accent4 4 3 2 2 2" xfId="24405" xr:uid="{5074F74C-1803-4335-8FC5-96D06B98B52D}"/>
    <cellStyle name="20% - Accent4 4 3 2 2 3" xfId="15957" xr:uid="{52D97051-10E5-43FE-973E-A24C4E8C417C}"/>
    <cellStyle name="20% - Accent4 4 3 2 3" xfId="20187" xr:uid="{602F4C94-6D2B-4D68-A022-6F7AB5C2B6F2}"/>
    <cellStyle name="20% - Accent4 4 3 2 4" xfId="11739" xr:uid="{92B95790-D89A-4C38-AC35-CF8A52ADE5E7}"/>
    <cellStyle name="20% - Accent4 4 3 3" xfId="5362" xr:uid="{00000000-0005-0000-0000-000062020000}"/>
    <cellStyle name="20% - Accent4 4 3 3 2" xfId="22260" xr:uid="{9E7F4C9A-EEC3-439B-BD13-51B170980474}"/>
    <cellStyle name="20% - Accent4 4 3 3 3" xfId="13812" xr:uid="{78C2123C-AC72-4367-AB00-24B3F9954705}"/>
    <cellStyle name="20% - Accent4 4 3 4" xfId="18042" xr:uid="{A9F3FCFB-9187-47A0-82C4-74C6EE050AC3}"/>
    <cellStyle name="20% - Accent4 4 3 5" xfId="9594" xr:uid="{E13205A2-87C9-4C00-A2DA-E6F68CD3D15C}"/>
    <cellStyle name="20% - Accent4 4 4" xfId="1468" xr:uid="{00000000-0005-0000-0000-000063020000}"/>
    <cellStyle name="20% - Accent4 4 4 2" xfId="3698" xr:uid="{00000000-0005-0000-0000-000064020000}"/>
    <cellStyle name="20% - Accent4 4 4 2 2" xfId="7920" xr:uid="{00000000-0005-0000-0000-000065020000}"/>
    <cellStyle name="20% - Accent4 4 4 2 2 2" xfId="24818" xr:uid="{50165AAF-E065-43A4-8E7F-11EE1113C89A}"/>
    <cellStyle name="20% - Accent4 4 4 2 2 3" xfId="16370" xr:uid="{9F1EA19A-0C37-47FF-8A00-044643D9D059}"/>
    <cellStyle name="20% - Accent4 4 4 2 3" xfId="20600" xr:uid="{B0EED91C-912A-4315-83C0-87C77B304626}"/>
    <cellStyle name="20% - Accent4 4 4 2 4" xfId="12152" xr:uid="{D4E77025-8A1B-411D-ADE6-60D6CB0E86DB}"/>
    <cellStyle name="20% - Accent4 4 4 3" xfId="5775" xr:uid="{00000000-0005-0000-0000-000066020000}"/>
    <cellStyle name="20% - Accent4 4 4 3 2" xfId="22673" xr:uid="{D378D377-923E-4FC4-BD5F-E8A237D41048}"/>
    <cellStyle name="20% - Accent4 4 4 3 3" xfId="14225" xr:uid="{EB7F8EE0-4B4C-4550-8F51-17F1374B645C}"/>
    <cellStyle name="20% - Accent4 4 4 4" xfId="18455" xr:uid="{D0CD2044-B9C5-4412-B8F0-E6F56BA43609}"/>
    <cellStyle name="20% - Accent4 4 4 5" xfId="10007" xr:uid="{5348B001-3710-44F4-97AC-D30FF2A73986}"/>
    <cellStyle name="20% - Accent4 4 5" xfId="1882" xr:uid="{00000000-0005-0000-0000-000067020000}"/>
    <cellStyle name="20% - Accent4 4 5 2" xfId="4111" xr:uid="{00000000-0005-0000-0000-000068020000}"/>
    <cellStyle name="20% - Accent4 4 5 2 2" xfId="8333" xr:uid="{00000000-0005-0000-0000-000069020000}"/>
    <cellStyle name="20% - Accent4 4 5 2 2 2" xfId="25231" xr:uid="{CA60193F-57B5-4694-8408-DA051FC60EB9}"/>
    <cellStyle name="20% - Accent4 4 5 2 2 3" xfId="16783" xr:uid="{5D4FE18C-3359-4461-8E18-8C17C1064189}"/>
    <cellStyle name="20% - Accent4 4 5 2 3" xfId="21013" xr:uid="{D1C77720-C263-461B-8DC6-8509CCB4E9DD}"/>
    <cellStyle name="20% - Accent4 4 5 2 4" xfId="12565" xr:uid="{4FD4EE31-9EDA-4A9F-A40D-3353D8E9E479}"/>
    <cellStyle name="20% - Accent4 4 5 3" xfId="6188" xr:uid="{00000000-0005-0000-0000-00006A020000}"/>
    <cellStyle name="20% - Accent4 4 5 3 2" xfId="23086" xr:uid="{E92F358A-CBAA-4970-983D-BE1C21299158}"/>
    <cellStyle name="20% - Accent4 4 5 3 3" xfId="14638" xr:uid="{A9C5B0A9-95B6-4F2A-876E-3AEFF9E23939}"/>
    <cellStyle name="20% - Accent4 4 5 4" xfId="18868" xr:uid="{F2BC8DBB-F14D-4A69-B506-73B123E9869A}"/>
    <cellStyle name="20% - Accent4 4 5 5" xfId="10420" xr:uid="{50966C14-C316-4C89-B0FC-DA4795B28235}"/>
    <cellStyle name="20% - Accent4 4 6" xfId="2295" xr:uid="{00000000-0005-0000-0000-00006B020000}"/>
    <cellStyle name="20% - Accent4 4 6 2" xfId="6601" xr:uid="{00000000-0005-0000-0000-00006C020000}"/>
    <cellStyle name="20% - Accent4 4 6 2 2" xfId="23499" xr:uid="{C0D2CCDB-32EC-4D66-8C45-7A63D97E5CF5}"/>
    <cellStyle name="20% - Accent4 4 6 2 3" xfId="15051" xr:uid="{FE419FCF-30B4-4516-AF75-9443C37DFF64}"/>
    <cellStyle name="20% - Accent4 4 6 3" xfId="19281" xr:uid="{ABD69731-8044-4325-B359-11722A31767A}"/>
    <cellStyle name="20% - Accent4 4 6 4" xfId="10833" xr:uid="{5134F750-FB2D-4298-BE18-855D41C5B0DC}"/>
    <cellStyle name="20% - Accent4 4 7" xfId="4535" xr:uid="{00000000-0005-0000-0000-00006D020000}"/>
    <cellStyle name="20% - Accent4 4 7 2" xfId="21433" xr:uid="{374911D6-7FD1-4F8D-AA80-812A01AD5440}"/>
    <cellStyle name="20% - Accent4 4 7 3" xfId="12985" xr:uid="{972D7681-E292-44BB-8BEB-BCFF9838E9C0}"/>
    <cellStyle name="20% - Accent4 4 8" xfId="17215" xr:uid="{3C76D3F5-94BE-4E95-8055-3B6A2F37E840}"/>
    <cellStyle name="20% - Accent4 4 9" xfId="8767" xr:uid="{58D9424D-60EE-4408-B71B-DA1D5E18A221}"/>
    <cellStyle name="20% - Accent4 5" xfId="594" xr:uid="{00000000-0005-0000-0000-00006E020000}"/>
    <cellStyle name="20% - Accent4 5 2" xfId="2865" xr:uid="{00000000-0005-0000-0000-00006F020000}"/>
    <cellStyle name="20% - Accent4 5 2 2" xfId="7087" xr:uid="{00000000-0005-0000-0000-000070020000}"/>
    <cellStyle name="20% - Accent4 5 2 2 2" xfId="23985" xr:uid="{D6C44D7E-A92D-4779-AD1C-078ED5E78A30}"/>
    <cellStyle name="20% - Accent4 5 2 2 3" xfId="15537" xr:uid="{769EF916-E341-4CCB-91F7-4A0C2B44C78D}"/>
    <cellStyle name="20% - Accent4 5 2 3" xfId="19767" xr:uid="{51E43D99-A6B6-4A62-8AB1-ACDE512CB810}"/>
    <cellStyle name="20% - Accent4 5 2 4" xfId="11319" xr:uid="{121751EB-79DC-4C4B-850E-F0DE06ADCE6E}"/>
    <cellStyle name="20% - Accent4 5 3" xfId="4942" xr:uid="{00000000-0005-0000-0000-000071020000}"/>
    <cellStyle name="20% - Accent4 5 3 2" xfId="21840" xr:uid="{EAC6B113-21BB-42E4-AF1E-AD12F2FF231D}"/>
    <cellStyle name="20% - Accent4 5 3 3" xfId="13392" xr:uid="{9BEE7C2B-DBBD-4ED7-AA0D-2908D351B6E0}"/>
    <cellStyle name="20% - Accent4 5 4" xfId="17622" xr:uid="{680EE75C-D666-475E-8EEC-FBD15D6BCD1F}"/>
    <cellStyle name="20% - Accent4 5 5" xfId="9174" xr:uid="{8711DE2E-B53C-4199-9B82-2D679E02CC61}"/>
    <cellStyle name="20% - Accent4 6" xfId="1047" xr:uid="{00000000-0005-0000-0000-000072020000}"/>
    <cellStyle name="20% - Accent4 6 2" xfId="3278" xr:uid="{00000000-0005-0000-0000-000073020000}"/>
    <cellStyle name="20% - Accent4 6 2 2" xfId="7500" xr:uid="{00000000-0005-0000-0000-000074020000}"/>
    <cellStyle name="20% - Accent4 6 2 2 2" xfId="24398" xr:uid="{2B942F48-D484-4DB0-B692-3F15CA41DE0B}"/>
    <cellStyle name="20% - Accent4 6 2 2 3" xfId="15950" xr:uid="{23786E70-E37F-4689-BE9C-AD98CBBD95EA}"/>
    <cellStyle name="20% - Accent4 6 2 3" xfId="20180" xr:uid="{FB39BB45-FDC9-423B-AB44-EDED461C31B7}"/>
    <cellStyle name="20% - Accent4 6 2 4" xfId="11732" xr:uid="{028693EE-4813-4816-A72B-D45B1A683E1A}"/>
    <cellStyle name="20% - Accent4 6 3" xfId="5355" xr:uid="{00000000-0005-0000-0000-000075020000}"/>
    <cellStyle name="20% - Accent4 6 3 2" xfId="22253" xr:uid="{CD89B60D-5E5E-4306-B4BE-BFD3C36113F0}"/>
    <cellStyle name="20% - Accent4 6 3 3" xfId="13805" xr:uid="{549CB442-F8BD-4330-BC9B-B3B9F1EBD6A1}"/>
    <cellStyle name="20% - Accent4 6 4" xfId="18035" xr:uid="{23B34A6D-D4DE-47BD-9146-B484E3EB47F6}"/>
    <cellStyle name="20% - Accent4 6 5" xfId="9587" xr:uid="{065CB862-3E00-451E-BB98-9DF83B7BB086}"/>
    <cellStyle name="20% - Accent4 7" xfId="1461" xr:uid="{00000000-0005-0000-0000-000076020000}"/>
    <cellStyle name="20% - Accent4 7 2" xfId="3691" xr:uid="{00000000-0005-0000-0000-000077020000}"/>
    <cellStyle name="20% - Accent4 7 2 2" xfId="7913" xr:uid="{00000000-0005-0000-0000-000078020000}"/>
    <cellStyle name="20% - Accent4 7 2 2 2" xfId="24811" xr:uid="{813E73E3-AB31-460D-9AC2-89ED4106362C}"/>
    <cellStyle name="20% - Accent4 7 2 2 3" xfId="16363" xr:uid="{6AF7E18C-6468-4C70-8A7B-7CBA3154A120}"/>
    <cellStyle name="20% - Accent4 7 2 3" xfId="20593" xr:uid="{DF01A7AE-C140-42BD-AE15-4401AB2CFF3A}"/>
    <cellStyle name="20% - Accent4 7 2 4" xfId="12145" xr:uid="{DA4847FB-6D8F-41AA-98BA-CB84B3239AF5}"/>
    <cellStyle name="20% - Accent4 7 3" xfId="5768" xr:uid="{00000000-0005-0000-0000-000079020000}"/>
    <cellStyle name="20% - Accent4 7 3 2" xfId="22666" xr:uid="{FCBA5129-6B55-45F8-BA55-294594250651}"/>
    <cellStyle name="20% - Accent4 7 3 3" xfId="14218" xr:uid="{1AB5DAD7-9AF6-4814-9633-791C6E05D7D7}"/>
    <cellStyle name="20% - Accent4 7 4" xfId="18448" xr:uid="{AD198625-EB23-4501-8DAC-A85029C7C5C7}"/>
    <cellStyle name="20% - Accent4 7 5" xfId="10000" xr:uid="{D4E10C92-AF0B-411A-AE13-6341BD4FCF57}"/>
    <cellStyle name="20% - Accent4 8" xfId="1875" xr:uid="{00000000-0005-0000-0000-00007A020000}"/>
    <cellStyle name="20% - Accent4 8 2" xfId="4104" xr:uid="{00000000-0005-0000-0000-00007B020000}"/>
    <cellStyle name="20% - Accent4 8 2 2" xfId="8326" xr:uid="{00000000-0005-0000-0000-00007C020000}"/>
    <cellStyle name="20% - Accent4 8 2 2 2" xfId="25224" xr:uid="{232C64F0-B615-4974-905E-62DBC3E2D41F}"/>
    <cellStyle name="20% - Accent4 8 2 2 3" xfId="16776" xr:uid="{8A87DE76-99E1-4D4D-AA96-2825C8FFAA02}"/>
    <cellStyle name="20% - Accent4 8 2 3" xfId="21006" xr:uid="{E92C474E-B933-4F87-85E7-B8EAE2197053}"/>
    <cellStyle name="20% - Accent4 8 2 4" xfId="12558" xr:uid="{49408ADC-8C4B-4E3B-B4CB-3A5D36230A9C}"/>
    <cellStyle name="20% - Accent4 8 3" xfId="6181" xr:uid="{00000000-0005-0000-0000-00007D020000}"/>
    <cellStyle name="20% - Accent4 8 3 2" xfId="23079" xr:uid="{76FCC12D-A886-47FA-90DA-C5170F48C5BA}"/>
    <cellStyle name="20% - Accent4 8 3 3" xfId="14631" xr:uid="{A9E9DE23-F42B-491A-9445-2950FE120761}"/>
    <cellStyle name="20% - Accent4 8 4" xfId="18861" xr:uid="{8D61E749-2D98-42EB-9A2A-50DA16623691}"/>
    <cellStyle name="20% - Accent4 8 5" xfId="10413" xr:uid="{0B5744E7-3EA7-4C4D-8582-6939D290D170}"/>
    <cellStyle name="20% - Accent4 9" xfId="2288" xr:uid="{00000000-0005-0000-0000-00007E020000}"/>
    <cellStyle name="20% - Accent4 9 2" xfId="6594" xr:uid="{00000000-0005-0000-0000-00007F020000}"/>
    <cellStyle name="20% - Accent4 9 2 2" xfId="23492" xr:uid="{C2488741-3970-4AB8-8814-C11AB92539CE}"/>
    <cellStyle name="20% - Accent4 9 2 3" xfId="15044" xr:uid="{ADEA60B2-6D92-4829-B117-36A22F9BC30B}"/>
    <cellStyle name="20% - Accent4 9 3" xfId="19274" xr:uid="{437E5C04-9358-4D10-858D-BE6159D4F28F}"/>
    <cellStyle name="20% - Accent4 9 4" xfId="10826" xr:uid="{5A465523-670F-4A3F-A3A4-B48E4EAE58FA}"/>
    <cellStyle name="20% - Accent5" xfId="33" builtinId="46" customBuiltin="1"/>
    <cellStyle name="20% - Accent5 10" xfId="4536" xr:uid="{00000000-0005-0000-0000-000081020000}"/>
    <cellStyle name="20% - Accent5 10 2" xfId="21434" xr:uid="{DBC6B1C8-9E37-4055-AE21-745CB2168846}"/>
    <cellStyle name="20% - Accent5 10 3" xfId="12986" xr:uid="{1789D982-C629-4FC4-B47E-C08C7BA28E49}"/>
    <cellStyle name="20% - Accent5 11" xfId="17216" xr:uid="{C9139AB8-822C-4F08-B3C4-098E0B5C8781}"/>
    <cellStyle name="20% - Accent5 12" xfId="8768" xr:uid="{04B480FA-A123-4B15-AC3C-B7CC1097678E}"/>
    <cellStyle name="20% - Accent5 2" xfId="34" xr:uid="{00000000-0005-0000-0000-000082020000}"/>
    <cellStyle name="20% - Accent5 2 10" xfId="17217" xr:uid="{5354C68F-C5B3-4600-B9E3-5B4985C38F64}"/>
    <cellStyle name="20% - Accent5 2 11" xfId="8769" xr:uid="{BA9F830B-035A-4482-BDA5-1AAEC781DF82}"/>
    <cellStyle name="20% - Accent5 2 2" xfId="35" xr:uid="{00000000-0005-0000-0000-000083020000}"/>
    <cellStyle name="20% - Accent5 2 2 10" xfId="8770" xr:uid="{0FD417AC-FCB8-4988-A648-FDBDBA27B42A}"/>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23996" xr:uid="{C7B3E084-462D-44C6-A4EF-9266D7215590}"/>
    <cellStyle name="20% - Accent5 2 2 2 2 2 2 3" xfId="15548" xr:uid="{90BEBF02-AAFC-4665-95E0-BE3E711D636C}"/>
    <cellStyle name="20% - Accent5 2 2 2 2 2 3" xfId="19778" xr:uid="{2A621642-6B8F-44CE-BB29-A75235C25105}"/>
    <cellStyle name="20% - Accent5 2 2 2 2 2 4" xfId="11330" xr:uid="{DCF93E1C-A287-456A-913F-EF96D19C4195}"/>
    <cellStyle name="20% - Accent5 2 2 2 2 3" xfId="4953" xr:uid="{00000000-0005-0000-0000-000088020000}"/>
    <cellStyle name="20% - Accent5 2 2 2 2 3 2" xfId="21851" xr:uid="{01D95892-CD13-4F70-AF98-3A8687652112}"/>
    <cellStyle name="20% - Accent5 2 2 2 2 3 3" xfId="13403" xr:uid="{01A5BA2D-F686-4F95-951A-CACDC5BB8817}"/>
    <cellStyle name="20% - Accent5 2 2 2 2 4" xfId="17633" xr:uid="{9345BA77-A72E-4B66-8B19-AA4EE3DFE5C1}"/>
    <cellStyle name="20% - Accent5 2 2 2 2 5" xfId="9185" xr:uid="{0E13A067-21C3-440D-9227-E437D46582C9}"/>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24409" xr:uid="{C40526B2-E39C-4A36-88B7-41AC6E37DD56}"/>
    <cellStyle name="20% - Accent5 2 2 2 3 2 2 3" xfId="15961" xr:uid="{EEE3836C-AA5E-451B-896A-94155BA2C1FE}"/>
    <cellStyle name="20% - Accent5 2 2 2 3 2 3" xfId="20191" xr:uid="{6D8753BE-ECCC-4E83-A904-6E5887B86970}"/>
    <cellStyle name="20% - Accent5 2 2 2 3 2 4" xfId="11743" xr:uid="{B3F85A8A-7FA2-4BF8-A6AB-2B3367A7F23F}"/>
    <cellStyle name="20% - Accent5 2 2 2 3 3" xfId="5366" xr:uid="{00000000-0005-0000-0000-00008C020000}"/>
    <cellStyle name="20% - Accent5 2 2 2 3 3 2" xfId="22264" xr:uid="{C3125F63-C746-444D-A7B1-3F3D51EE57C9}"/>
    <cellStyle name="20% - Accent5 2 2 2 3 3 3" xfId="13816" xr:uid="{CFEDE081-2C8B-4A4F-8083-C4774351DF89}"/>
    <cellStyle name="20% - Accent5 2 2 2 3 4" xfId="18046" xr:uid="{C69F2782-0C20-4AD7-94F4-2BDC04EC64A2}"/>
    <cellStyle name="20% - Accent5 2 2 2 3 5" xfId="9598" xr:uid="{DB6F1C1C-80AD-4F89-AFD6-32A613164442}"/>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24822" xr:uid="{B32F7219-B9B1-48F9-A0FE-FE2FEC60847B}"/>
    <cellStyle name="20% - Accent5 2 2 2 4 2 2 3" xfId="16374" xr:uid="{3AC9C8BA-E6B0-4EE0-8AF8-03EF51C6620B}"/>
    <cellStyle name="20% - Accent5 2 2 2 4 2 3" xfId="20604" xr:uid="{D93DDA81-3FCA-4295-ADE7-4B5A741BBEA1}"/>
    <cellStyle name="20% - Accent5 2 2 2 4 2 4" xfId="12156" xr:uid="{216B86DB-CF5B-46AF-B03B-DAB87220065C}"/>
    <cellStyle name="20% - Accent5 2 2 2 4 3" xfId="5779" xr:uid="{00000000-0005-0000-0000-000090020000}"/>
    <cellStyle name="20% - Accent5 2 2 2 4 3 2" xfId="22677" xr:uid="{FEB82A0F-EDDD-4C3A-956F-A908B9F8FAB1}"/>
    <cellStyle name="20% - Accent5 2 2 2 4 3 3" xfId="14229" xr:uid="{CFCB79D3-ADAB-4DAA-B8BE-37BB1420EF92}"/>
    <cellStyle name="20% - Accent5 2 2 2 4 4" xfId="18459" xr:uid="{20187C29-37CF-4ECB-939B-22185F120DF8}"/>
    <cellStyle name="20% - Accent5 2 2 2 4 5" xfId="10011" xr:uid="{CE8BFDEF-A4A4-4229-9B1F-02D4B1E18E13}"/>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25235" xr:uid="{DD601B41-BB12-451D-9452-AE0AC0427EFA}"/>
    <cellStyle name="20% - Accent5 2 2 2 5 2 2 3" xfId="16787" xr:uid="{3CF4F2A0-5D3C-40A0-A130-F760DE0EBDC5}"/>
    <cellStyle name="20% - Accent5 2 2 2 5 2 3" xfId="21017" xr:uid="{5FAD50ED-68F4-46D4-AE8A-B7F7BC018B57}"/>
    <cellStyle name="20% - Accent5 2 2 2 5 2 4" xfId="12569" xr:uid="{5E0BB5CB-56EF-4AC2-8663-EEC3B04B3307}"/>
    <cellStyle name="20% - Accent5 2 2 2 5 3" xfId="6192" xr:uid="{00000000-0005-0000-0000-000094020000}"/>
    <cellStyle name="20% - Accent5 2 2 2 5 3 2" xfId="23090" xr:uid="{6FD364A1-66AF-4A19-9F2F-9649DC3D3568}"/>
    <cellStyle name="20% - Accent5 2 2 2 5 3 3" xfId="14642" xr:uid="{D995BEB3-0214-44EB-BC5E-502B1212632E}"/>
    <cellStyle name="20% - Accent5 2 2 2 5 4" xfId="18872" xr:uid="{6B124978-17D3-4FEE-A60F-17CCC40600A9}"/>
    <cellStyle name="20% - Accent5 2 2 2 5 5" xfId="10424" xr:uid="{B332E7B7-300F-452C-9ACD-263C97664DB4}"/>
    <cellStyle name="20% - Accent5 2 2 2 6" xfId="2299" xr:uid="{00000000-0005-0000-0000-000095020000}"/>
    <cellStyle name="20% - Accent5 2 2 2 6 2" xfId="6605" xr:uid="{00000000-0005-0000-0000-000096020000}"/>
    <cellStyle name="20% - Accent5 2 2 2 6 2 2" xfId="23503" xr:uid="{7BA60DB8-DD8B-4862-B18B-AE8167423111}"/>
    <cellStyle name="20% - Accent5 2 2 2 6 2 3" xfId="15055" xr:uid="{48004060-FA4A-4148-88EA-D3807D443F79}"/>
    <cellStyle name="20% - Accent5 2 2 2 6 3" xfId="19285" xr:uid="{E6EC033A-F796-4A03-B55A-2C5CAD4319DD}"/>
    <cellStyle name="20% - Accent5 2 2 2 6 4" xfId="10837" xr:uid="{C5C59BCB-7534-42C6-BDB5-2341C976E192}"/>
    <cellStyle name="20% - Accent5 2 2 2 7" xfId="4539" xr:uid="{00000000-0005-0000-0000-000097020000}"/>
    <cellStyle name="20% - Accent5 2 2 2 7 2" xfId="21437" xr:uid="{6230A14D-FD76-4745-8F95-7B25E1EBC612}"/>
    <cellStyle name="20% - Accent5 2 2 2 7 3" xfId="12989" xr:uid="{721D9C4F-8FEA-458E-9A5F-C7D1C92BD500}"/>
    <cellStyle name="20% - Accent5 2 2 2 8" xfId="17219" xr:uid="{16AFCF99-EDB2-4441-889B-7271A358D17A}"/>
    <cellStyle name="20% - Accent5 2 2 2 9" xfId="8771" xr:uid="{63BD33BE-A87A-4A72-844C-5CA274DE5D45}"/>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23995" xr:uid="{5F1B46DA-DE8A-477F-9355-92F514793C02}"/>
    <cellStyle name="20% - Accent5 2 2 3 2 2 3" xfId="15547" xr:uid="{0D2D8E4F-C96B-4578-A7DA-08CE70E132DB}"/>
    <cellStyle name="20% - Accent5 2 2 3 2 3" xfId="19777" xr:uid="{00C8803B-EB9E-42DB-8FAC-6828F43FBEA5}"/>
    <cellStyle name="20% - Accent5 2 2 3 2 4" xfId="11329" xr:uid="{D0C22C7E-21C4-44BD-85E7-5BD082226C45}"/>
    <cellStyle name="20% - Accent5 2 2 3 3" xfId="4952" xr:uid="{00000000-0005-0000-0000-00009B020000}"/>
    <cellStyle name="20% - Accent5 2 2 3 3 2" xfId="21850" xr:uid="{A9980002-7872-4313-A236-89FF76206A44}"/>
    <cellStyle name="20% - Accent5 2 2 3 3 3" xfId="13402" xr:uid="{4DF09620-8CAD-4DB5-9D98-28C0894A64C6}"/>
    <cellStyle name="20% - Accent5 2 2 3 4" xfId="17632" xr:uid="{635AED27-35A0-4754-B325-16A73255E600}"/>
    <cellStyle name="20% - Accent5 2 2 3 5" xfId="9184" xr:uid="{36CFC07F-3D7C-48BE-ACDF-B8CB0647DFE7}"/>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24408" xr:uid="{1D0F527F-A2F9-4D7D-8FA0-A3922D53135F}"/>
    <cellStyle name="20% - Accent5 2 2 4 2 2 3" xfId="15960" xr:uid="{A45D13B2-FD3F-430B-87E4-1AA7241F5F4D}"/>
    <cellStyle name="20% - Accent5 2 2 4 2 3" xfId="20190" xr:uid="{A1F1FE44-03BC-4E25-B633-F0B15B373C58}"/>
    <cellStyle name="20% - Accent5 2 2 4 2 4" xfId="11742" xr:uid="{F068F91C-13C3-4A95-A3C8-EA1CD63B610D}"/>
    <cellStyle name="20% - Accent5 2 2 4 3" xfId="5365" xr:uid="{00000000-0005-0000-0000-00009F020000}"/>
    <cellStyle name="20% - Accent5 2 2 4 3 2" xfId="22263" xr:uid="{C27286C4-A8B5-4333-96FD-7E28DF3303D1}"/>
    <cellStyle name="20% - Accent5 2 2 4 3 3" xfId="13815" xr:uid="{40D7C5A9-E4F8-43D4-B963-E44FC5D883A7}"/>
    <cellStyle name="20% - Accent5 2 2 4 4" xfId="18045" xr:uid="{0DDD148E-511E-4675-9F68-C67C6017D253}"/>
    <cellStyle name="20% - Accent5 2 2 4 5" xfId="9597" xr:uid="{66B306BC-9CCA-482E-A36E-8A96A807B8E8}"/>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24821" xr:uid="{86997F4B-CD4B-4203-99AD-618FDFBE56F9}"/>
    <cellStyle name="20% - Accent5 2 2 5 2 2 3" xfId="16373" xr:uid="{64ABF35F-F592-47AE-A38F-EA1DD074D439}"/>
    <cellStyle name="20% - Accent5 2 2 5 2 3" xfId="20603" xr:uid="{42B7AA3B-DB63-4B90-A69B-F762D06FFF74}"/>
    <cellStyle name="20% - Accent5 2 2 5 2 4" xfId="12155" xr:uid="{22CBEC27-B65F-4EB5-B1AE-32E276B7431A}"/>
    <cellStyle name="20% - Accent5 2 2 5 3" xfId="5778" xr:uid="{00000000-0005-0000-0000-0000A3020000}"/>
    <cellStyle name="20% - Accent5 2 2 5 3 2" xfId="22676" xr:uid="{7CE84F38-C3CF-449C-9AA8-192CD577EFF6}"/>
    <cellStyle name="20% - Accent5 2 2 5 3 3" xfId="14228" xr:uid="{7C8B222D-3F03-49D7-B736-748E1750F40D}"/>
    <cellStyle name="20% - Accent5 2 2 5 4" xfId="18458" xr:uid="{BEC566B5-A55F-4654-B240-72125C85CC4A}"/>
    <cellStyle name="20% - Accent5 2 2 5 5" xfId="10010" xr:uid="{4AA65EAB-0710-4CC1-8016-9488C99EED76}"/>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25234" xr:uid="{7F222A4F-8A2E-4AA2-BDB5-C705DA505767}"/>
    <cellStyle name="20% - Accent5 2 2 6 2 2 3" xfId="16786" xr:uid="{E1502A17-EB01-4E7E-8DF8-DB32CF3B2746}"/>
    <cellStyle name="20% - Accent5 2 2 6 2 3" xfId="21016" xr:uid="{1C9B7AB5-A22A-4486-A1DB-A97F75DA475B}"/>
    <cellStyle name="20% - Accent5 2 2 6 2 4" xfId="12568" xr:uid="{7F2DA5FF-FE0D-44F8-A8AC-4363DA6331A6}"/>
    <cellStyle name="20% - Accent5 2 2 6 3" xfId="6191" xr:uid="{00000000-0005-0000-0000-0000A7020000}"/>
    <cellStyle name="20% - Accent5 2 2 6 3 2" xfId="23089" xr:uid="{B0F96FE6-9F9F-4942-8133-27013136FBFD}"/>
    <cellStyle name="20% - Accent5 2 2 6 3 3" xfId="14641" xr:uid="{40F824D8-C63F-44F2-A7B1-387A781CEDEC}"/>
    <cellStyle name="20% - Accent5 2 2 6 4" xfId="18871" xr:uid="{D9136231-1535-44F4-93C1-A63C877C900D}"/>
    <cellStyle name="20% - Accent5 2 2 6 5" xfId="10423" xr:uid="{34A3B503-9E3C-4B48-A687-3B01A6C671C6}"/>
    <cellStyle name="20% - Accent5 2 2 7" xfId="2298" xr:uid="{00000000-0005-0000-0000-0000A8020000}"/>
    <cellStyle name="20% - Accent5 2 2 7 2" xfId="6604" xr:uid="{00000000-0005-0000-0000-0000A9020000}"/>
    <cellStyle name="20% - Accent5 2 2 7 2 2" xfId="23502" xr:uid="{2F153982-A936-428F-91B8-9731C149AD49}"/>
    <cellStyle name="20% - Accent5 2 2 7 2 3" xfId="15054" xr:uid="{6CB1E98A-14B8-4D51-AF22-17C51E07992E}"/>
    <cellStyle name="20% - Accent5 2 2 7 3" xfId="19284" xr:uid="{EEEB9763-409C-46D8-B145-26D074B007AC}"/>
    <cellStyle name="20% - Accent5 2 2 7 4" xfId="10836" xr:uid="{3F2060A1-114C-40F8-8C1B-62077AA0CE02}"/>
    <cellStyle name="20% - Accent5 2 2 8" xfId="4538" xr:uid="{00000000-0005-0000-0000-0000AA020000}"/>
    <cellStyle name="20% - Accent5 2 2 8 2" xfId="21436" xr:uid="{D63B8154-BB26-40DC-B5A8-C1CAD7AB3C64}"/>
    <cellStyle name="20% - Accent5 2 2 8 3" xfId="12988" xr:uid="{2A497985-8157-4107-9770-B63C150AF45C}"/>
    <cellStyle name="20% - Accent5 2 2 9" xfId="17218" xr:uid="{655FF00C-09E9-44DB-85C3-B8B57D8552EC}"/>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23997" xr:uid="{FFAEE4B1-9F71-4316-99B0-C5D9F4197E5E}"/>
    <cellStyle name="20% - Accent5 2 3 2 2 2 3" xfId="15549" xr:uid="{802618F5-364F-4611-BB99-4C8DF59BFA6D}"/>
    <cellStyle name="20% - Accent5 2 3 2 2 3" xfId="19779" xr:uid="{15ABA8EF-2406-44C8-853C-81D71A7C411E}"/>
    <cellStyle name="20% - Accent5 2 3 2 2 4" xfId="11331" xr:uid="{993AA196-DD91-4B4C-BBB7-5DBBD77B7CD8}"/>
    <cellStyle name="20% - Accent5 2 3 2 3" xfId="4954" xr:uid="{00000000-0005-0000-0000-0000AF020000}"/>
    <cellStyle name="20% - Accent5 2 3 2 3 2" xfId="21852" xr:uid="{375ADD2B-8FEB-42C7-84D9-4FB13B9D62EE}"/>
    <cellStyle name="20% - Accent5 2 3 2 3 3" xfId="13404" xr:uid="{9C8D0925-0121-4749-8B4B-0DC690D6E942}"/>
    <cellStyle name="20% - Accent5 2 3 2 4" xfId="17634" xr:uid="{130463D9-79B9-41BA-9087-A64740E4D2BD}"/>
    <cellStyle name="20% - Accent5 2 3 2 5" xfId="9186" xr:uid="{FD1CD99C-219E-4654-AE11-B497B9A63255}"/>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24410" xr:uid="{3A3AA2C7-22FB-4A33-B139-4EB04C2098A0}"/>
    <cellStyle name="20% - Accent5 2 3 3 2 2 3" xfId="15962" xr:uid="{A4098160-9C1E-4F26-B5B8-25E3C3CDAEFB}"/>
    <cellStyle name="20% - Accent5 2 3 3 2 3" xfId="20192" xr:uid="{A7C6A7EB-4B7A-4C00-AD97-BB8F0FFB0FCC}"/>
    <cellStyle name="20% - Accent5 2 3 3 2 4" xfId="11744" xr:uid="{F0900921-D6A5-4437-AE92-6C4BB144B8AC}"/>
    <cellStyle name="20% - Accent5 2 3 3 3" xfId="5367" xr:uid="{00000000-0005-0000-0000-0000B3020000}"/>
    <cellStyle name="20% - Accent5 2 3 3 3 2" xfId="22265" xr:uid="{0EA7C9A4-6CD0-469E-A57E-754892678177}"/>
    <cellStyle name="20% - Accent5 2 3 3 3 3" xfId="13817" xr:uid="{104D0E48-EC33-4F4E-809D-83A7F7E16692}"/>
    <cellStyle name="20% - Accent5 2 3 3 4" xfId="18047" xr:uid="{0BB1CF95-6303-4A51-BC62-E32D3F4DECD2}"/>
    <cellStyle name="20% - Accent5 2 3 3 5" xfId="9599" xr:uid="{CBCF2364-919A-49A3-9A49-ABA4E383B831}"/>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24823" xr:uid="{31CF9BFC-2498-4B2B-A40D-95513543D0FB}"/>
    <cellStyle name="20% - Accent5 2 3 4 2 2 3" xfId="16375" xr:uid="{37BB9D69-CE10-4006-BE6F-7DD8D2808CF3}"/>
    <cellStyle name="20% - Accent5 2 3 4 2 3" xfId="20605" xr:uid="{235FB1E5-6A0D-4F03-A9F8-C585A81AC525}"/>
    <cellStyle name="20% - Accent5 2 3 4 2 4" xfId="12157" xr:uid="{C94D9603-8738-4A77-A30C-8291CAFB1B47}"/>
    <cellStyle name="20% - Accent5 2 3 4 3" xfId="5780" xr:uid="{00000000-0005-0000-0000-0000B7020000}"/>
    <cellStyle name="20% - Accent5 2 3 4 3 2" xfId="22678" xr:uid="{813F9B88-6EC1-4A85-9143-D4F5778FD125}"/>
    <cellStyle name="20% - Accent5 2 3 4 3 3" xfId="14230" xr:uid="{5B79BBE5-FD4C-44DF-A1D8-9FA58673F305}"/>
    <cellStyle name="20% - Accent5 2 3 4 4" xfId="18460" xr:uid="{615120CD-3797-49A2-B1FD-F64D08A3FDA4}"/>
    <cellStyle name="20% - Accent5 2 3 4 5" xfId="10012" xr:uid="{7A5D8380-B986-4335-ACFD-9397C263D0F0}"/>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25236" xr:uid="{5007749A-5485-4C26-A34E-A85E6E3ECE9F}"/>
    <cellStyle name="20% - Accent5 2 3 5 2 2 3" xfId="16788" xr:uid="{615EEE0D-14D1-4C0A-8078-296B8A950E8D}"/>
    <cellStyle name="20% - Accent5 2 3 5 2 3" xfId="21018" xr:uid="{2F5D196F-CB18-44A9-80F2-29B58422E0AC}"/>
    <cellStyle name="20% - Accent5 2 3 5 2 4" xfId="12570" xr:uid="{73EC09E4-3EAB-4D32-8606-08587A821043}"/>
    <cellStyle name="20% - Accent5 2 3 5 3" xfId="6193" xr:uid="{00000000-0005-0000-0000-0000BB020000}"/>
    <cellStyle name="20% - Accent5 2 3 5 3 2" xfId="23091" xr:uid="{8E0842A1-CCC7-44E9-A044-590B7B78FF31}"/>
    <cellStyle name="20% - Accent5 2 3 5 3 3" xfId="14643" xr:uid="{24420CC8-7FD8-4379-907A-A76231151DE3}"/>
    <cellStyle name="20% - Accent5 2 3 5 4" xfId="18873" xr:uid="{3D5BB06F-DFC3-486D-9512-0076032C841C}"/>
    <cellStyle name="20% - Accent5 2 3 5 5" xfId="10425" xr:uid="{5F45AB15-05CD-40F5-BE86-8C2A36FABC37}"/>
    <cellStyle name="20% - Accent5 2 3 6" xfId="2300" xr:uid="{00000000-0005-0000-0000-0000BC020000}"/>
    <cellStyle name="20% - Accent5 2 3 6 2" xfId="6606" xr:uid="{00000000-0005-0000-0000-0000BD020000}"/>
    <cellStyle name="20% - Accent5 2 3 6 2 2" xfId="23504" xr:uid="{6565B923-8B56-4D62-9A2D-90ED02294ABF}"/>
    <cellStyle name="20% - Accent5 2 3 6 2 3" xfId="15056" xr:uid="{037194B0-2825-4440-B87E-3B7DF92694FC}"/>
    <cellStyle name="20% - Accent5 2 3 6 3" xfId="19286" xr:uid="{DBCDA68C-968B-4359-B010-6C853EF3A3C4}"/>
    <cellStyle name="20% - Accent5 2 3 6 4" xfId="10838" xr:uid="{6B8507D7-6A53-4FE7-9732-6F6ECFE4C514}"/>
    <cellStyle name="20% - Accent5 2 3 7" xfId="4540" xr:uid="{00000000-0005-0000-0000-0000BE020000}"/>
    <cellStyle name="20% - Accent5 2 3 7 2" xfId="21438" xr:uid="{48D62DA6-89C5-454D-A4EE-803397E01267}"/>
    <cellStyle name="20% - Accent5 2 3 7 3" xfId="12990" xr:uid="{AFEFE6B9-0B07-468C-964A-8DCEB7D0366C}"/>
    <cellStyle name="20% - Accent5 2 3 8" xfId="17220" xr:uid="{89AEC88E-0D30-4F70-AB51-38B1866BA983}"/>
    <cellStyle name="20% - Accent5 2 3 9" xfId="8772" xr:uid="{F77D59F7-13DC-4773-97CB-BA16064D2571}"/>
    <cellStyle name="20% - Accent5 2 4" xfId="603" xr:uid="{00000000-0005-0000-0000-0000BF020000}"/>
    <cellStyle name="20% - Accent5 2 4 2" xfId="2874" xr:uid="{00000000-0005-0000-0000-0000C0020000}"/>
    <cellStyle name="20% - Accent5 2 4 2 2" xfId="7096" xr:uid="{00000000-0005-0000-0000-0000C1020000}"/>
    <cellStyle name="20% - Accent5 2 4 2 2 2" xfId="23994" xr:uid="{7CA7632E-7A3C-43BD-9712-7C610D474CE2}"/>
    <cellStyle name="20% - Accent5 2 4 2 2 3" xfId="15546" xr:uid="{BFE02BF2-29AF-4E1F-A0DB-A7A232E024C1}"/>
    <cellStyle name="20% - Accent5 2 4 2 3" xfId="19776" xr:uid="{E91D332E-9201-4A8E-B343-D1676D7F542D}"/>
    <cellStyle name="20% - Accent5 2 4 2 4" xfId="11328" xr:uid="{7EA171B3-7654-40B3-8A23-2F5E25B9524F}"/>
    <cellStyle name="20% - Accent5 2 4 3" xfId="4951" xr:uid="{00000000-0005-0000-0000-0000C2020000}"/>
    <cellStyle name="20% - Accent5 2 4 3 2" xfId="21849" xr:uid="{DA02BC47-FC47-452B-95EE-FB34775C09BE}"/>
    <cellStyle name="20% - Accent5 2 4 3 3" xfId="13401" xr:uid="{D24E14B6-D877-4488-980E-B8C58C767F95}"/>
    <cellStyle name="20% - Accent5 2 4 4" xfId="17631" xr:uid="{D9473D1E-5651-4EBB-85B4-0C3B830734C6}"/>
    <cellStyle name="20% - Accent5 2 4 5" xfId="9183" xr:uid="{FEEE29D3-61D1-41C5-9141-A21ED9E5B529}"/>
    <cellStyle name="20% - Accent5 2 5" xfId="1056" xr:uid="{00000000-0005-0000-0000-0000C3020000}"/>
    <cellStyle name="20% - Accent5 2 5 2" xfId="3287" xr:uid="{00000000-0005-0000-0000-0000C4020000}"/>
    <cellStyle name="20% - Accent5 2 5 2 2" xfId="7509" xr:uid="{00000000-0005-0000-0000-0000C5020000}"/>
    <cellStyle name="20% - Accent5 2 5 2 2 2" xfId="24407" xr:uid="{E5F206EF-01EF-43F2-848C-DB8AA70CB302}"/>
    <cellStyle name="20% - Accent5 2 5 2 2 3" xfId="15959" xr:uid="{B85661F9-CA94-4670-88D8-3C48E9A57D17}"/>
    <cellStyle name="20% - Accent5 2 5 2 3" xfId="20189" xr:uid="{92049627-5C05-494D-AD9A-ECC97F0CA3CB}"/>
    <cellStyle name="20% - Accent5 2 5 2 4" xfId="11741" xr:uid="{E3B27755-781E-4BB6-888B-E6BB84759941}"/>
    <cellStyle name="20% - Accent5 2 5 3" xfId="5364" xr:uid="{00000000-0005-0000-0000-0000C6020000}"/>
    <cellStyle name="20% - Accent5 2 5 3 2" xfId="22262" xr:uid="{3C50010A-24D4-440B-868D-FD09F6292C24}"/>
    <cellStyle name="20% - Accent5 2 5 3 3" xfId="13814" xr:uid="{0487E824-1B1F-4DA4-9016-6F8EDA2CE811}"/>
    <cellStyle name="20% - Accent5 2 5 4" xfId="18044" xr:uid="{4A35B107-42B2-4423-8B5B-D0BD89DAE6B9}"/>
    <cellStyle name="20% - Accent5 2 5 5" xfId="9596" xr:uid="{C8BE4845-724F-44EA-9C29-171D05F480B7}"/>
    <cellStyle name="20% - Accent5 2 6" xfId="1470" xr:uid="{00000000-0005-0000-0000-0000C7020000}"/>
    <cellStyle name="20% - Accent5 2 6 2" xfId="3700" xr:uid="{00000000-0005-0000-0000-0000C8020000}"/>
    <cellStyle name="20% - Accent5 2 6 2 2" xfId="7922" xr:uid="{00000000-0005-0000-0000-0000C9020000}"/>
    <cellStyle name="20% - Accent5 2 6 2 2 2" xfId="24820" xr:uid="{2C86FA77-8BF7-4F37-BDBD-33179EB297A6}"/>
    <cellStyle name="20% - Accent5 2 6 2 2 3" xfId="16372" xr:uid="{3E481CA0-0010-44AC-A904-93ADC4A1227A}"/>
    <cellStyle name="20% - Accent5 2 6 2 3" xfId="20602" xr:uid="{FE23AAD2-8F95-4C88-83AC-0464EA7866AB}"/>
    <cellStyle name="20% - Accent5 2 6 2 4" xfId="12154" xr:uid="{18EB71E9-E107-4C89-B9C2-4A6AE217462B}"/>
    <cellStyle name="20% - Accent5 2 6 3" xfId="5777" xr:uid="{00000000-0005-0000-0000-0000CA020000}"/>
    <cellStyle name="20% - Accent5 2 6 3 2" xfId="22675" xr:uid="{4E4E55E7-F50A-4AE6-ABD0-68F0A1431FC1}"/>
    <cellStyle name="20% - Accent5 2 6 3 3" xfId="14227" xr:uid="{625DDBD5-5A49-455A-9E59-64867C443261}"/>
    <cellStyle name="20% - Accent5 2 6 4" xfId="18457" xr:uid="{757BAD02-22B6-4427-BE12-155C055282A7}"/>
    <cellStyle name="20% - Accent5 2 6 5" xfId="10009" xr:uid="{15D10139-2239-4043-9026-F0FF7BDDC7A4}"/>
    <cellStyle name="20% - Accent5 2 7" xfId="1884" xr:uid="{00000000-0005-0000-0000-0000CB020000}"/>
    <cellStyle name="20% - Accent5 2 7 2" xfId="4113" xr:uid="{00000000-0005-0000-0000-0000CC020000}"/>
    <cellStyle name="20% - Accent5 2 7 2 2" xfId="8335" xr:uid="{00000000-0005-0000-0000-0000CD020000}"/>
    <cellStyle name="20% - Accent5 2 7 2 2 2" xfId="25233" xr:uid="{2B1E30E7-D351-4E44-8B79-56C98CF67581}"/>
    <cellStyle name="20% - Accent5 2 7 2 2 3" xfId="16785" xr:uid="{C9D3616A-CDEC-4F23-B103-A2512F2084BA}"/>
    <cellStyle name="20% - Accent5 2 7 2 3" xfId="21015" xr:uid="{2C013EF0-FE2F-4D62-BDA5-BB000D647B27}"/>
    <cellStyle name="20% - Accent5 2 7 2 4" xfId="12567" xr:uid="{48C1C0EC-7AE3-4974-AFC7-25AAC668615A}"/>
    <cellStyle name="20% - Accent5 2 7 3" xfId="6190" xr:uid="{00000000-0005-0000-0000-0000CE020000}"/>
    <cellStyle name="20% - Accent5 2 7 3 2" xfId="23088" xr:uid="{190BC4B3-019E-4645-A037-924385C246D1}"/>
    <cellStyle name="20% - Accent5 2 7 3 3" xfId="14640" xr:uid="{1768A5D9-720A-4428-B4FC-C0B01A1A9352}"/>
    <cellStyle name="20% - Accent5 2 7 4" xfId="18870" xr:uid="{D5B69683-2E86-436E-B804-09E00EE0EBAE}"/>
    <cellStyle name="20% - Accent5 2 7 5" xfId="10422" xr:uid="{48761C23-2826-4C07-BDC7-85B6939153EA}"/>
    <cellStyle name="20% - Accent5 2 8" xfId="2297" xr:uid="{00000000-0005-0000-0000-0000CF020000}"/>
    <cellStyle name="20% - Accent5 2 8 2" xfId="6603" xr:uid="{00000000-0005-0000-0000-0000D0020000}"/>
    <cellStyle name="20% - Accent5 2 8 2 2" xfId="23501" xr:uid="{EC219569-6B44-42FF-8F1F-D04AFC5A89A5}"/>
    <cellStyle name="20% - Accent5 2 8 2 3" xfId="15053" xr:uid="{C318613A-9588-48F8-8A18-2F2483B6CA68}"/>
    <cellStyle name="20% - Accent5 2 8 3" xfId="19283" xr:uid="{140EE82E-893E-4932-9DB9-249FBA6109F0}"/>
    <cellStyle name="20% - Accent5 2 8 4" xfId="10835" xr:uid="{DC57423C-E31C-4372-A07A-7A98503AD6CD}"/>
    <cellStyle name="20% - Accent5 2 9" xfId="4537" xr:uid="{00000000-0005-0000-0000-0000D1020000}"/>
    <cellStyle name="20% - Accent5 2 9 2" xfId="21435" xr:uid="{8A4E18A3-ADDA-4AFF-98E5-4BC7C3944C17}"/>
    <cellStyle name="20% - Accent5 2 9 3" xfId="12987" xr:uid="{099B4574-3946-4032-9714-A875F9F7D897}"/>
    <cellStyle name="20% - Accent5 3" xfId="38" xr:uid="{00000000-0005-0000-0000-0000D2020000}"/>
    <cellStyle name="20% - Accent5 3 10" xfId="8773" xr:uid="{8F3E545A-A50B-46A5-BBC7-BD7B0BA27FAD}"/>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23999" xr:uid="{FF41C250-B51A-4F61-9163-189C04BF16C5}"/>
    <cellStyle name="20% - Accent5 3 2 2 2 2 3" xfId="15551" xr:uid="{CA4FB43A-4EDE-49BC-848A-03B35DA046C5}"/>
    <cellStyle name="20% - Accent5 3 2 2 2 3" xfId="19781" xr:uid="{FED786CE-15D5-4B1E-9DAB-FFB79DEEA8B8}"/>
    <cellStyle name="20% - Accent5 3 2 2 2 4" xfId="11333" xr:uid="{8B8CBA8F-B2F6-40B4-90E2-BD970E0FAE9B}"/>
    <cellStyle name="20% - Accent5 3 2 2 3" xfId="4956" xr:uid="{00000000-0005-0000-0000-0000D7020000}"/>
    <cellStyle name="20% - Accent5 3 2 2 3 2" xfId="21854" xr:uid="{841F59F4-71F4-4922-9597-47BAD81B1364}"/>
    <cellStyle name="20% - Accent5 3 2 2 3 3" xfId="13406" xr:uid="{BCD66200-20D1-4F35-BDB9-398E5E03200E}"/>
    <cellStyle name="20% - Accent5 3 2 2 4" xfId="17636" xr:uid="{28EA14B6-265A-4C73-8103-E58D220955D0}"/>
    <cellStyle name="20% - Accent5 3 2 2 5" xfId="9188" xr:uid="{E74744F5-AF00-4C6A-9930-197AFE8FF1DE}"/>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24412" xr:uid="{0DF07C65-3DAD-4C45-9E1D-05730015A284}"/>
    <cellStyle name="20% - Accent5 3 2 3 2 2 3" xfId="15964" xr:uid="{70D26662-8432-49D1-8C9B-F82A3A058CB7}"/>
    <cellStyle name="20% - Accent5 3 2 3 2 3" xfId="20194" xr:uid="{804EF2F8-C77F-49F6-B966-D72A85B0CCFE}"/>
    <cellStyle name="20% - Accent5 3 2 3 2 4" xfId="11746" xr:uid="{7BA03814-076B-4045-BB83-2D295D84CBE8}"/>
    <cellStyle name="20% - Accent5 3 2 3 3" xfId="5369" xr:uid="{00000000-0005-0000-0000-0000DB020000}"/>
    <cellStyle name="20% - Accent5 3 2 3 3 2" xfId="22267" xr:uid="{C347EC76-5925-4F65-91AE-5F45CF0C6324}"/>
    <cellStyle name="20% - Accent5 3 2 3 3 3" xfId="13819" xr:uid="{0D96A83E-959A-4E40-AA6C-09B700DB013B}"/>
    <cellStyle name="20% - Accent5 3 2 3 4" xfId="18049" xr:uid="{15683C72-421A-4690-9590-D17BED823A7F}"/>
    <cellStyle name="20% - Accent5 3 2 3 5" xfId="9601" xr:uid="{0E6F7377-0A49-4A2E-AD6E-04CD65A347B7}"/>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24825" xr:uid="{E9ACC39E-46A3-4E4F-BAF3-6AB3F45114B7}"/>
    <cellStyle name="20% - Accent5 3 2 4 2 2 3" xfId="16377" xr:uid="{8A339800-6D91-4417-ABE1-95050201CB70}"/>
    <cellStyle name="20% - Accent5 3 2 4 2 3" xfId="20607" xr:uid="{B8DDDDBE-AFB5-4BE4-A3C5-81BAC070262F}"/>
    <cellStyle name="20% - Accent5 3 2 4 2 4" xfId="12159" xr:uid="{8115EFD9-3F11-405E-A04D-A013A8CEC03B}"/>
    <cellStyle name="20% - Accent5 3 2 4 3" xfId="5782" xr:uid="{00000000-0005-0000-0000-0000DF020000}"/>
    <cellStyle name="20% - Accent5 3 2 4 3 2" xfId="22680" xr:uid="{33D9491E-656B-4AD5-970D-D59FA4F0CF04}"/>
    <cellStyle name="20% - Accent5 3 2 4 3 3" xfId="14232" xr:uid="{AC84E86A-E9C7-47CE-9BE9-00B9ECCB3659}"/>
    <cellStyle name="20% - Accent5 3 2 4 4" xfId="18462" xr:uid="{763D9C63-88E4-423D-A03A-7C348420E622}"/>
    <cellStyle name="20% - Accent5 3 2 4 5" xfId="10014" xr:uid="{D937742A-0A2C-4C5C-8D5B-E6B4FC1FC6B5}"/>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25238" xr:uid="{0CECBAFF-5887-4684-8901-4440547D2A39}"/>
    <cellStyle name="20% - Accent5 3 2 5 2 2 3" xfId="16790" xr:uid="{AACBF041-F6B3-4BD8-B270-55DDDDB443A7}"/>
    <cellStyle name="20% - Accent5 3 2 5 2 3" xfId="21020" xr:uid="{AC140669-017A-41A5-8ED8-94C72D513043}"/>
    <cellStyle name="20% - Accent5 3 2 5 2 4" xfId="12572" xr:uid="{06DDCE8E-68FD-4FEB-8D14-18235CEAFDD4}"/>
    <cellStyle name="20% - Accent5 3 2 5 3" xfId="6195" xr:uid="{00000000-0005-0000-0000-0000E3020000}"/>
    <cellStyle name="20% - Accent5 3 2 5 3 2" xfId="23093" xr:uid="{29372AF9-1F1B-467A-B4E1-6225275FB20E}"/>
    <cellStyle name="20% - Accent5 3 2 5 3 3" xfId="14645" xr:uid="{EEF3B908-32E7-49C5-88AD-0E7DEBE9D726}"/>
    <cellStyle name="20% - Accent5 3 2 5 4" xfId="18875" xr:uid="{5BE859DE-87DB-4209-9CB3-14CD169E6C65}"/>
    <cellStyle name="20% - Accent5 3 2 5 5" xfId="10427" xr:uid="{1C0356EE-CDDF-4A6C-93AD-E0C3AB516FA2}"/>
    <cellStyle name="20% - Accent5 3 2 6" xfId="2302" xr:uid="{00000000-0005-0000-0000-0000E4020000}"/>
    <cellStyle name="20% - Accent5 3 2 6 2" xfId="6608" xr:uid="{00000000-0005-0000-0000-0000E5020000}"/>
    <cellStyle name="20% - Accent5 3 2 6 2 2" xfId="23506" xr:uid="{ED0F718A-5D39-46C2-BE6B-9FA8406EBD29}"/>
    <cellStyle name="20% - Accent5 3 2 6 2 3" xfId="15058" xr:uid="{9C6E3BEA-95BD-4301-B70C-7A7CB600804F}"/>
    <cellStyle name="20% - Accent5 3 2 6 3" xfId="19288" xr:uid="{D40D494B-2916-4CC4-88A3-0F9233D66F78}"/>
    <cellStyle name="20% - Accent5 3 2 6 4" xfId="10840" xr:uid="{0E3519E6-93AA-45D8-84F1-FD772E39F02C}"/>
    <cellStyle name="20% - Accent5 3 2 7" xfId="4542" xr:uid="{00000000-0005-0000-0000-0000E6020000}"/>
    <cellStyle name="20% - Accent5 3 2 7 2" xfId="21440" xr:uid="{734D27C3-466A-42D6-89F0-67EB884C2A06}"/>
    <cellStyle name="20% - Accent5 3 2 7 3" xfId="12992" xr:uid="{D8EE7BF9-160E-48E4-8115-8B20EBA77F09}"/>
    <cellStyle name="20% - Accent5 3 2 8" xfId="17222" xr:uid="{D828BF7D-C877-482B-8AF9-6339F0BF8921}"/>
    <cellStyle name="20% - Accent5 3 2 9" xfId="8774" xr:uid="{D6AF9978-690E-44C3-8073-3CE07D60E198}"/>
    <cellStyle name="20% - Accent5 3 3" xfId="607" xr:uid="{00000000-0005-0000-0000-0000E7020000}"/>
    <cellStyle name="20% - Accent5 3 3 2" xfId="2878" xr:uid="{00000000-0005-0000-0000-0000E8020000}"/>
    <cellStyle name="20% - Accent5 3 3 2 2" xfId="7100" xr:uid="{00000000-0005-0000-0000-0000E9020000}"/>
    <cellStyle name="20% - Accent5 3 3 2 2 2" xfId="23998" xr:uid="{EF96C1FA-B2BD-4285-9856-FC9DAF32CA39}"/>
    <cellStyle name="20% - Accent5 3 3 2 2 3" xfId="15550" xr:uid="{A2D3F64D-C8C1-4BB9-B657-3384D39C2F39}"/>
    <cellStyle name="20% - Accent5 3 3 2 3" xfId="19780" xr:uid="{89A6B497-A321-4014-B9AA-6A454159418C}"/>
    <cellStyle name="20% - Accent5 3 3 2 4" xfId="11332" xr:uid="{59B3CDFD-7B62-4A02-A308-D477DF27C54B}"/>
    <cellStyle name="20% - Accent5 3 3 3" xfId="4955" xr:uid="{00000000-0005-0000-0000-0000EA020000}"/>
    <cellStyle name="20% - Accent5 3 3 3 2" xfId="21853" xr:uid="{A0839353-ACEF-42ED-A877-423F003FDD39}"/>
    <cellStyle name="20% - Accent5 3 3 3 3" xfId="13405" xr:uid="{3DE6E48B-C60E-4347-B39A-50739196F7F2}"/>
    <cellStyle name="20% - Accent5 3 3 4" xfId="17635" xr:uid="{3ED7CFC6-66F9-4440-B38F-369F3852F422}"/>
    <cellStyle name="20% - Accent5 3 3 5" xfId="9187" xr:uid="{2F6BE972-03D2-47A6-B45F-0CE6721BF411}"/>
    <cellStyle name="20% - Accent5 3 4" xfId="1060" xr:uid="{00000000-0005-0000-0000-0000EB020000}"/>
    <cellStyle name="20% - Accent5 3 4 2" xfId="3291" xr:uid="{00000000-0005-0000-0000-0000EC020000}"/>
    <cellStyle name="20% - Accent5 3 4 2 2" xfId="7513" xr:uid="{00000000-0005-0000-0000-0000ED020000}"/>
    <cellStyle name="20% - Accent5 3 4 2 2 2" xfId="24411" xr:uid="{4E03D7B5-875F-49C6-9FA7-D724C42F3F03}"/>
    <cellStyle name="20% - Accent5 3 4 2 2 3" xfId="15963" xr:uid="{2185DFBC-CF67-4E1C-9C99-DFC3C808204E}"/>
    <cellStyle name="20% - Accent5 3 4 2 3" xfId="20193" xr:uid="{1B0D5C62-6029-4098-AB4B-06CABE55DB25}"/>
    <cellStyle name="20% - Accent5 3 4 2 4" xfId="11745" xr:uid="{E679A57E-E4F2-4B0B-9446-FABAB8C22EB7}"/>
    <cellStyle name="20% - Accent5 3 4 3" xfId="5368" xr:uid="{00000000-0005-0000-0000-0000EE020000}"/>
    <cellStyle name="20% - Accent5 3 4 3 2" xfId="22266" xr:uid="{DE9DD843-9CC8-45E1-B52A-DB2F001533B0}"/>
    <cellStyle name="20% - Accent5 3 4 3 3" xfId="13818" xr:uid="{B7A8708C-7332-493C-A591-C1DFD138AE8A}"/>
    <cellStyle name="20% - Accent5 3 4 4" xfId="18048" xr:uid="{689D7D85-A090-4043-B0DD-433D1457A3BC}"/>
    <cellStyle name="20% - Accent5 3 4 5" xfId="9600" xr:uid="{F9348433-EB8B-4CB1-BC3C-29D1D886F44A}"/>
    <cellStyle name="20% - Accent5 3 5" xfId="1474" xr:uid="{00000000-0005-0000-0000-0000EF020000}"/>
    <cellStyle name="20% - Accent5 3 5 2" xfId="3704" xr:uid="{00000000-0005-0000-0000-0000F0020000}"/>
    <cellStyle name="20% - Accent5 3 5 2 2" xfId="7926" xr:uid="{00000000-0005-0000-0000-0000F1020000}"/>
    <cellStyle name="20% - Accent5 3 5 2 2 2" xfId="24824" xr:uid="{66A8243E-2B5F-4118-9DAB-C09890D62ED0}"/>
    <cellStyle name="20% - Accent5 3 5 2 2 3" xfId="16376" xr:uid="{60AB2C25-A243-4F28-A8AD-B16BE101C613}"/>
    <cellStyle name="20% - Accent5 3 5 2 3" xfId="20606" xr:uid="{C7DB4C3D-6129-4FD8-9BAF-F2477A5B0CD0}"/>
    <cellStyle name="20% - Accent5 3 5 2 4" xfId="12158" xr:uid="{57A609FE-9A7A-44B5-A30E-605C181DC853}"/>
    <cellStyle name="20% - Accent5 3 5 3" xfId="5781" xr:uid="{00000000-0005-0000-0000-0000F2020000}"/>
    <cellStyle name="20% - Accent5 3 5 3 2" xfId="22679" xr:uid="{E2E27CAB-59EE-4DAE-BC97-FBF168161004}"/>
    <cellStyle name="20% - Accent5 3 5 3 3" xfId="14231" xr:uid="{3E6D6D1A-A2F6-47F5-BC5D-8D4CE7E310B8}"/>
    <cellStyle name="20% - Accent5 3 5 4" xfId="18461" xr:uid="{E357A1D6-4BEE-4198-8ECE-2254B4C66FB3}"/>
    <cellStyle name="20% - Accent5 3 5 5" xfId="10013" xr:uid="{D9109947-C8BD-4043-8E3B-F29039CDE7F2}"/>
    <cellStyle name="20% - Accent5 3 6" xfId="1888" xr:uid="{00000000-0005-0000-0000-0000F3020000}"/>
    <cellStyle name="20% - Accent5 3 6 2" xfId="4117" xr:uid="{00000000-0005-0000-0000-0000F4020000}"/>
    <cellStyle name="20% - Accent5 3 6 2 2" xfId="8339" xr:uid="{00000000-0005-0000-0000-0000F5020000}"/>
    <cellStyle name="20% - Accent5 3 6 2 2 2" xfId="25237" xr:uid="{1213EEE8-B8AA-4C03-846C-0E7D80F4F7A2}"/>
    <cellStyle name="20% - Accent5 3 6 2 2 3" xfId="16789" xr:uid="{0E0AB075-F2EE-4D94-A102-FF142B6BE6B3}"/>
    <cellStyle name="20% - Accent5 3 6 2 3" xfId="21019" xr:uid="{0A7C5F8F-F28F-4830-8B26-779A94FCF4B2}"/>
    <cellStyle name="20% - Accent5 3 6 2 4" xfId="12571" xr:uid="{1AC2196E-6F25-4B2C-9D98-A6FB50A99B24}"/>
    <cellStyle name="20% - Accent5 3 6 3" xfId="6194" xr:uid="{00000000-0005-0000-0000-0000F6020000}"/>
    <cellStyle name="20% - Accent5 3 6 3 2" xfId="23092" xr:uid="{0F33A075-5850-427B-B4F6-813880A02C87}"/>
    <cellStyle name="20% - Accent5 3 6 3 3" xfId="14644" xr:uid="{D3DA1E3A-44BB-467E-8B3B-E8D136DD85B9}"/>
    <cellStyle name="20% - Accent5 3 6 4" xfId="18874" xr:uid="{52E5B792-1BF4-403D-8051-78871EB432B1}"/>
    <cellStyle name="20% - Accent5 3 6 5" xfId="10426" xr:uid="{FB9267B4-9C28-49F4-A042-9D5EB2001BE4}"/>
    <cellStyle name="20% - Accent5 3 7" xfId="2301" xr:uid="{00000000-0005-0000-0000-0000F7020000}"/>
    <cellStyle name="20% - Accent5 3 7 2" xfId="6607" xr:uid="{00000000-0005-0000-0000-0000F8020000}"/>
    <cellStyle name="20% - Accent5 3 7 2 2" xfId="23505" xr:uid="{B1B7B111-68B9-4B65-9142-054C651D9E1F}"/>
    <cellStyle name="20% - Accent5 3 7 2 3" xfId="15057" xr:uid="{124F7AE8-AAF1-4EA3-A176-3B4461FD9F95}"/>
    <cellStyle name="20% - Accent5 3 7 3" xfId="19287" xr:uid="{40F63F9D-D37D-423E-911B-8B8706C3298A}"/>
    <cellStyle name="20% - Accent5 3 7 4" xfId="10839" xr:uid="{E4C92A75-A007-42D2-801C-F379887432B4}"/>
    <cellStyle name="20% - Accent5 3 8" xfId="4541" xr:uid="{00000000-0005-0000-0000-0000F9020000}"/>
    <cellStyle name="20% - Accent5 3 8 2" xfId="21439" xr:uid="{3D67CD01-9DE0-4C1C-8C85-42ADBCB99428}"/>
    <cellStyle name="20% - Accent5 3 8 3" xfId="12991" xr:uid="{03352540-EE18-4C1A-AF68-27760929F2DE}"/>
    <cellStyle name="20% - Accent5 3 9" xfId="17221" xr:uid="{18262F29-5C69-4E93-BCC6-2410087E2ACE}"/>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2 2 2" xfId="24000" xr:uid="{37F0CA4C-D191-4628-8B3F-A90D606EB881}"/>
    <cellStyle name="20% - Accent5 4 2 2 2 3" xfId="15552" xr:uid="{3F42E642-A7E9-4B92-81DF-B20FEF26A0FF}"/>
    <cellStyle name="20% - Accent5 4 2 2 3" xfId="19782" xr:uid="{4A06F39D-EC96-45A7-982B-27B2052C60BC}"/>
    <cellStyle name="20% - Accent5 4 2 2 4" xfId="11334" xr:uid="{39167B0F-1C2A-4710-891D-B80481686733}"/>
    <cellStyle name="20% - Accent5 4 2 3" xfId="4957" xr:uid="{00000000-0005-0000-0000-0000FE020000}"/>
    <cellStyle name="20% - Accent5 4 2 3 2" xfId="21855" xr:uid="{1F2C1DC5-B437-48EE-B55D-A6BFCADCC54E}"/>
    <cellStyle name="20% - Accent5 4 2 3 3" xfId="13407" xr:uid="{20CAF0A2-8A97-4CED-918B-BD6210DEBA9F}"/>
    <cellStyle name="20% - Accent5 4 2 4" xfId="17637" xr:uid="{092BE136-8EE4-467C-9DF1-A54141F330AE}"/>
    <cellStyle name="20% - Accent5 4 2 5" xfId="9189" xr:uid="{EFD270CB-319C-42FC-BC25-9166B9E4CB62}"/>
    <cellStyle name="20% - Accent5 4 3" xfId="1062" xr:uid="{00000000-0005-0000-0000-0000FF020000}"/>
    <cellStyle name="20% - Accent5 4 3 2" xfId="3293" xr:uid="{00000000-0005-0000-0000-000000030000}"/>
    <cellStyle name="20% - Accent5 4 3 2 2" xfId="7515" xr:uid="{00000000-0005-0000-0000-000001030000}"/>
    <cellStyle name="20% - Accent5 4 3 2 2 2" xfId="24413" xr:uid="{433FC39F-E6F7-4DE5-8409-087FEBE3A70D}"/>
    <cellStyle name="20% - Accent5 4 3 2 2 3" xfId="15965" xr:uid="{23BF125F-36F3-4114-8231-CB9295B6DEDC}"/>
    <cellStyle name="20% - Accent5 4 3 2 3" xfId="20195" xr:uid="{063A8849-33AF-467C-A883-DADCCDB1E098}"/>
    <cellStyle name="20% - Accent5 4 3 2 4" xfId="11747" xr:uid="{56C0E2EC-3494-4899-960B-5FA8C34C6CD7}"/>
    <cellStyle name="20% - Accent5 4 3 3" xfId="5370" xr:uid="{00000000-0005-0000-0000-000002030000}"/>
    <cellStyle name="20% - Accent5 4 3 3 2" xfId="22268" xr:uid="{AE87234C-B8A8-4F20-A7C3-70932B017E94}"/>
    <cellStyle name="20% - Accent5 4 3 3 3" xfId="13820" xr:uid="{24708D26-AEDC-4FCC-BA7D-44A42F18CB4D}"/>
    <cellStyle name="20% - Accent5 4 3 4" xfId="18050" xr:uid="{D1CE0091-DAB4-4D38-A898-14E9ACDF738B}"/>
    <cellStyle name="20% - Accent5 4 3 5" xfId="9602" xr:uid="{3BECF0ED-157E-45A5-8F21-37DC6FB16342}"/>
    <cellStyle name="20% - Accent5 4 4" xfId="1476" xr:uid="{00000000-0005-0000-0000-000003030000}"/>
    <cellStyle name="20% - Accent5 4 4 2" xfId="3706" xr:uid="{00000000-0005-0000-0000-000004030000}"/>
    <cellStyle name="20% - Accent5 4 4 2 2" xfId="7928" xr:uid="{00000000-0005-0000-0000-000005030000}"/>
    <cellStyle name="20% - Accent5 4 4 2 2 2" xfId="24826" xr:uid="{F3FB94FD-F95E-41BB-B9CC-01549D078578}"/>
    <cellStyle name="20% - Accent5 4 4 2 2 3" xfId="16378" xr:uid="{B20B81BB-537C-4942-8056-BB992C92AE99}"/>
    <cellStyle name="20% - Accent5 4 4 2 3" xfId="20608" xr:uid="{DADC574D-A28D-4A9C-9584-95F79959A5D7}"/>
    <cellStyle name="20% - Accent5 4 4 2 4" xfId="12160" xr:uid="{83857C47-61EA-4C8E-8C66-B5B84857BECD}"/>
    <cellStyle name="20% - Accent5 4 4 3" xfId="5783" xr:uid="{00000000-0005-0000-0000-000006030000}"/>
    <cellStyle name="20% - Accent5 4 4 3 2" xfId="22681" xr:uid="{DE965ECE-7EFD-4901-8F91-E2BD7C789052}"/>
    <cellStyle name="20% - Accent5 4 4 3 3" xfId="14233" xr:uid="{8AED6EE4-1F16-47F3-BF59-7881BEF98FEA}"/>
    <cellStyle name="20% - Accent5 4 4 4" xfId="18463" xr:uid="{8094B7B7-0CC7-4033-B2DC-ED353E20B8E2}"/>
    <cellStyle name="20% - Accent5 4 4 5" xfId="10015" xr:uid="{D411A42B-297E-4D27-9B68-1C41DB147142}"/>
    <cellStyle name="20% - Accent5 4 5" xfId="1890" xr:uid="{00000000-0005-0000-0000-000007030000}"/>
    <cellStyle name="20% - Accent5 4 5 2" xfId="4119" xr:uid="{00000000-0005-0000-0000-000008030000}"/>
    <cellStyle name="20% - Accent5 4 5 2 2" xfId="8341" xr:uid="{00000000-0005-0000-0000-000009030000}"/>
    <cellStyle name="20% - Accent5 4 5 2 2 2" xfId="25239" xr:uid="{B5461C1D-8A05-45C3-A96D-7A1AA97F851F}"/>
    <cellStyle name="20% - Accent5 4 5 2 2 3" xfId="16791" xr:uid="{EE06D433-BDCD-48E6-92CA-20A0086FEFE4}"/>
    <cellStyle name="20% - Accent5 4 5 2 3" xfId="21021" xr:uid="{474A5C84-2F9D-47A4-81C3-6B79771C21EE}"/>
    <cellStyle name="20% - Accent5 4 5 2 4" xfId="12573" xr:uid="{FF0ED83B-88E0-4C63-B0BF-2DE1FDC3BEC3}"/>
    <cellStyle name="20% - Accent5 4 5 3" xfId="6196" xr:uid="{00000000-0005-0000-0000-00000A030000}"/>
    <cellStyle name="20% - Accent5 4 5 3 2" xfId="23094" xr:uid="{DD8770B1-D050-49B6-BC06-7CBB8A08C708}"/>
    <cellStyle name="20% - Accent5 4 5 3 3" xfId="14646" xr:uid="{7420F097-07F6-47A6-9F20-CD3A59E98B8D}"/>
    <cellStyle name="20% - Accent5 4 5 4" xfId="18876" xr:uid="{180C9E7F-5226-492E-937E-AFB40FF2F923}"/>
    <cellStyle name="20% - Accent5 4 5 5" xfId="10428" xr:uid="{6B288C07-8495-461C-B14A-1498D015AE80}"/>
    <cellStyle name="20% - Accent5 4 6" xfId="2303" xr:uid="{00000000-0005-0000-0000-00000B030000}"/>
    <cellStyle name="20% - Accent5 4 6 2" xfId="6609" xr:uid="{00000000-0005-0000-0000-00000C030000}"/>
    <cellStyle name="20% - Accent5 4 6 2 2" xfId="23507" xr:uid="{B7F93AAE-7ED8-45F5-A108-0587B2031993}"/>
    <cellStyle name="20% - Accent5 4 6 2 3" xfId="15059" xr:uid="{0BB2A48A-69F6-481A-BAEF-1F7CA7BDB7A6}"/>
    <cellStyle name="20% - Accent5 4 6 3" xfId="19289" xr:uid="{56759B61-638F-4B99-8157-8C04A7399B18}"/>
    <cellStyle name="20% - Accent5 4 6 4" xfId="10841" xr:uid="{807C864D-48E3-4CFA-B50F-05443E7AB436}"/>
    <cellStyle name="20% - Accent5 4 7" xfId="4543" xr:uid="{00000000-0005-0000-0000-00000D030000}"/>
    <cellStyle name="20% - Accent5 4 7 2" xfId="21441" xr:uid="{084D9432-507C-46BE-B39A-C481C21FBD00}"/>
    <cellStyle name="20% - Accent5 4 7 3" xfId="12993" xr:uid="{11A781CB-2543-49F7-9276-DE728B28D69C}"/>
    <cellStyle name="20% - Accent5 4 8" xfId="17223" xr:uid="{71A82BD3-ADFB-4753-A5C6-34D5E22E9D05}"/>
    <cellStyle name="20% - Accent5 4 9" xfId="8775" xr:uid="{24038045-0938-4ECB-A9EF-000738C4C985}"/>
    <cellStyle name="20% - Accent5 5" xfId="602" xr:uid="{00000000-0005-0000-0000-00000E030000}"/>
    <cellStyle name="20% - Accent5 5 2" xfId="2873" xr:uid="{00000000-0005-0000-0000-00000F030000}"/>
    <cellStyle name="20% - Accent5 5 2 2" xfId="7095" xr:uid="{00000000-0005-0000-0000-000010030000}"/>
    <cellStyle name="20% - Accent5 5 2 2 2" xfId="23993" xr:uid="{BB39E2F1-DE7A-42BA-872F-D9825B4763E9}"/>
    <cellStyle name="20% - Accent5 5 2 2 3" xfId="15545" xr:uid="{8AB326AB-9BA2-4CE1-B51E-D92206862B94}"/>
    <cellStyle name="20% - Accent5 5 2 3" xfId="19775" xr:uid="{40605B05-A450-4D24-A7BD-E4834F5F723F}"/>
    <cellStyle name="20% - Accent5 5 2 4" xfId="11327" xr:uid="{A7DFADC2-C503-40DB-B2A6-8B993E839658}"/>
    <cellStyle name="20% - Accent5 5 3" xfId="4950" xr:uid="{00000000-0005-0000-0000-000011030000}"/>
    <cellStyle name="20% - Accent5 5 3 2" xfId="21848" xr:uid="{43091C4E-9087-4FC1-84EF-B71715CE04A3}"/>
    <cellStyle name="20% - Accent5 5 3 3" xfId="13400" xr:uid="{062BB093-E2D8-4EE1-A94A-A3DCEDBD7788}"/>
    <cellStyle name="20% - Accent5 5 4" xfId="17630" xr:uid="{5B6B0B64-B103-4715-AAC9-906A2FF7C119}"/>
    <cellStyle name="20% - Accent5 5 5" xfId="9182" xr:uid="{F0A49541-C465-4E8F-908B-F976A6683B2B}"/>
    <cellStyle name="20% - Accent5 6" xfId="1055" xr:uid="{00000000-0005-0000-0000-000012030000}"/>
    <cellStyle name="20% - Accent5 6 2" xfId="3286" xr:uid="{00000000-0005-0000-0000-000013030000}"/>
    <cellStyle name="20% - Accent5 6 2 2" xfId="7508" xr:uid="{00000000-0005-0000-0000-000014030000}"/>
    <cellStyle name="20% - Accent5 6 2 2 2" xfId="24406" xr:uid="{FE357B81-B0B3-44C6-897C-EEEE34954E3E}"/>
    <cellStyle name="20% - Accent5 6 2 2 3" xfId="15958" xr:uid="{D0FB1247-AE36-4115-8D76-A0ACB74D14B0}"/>
    <cellStyle name="20% - Accent5 6 2 3" xfId="20188" xr:uid="{7552BBAF-E982-4B1D-9C0C-536246CCE40A}"/>
    <cellStyle name="20% - Accent5 6 2 4" xfId="11740" xr:uid="{65781A2E-F950-482B-89FD-25D7EB57F547}"/>
    <cellStyle name="20% - Accent5 6 3" xfId="5363" xr:uid="{00000000-0005-0000-0000-000015030000}"/>
    <cellStyle name="20% - Accent5 6 3 2" xfId="22261" xr:uid="{51D11402-18CB-435D-AF6D-F8F2B5E34D8A}"/>
    <cellStyle name="20% - Accent5 6 3 3" xfId="13813" xr:uid="{91A7B9A6-917A-4D6F-BB17-9F9AD7F1F783}"/>
    <cellStyle name="20% - Accent5 6 4" xfId="18043" xr:uid="{27EB5D13-67D2-40B4-AC50-F0B4AE002D48}"/>
    <cellStyle name="20% - Accent5 6 5" xfId="9595" xr:uid="{35DB32EF-7A24-4DAE-8C93-4E7DF1A6E62C}"/>
    <cellStyle name="20% - Accent5 7" xfId="1469" xr:uid="{00000000-0005-0000-0000-000016030000}"/>
    <cellStyle name="20% - Accent5 7 2" xfId="3699" xr:uid="{00000000-0005-0000-0000-000017030000}"/>
    <cellStyle name="20% - Accent5 7 2 2" xfId="7921" xr:uid="{00000000-0005-0000-0000-000018030000}"/>
    <cellStyle name="20% - Accent5 7 2 2 2" xfId="24819" xr:uid="{841D87D9-5E83-4AAC-9F80-73C8A701764F}"/>
    <cellStyle name="20% - Accent5 7 2 2 3" xfId="16371" xr:uid="{8675EA06-2075-498E-A449-3BFF85579F89}"/>
    <cellStyle name="20% - Accent5 7 2 3" xfId="20601" xr:uid="{F4A51940-2B40-4E9D-9F2F-1D7ED11FC552}"/>
    <cellStyle name="20% - Accent5 7 2 4" xfId="12153" xr:uid="{929F2F80-AD2C-4E53-945C-17C667AF9FA4}"/>
    <cellStyle name="20% - Accent5 7 3" xfId="5776" xr:uid="{00000000-0005-0000-0000-000019030000}"/>
    <cellStyle name="20% - Accent5 7 3 2" xfId="22674" xr:uid="{F65E6274-95AF-4877-BFBB-BA78F4441792}"/>
    <cellStyle name="20% - Accent5 7 3 3" xfId="14226" xr:uid="{3435252A-DEC0-4BAB-A183-9F70326FEFED}"/>
    <cellStyle name="20% - Accent5 7 4" xfId="18456" xr:uid="{FEEF12E8-EEFF-431F-A6B4-781FEF41314C}"/>
    <cellStyle name="20% - Accent5 7 5" xfId="10008" xr:uid="{ED3DE146-54B3-4729-ADE1-DA644E0732C5}"/>
    <cellStyle name="20% - Accent5 8" xfId="1883" xr:uid="{00000000-0005-0000-0000-00001A030000}"/>
    <cellStyle name="20% - Accent5 8 2" xfId="4112" xr:uid="{00000000-0005-0000-0000-00001B030000}"/>
    <cellStyle name="20% - Accent5 8 2 2" xfId="8334" xr:uid="{00000000-0005-0000-0000-00001C030000}"/>
    <cellStyle name="20% - Accent5 8 2 2 2" xfId="25232" xr:uid="{C07CBF07-6E80-4857-84AC-92400DBBCE71}"/>
    <cellStyle name="20% - Accent5 8 2 2 3" xfId="16784" xr:uid="{E1CEA843-445C-4745-9E2A-BAA99B2FE932}"/>
    <cellStyle name="20% - Accent5 8 2 3" xfId="21014" xr:uid="{CF29F7A6-FAFE-4C9B-BF0C-8B0B84D39177}"/>
    <cellStyle name="20% - Accent5 8 2 4" xfId="12566" xr:uid="{FB05210E-6FB2-4855-B182-488962871DC0}"/>
    <cellStyle name="20% - Accent5 8 3" xfId="6189" xr:uid="{00000000-0005-0000-0000-00001D030000}"/>
    <cellStyle name="20% - Accent5 8 3 2" xfId="23087" xr:uid="{870B6ADA-EDF3-4751-BCFE-650EC7C9A17B}"/>
    <cellStyle name="20% - Accent5 8 3 3" xfId="14639" xr:uid="{2E4B379F-B55A-4B12-ADB3-D1A6F6DF5B28}"/>
    <cellStyle name="20% - Accent5 8 4" xfId="18869" xr:uid="{CDE38E5D-CA3B-4FBF-B600-9A9B492B0712}"/>
    <cellStyle name="20% - Accent5 8 5" xfId="10421" xr:uid="{F5A75912-F487-418F-8778-27143824F8F2}"/>
    <cellStyle name="20% - Accent5 9" xfId="2296" xr:uid="{00000000-0005-0000-0000-00001E030000}"/>
    <cellStyle name="20% - Accent5 9 2" xfId="6602" xr:uid="{00000000-0005-0000-0000-00001F030000}"/>
    <cellStyle name="20% - Accent5 9 2 2" xfId="23500" xr:uid="{5F92BDA9-8800-4AB4-9602-45A8D250A958}"/>
    <cellStyle name="20% - Accent5 9 2 3" xfId="15052" xr:uid="{A053BFB4-B5A7-497F-BA8B-C99B234EA813}"/>
    <cellStyle name="20% - Accent5 9 3" xfId="19282" xr:uid="{CE7601A5-18CF-4C95-A680-EBB67D981B83}"/>
    <cellStyle name="20% - Accent5 9 4" xfId="10834" xr:uid="{042F1ECA-0CF5-4648-95C3-F2EA53A6F36D}"/>
    <cellStyle name="20% - Accent6" xfId="41" builtinId="50" customBuiltin="1"/>
    <cellStyle name="20% - Accent6 10" xfId="4544" xr:uid="{00000000-0005-0000-0000-000021030000}"/>
    <cellStyle name="20% - Accent6 10 2" xfId="21442" xr:uid="{D812E3D2-04CD-4292-99CC-688D6AFF098E}"/>
    <cellStyle name="20% - Accent6 10 3" xfId="12994" xr:uid="{E1F83ADB-545F-405F-8296-3901A805CB8B}"/>
    <cellStyle name="20% - Accent6 11" xfId="17224" xr:uid="{7A2E50B4-9581-4702-AD41-C79CC56EC9CE}"/>
    <cellStyle name="20% - Accent6 12" xfId="8776" xr:uid="{B5297581-489D-459C-B6E1-0C5B69996CF1}"/>
    <cellStyle name="20% - Accent6 2" xfId="42" xr:uid="{00000000-0005-0000-0000-000022030000}"/>
    <cellStyle name="20% - Accent6 2 10" xfId="17225" xr:uid="{B863DAD2-4D50-437B-AFD4-99F2FECFE6D2}"/>
    <cellStyle name="20% - Accent6 2 11" xfId="8777" xr:uid="{A629E467-F726-4050-BF6B-8D81CEF44C50}"/>
    <cellStyle name="20% - Accent6 2 2" xfId="43" xr:uid="{00000000-0005-0000-0000-000023030000}"/>
    <cellStyle name="20% - Accent6 2 2 10" xfId="8778" xr:uid="{9E939C17-D44A-42F8-B15C-AEDD1AC6BA27}"/>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24004" xr:uid="{ED2174CD-5977-4C6F-96C1-B4D36084DF89}"/>
    <cellStyle name="20% - Accent6 2 2 2 2 2 2 3" xfId="15556" xr:uid="{84992A98-540E-441A-8F74-6DA25A958CB7}"/>
    <cellStyle name="20% - Accent6 2 2 2 2 2 3" xfId="19786" xr:uid="{7EB47F1B-633E-48C9-9796-B7E653D11605}"/>
    <cellStyle name="20% - Accent6 2 2 2 2 2 4" xfId="11338" xr:uid="{B261A6CE-0C6C-4AA5-9511-3434D2D49929}"/>
    <cellStyle name="20% - Accent6 2 2 2 2 3" xfId="4961" xr:uid="{00000000-0005-0000-0000-000028030000}"/>
    <cellStyle name="20% - Accent6 2 2 2 2 3 2" xfId="21859" xr:uid="{B7D1D354-FE76-4DC3-B5A3-71BC2E93AB16}"/>
    <cellStyle name="20% - Accent6 2 2 2 2 3 3" xfId="13411" xr:uid="{2000C176-F360-4279-9634-0E1D488852A2}"/>
    <cellStyle name="20% - Accent6 2 2 2 2 4" xfId="17641" xr:uid="{04CEB73F-34B3-45F8-8CF7-5EBF88FB77C8}"/>
    <cellStyle name="20% - Accent6 2 2 2 2 5" xfId="9193" xr:uid="{B3426D09-D49D-4113-A246-45A616A47916}"/>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24417" xr:uid="{DB6D7AE0-B0F8-46F4-854E-984F83DF4EC8}"/>
    <cellStyle name="20% - Accent6 2 2 2 3 2 2 3" xfId="15969" xr:uid="{905B5861-72B7-4C1B-9BFA-FD2FF4C633C2}"/>
    <cellStyle name="20% - Accent6 2 2 2 3 2 3" xfId="20199" xr:uid="{F1FCF584-DCC3-4A71-A8BC-AA31769C8C2C}"/>
    <cellStyle name="20% - Accent6 2 2 2 3 2 4" xfId="11751" xr:uid="{52FCD36C-23EC-47A6-AE3D-069F10453D49}"/>
    <cellStyle name="20% - Accent6 2 2 2 3 3" xfId="5374" xr:uid="{00000000-0005-0000-0000-00002C030000}"/>
    <cellStyle name="20% - Accent6 2 2 2 3 3 2" xfId="22272" xr:uid="{07871AF1-475C-4E45-B4AE-4D1778B25753}"/>
    <cellStyle name="20% - Accent6 2 2 2 3 3 3" xfId="13824" xr:uid="{2E7EE2D2-B9D2-4B77-AF4F-B94171CFB20F}"/>
    <cellStyle name="20% - Accent6 2 2 2 3 4" xfId="18054" xr:uid="{69EF2D5F-703C-4CF4-B797-E5F41F9A1EC6}"/>
    <cellStyle name="20% - Accent6 2 2 2 3 5" xfId="9606" xr:uid="{A0F2E717-7662-41C7-8F42-0C208C8045BA}"/>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24830" xr:uid="{BB2DB4D4-62A5-461F-AD88-63218EB51B64}"/>
    <cellStyle name="20% - Accent6 2 2 2 4 2 2 3" xfId="16382" xr:uid="{B4EE2451-D7FE-4D54-A0E5-3BF63D5840CD}"/>
    <cellStyle name="20% - Accent6 2 2 2 4 2 3" xfId="20612" xr:uid="{75FC9547-29CD-4473-A86E-04A598E7DC2E}"/>
    <cellStyle name="20% - Accent6 2 2 2 4 2 4" xfId="12164" xr:uid="{BBFF8004-0621-4200-8A13-EE575E0BB8A6}"/>
    <cellStyle name="20% - Accent6 2 2 2 4 3" xfId="5787" xr:uid="{00000000-0005-0000-0000-000030030000}"/>
    <cellStyle name="20% - Accent6 2 2 2 4 3 2" xfId="22685" xr:uid="{50D921CF-9E8E-40BA-9B6B-027A607F0E97}"/>
    <cellStyle name="20% - Accent6 2 2 2 4 3 3" xfId="14237" xr:uid="{3A991309-7D15-46D3-BD93-08DF6571DFE1}"/>
    <cellStyle name="20% - Accent6 2 2 2 4 4" xfId="18467" xr:uid="{B1A2D3A1-11EE-4B7E-9BC3-8B429F6D2389}"/>
    <cellStyle name="20% - Accent6 2 2 2 4 5" xfId="10019" xr:uid="{5C9FA502-B630-443C-BE4A-D7BD50D435A5}"/>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25243" xr:uid="{9B470474-B728-41CC-B0E7-C77CF61517F7}"/>
    <cellStyle name="20% - Accent6 2 2 2 5 2 2 3" xfId="16795" xr:uid="{0B5527A8-2EAA-4EFE-AD3C-BF55E0724F10}"/>
    <cellStyle name="20% - Accent6 2 2 2 5 2 3" xfId="21025" xr:uid="{220DAB9C-4258-43D3-B95C-1A96AA2EF9E2}"/>
    <cellStyle name="20% - Accent6 2 2 2 5 2 4" xfId="12577" xr:uid="{1AFFB81E-76F5-4C29-B4D8-05FDB33894FA}"/>
    <cellStyle name="20% - Accent6 2 2 2 5 3" xfId="6200" xr:uid="{00000000-0005-0000-0000-000034030000}"/>
    <cellStyle name="20% - Accent6 2 2 2 5 3 2" xfId="23098" xr:uid="{ECB0CD2D-C092-4970-9B9A-867A9F13B779}"/>
    <cellStyle name="20% - Accent6 2 2 2 5 3 3" xfId="14650" xr:uid="{D1666A2E-EAAD-424C-920C-A6D8F3AC509A}"/>
    <cellStyle name="20% - Accent6 2 2 2 5 4" xfId="18880" xr:uid="{2C372236-FD7A-4608-92F0-DE8BE6CF6B47}"/>
    <cellStyle name="20% - Accent6 2 2 2 5 5" xfId="10432" xr:uid="{66E61546-519D-4FCE-B780-B93940C3F1EB}"/>
    <cellStyle name="20% - Accent6 2 2 2 6" xfId="2307" xr:uid="{00000000-0005-0000-0000-000035030000}"/>
    <cellStyle name="20% - Accent6 2 2 2 6 2" xfId="6613" xr:uid="{00000000-0005-0000-0000-000036030000}"/>
    <cellStyle name="20% - Accent6 2 2 2 6 2 2" xfId="23511" xr:uid="{6135D549-3F9D-4A17-BA55-555DA76371F9}"/>
    <cellStyle name="20% - Accent6 2 2 2 6 2 3" xfId="15063" xr:uid="{DE703A3B-02DF-4F50-8AE5-B1FC5DAAEFDA}"/>
    <cellStyle name="20% - Accent6 2 2 2 6 3" xfId="19293" xr:uid="{5D3878C1-C1E3-407F-A6D8-0FF128977944}"/>
    <cellStyle name="20% - Accent6 2 2 2 6 4" xfId="10845" xr:uid="{A257EE83-FC4E-4DE9-81B2-4141F3612C4A}"/>
    <cellStyle name="20% - Accent6 2 2 2 7" xfId="4547" xr:uid="{00000000-0005-0000-0000-000037030000}"/>
    <cellStyle name="20% - Accent6 2 2 2 7 2" xfId="21445" xr:uid="{10652355-908C-46D9-833B-583D3915F123}"/>
    <cellStyle name="20% - Accent6 2 2 2 7 3" xfId="12997" xr:uid="{2037C154-EDF4-4632-807A-D8EF3DD0CC8E}"/>
    <cellStyle name="20% - Accent6 2 2 2 8" xfId="17227" xr:uid="{EC1694BA-4598-4CF4-B374-65A3DB4F3FC6}"/>
    <cellStyle name="20% - Accent6 2 2 2 9" xfId="8779" xr:uid="{CA551596-D11B-4294-8C3B-5633BA93C371}"/>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24003" xr:uid="{5C2410F9-789D-4E2A-BF63-FCC7742EE6DC}"/>
    <cellStyle name="20% - Accent6 2 2 3 2 2 3" xfId="15555" xr:uid="{D9802AEC-631C-4233-A944-B0FE982398BD}"/>
    <cellStyle name="20% - Accent6 2 2 3 2 3" xfId="19785" xr:uid="{A7373995-844E-4AF7-978D-18229729B760}"/>
    <cellStyle name="20% - Accent6 2 2 3 2 4" xfId="11337" xr:uid="{5296AA10-7D6A-47EA-B60E-2AC552DAB258}"/>
    <cellStyle name="20% - Accent6 2 2 3 3" xfId="4960" xr:uid="{00000000-0005-0000-0000-00003B030000}"/>
    <cellStyle name="20% - Accent6 2 2 3 3 2" xfId="21858" xr:uid="{2C31AF99-FC19-4DE8-979A-F3C119BD3680}"/>
    <cellStyle name="20% - Accent6 2 2 3 3 3" xfId="13410" xr:uid="{BDDB5878-B744-4C06-BD48-383DCF3B3700}"/>
    <cellStyle name="20% - Accent6 2 2 3 4" xfId="17640" xr:uid="{A6BE8B31-8985-4941-B2E6-AF7FA40D4600}"/>
    <cellStyle name="20% - Accent6 2 2 3 5" xfId="9192" xr:uid="{47038732-9484-44F5-B901-86E11366F53A}"/>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24416" xr:uid="{23693F2E-E04C-455E-A97E-5F87BEB353A4}"/>
    <cellStyle name="20% - Accent6 2 2 4 2 2 3" xfId="15968" xr:uid="{5F60BD58-711B-491B-BB09-7E24A1B9CD46}"/>
    <cellStyle name="20% - Accent6 2 2 4 2 3" xfId="20198" xr:uid="{65692F16-63A3-4F92-93C6-29226C34FCA6}"/>
    <cellStyle name="20% - Accent6 2 2 4 2 4" xfId="11750" xr:uid="{AA17D453-51F1-4E72-BA1D-D6B138F5A9DC}"/>
    <cellStyle name="20% - Accent6 2 2 4 3" xfId="5373" xr:uid="{00000000-0005-0000-0000-00003F030000}"/>
    <cellStyle name="20% - Accent6 2 2 4 3 2" xfId="22271" xr:uid="{E3557FDE-236F-4A94-9E35-7CE508132F27}"/>
    <cellStyle name="20% - Accent6 2 2 4 3 3" xfId="13823" xr:uid="{5E7D2446-3A40-4968-AFA9-64BC5C5CE6DD}"/>
    <cellStyle name="20% - Accent6 2 2 4 4" xfId="18053" xr:uid="{F61AA387-71B0-481E-BCEF-AB82C9FFE924}"/>
    <cellStyle name="20% - Accent6 2 2 4 5" xfId="9605" xr:uid="{5A37FBFF-CDD1-459A-9351-CD3009594914}"/>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24829" xr:uid="{7C8F0100-CA8F-469F-8F6C-E9FAB5DA0BB5}"/>
    <cellStyle name="20% - Accent6 2 2 5 2 2 3" xfId="16381" xr:uid="{408EFE31-081C-42CF-A8C3-A94D8F3F8B79}"/>
    <cellStyle name="20% - Accent6 2 2 5 2 3" xfId="20611" xr:uid="{1A63B83B-8B03-4A23-8806-0EA822977720}"/>
    <cellStyle name="20% - Accent6 2 2 5 2 4" xfId="12163" xr:uid="{DCCBADE5-4967-4768-A0B4-C947F00A2F27}"/>
    <cellStyle name="20% - Accent6 2 2 5 3" xfId="5786" xr:uid="{00000000-0005-0000-0000-000043030000}"/>
    <cellStyle name="20% - Accent6 2 2 5 3 2" xfId="22684" xr:uid="{14882C2B-0737-4FA9-B3D4-DB7EC77802D5}"/>
    <cellStyle name="20% - Accent6 2 2 5 3 3" xfId="14236" xr:uid="{1316B7AE-BACD-438C-A412-37CCC5E8CF8B}"/>
    <cellStyle name="20% - Accent6 2 2 5 4" xfId="18466" xr:uid="{07E25FF4-7746-4F2A-91FA-661639A58C65}"/>
    <cellStyle name="20% - Accent6 2 2 5 5" xfId="10018" xr:uid="{CFDE522A-59ED-44D8-A3D3-B06C9D302AA6}"/>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25242" xr:uid="{399C33CE-5C85-466B-AB56-9FD6761D4B8B}"/>
    <cellStyle name="20% - Accent6 2 2 6 2 2 3" xfId="16794" xr:uid="{F34FD31F-80CE-404C-93F5-82F6C1278BA8}"/>
    <cellStyle name="20% - Accent6 2 2 6 2 3" xfId="21024" xr:uid="{1DEB2C97-AE6C-4201-A1CC-241E07891D52}"/>
    <cellStyle name="20% - Accent6 2 2 6 2 4" xfId="12576" xr:uid="{384063A2-62F5-42D0-8A6A-1265242267BA}"/>
    <cellStyle name="20% - Accent6 2 2 6 3" xfId="6199" xr:uid="{00000000-0005-0000-0000-000047030000}"/>
    <cellStyle name="20% - Accent6 2 2 6 3 2" xfId="23097" xr:uid="{6BF6C7A9-2C61-49C7-9F0D-E2574C07983F}"/>
    <cellStyle name="20% - Accent6 2 2 6 3 3" xfId="14649" xr:uid="{BE0815EA-12D9-48A2-B336-B2D99703F014}"/>
    <cellStyle name="20% - Accent6 2 2 6 4" xfId="18879" xr:uid="{C8F123F1-5325-4985-A905-6AE39DB3A59D}"/>
    <cellStyle name="20% - Accent6 2 2 6 5" xfId="10431" xr:uid="{DA6C38B3-DCEF-4B4B-A08D-EADA7B91C657}"/>
    <cellStyle name="20% - Accent6 2 2 7" xfId="2306" xr:uid="{00000000-0005-0000-0000-000048030000}"/>
    <cellStyle name="20% - Accent6 2 2 7 2" xfId="6612" xr:uid="{00000000-0005-0000-0000-000049030000}"/>
    <cellStyle name="20% - Accent6 2 2 7 2 2" xfId="23510" xr:uid="{DC149E84-1462-4233-AF3F-144EB1497447}"/>
    <cellStyle name="20% - Accent6 2 2 7 2 3" xfId="15062" xr:uid="{74CEB527-B6C7-40F1-A3F4-8541128C6486}"/>
    <cellStyle name="20% - Accent6 2 2 7 3" xfId="19292" xr:uid="{36A65102-E87E-45F5-8A68-77E5F4C3954C}"/>
    <cellStyle name="20% - Accent6 2 2 7 4" xfId="10844" xr:uid="{79214065-A303-4B89-8F3A-0F6BB9508778}"/>
    <cellStyle name="20% - Accent6 2 2 8" xfId="4546" xr:uid="{00000000-0005-0000-0000-00004A030000}"/>
    <cellStyle name="20% - Accent6 2 2 8 2" xfId="21444" xr:uid="{0A18A15B-EF09-46F1-B625-426230CF3DFC}"/>
    <cellStyle name="20% - Accent6 2 2 8 3" xfId="12996" xr:uid="{557BCEA2-643F-4E6B-8045-2EE57DF817AE}"/>
    <cellStyle name="20% - Accent6 2 2 9" xfId="17226" xr:uid="{1B42F727-37E1-4B3D-B038-A78904D7FF97}"/>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24005" xr:uid="{9E9626F9-294D-4C56-B728-864F16F0F86E}"/>
    <cellStyle name="20% - Accent6 2 3 2 2 2 3" xfId="15557" xr:uid="{06127CF7-4869-461E-9FE9-141B0BAA16F9}"/>
    <cellStyle name="20% - Accent6 2 3 2 2 3" xfId="19787" xr:uid="{07BEF8CF-31E8-4EB2-BDE0-148D94BA51E9}"/>
    <cellStyle name="20% - Accent6 2 3 2 2 4" xfId="11339" xr:uid="{9EC07ED3-6D65-486E-AD28-B3488E849040}"/>
    <cellStyle name="20% - Accent6 2 3 2 3" xfId="4962" xr:uid="{00000000-0005-0000-0000-00004F030000}"/>
    <cellStyle name="20% - Accent6 2 3 2 3 2" xfId="21860" xr:uid="{854C8D35-0E62-4512-B4DB-BA0D043FE7C5}"/>
    <cellStyle name="20% - Accent6 2 3 2 3 3" xfId="13412" xr:uid="{40B88A12-62AA-46C3-A9F0-9D0A4142F3F5}"/>
    <cellStyle name="20% - Accent6 2 3 2 4" xfId="17642" xr:uid="{7C8ECF20-12D6-41F4-8BE6-9ACB8CC29926}"/>
    <cellStyle name="20% - Accent6 2 3 2 5" xfId="9194" xr:uid="{8CF9577A-9FB2-4D44-B2B3-E2DB5252A8CF}"/>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24418" xr:uid="{AB4ACF7C-1628-4556-9DA1-8C44C823A878}"/>
    <cellStyle name="20% - Accent6 2 3 3 2 2 3" xfId="15970" xr:uid="{4F68A0AB-5CDF-4F80-8CBC-A1355CC1A086}"/>
    <cellStyle name="20% - Accent6 2 3 3 2 3" xfId="20200" xr:uid="{4D3F4A35-A44A-4092-96E3-CAD23F7454D1}"/>
    <cellStyle name="20% - Accent6 2 3 3 2 4" xfId="11752" xr:uid="{C023E910-E601-4C62-B4CD-1FD37DA7A51E}"/>
    <cellStyle name="20% - Accent6 2 3 3 3" xfId="5375" xr:uid="{00000000-0005-0000-0000-000053030000}"/>
    <cellStyle name="20% - Accent6 2 3 3 3 2" xfId="22273" xr:uid="{6A891986-92AF-492C-AB64-59097919066B}"/>
    <cellStyle name="20% - Accent6 2 3 3 3 3" xfId="13825" xr:uid="{8B934712-310D-4317-9FB9-AF2526E4A931}"/>
    <cellStyle name="20% - Accent6 2 3 3 4" xfId="18055" xr:uid="{F7DF3E80-93E0-40D4-9DA6-76800D8E6C7D}"/>
    <cellStyle name="20% - Accent6 2 3 3 5" xfId="9607" xr:uid="{559C68BA-907B-4830-A74D-1F20EC21F534}"/>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24831" xr:uid="{204F75FC-2911-4759-B9F6-C6BC5035BAAA}"/>
    <cellStyle name="20% - Accent6 2 3 4 2 2 3" xfId="16383" xr:uid="{9CB46C1E-45F4-4139-BABF-2C8F65A972DE}"/>
    <cellStyle name="20% - Accent6 2 3 4 2 3" xfId="20613" xr:uid="{0D6518A6-7F2C-4BD0-9018-260DC46090C0}"/>
    <cellStyle name="20% - Accent6 2 3 4 2 4" xfId="12165" xr:uid="{FD2F10FF-5321-47F5-B4D9-56F63F3EB426}"/>
    <cellStyle name="20% - Accent6 2 3 4 3" xfId="5788" xr:uid="{00000000-0005-0000-0000-000057030000}"/>
    <cellStyle name="20% - Accent6 2 3 4 3 2" xfId="22686" xr:uid="{35B56321-66BE-4993-91B0-97D5FBD83EEF}"/>
    <cellStyle name="20% - Accent6 2 3 4 3 3" xfId="14238" xr:uid="{D985F68E-79DC-408F-81DB-F2D1026E05C7}"/>
    <cellStyle name="20% - Accent6 2 3 4 4" xfId="18468" xr:uid="{B73FCE8A-A7F5-480F-A50D-0E52A2A92585}"/>
    <cellStyle name="20% - Accent6 2 3 4 5" xfId="10020" xr:uid="{57648AD3-A9E8-4D9D-B976-15E68A8AEC65}"/>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25244" xr:uid="{B789000D-8EA1-4616-B7DE-4DF1F12E482B}"/>
    <cellStyle name="20% - Accent6 2 3 5 2 2 3" xfId="16796" xr:uid="{CFB06E4B-3EE8-439F-8E6B-EB6986E744AD}"/>
    <cellStyle name="20% - Accent6 2 3 5 2 3" xfId="21026" xr:uid="{1CBDA34E-C10F-4B7E-8A2E-42A107889DF2}"/>
    <cellStyle name="20% - Accent6 2 3 5 2 4" xfId="12578" xr:uid="{85090F2E-25E0-4507-9798-B299D29B73F5}"/>
    <cellStyle name="20% - Accent6 2 3 5 3" xfId="6201" xr:uid="{00000000-0005-0000-0000-00005B030000}"/>
    <cellStyle name="20% - Accent6 2 3 5 3 2" xfId="23099" xr:uid="{167AFCF3-5C64-4D7F-A074-28135B2B97F6}"/>
    <cellStyle name="20% - Accent6 2 3 5 3 3" xfId="14651" xr:uid="{531975B9-72EA-40E3-BE69-A08072BC85BE}"/>
    <cellStyle name="20% - Accent6 2 3 5 4" xfId="18881" xr:uid="{6DE011FC-529D-4001-9B0C-7B69866E5200}"/>
    <cellStyle name="20% - Accent6 2 3 5 5" xfId="10433" xr:uid="{BBA69826-1D95-4F0C-A298-A94BBE1F0F47}"/>
    <cellStyle name="20% - Accent6 2 3 6" xfId="2308" xr:uid="{00000000-0005-0000-0000-00005C030000}"/>
    <cellStyle name="20% - Accent6 2 3 6 2" xfId="6614" xr:uid="{00000000-0005-0000-0000-00005D030000}"/>
    <cellStyle name="20% - Accent6 2 3 6 2 2" xfId="23512" xr:uid="{756F9984-A08D-4817-8DEE-09205606613F}"/>
    <cellStyle name="20% - Accent6 2 3 6 2 3" xfId="15064" xr:uid="{02F0FF5D-0E41-4B8D-82CD-A08159001A34}"/>
    <cellStyle name="20% - Accent6 2 3 6 3" xfId="19294" xr:uid="{45AEA13C-A9F7-4952-AFD2-242DDAC57DAB}"/>
    <cellStyle name="20% - Accent6 2 3 6 4" xfId="10846" xr:uid="{FBFE4F23-5753-4266-94DE-8DFE1C9CB30E}"/>
    <cellStyle name="20% - Accent6 2 3 7" xfId="4548" xr:uid="{00000000-0005-0000-0000-00005E030000}"/>
    <cellStyle name="20% - Accent6 2 3 7 2" xfId="21446" xr:uid="{C7D041CD-94FA-433B-8FB5-D7DC37E87BA8}"/>
    <cellStyle name="20% - Accent6 2 3 7 3" xfId="12998" xr:uid="{58047B87-4263-4AD5-BC0D-463E5A15DDF0}"/>
    <cellStyle name="20% - Accent6 2 3 8" xfId="17228" xr:uid="{9A44070C-6E9B-426B-AB4C-CA76608F7010}"/>
    <cellStyle name="20% - Accent6 2 3 9" xfId="8780" xr:uid="{768884EB-7C62-478C-A977-3C3C796CBBED}"/>
    <cellStyle name="20% - Accent6 2 4" xfId="611" xr:uid="{00000000-0005-0000-0000-00005F030000}"/>
    <cellStyle name="20% - Accent6 2 4 2" xfId="2882" xr:uid="{00000000-0005-0000-0000-000060030000}"/>
    <cellStyle name="20% - Accent6 2 4 2 2" xfId="7104" xr:uid="{00000000-0005-0000-0000-000061030000}"/>
    <cellStyle name="20% - Accent6 2 4 2 2 2" xfId="24002" xr:uid="{002BDB15-0359-4290-AD0A-B323D56365F8}"/>
    <cellStyle name="20% - Accent6 2 4 2 2 3" xfId="15554" xr:uid="{6A8ABD18-5A2B-44F6-94E6-6427D08FC255}"/>
    <cellStyle name="20% - Accent6 2 4 2 3" xfId="19784" xr:uid="{582BA2E0-206E-4C91-B6E1-BF35941331E8}"/>
    <cellStyle name="20% - Accent6 2 4 2 4" xfId="11336" xr:uid="{45744F41-32B3-47A2-B5D9-4FEC7607D37A}"/>
    <cellStyle name="20% - Accent6 2 4 3" xfId="4959" xr:uid="{00000000-0005-0000-0000-000062030000}"/>
    <cellStyle name="20% - Accent6 2 4 3 2" xfId="21857" xr:uid="{A2791C9C-3CC0-4C01-9CBC-506EFC5761BD}"/>
    <cellStyle name="20% - Accent6 2 4 3 3" xfId="13409" xr:uid="{7F1D192C-AD8E-4A6A-B183-CF8AC416515C}"/>
    <cellStyle name="20% - Accent6 2 4 4" xfId="17639" xr:uid="{BD3979A4-1D7E-446A-9AFF-4AE855A8D773}"/>
    <cellStyle name="20% - Accent6 2 4 5" xfId="9191" xr:uid="{2E5E2131-7A4B-46AB-A9D1-EDE2003A28B3}"/>
    <cellStyle name="20% - Accent6 2 5" xfId="1064" xr:uid="{00000000-0005-0000-0000-000063030000}"/>
    <cellStyle name="20% - Accent6 2 5 2" xfId="3295" xr:uid="{00000000-0005-0000-0000-000064030000}"/>
    <cellStyle name="20% - Accent6 2 5 2 2" xfId="7517" xr:uid="{00000000-0005-0000-0000-000065030000}"/>
    <cellStyle name="20% - Accent6 2 5 2 2 2" xfId="24415" xr:uid="{DA99C015-A63D-48A4-B0D9-3015A4504293}"/>
    <cellStyle name="20% - Accent6 2 5 2 2 3" xfId="15967" xr:uid="{CA939E2B-2E2A-46B9-827D-A1B566726389}"/>
    <cellStyle name="20% - Accent6 2 5 2 3" xfId="20197" xr:uid="{53BED75E-7BE0-4F09-92EB-B61A3AF7A0D2}"/>
    <cellStyle name="20% - Accent6 2 5 2 4" xfId="11749" xr:uid="{287597F9-386F-412D-8B75-CA1B19E4354D}"/>
    <cellStyle name="20% - Accent6 2 5 3" xfId="5372" xr:uid="{00000000-0005-0000-0000-000066030000}"/>
    <cellStyle name="20% - Accent6 2 5 3 2" xfId="22270" xr:uid="{2C5A3311-10BA-4D22-A889-C2119887F1FB}"/>
    <cellStyle name="20% - Accent6 2 5 3 3" xfId="13822" xr:uid="{AD98F349-D7A0-4546-B40C-9EB47E0FF1B5}"/>
    <cellStyle name="20% - Accent6 2 5 4" xfId="18052" xr:uid="{598488E2-43DA-4F74-99EA-E74AC6D2C759}"/>
    <cellStyle name="20% - Accent6 2 5 5" xfId="9604" xr:uid="{BDAE98C1-43DF-49B2-8342-038661CFA673}"/>
    <cellStyle name="20% - Accent6 2 6" xfId="1478" xr:uid="{00000000-0005-0000-0000-000067030000}"/>
    <cellStyle name="20% - Accent6 2 6 2" xfId="3708" xr:uid="{00000000-0005-0000-0000-000068030000}"/>
    <cellStyle name="20% - Accent6 2 6 2 2" xfId="7930" xr:uid="{00000000-0005-0000-0000-000069030000}"/>
    <cellStyle name="20% - Accent6 2 6 2 2 2" xfId="24828" xr:uid="{51461740-2BE2-4DB7-8F22-99B52881C512}"/>
    <cellStyle name="20% - Accent6 2 6 2 2 3" xfId="16380" xr:uid="{AF44845C-B784-43EB-96F0-ED5C91C61DB8}"/>
    <cellStyle name="20% - Accent6 2 6 2 3" xfId="20610" xr:uid="{7F8B183A-1732-4853-BDD9-A0D939FF0E7F}"/>
    <cellStyle name="20% - Accent6 2 6 2 4" xfId="12162" xr:uid="{85D244E9-87A2-410E-A3D4-3F42FB86B2EB}"/>
    <cellStyle name="20% - Accent6 2 6 3" xfId="5785" xr:uid="{00000000-0005-0000-0000-00006A030000}"/>
    <cellStyle name="20% - Accent6 2 6 3 2" xfId="22683" xr:uid="{2FCFDBDB-4AF5-4801-AA46-FF026F701987}"/>
    <cellStyle name="20% - Accent6 2 6 3 3" xfId="14235" xr:uid="{77F52956-E488-45F9-A5F5-ED269F4B5263}"/>
    <cellStyle name="20% - Accent6 2 6 4" xfId="18465" xr:uid="{C4FDCF6E-C673-4C5E-BEA2-3CB5830C6808}"/>
    <cellStyle name="20% - Accent6 2 6 5" xfId="10017" xr:uid="{6CCC04FF-C316-4B36-919F-33A3139074A9}"/>
    <cellStyle name="20% - Accent6 2 7" xfId="1892" xr:uid="{00000000-0005-0000-0000-00006B030000}"/>
    <cellStyle name="20% - Accent6 2 7 2" xfId="4121" xr:uid="{00000000-0005-0000-0000-00006C030000}"/>
    <cellStyle name="20% - Accent6 2 7 2 2" xfId="8343" xr:uid="{00000000-0005-0000-0000-00006D030000}"/>
    <cellStyle name="20% - Accent6 2 7 2 2 2" xfId="25241" xr:uid="{12D69A56-F09B-4B4A-858B-35DE7E716A27}"/>
    <cellStyle name="20% - Accent6 2 7 2 2 3" xfId="16793" xr:uid="{0FD94031-743D-48AD-995F-0F29DC4AEABC}"/>
    <cellStyle name="20% - Accent6 2 7 2 3" xfId="21023" xr:uid="{5580EE9E-1230-48E5-8CB3-13D6AC65A8CE}"/>
    <cellStyle name="20% - Accent6 2 7 2 4" xfId="12575" xr:uid="{DC4DBF15-8636-48D7-A252-D2415A757EC9}"/>
    <cellStyle name="20% - Accent6 2 7 3" xfId="6198" xr:uid="{00000000-0005-0000-0000-00006E030000}"/>
    <cellStyle name="20% - Accent6 2 7 3 2" xfId="23096" xr:uid="{4A7D70F6-B720-41B7-8799-E9BD05DDEDCF}"/>
    <cellStyle name="20% - Accent6 2 7 3 3" xfId="14648" xr:uid="{55D9579C-EF6D-4AB3-913B-3059C4046897}"/>
    <cellStyle name="20% - Accent6 2 7 4" xfId="18878" xr:uid="{561938A7-D3F6-4878-AF76-5163624400F7}"/>
    <cellStyle name="20% - Accent6 2 7 5" xfId="10430" xr:uid="{4EED234F-13A5-432A-8528-E666B8705941}"/>
    <cellStyle name="20% - Accent6 2 8" xfId="2305" xr:uid="{00000000-0005-0000-0000-00006F030000}"/>
    <cellStyle name="20% - Accent6 2 8 2" xfId="6611" xr:uid="{00000000-0005-0000-0000-000070030000}"/>
    <cellStyle name="20% - Accent6 2 8 2 2" xfId="23509" xr:uid="{FE09B2A6-F13B-4E92-B306-1FE4D8F59996}"/>
    <cellStyle name="20% - Accent6 2 8 2 3" xfId="15061" xr:uid="{4172105D-FE66-4D55-94EB-A6096CF43B36}"/>
    <cellStyle name="20% - Accent6 2 8 3" xfId="19291" xr:uid="{5981DD5B-46EB-4CAD-91B4-B87E20C73106}"/>
    <cellStyle name="20% - Accent6 2 8 4" xfId="10843" xr:uid="{54AB7148-10A1-4D57-913D-6F079C2CC4DF}"/>
    <cellStyle name="20% - Accent6 2 9" xfId="4545" xr:uid="{00000000-0005-0000-0000-000071030000}"/>
    <cellStyle name="20% - Accent6 2 9 2" xfId="21443" xr:uid="{279F60DB-5684-4DB2-95FF-7C3A9F213949}"/>
    <cellStyle name="20% - Accent6 2 9 3" xfId="12995" xr:uid="{7D80A2A8-6CA0-4590-A882-33865B5EE1C0}"/>
    <cellStyle name="20% - Accent6 3" xfId="46" xr:uid="{00000000-0005-0000-0000-000072030000}"/>
    <cellStyle name="20% - Accent6 3 10" xfId="8781" xr:uid="{19B986ED-31AA-459B-88BE-FEC762702BA4}"/>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24007" xr:uid="{089EF855-6F18-4A65-8280-D4C3D5B2A3A9}"/>
    <cellStyle name="20% - Accent6 3 2 2 2 2 3" xfId="15559" xr:uid="{30AEFC3F-9E31-4442-B822-8C7996D5B990}"/>
    <cellStyle name="20% - Accent6 3 2 2 2 3" xfId="19789" xr:uid="{18B58876-1757-4EB4-9A1C-4BD5E8FA27CF}"/>
    <cellStyle name="20% - Accent6 3 2 2 2 4" xfId="11341" xr:uid="{BE73A9F7-C118-4C79-B11C-D3457F5ED2BF}"/>
    <cellStyle name="20% - Accent6 3 2 2 3" xfId="4964" xr:uid="{00000000-0005-0000-0000-000077030000}"/>
    <cellStyle name="20% - Accent6 3 2 2 3 2" xfId="21862" xr:uid="{6FDC7380-CF48-40E9-AC8A-D25F449E5A6E}"/>
    <cellStyle name="20% - Accent6 3 2 2 3 3" xfId="13414" xr:uid="{75389907-23DF-4A55-9889-0CB9D4B24E9A}"/>
    <cellStyle name="20% - Accent6 3 2 2 4" xfId="17644" xr:uid="{73FA2CC0-11BE-4F98-8E32-D59A37C05591}"/>
    <cellStyle name="20% - Accent6 3 2 2 5" xfId="9196" xr:uid="{41826D0C-8F2D-4848-B34B-7ED58A2396D5}"/>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24420" xr:uid="{F73354DF-9FBA-43A2-B41E-FE2355012800}"/>
    <cellStyle name="20% - Accent6 3 2 3 2 2 3" xfId="15972" xr:uid="{2B05E65B-1FE7-4C5B-9AF7-0818C346C82C}"/>
    <cellStyle name="20% - Accent6 3 2 3 2 3" xfId="20202" xr:uid="{0D3EF3CD-EA79-448D-A8DA-4BD8FDF113BA}"/>
    <cellStyle name="20% - Accent6 3 2 3 2 4" xfId="11754" xr:uid="{4C3D0776-4296-4131-A180-836BC32EF08C}"/>
    <cellStyle name="20% - Accent6 3 2 3 3" xfId="5377" xr:uid="{00000000-0005-0000-0000-00007B030000}"/>
    <cellStyle name="20% - Accent6 3 2 3 3 2" xfId="22275" xr:uid="{69C986EC-BE12-479E-9954-1F44B5FECDD1}"/>
    <cellStyle name="20% - Accent6 3 2 3 3 3" xfId="13827" xr:uid="{7DE87AA1-EFA1-4BE3-BFB5-1AC165D46A74}"/>
    <cellStyle name="20% - Accent6 3 2 3 4" xfId="18057" xr:uid="{D6F709AE-FBD7-4C78-AF3E-76264EFA1FD2}"/>
    <cellStyle name="20% - Accent6 3 2 3 5" xfId="9609" xr:uid="{FD38E863-38C8-4582-BD36-7830EDEB1EC9}"/>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24833" xr:uid="{5C183A82-A390-4539-BE69-D796D085072F}"/>
    <cellStyle name="20% - Accent6 3 2 4 2 2 3" xfId="16385" xr:uid="{E9F5CE21-4379-4C0D-86B7-87040EBC5B4A}"/>
    <cellStyle name="20% - Accent6 3 2 4 2 3" xfId="20615" xr:uid="{88744ADC-EF1D-4AA2-A641-F5E8077F6B36}"/>
    <cellStyle name="20% - Accent6 3 2 4 2 4" xfId="12167" xr:uid="{6BE91DE6-A3D0-4D3C-977E-B60569C7439D}"/>
    <cellStyle name="20% - Accent6 3 2 4 3" xfId="5790" xr:uid="{00000000-0005-0000-0000-00007F030000}"/>
    <cellStyle name="20% - Accent6 3 2 4 3 2" xfId="22688" xr:uid="{95B5CEC9-6CDB-471A-8B7E-C68D370D4820}"/>
    <cellStyle name="20% - Accent6 3 2 4 3 3" xfId="14240" xr:uid="{D0DBE24C-221B-4F24-89AB-9E8991C9E34A}"/>
    <cellStyle name="20% - Accent6 3 2 4 4" xfId="18470" xr:uid="{E3AAEE0D-CFF0-4146-9753-463C6B30172C}"/>
    <cellStyle name="20% - Accent6 3 2 4 5" xfId="10022" xr:uid="{48281D92-A49E-4D8A-8189-D8F0CD9D28C2}"/>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25246" xr:uid="{044D2934-7F30-4ABF-8D55-15912FBCA899}"/>
    <cellStyle name="20% - Accent6 3 2 5 2 2 3" xfId="16798" xr:uid="{0140C43F-2D24-49A3-AA69-182F48CF8D50}"/>
    <cellStyle name="20% - Accent6 3 2 5 2 3" xfId="21028" xr:uid="{A5B873CB-3310-48CE-8AF8-6BBDA9330C1E}"/>
    <cellStyle name="20% - Accent6 3 2 5 2 4" xfId="12580" xr:uid="{C2114F63-2B91-4C18-A85E-33BFAB2FEE88}"/>
    <cellStyle name="20% - Accent6 3 2 5 3" xfId="6203" xr:uid="{00000000-0005-0000-0000-000083030000}"/>
    <cellStyle name="20% - Accent6 3 2 5 3 2" xfId="23101" xr:uid="{072E1ED5-DC1D-44F4-8275-74DD2525BC21}"/>
    <cellStyle name="20% - Accent6 3 2 5 3 3" xfId="14653" xr:uid="{C1CC797E-B62E-4EB9-911B-B74F45989880}"/>
    <cellStyle name="20% - Accent6 3 2 5 4" xfId="18883" xr:uid="{D614CBD2-D35F-4CC3-8D4F-16C472EC19D1}"/>
    <cellStyle name="20% - Accent6 3 2 5 5" xfId="10435" xr:uid="{4A965C6E-19D2-4C14-87BD-D92F741AF3E3}"/>
    <cellStyle name="20% - Accent6 3 2 6" xfId="2310" xr:uid="{00000000-0005-0000-0000-000084030000}"/>
    <cellStyle name="20% - Accent6 3 2 6 2" xfId="6616" xr:uid="{00000000-0005-0000-0000-000085030000}"/>
    <cellStyle name="20% - Accent6 3 2 6 2 2" xfId="23514" xr:uid="{1DEBF5A0-9AF9-4BB4-94B0-C1AE3C6450A1}"/>
    <cellStyle name="20% - Accent6 3 2 6 2 3" xfId="15066" xr:uid="{F9077E91-A65E-4B42-9070-40D8FE0AC70D}"/>
    <cellStyle name="20% - Accent6 3 2 6 3" xfId="19296" xr:uid="{F261EED1-866D-4F2D-9750-CBD20CBDB28B}"/>
    <cellStyle name="20% - Accent6 3 2 6 4" xfId="10848" xr:uid="{F4B0782F-1B15-41BF-BA8E-567B6B25B328}"/>
    <cellStyle name="20% - Accent6 3 2 7" xfId="4550" xr:uid="{00000000-0005-0000-0000-000086030000}"/>
    <cellStyle name="20% - Accent6 3 2 7 2" xfId="21448" xr:uid="{5E3AB7CF-C210-4C4A-802A-FBAFFDBC4181}"/>
    <cellStyle name="20% - Accent6 3 2 7 3" xfId="13000" xr:uid="{399FF79F-5204-41D0-8ED2-4D92E6E2811A}"/>
    <cellStyle name="20% - Accent6 3 2 8" xfId="17230" xr:uid="{071DE9D3-B142-47DB-8BA2-29122F443FC2}"/>
    <cellStyle name="20% - Accent6 3 2 9" xfId="8782" xr:uid="{9E74688B-A933-4E21-92B2-7ED2CEE2584D}"/>
    <cellStyle name="20% - Accent6 3 3" xfId="615" xr:uid="{00000000-0005-0000-0000-000087030000}"/>
    <cellStyle name="20% - Accent6 3 3 2" xfId="2886" xr:uid="{00000000-0005-0000-0000-000088030000}"/>
    <cellStyle name="20% - Accent6 3 3 2 2" xfId="7108" xr:uid="{00000000-0005-0000-0000-000089030000}"/>
    <cellStyle name="20% - Accent6 3 3 2 2 2" xfId="24006" xr:uid="{406562E6-C2D2-4BAA-860D-7CC7CD3921B0}"/>
    <cellStyle name="20% - Accent6 3 3 2 2 3" xfId="15558" xr:uid="{A4698580-B17D-429F-A158-58F3A926C7A5}"/>
    <cellStyle name="20% - Accent6 3 3 2 3" xfId="19788" xr:uid="{3D224203-04E2-4A0F-BEDD-1D78217186A7}"/>
    <cellStyle name="20% - Accent6 3 3 2 4" xfId="11340" xr:uid="{A4EF1F37-0410-4F17-9C88-F180CC433D27}"/>
    <cellStyle name="20% - Accent6 3 3 3" xfId="4963" xr:uid="{00000000-0005-0000-0000-00008A030000}"/>
    <cellStyle name="20% - Accent6 3 3 3 2" xfId="21861" xr:uid="{806D13A2-E969-4002-8710-02CB74028732}"/>
    <cellStyle name="20% - Accent6 3 3 3 3" xfId="13413" xr:uid="{743C5C51-0C2D-4B61-B7AD-3E249F8C84E1}"/>
    <cellStyle name="20% - Accent6 3 3 4" xfId="17643" xr:uid="{76554A62-515E-45C0-A974-F6516515FE7A}"/>
    <cellStyle name="20% - Accent6 3 3 5" xfId="9195" xr:uid="{47887F7D-ADF3-46AE-9DD0-772A2AA59CA1}"/>
    <cellStyle name="20% - Accent6 3 4" xfId="1068" xr:uid="{00000000-0005-0000-0000-00008B030000}"/>
    <cellStyle name="20% - Accent6 3 4 2" xfId="3299" xr:uid="{00000000-0005-0000-0000-00008C030000}"/>
    <cellStyle name="20% - Accent6 3 4 2 2" xfId="7521" xr:uid="{00000000-0005-0000-0000-00008D030000}"/>
    <cellStyle name="20% - Accent6 3 4 2 2 2" xfId="24419" xr:uid="{B97FB39C-6D52-4454-8EA3-45CAF03E6075}"/>
    <cellStyle name="20% - Accent6 3 4 2 2 3" xfId="15971" xr:uid="{8D5C9522-3508-4DBF-A540-6AFEAF9D1789}"/>
    <cellStyle name="20% - Accent6 3 4 2 3" xfId="20201" xr:uid="{34A61738-69DD-443B-A3FF-B02912A7C8DD}"/>
    <cellStyle name="20% - Accent6 3 4 2 4" xfId="11753" xr:uid="{CBA56CB5-6F7C-4DCB-B6A9-8D11917FEDD4}"/>
    <cellStyle name="20% - Accent6 3 4 3" xfId="5376" xr:uid="{00000000-0005-0000-0000-00008E030000}"/>
    <cellStyle name="20% - Accent6 3 4 3 2" xfId="22274" xr:uid="{43B62B59-AC13-4E65-B3E7-9C13FF32EEAE}"/>
    <cellStyle name="20% - Accent6 3 4 3 3" xfId="13826" xr:uid="{D132127D-CF9C-44E9-8EDF-292C5FBD1D63}"/>
    <cellStyle name="20% - Accent6 3 4 4" xfId="18056" xr:uid="{DFF54FF1-E9EA-4223-AD42-E787EF29C8B5}"/>
    <cellStyle name="20% - Accent6 3 4 5" xfId="9608" xr:uid="{0DD17252-3B74-4AE7-916B-693673BA9D80}"/>
    <cellStyle name="20% - Accent6 3 5" xfId="1482" xr:uid="{00000000-0005-0000-0000-00008F030000}"/>
    <cellStyle name="20% - Accent6 3 5 2" xfId="3712" xr:uid="{00000000-0005-0000-0000-000090030000}"/>
    <cellStyle name="20% - Accent6 3 5 2 2" xfId="7934" xr:uid="{00000000-0005-0000-0000-000091030000}"/>
    <cellStyle name="20% - Accent6 3 5 2 2 2" xfId="24832" xr:uid="{3EE404A9-0595-4CDE-877F-A01B4126D9D3}"/>
    <cellStyle name="20% - Accent6 3 5 2 2 3" xfId="16384" xr:uid="{0CAAEFC4-D793-441A-B740-A2DA72A6649A}"/>
    <cellStyle name="20% - Accent6 3 5 2 3" xfId="20614" xr:uid="{2C072CFD-C8AF-439D-AC99-D2DE81D7DDA3}"/>
    <cellStyle name="20% - Accent6 3 5 2 4" xfId="12166" xr:uid="{1C9D0E4B-9A17-4276-BD1B-E6E7655DFDFD}"/>
    <cellStyle name="20% - Accent6 3 5 3" xfId="5789" xr:uid="{00000000-0005-0000-0000-000092030000}"/>
    <cellStyle name="20% - Accent6 3 5 3 2" xfId="22687" xr:uid="{4E7756E5-35E7-4FFA-91EB-DE5E62D90A0E}"/>
    <cellStyle name="20% - Accent6 3 5 3 3" xfId="14239" xr:uid="{0779AB9A-B771-492D-9F01-7DFF4005B280}"/>
    <cellStyle name="20% - Accent6 3 5 4" xfId="18469" xr:uid="{07C4DFC0-3AC0-4888-ADB9-5FC5A7FB549E}"/>
    <cellStyle name="20% - Accent6 3 5 5" xfId="10021" xr:uid="{2F01F8BE-40F3-4180-AB67-84980024B85A}"/>
    <cellStyle name="20% - Accent6 3 6" xfId="1896" xr:uid="{00000000-0005-0000-0000-000093030000}"/>
    <cellStyle name="20% - Accent6 3 6 2" xfId="4125" xr:uid="{00000000-0005-0000-0000-000094030000}"/>
    <cellStyle name="20% - Accent6 3 6 2 2" xfId="8347" xr:uid="{00000000-0005-0000-0000-000095030000}"/>
    <cellStyle name="20% - Accent6 3 6 2 2 2" xfId="25245" xr:uid="{8DFAD755-F636-4584-8162-E5F959F47F53}"/>
    <cellStyle name="20% - Accent6 3 6 2 2 3" xfId="16797" xr:uid="{5BD0B56F-9BAD-4F98-A450-DC4C2AB05605}"/>
    <cellStyle name="20% - Accent6 3 6 2 3" xfId="21027" xr:uid="{2BF7535B-24B1-41A0-973B-03B8EB5961FE}"/>
    <cellStyle name="20% - Accent6 3 6 2 4" xfId="12579" xr:uid="{31895D57-2C9E-4DC2-A471-B23D1B2AA90C}"/>
    <cellStyle name="20% - Accent6 3 6 3" xfId="6202" xr:uid="{00000000-0005-0000-0000-000096030000}"/>
    <cellStyle name="20% - Accent6 3 6 3 2" xfId="23100" xr:uid="{DDBF2956-A345-4C36-97E3-8ABEDB1D7FBC}"/>
    <cellStyle name="20% - Accent6 3 6 3 3" xfId="14652" xr:uid="{2165C9A2-2252-40FF-AB86-0BA90B3D43B7}"/>
    <cellStyle name="20% - Accent6 3 6 4" xfId="18882" xr:uid="{A9395E97-9A33-4998-9519-08A2100DF436}"/>
    <cellStyle name="20% - Accent6 3 6 5" xfId="10434" xr:uid="{03322FF8-9B17-425E-BB2F-72F49C252921}"/>
    <cellStyle name="20% - Accent6 3 7" xfId="2309" xr:uid="{00000000-0005-0000-0000-000097030000}"/>
    <cellStyle name="20% - Accent6 3 7 2" xfId="6615" xr:uid="{00000000-0005-0000-0000-000098030000}"/>
    <cellStyle name="20% - Accent6 3 7 2 2" xfId="23513" xr:uid="{DC94D298-6417-4A55-B4C8-71374DE300E7}"/>
    <cellStyle name="20% - Accent6 3 7 2 3" xfId="15065" xr:uid="{F37D925D-3758-4CFD-99E5-A23653253032}"/>
    <cellStyle name="20% - Accent6 3 7 3" xfId="19295" xr:uid="{2C68873C-2797-475F-B203-EAB30F7069D4}"/>
    <cellStyle name="20% - Accent6 3 7 4" xfId="10847" xr:uid="{4C0FA8D4-94FE-427F-BD7A-C075EC8FB003}"/>
    <cellStyle name="20% - Accent6 3 8" xfId="4549" xr:uid="{00000000-0005-0000-0000-000099030000}"/>
    <cellStyle name="20% - Accent6 3 8 2" xfId="21447" xr:uid="{47964E30-50E8-439A-AFA7-0184A920058C}"/>
    <cellStyle name="20% - Accent6 3 8 3" xfId="12999" xr:uid="{89DAD203-1DC3-4184-887A-3CBB0B343F73}"/>
    <cellStyle name="20% - Accent6 3 9" xfId="17229" xr:uid="{AADABB20-1E7B-402B-B35A-7275D7C84BD4}"/>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2 2 2" xfId="24008" xr:uid="{40C9E32D-ED4E-47F5-8C99-3CA20E58A69F}"/>
    <cellStyle name="20% - Accent6 4 2 2 2 3" xfId="15560" xr:uid="{FFB2F739-4C23-444D-9C8A-B8AD787F41B2}"/>
    <cellStyle name="20% - Accent6 4 2 2 3" xfId="19790" xr:uid="{0B3DB8D9-28B2-4EFD-82AA-7DE9185E788E}"/>
    <cellStyle name="20% - Accent6 4 2 2 4" xfId="11342" xr:uid="{2D7BB064-7831-4B43-96E6-F520D7D69A14}"/>
    <cellStyle name="20% - Accent6 4 2 3" xfId="4965" xr:uid="{00000000-0005-0000-0000-00009E030000}"/>
    <cellStyle name="20% - Accent6 4 2 3 2" xfId="21863" xr:uid="{81940FD0-E549-43F1-8856-47525F082A6B}"/>
    <cellStyle name="20% - Accent6 4 2 3 3" xfId="13415" xr:uid="{6D290D29-31AB-4D82-AF97-958C5F5AA57C}"/>
    <cellStyle name="20% - Accent6 4 2 4" xfId="17645" xr:uid="{C00C530B-926D-4430-9DA6-C13B7DA338B2}"/>
    <cellStyle name="20% - Accent6 4 2 5" xfId="9197" xr:uid="{0A1939E9-92CA-4172-AE2A-9C8DEEF4E230}"/>
    <cellStyle name="20% - Accent6 4 3" xfId="1070" xr:uid="{00000000-0005-0000-0000-00009F030000}"/>
    <cellStyle name="20% - Accent6 4 3 2" xfId="3301" xr:uid="{00000000-0005-0000-0000-0000A0030000}"/>
    <cellStyle name="20% - Accent6 4 3 2 2" xfId="7523" xr:uid="{00000000-0005-0000-0000-0000A1030000}"/>
    <cellStyle name="20% - Accent6 4 3 2 2 2" xfId="24421" xr:uid="{3D228A41-7FE9-448B-8A68-DA842DB7E784}"/>
    <cellStyle name="20% - Accent6 4 3 2 2 3" xfId="15973" xr:uid="{B1373E2C-E2D5-4F23-B48E-736BDF5FC444}"/>
    <cellStyle name="20% - Accent6 4 3 2 3" xfId="20203" xr:uid="{076ADA59-F8E5-472C-8E74-B6060F928103}"/>
    <cellStyle name="20% - Accent6 4 3 2 4" xfId="11755" xr:uid="{7374B786-FC5F-4FC4-BE06-1C7B0A4229D9}"/>
    <cellStyle name="20% - Accent6 4 3 3" xfId="5378" xr:uid="{00000000-0005-0000-0000-0000A2030000}"/>
    <cellStyle name="20% - Accent6 4 3 3 2" xfId="22276" xr:uid="{4563349C-A615-48DA-ADA9-8643D0DC567C}"/>
    <cellStyle name="20% - Accent6 4 3 3 3" xfId="13828" xr:uid="{9229EA42-3674-4BD7-B4D8-67E171D554B0}"/>
    <cellStyle name="20% - Accent6 4 3 4" xfId="18058" xr:uid="{CCB138D9-AD1B-4FD7-8112-006BC7D92B23}"/>
    <cellStyle name="20% - Accent6 4 3 5" xfId="9610" xr:uid="{F775FE8F-017C-42CC-9E85-2AE9C2B94BF0}"/>
    <cellStyle name="20% - Accent6 4 4" xfId="1484" xr:uid="{00000000-0005-0000-0000-0000A3030000}"/>
    <cellStyle name="20% - Accent6 4 4 2" xfId="3714" xr:uid="{00000000-0005-0000-0000-0000A4030000}"/>
    <cellStyle name="20% - Accent6 4 4 2 2" xfId="7936" xr:uid="{00000000-0005-0000-0000-0000A5030000}"/>
    <cellStyle name="20% - Accent6 4 4 2 2 2" xfId="24834" xr:uid="{7DFAEEEE-8F87-45B1-A3E5-4B747B375E9E}"/>
    <cellStyle name="20% - Accent6 4 4 2 2 3" xfId="16386" xr:uid="{58A53B97-AB64-4702-917E-82616BC025F0}"/>
    <cellStyle name="20% - Accent6 4 4 2 3" xfId="20616" xr:uid="{453642DF-110A-4153-8BEB-84B18C24E0BA}"/>
    <cellStyle name="20% - Accent6 4 4 2 4" xfId="12168" xr:uid="{88FC5B2B-B9E0-403B-ABDF-76C854643217}"/>
    <cellStyle name="20% - Accent6 4 4 3" xfId="5791" xr:uid="{00000000-0005-0000-0000-0000A6030000}"/>
    <cellStyle name="20% - Accent6 4 4 3 2" xfId="22689" xr:uid="{1ABE12C7-966C-44E8-AB50-31BDE76D4833}"/>
    <cellStyle name="20% - Accent6 4 4 3 3" xfId="14241" xr:uid="{11F4F6B5-67F0-4556-830A-FC111385D2E8}"/>
    <cellStyle name="20% - Accent6 4 4 4" xfId="18471" xr:uid="{30914433-F3D5-40B1-B2E1-FDD40FEE52F3}"/>
    <cellStyle name="20% - Accent6 4 4 5" xfId="10023" xr:uid="{4A7F41C6-7E25-4959-98F6-DDB186BCF243}"/>
    <cellStyle name="20% - Accent6 4 5" xfId="1898" xr:uid="{00000000-0005-0000-0000-0000A7030000}"/>
    <cellStyle name="20% - Accent6 4 5 2" xfId="4127" xr:uid="{00000000-0005-0000-0000-0000A8030000}"/>
    <cellStyle name="20% - Accent6 4 5 2 2" xfId="8349" xr:uid="{00000000-0005-0000-0000-0000A9030000}"/>
    <cellStyle name="20% - Accent6 4 5 2 2 2" xfId="25247" xr:uid="{15195CCF-9D4E-4A73-90F9-D49FA6933227}"/>
    <cellStyle name="20% - Accent6 4 5 2 2 3" xfId="16799" xr:uid="{572EEC18-E83D-42FD-B7DC-532D782F35D5}"/>
    <cellStyle name="20% - Accent6 4 5 2 3" xfId="21029" xr:uid="{FEFD96DA-728F-4133-B9DA-2620933CA062}"/>
    <cellStyle name="20% - Accent6 4 5 2 4" xfId="12581" xr:uid="{51160316-70B0-49E9-98C0-40A20D940031}"/>
    <cellStyle name="20% - Accent6 4 5 3" xfId="6204" xr:uid="{00000000-0005-0000-0000-0000AA030000}"/>
    <cellStyle name="20% - Accent6 4 5 3 2" xfId="23102" xr:uid="{78736A3C-E5AD-4778-9EA5-C22A25B26CE0}"/>
    <cellStyle name="20% - Accent6 4 5 3 3" xfId="14654" xr:uid="{B8E218A1-CE8E-4C46-9C77-A9F53C2E6973}"/>
    <cellStyle name="20% - Accent6 4 5 4" xfId="18884" xr:uid="{353A7382-943E-42A9-914B-A8A5417A5A50}"/>
    <cellStyle name="20% - Accent6 4 5 5" xfId="10436" xr:uid="{195FDA3C-124B-40A6-8FDF-D2628D432743}"/>
    <cellStyle name="20% - Accent6 4 6" xfId="2311" xr:uid="{00000000-0005-0000-0000-0000AB030000}"/>
    <cellStyle name="20% - Accent6 4 6 2" xfId="6617" xr:uid="{00000000-0005-0000-0000-0000AC030000}"/>
    <cellStyle name="20% - Accent6 4 6 2 2" xfId="23515" xr:uid="{B98986B6-3BE3-4091-9B5E-9CFFD281E5B7}"/>
    <cellStyle name="20% - Accent6 4 6 2 3" xfId="15067" xr:uid="{600787DA-BA59-4278-A0EA-641035404E07}"/>
    <cellStyle name="20% - Accent6 4 6 3" xfId="19297" xr:uid="{0679D0AA-A765-49EB-B82D-9BC7C6D370C6}"/>
    <cellStyle name="20% - Accent6 4 6 4" xfId="10849" xr:uid="{C189A08A-DB7D-40DE-8EDA-B13B89991C91}"/>
    <cellStyle name="20% - Accent6 4 7" xfId="4551" xr:uid="{00000000-0005-0000-0000-0000AD030000}"/>
    <cellStyle name="20% - Accent6 4 7 2" xfId="21449" xr:uid="{3DF9B252-CFF1-4AF1-BE6F-5BF07BB3FB40}"/>
    <cellStyle name="20% - Accent6 4 7 3" xfId="13001" xr:uid="{C2C1A712-BD16-4E57-BB3F-C765999909AB}"/>
    <cellStyle name="20% - Accent6 4 8" xfId="17231" xr:uid="{8B594B38-B081-4CBC-9C5B-50337FBD6E56}"/>
    <cellStyle name="20% - Accent6 4 9" xfId="8783" xr:uid="{2B4CB502-08FA-4430-BF22-EF78F9C6D0D4}"/>
    <cellStyle name="20% - Accent6 5" xfId="610" xr:uid="{00000000-0005-0000-0000-0000AE030000}"/>
    <cellStyle name="20% - Accent6 5 2" xfId="2881" xr:uid="{00000000-0005-0000-0000-0000AF030000}"/>
    <cellStyle name="20% - Accent6 5 2 2" xfId="7103" xr:uid="{00000000-0005-0000-0000-0000B0030000}"/>
    <cellStyle name="20% - Accent6 5 2 2 2" xfId="24001" xr:uid="{EEBB1C5D-105D-4D69-A08A-FABB7369218B}"/>
    <cellStyle name="20% - Accent6 5 2 2 3" xfId="15553" xr:uid="{8F82AAEA-2F2A-465B-841C-C72E6438D486}"/>
    <cellStyle name="20% - Accent6 5 2 3" xfId="19783" xr:uid="{1D4F2B7F-704B-40AF-8CFC-60A065E792CC}"/>
    <cellStyle name="20% - Accent6 5 2 4" xfId="11335" xr:uid="{C9B15BD8-07C8-43B0-9B20-6623439134DF}"/>
    <cellStyle name="20% - Accent6 5 3" xfId="4958" xr:uid="{00000000-0005-0000-0000-0000B1030000}"/>
    <cellStyle name="20% - Accent6 5 3 2" xfId="21856" xr:uid="{8CD29B30-C84F-464D-B1E3-1109295E62DB}"/>
    <cellStyle name="20% - Accent6 5 3 3" xfId="13408" xr:uid="{14643FAE-9427-48D0-B1A7-95109BCA08F9}"/>
    <cellStyle name="20% - Accent6 5 4" xfId="17638" xr:uid="{243373B6-44E5-4D67-B3A5-3DC7B9EAF4EA}"/>
    <cellStyle name="20% - Accent6 5 5" xfId="9190" xr:uid="{40C10EB8-2289-4145-A36A-7A3A087E4C79}"/>
    <cellStyle name="20% - Accent6 6" xfId="1063" xr:uid="{00000000-0005-0000-0000-0000B2030000}"/>
    <cellStyle name="20% - Accent6 6 2" xfId="3294" xr:uid="{00000000-0005-0000-0000-0000B3030000}"/>
    <cellStyle name="20% - Accent6 6 2 2" xfId="7516" xr:uid="{00000000-0005-0000-0000-0000B4030000}"/>
    <cellStyle name="20% - Accent6 6 2 2 2" xfId="24414" xr:uid="{993EB3A5-593F-4BC3-BB3F-F89670E6BB0E}"/>
    <cellStyle name="20% - Accent6 6 2 2 3" xfId="15966" xr:uid="{9FC55CC4-0C7D-465E-A77A-D27C4BC28909}"/>
    <cellStyle name="20% - Accent6 6 2 3" xfId="20196" xr:uid="{4DAD6938-801E-4EEB-B2D6-A6F503E65651}"/>
    <cellStyle name="20% - Accent6 6 2 4" xfId="11748" xr:uid="{E7D2FA1E-263E-4E1B-BAED-52D6F520178D}"/>
    <cellStyle name="20% - Accent6 6 3" xfId="5371" xr:uid="{00000000-0005-0000-0000-0000B5030000}"/>
    <cellStyle name="20% - Accent6 6 3 2" xfId="22269" xr:uid="{3C25F2AB-6AC3-4C5B-9A7C-4005021E6E1E}"/>
    <cellStyle name="20% - Accent6 6 3 3" xfId="13821" xr:uid="{4EF3A7B7-9741-49B7-A35E-1252086B2AD6}"/>
    <cellStyle name="20% - Accent6 6 4" xfId="18051" xr:uid="{DEC44760-75E4-4AD6-8561-B008ADCEE5DC}"/>
    <cellStyle name="20% - Accent6 6 5" xfId="9603" xr:uid="{735D9A21-5641-4D8B-8EF4-A70E67DD1FEC}"/>
    <cellStyle name="20% - Accent6 7" xfId="1477" xr:uid="{00000000-0005-0000-0000-0000B6030000}"/>
    <cellStyle name="20% - Accent6 7 2" xfId="3707" xr:uid="{00000000-0005-0000-0000-0000B7030000}"/>
    <cellStyle name="20% - Accent6 7 2 2" xfId="7929" xr:uid="{00000000-0005-0000-0000-0000B8030000}"/>
    <cellStyle name="20% - Accent6 7 2 2 2" xfId="24827" xr:uid="{AA655173-B3A1-4912-A0CC-E4EF8536BA44}"/>
    <cellStyle name="20% - Accent6 7 2 2 3" xfId="16379" xr:uid="{299D3FD3-6B27-49B4-B7AB-E7A76EA18692}"/>
    <cellStyle name="20% - Accent6 7 2 3" xfId="20609" xr:uid="{9E7FC188-038D-431C-822D-F6EEE538C0CB}"/>
    <cellStyle name="20% - Accent6 7 2 4" xfId="12161" xr:uid="{3937BCAB-5509-4156-837B-110DB975F84B}"/>
    <cellStyle name="20% - Accent6 7 3" xfId="5784" xr:uid="{00000000-0005-0000-0000-0000B9030000}"/>
    <cellStyle name="20% - Accent6 7 3 2" xfId="22682" xr:uid="{3AA5A519-B3F6-4596-9CC3-070BE91025CF}"/>
    <cellStyle name="20% - Accent6 7 3 3" xfId="14234" xr:uid="{147375EC-4C28-4329-B8C0-7A01BB46E9DA}"/>
    <cellStyle name="20% - Accent6 7 4" xfId="18464" xr:uid="{254D5F98-54A9-4A65-9CE9-4B04BBF5000D}"/>
    <cellStyle name="20% - Accent6 7 5" xfId="10016" xr:uid="{C311AE19-1E33-4EAD-8A23-4619DB028E64}"/>
    <cellStyle name="20% - Accent6 8" xfId="1891" xr:uid="{00000000-0005-0000-0000-0000BA030000}"/>
    <cellStyle name="20% - Accent6 8 2" xfId="4120" xr:uid="{00000000-0005-0000-0000-0000BB030000}"/>
    <cellStyle name="20% - Accent6 8 2 2" xfId="8342" xr:uid="{00000000-0005-0000-0000-0000BC030000}"/>
    <cellStyle name="20% - Accent6 8 2 2 2" xfId="25240" xr:uid="{6D2136E4-D242-40CA-BC30-EFD5C18CDF27}"/>
    <cellStyle name="20% - Accent6 8 2 2 3" xfId="16792" xr:uid="{D4643FF2-5982-481F-9281-B187D9A07DCE}"/>
    <cellStyle name="20% - Accent6 8 2 3" xfId="21022" xr:uid="{0602247E-FA4F-4B94-8D38-A70C6B600839}"/>
    <cellStyle name="20% - Accent6 8 2 4" xfId="12574" xr:uid="{4DE0557C-4E96-4F2E-A64D-693D21A3A4E5}"/>
    <cellStyle name="20% - Accent6 8 3" xfId="6197" xr:uid="{00000000-0005-0000-0000-0000BD030000}"/>
    <cellStyle name="20% - Accent6 8 3 2" xfId="23095" xr:uid="{2E4A5BCB-5D32-4BF0-AB45-FEAEEB346E23}"/>
    <cellStyle name="20% - Accent6 8 3 3" xfId="14647" xr:uid="{6B2BE4EE-9949-4C25-9C93-439BC5035EB4}"/>
    <cellStyle name="20% - Accent6 8 4" xfId="18877" xr:uid="{FB07B614-0B82-4A93-8488-6C24466F0F02}"/>
    <cellStyle name="20% - Accent6 8 5" xfId="10429" xr:uid="{5990EBD3-791B-4CC2-8A30-09FCE7F13DBF}"/>
    <cellStyle name="20% - Accent6 9" xfId="2304" xr:uid="{00000000-0005-0000-0000-0000BE030000}"/>
    <cellStyle name="20% - Accent6 9 2" xfId="6610" xr:uid="{00000000-0005-0000-0000-0000BF030000}"/>
    <cellStyle name="20% - Accent6 9 2 2" xfId="23508" xr:uid="{3411B374-6923-4520-B321-58D779C99ACE}"/>
    <cellStyle name="20% - Accent6 9 2 3" xfId="15060" xr:uid="{56142461-27CE-45B4-BC4D-9612E8262D72}"/>
    <cellStyle name="20% - Accent6 9 3" xfId="19290" xr:uid="{282BBFF7-9FE5-4590-861A-ED754DD0A40C}"/>
    <cellStyle name="20% - Accent6 9 4" xfId="10842" xr:uid="{4F81F0D0-AB91-41DF-8BAD-5C63A3A829A3}"/>
    <cellStyle name="40% - Accent1" xfId="49" builtinId="31" customBuiltin="1"/>
    <cellStyle name="40% - Accent1 10" xfId="4552" xr:uid="{00000000-0005-0000-0000-0000C1030000}"/>
    <cellStyle name="40% - Accent1 10 2" xfId="21450" xr:uid="{A9A25751-DFF9-4820-A812-7D92E36A2ACE}"/>
    <cellStyle name="40% - Accent1 10 3" xfId="13002" xr:uid="{9B90C9CD-574A-4DF1-89AB-58787F553316}"/>
    <cellStyle name="40% - Accent1 11" xfId="17232" xr:uid="{06CE9CB1-779F-4171-9DA8-CBF4475CD248}"/>
    <cellStyle name="40% - Accent1 12" xfId="8784" xr:uid="{FE84314E-A4C0-4CDA-B995-EC4176C0F59A}"/>
    <cellStyle name="40% - Accent1 2" xfId="50" xr:uid="{00000000-0005-0000-0000-0000C2030000}"/>
    <cellStyle name="40% - Accent1 2 10" xfId="17233" xr:uid="{EE479152-CE8C-44D9-9604-6D9089EA47AE}"/>
    <cellStyle name="40% - Accent1 2 11" xfId="8785" xr:uid="{391DA875-6DBF-42BB-85ED-66CE50823AE2}"/>
    <cellStyle name="40% - Accent1 2 2" xfId="51" xr:uid="{00000000-0005-0000-0000-0000C3030000}"/>
    <cellStyle name="40% - Accent1 2 2 10" xfId="8786" xr:uid="{80B95630-8979-48BC-88A3-1F2470249878}"/>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24012" xr:uid="{CD84BEA0-3BA3-4428-B4CD-8EBF860B4EBB}"/>
    <cellStyle name="40% - Accent1 2 2 2 2 2 2 3" xfId="15564" xr:uid="{12A99D01-86A3-4AF9-A2A5-97EB84005582}"/>
    <cellStyle name="40% - Accent1 2 2 2 2 2 3" xfId="19794" xr:uid="{E4978F30-E5B9-4465-929E-530B6793F3C1}"/>
    <cellStyle name="40% - Accent1 2 2 2 2 2 4" xfId="11346" xr:uid="{19F1F4BC-AD90-4215-A4FA-5B58F96930D5}"/>
    <cellStyle name="40% - Accent1 2 2 2 2 3" xfId="4969" xr:uid="{00000000-0005-0000-0000-0000C8030000}"/>
    <cellStyle name="40% - Accent1 2 2 2 2 3 2" xfId="21867" xr:uid="{5978C4D0-58B5-4C22-8EF6-20B95791E0A1}"/>
    <cellStyle name="40% - Accent1 2 2 2 2 3 3" xfId="13419" xr:uid="{049FD8E0-60C4-48AA-8B63-4C18C766C22A}"/>
    <cellStyle name="40% - Accent1 2 2 2 2 4" xfId="17649" xr:uid="{285C13E4-4FE5-492F-B962-D8F2C6F4382F}"/>
    <cellStyle name="40% - Accent1 2 2 2 2 5" xfId="9201" xr:uid="{AFC0D63A-7E55-418B-9401-657D1B6656E3}"/>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24425" xr:uid="{E521B99B-B431-4880-A6B4-AB280165AF1F}"/>
    <cellStyle name="40% - Accent1 2 2 2 3 2 2 3" xfId="15977" xr:uid="{74F40BD3-C794-444D-BEBE-4E4FC1D5E63A}"/>
    <cellStyle name="40% - Accent1 2 2 2 3 2 3" xfId="20207" xr:uid="{CA6A0D28-D824-4234-9718-FC36AF65F9C8}"/>
    <cellStyle name="40% - Accent1 2 2 2 3 2 4" xfId="11759" xr:uid="{874E5ACE-773F-44EF-A0AD-7AAB0C52F995}"/>
    <cellStyle name="40% - Accent1 2 2 2 3 3" xfId="5382" xr:uid="{00000000-0005-0000-0000-0000CC030000}"/>
    <cellStyle name="40% - Accent1 2 2 2 3 3 2" xfId="22280" xr:uid="{C243505E-6E6F-41FA-B8EB-2F400101C3F9}"/>
    <cellStyle name="40% - Accent1 2 2 2 3 3 3" xfId="13832" xr:uid="{89C1533F-55CD-4024-87AB-85019ABD01C3}"/>
    <cellStyle name="40% - Accent1 2 2 2 3 4" xfId="18062" xr:uid="{8B618F65-FF35-470E-A1D9-2A8C7D13C159}"/>
    <cellStyle name="40% - Accent1 2 2 2 3 5" xfId="9614" xr:uid="{304125E3-57E1-484E-89A3-F741BD9F2C8C}"/>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24838" xr:uid="{EBB2E887-AE68-4E9F-88E9-F932132A0E0F}"/>
    <cellStyle name="40% - Accent1 2 2 2 4 2 2 3" xfId="16390" xr:uid="{BBB6EAA5-D2F7-4DFF-8CCA-E9E5C578C155}"/>
    <cellStyle name="40% - Accent1 2 2 2 4 2 3" xfId="20620" xr:uid="{B8F5D4DF-590D-4804-9E61-13338C54C4CB}"/>
    <cellStyle name="40% - Accent1 2 2 2 4 2 4" xfId="12172" xr:uid="{F59F030E-570C-452A-AFD1-004EB0F19DFB}"/>
    <cellStyle name="40% - Accent1 2 2 2 4 3" xfId="5795" xr:uid="{00000000-0005-0000-0000-0000D0030000}"/>
    <cellStyle name="40% - Accent1 2 2 2 4 3 2" xfId="22693" xr:uid="{0BA2A311-5DA8-4D0F-BE6A-1D52B257CB0A}"/>
    <cellStyle name="40% - Accent1 2 2 2 4 3 3" xfId="14245" xr:uid="{00E5CB5C-7E39-4AF5-9706-3ED82674F8D3}"/>
    <cellStyle name="40% - Accent1 2 2 2 4 4" xfId="18475" xr:uid="{A7B64B42-074C-4A74-99F3-D38C0D43D118}"/>
    <cellStyle name="40% - Accent1 2 2 2 4 5" xfId="10027" xr:uid="{4608FFED-8FF1-40F8-98BB-E2AD2E06845A}"/>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25251" xr:uid="{7E6C94E7-8C1D-4027-BAB6-7B75A442B62E}"/>
    <cellStyle name="40% - Accent1 2 2 2 5 2 2 3" xfId="16803" xr:uid="{C98D319F-8C4A-41A7-A471-B7D35091F02E}"/>
    <cellStyle name="40% - Accent1 2 2 2 5 2 3" xfId="21033" xr:uid="{3390097F-C48B-4C44-8CB4-8BFF74FF050E}"/>
    <cellStyle name="40% - Accent1 2 2 2 5 2 4" xfId="12585" xr:uid="{C169108C-E963-4605-B6B5-208224827DE6}"/>
    <cellStyle name="40% - Accent1 2 2 2 5 3" xfId="6208" xr:uid="{00000000-0005-0000-0000-0000D4030000}"/>
    <cellStyle name="40% - Accent1 2 2 2 5 3 2" xfId="23106" xr:uid="{A095B202-C8D4-49A8-B9FE-561763C2FBDD}"/>
    <cellStyle name="40% - Accent1 2 2 2 5 3 3" xfId="14658" xr:uid="{8E2348D4-A3B7-4186-99AD-A28FEACA3B2E}"/>
    <cellStyle name="40% - Accent1 2 2 2 5 4" xfId="18888" xr:uid="{76CFEF60-2823-4F77-8B54-90FB0B9E9773}"/>
    <cellStyle name="40% - Accent1 2 2 2 5 5" xfId="10440" xr:uid="{58945304-86B7-4E31-9F98-F7CC4AB7C2CF}"/>
    <cellStyle name="40% - Accent1 2 2 2 6" xfId="2315" xr:uid="{00000000-0005-0000-0000-0000D5030000}"/>
    <cellStyle name="40% - Accent1 2 2 2 6 2" xfId="6621" xr:uid="{00000000-0005-0000-0000-0000D6030000}"/>
    <cellStyle name="40% - Accent1 2 2 2 6 2 2" xfId="23519" xr:uid="{5152DBA7-9C57-4EE3-9A7D-E059CE145D05}"/>
    <cellStyle name="40% - Accent1 2 2 2 6 2 3" xfId="15071" xr:uid="{6B807252-02D4-452D-9F2B-945672B5727A}"/>
    <cellStyle name="40% - Accent1 2 2 2 6 3" xfId="19301" xr:uid="{5AB74067-06BA-4367-8478-0CE950889BAC}"/>
    <cellStyle name="40% - Accent1 2 2 2 6 4" xfId="10853" xr:uid="{168C20EA-9A60-44B4-929B-05B1516B8C37}"/>
    <cellStyle name="40% - Accent1 2 2 2 7" xfId="4555" xr:uid="{00000000-0005-0000-0000-0000D7030000}"/>
    <cellStyle name="40% - Accent1 2 2 2 7 2" xfId="21453" xr:uid="{B8EDB569-8374-4C2B-9100-D837FCE13AA0}"/>
    <cellStyle name="40% - Accent1 2 2 2 7 3" xfId="13005" xr:uid="{2244BD11-CEE8-4D67-B719-0CE5676AFB09}"/>
    <cellStyle name="40% - Accent1 2 2 2 8" xfId="17235" xr:uid="{EEC4C816-97AE-4A44-9455-31AC8D1973B8}"/>
    <cellStyle name="40% - Accent1 2 2 2 9" xfId="8787" xr:uid="{93249521-95BB-480C-A325-ECACCEFAA048}"/>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24011" xr:uid="{ABA1ACA7-C4F1-4DE0-83A0-249A105BE196}"/>
    <cellStyle name="40% - Accent1 2 2 3 2 2 3" xfId="15563" xr:uid="{E5F909B3-20A1-42FB-8A87-B18D46EC6995}"/>
    <cellStyle name="40% - Accent1 2 2 3 2 3" xfId="19793" xr:uid="{667A11BB-0D38-4C69-9CF3-1EEED69D1347}"/>
    <cellStyle name="40% - Accent1 2 2 3 2 4" xfId="11345" xr:uid="{0CB829F5-EBC2-427B-A9FC-CC8CDB51B334}"/>
    <cellStyle name="40% - Accent1 2 2 3 3" xfId="4968" xr:uid="{00000000-0005-0000-0000-0000DB030000}"/>
    <cellStyle name="40% - Accent1 2 2 3 3 2" xfId="21866" xr:uid="{66776E1D-B054-4B1A-A6CF-436CA749DD9A}"/>
    <cellStyle name="40% - Accent1 2 2 3 3 3" xfId="13418" xr:uid="{065C8C75-6F2C-4292-9327-F1919239822D}"/>
    <cellStyle name="40% - Accent1 2 2 3 4" xfId="17648" xr:uid="{C0C25FFE-DA81-4B4C-8FFC-9AA084A61A70}"/>
    <cellStyle name="40% - Accent1 2 2 3 5" xfId="9200" xr:uid="{165CA4FF-2622-40FB-BC21-2970D8BEF74D}"/>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24424" xr:uid="{06C85878-CBC1-4DA7-9074-E1F2D9321F1F}"/>
    <cellStyle name="40% - Accent1 2 2 4 2 2 3" xfId="15976" xr:uid="{AB8C6661-1F15-4A23-893E-D4171EB878EF}"/>
    <cellStyle name="40% - Accent1 2 2 4 2 3" xfId="20206" xr:uid="{BD7296C5-81E7-49E0-A6BB-35F6A3EA9C56}"/>
    <cellStyle name="40% - Accent1 2 2 4 2 4" xfId="11758" xr:uid="{05B25B69-9020-44CE-B0B9-DD33DAB520FD}"/>
    <cellStyle name="40% - Accent1 2 2 4 3" xfId="5381" xr:uid="{00000000-0005-0000-0000-0000DF030000}"/>
    <cellStyle name="40% - Accent1 2 2 4 3 2" xfId="22279" xr:uid="{B2B98E11-2A6A-4F87-A704-8F1D0DAEA08B}"/>
    <cellStyle name="40% - Accent1 2 2 4 3 3" xfId="13831" xr:uid="{83EA3B2A-2961-42D3-A38E-9734C4228EE1}"/>
    <cellStyle name="40% - Accent1 2 2 4 4" xfId="18061" xr:uid="{206451BD-2E64-4590-84DF-3F309E84FA91}"/>
    <cellStyle name="40% - Accent1 2 2 4 5" xfId="9613" xr:uid="{275D17B1-8A42-4A7B-BB44-DAC01941EEA3}"/>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24837" xr:uid="{F5C27ACF-9C35-459C-A31B-E23B69E94111}"/>
    <cellStyle name="40% - Accent1 2 2 5 2 2 3" xfId="16389" xr:uid="{DD9AE74E-29CA-4C93-8426-8AA8D2F607BF}"/>
    <cellStyle name="40% - Accent1 2 2 5 2 3" xfId="20619" xr:uid="{1FB824A0-769F-4C6A-839E-7F61EF64CFA3}"/>
    <cellStyle name="40% - Accent1 2 2 5 2 4" xfId="12171" xr:uid="{10FDB1B4-8299-4C0F-9CC2-01E9D835F958}"/>
    <cellStyle name="40% - Accent1 2 2 5 3" xfId="5794" xr:uid="{00000000-0005-0000-0000-0000E3030000}"/>
    <cellStyle name="40% - Accent1 2 2 5 3 2" xfId="22692" xr:uid="{03DC7DAB-5B4D-42E1-B029-ED41A223EC72}"/>
    <cellStyle name="40% - Accent1 2 2 5 3 3" xfId="14244" xr:uid="{DFCDA52E-90A4-49CE-8E46-2B343C658D7E}"/>
    <cellStyle name="40% - Accent1 2 2 5 4" xfId="18474" xr:uid="{A343813F-46BB-49D4-9A90-E39612F10254}"/>
    <cellStyle name="40% - Accent1 2 2 5 5" xfId="10026" xr:uid="{3713F8A3-A111-491D-8E2E-05E5F3002BED}"/>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25250" xr:uid="{17578D17-A107-4707-A5E0-97E2127DA195}"/>
    <cellStyle name="40% - Accent1 2 2 6 2 2 3" xfId="16802" xr:uid="{DBD3F434-AFD8-47F3-93DE-96F16A74F04F}"/>
    <cellStyle name="40% - Accent1 2 2 6 2 3" xfId="21032" xr:uid="{E5BB7A87-28C9-4AF0-BF59-39895EAF6B64}"/>
    <cellStyle name="40% - Accent1 2 2 6 2 4" xfId="12584" xr:uid="{BF2FBFBE-858C-4271-981D-75A95AD7C3C2}"/>
    <cellStyle name="40% - Accent1 2 2 6 3" xfId="6207" xr:uid="{00000000-0005-0000-0000-0000E7030000}"/>
    <cellStyle name="40% - Accent1 2 2 6 3 2" xfId="23105" xr:uid="{1DAC6F92-C6F5-42FC-9962-6822D2F24F2E}"/>
    <cellStyle name="40% - Accent1 2 2 6 3 3" xfId="14657" xr:uid="{2BDD6A26-EAED-4067-8EB1-EA22B9DB37C9}"/>
    <cellStyle name="40% - Accent1 2 2 6 4" xfId="18887" xr:uid="{9C6382AD-602F-4D9E-AF5A-F24595DB9084}"/>
    <cellStyle name="40% - Accent1 2 2 6 5" xfId="10439" xr:uid="{2B8CF49E-3721-4628-928D-19702AD98932}"/>
    <cellStyle name="40% - Accent1 2 2 7" xfId="2314" xr:uid="{00000000-0005-0000-0000-0000E8030000}"/>
    <cellStyle name="40% - Accent1 2 2 7 2" xfId="6620" xr:uid="{00000000-0005-0000-0000-0000E9030000}"/>
    <cellStyle name="40% - Accent1 2 2 7 2 2" xfId="23518" xr:uid="{345DE350-DBD7-42A2-A6AC-B62FA710741A}"/>
    <cellStyle name="40% - Accent1 2 2 7 2 3" xfId="15070" xr:uid="{5C0DF454-75ED-4E02-85AC-A88AF8863D94}"/>
    <cellStyle name="40% - Accent1 2 2 7 3" xfId="19300" xr:uid="{FF5918E3-501A-458B-9B70-4A0566CD6CC4}"/>
    <cellStyle name="40% - Accent1 2 2 7 4" xfId="10852" xr:uid="{BF3688D2-0F66-4A91-971A-58A6D2AF5065}"/>
    <cellStyle name="40% - Accent1 2 2 8" xfId="4554" xr:uid="{00000000-0005-0000-0000-0000EA030000}"/>
    <cellStyle name="40% - Accent1 2 2 8 2" xfId="21452" xr:uid="{D7AB66FA-13E8-419F-824C-FA7D1190C641}"/>
    <cellStyle name="40% - Accent1 2 2 8 3" xfId="13004" xr:uid="{7F3F47F2-8116-4BAF-98A4-36631CCDF9B9}"/>
    <cellStyle name="40% - Accent1 2 2 9" xfId="17234" xr:uid="{E8230672-63AB-4F84-8E73-56A0E050437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24013" xr:uid="{BB201CC7-3F27-4A72-8897-BE4F8E91A8FD}"/>
    <cellStyle name="40% - Accent1 2 3 2 2 2 3" xfId="15565" xr:uid="{8360BB5C-4026-4834-84EB-91D81767D95D}"/>
    <cellStyle name="40% - Accent1 2 3 2 2 3" xfId="19795" xr:uid="{36B42935-27B1-4629-8F64-6B56221DC3A6}"/>
    <cellStyle name="40% - Accent1 2 3 2 2 4" xfId="11347" xr:uid="{4C066F32-BF2E-4629-A7F9-7C4D921CF425}"/>
    <cellStyle name="40% - Accent1 2 3 2 3" xfId="4970" xr:uid="{00000000-0005-0000-0000-0000EF030000}"/>
    <cellStyle name="40% - Accent1 2 3 2 3 2" xfId="21868" xr:uid="{48F0E59D-86E8-4810-9B40-032D816CBC75}"/>
    <cellStyle name="40% - Accent1 2 3 2 3 3" xfId="13420" xr:uid="{C328ECB6-CAE6-4FD1-B210-A6D6A7DEA282}"/>
    <cellStyle name="40% - Accent1 2 3 2 4" xfId="17650" xr:uid="{66827A96-4D1A-4A2E-B1A8-AB746EDB4963}"/>
    <cellStyle name="40% - Accent1 2 3 2 5" xfId="9202" xr:uid="{0F200802-71A4-447E-BD40-F04416B7AAC9}"/>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24426" xr:uid="{7BE87CBA-443D-47D3-8F8F-D4C0291A2501}"/>
    <cellStyle name="40% - Accent1 2 3 3 2 2 3" xfId="15978" xr:uid="{7234EFA6-6A98-4B7D-82F6-1FCB369F2CD9}"/>
    <cellStyle name="40% - Accent1 2 3 3 2 3" xfId="20208" xr:uid="{8AE1E1F8-48C6-4318-98EF-83F1B0B47D2F}"/>
    <cellStyle name="40% - Accent1 2 3 3 2 4" xfId="11760" xr:uid="{740AEEAA-BDD1-4777-8EEC-F7015444516A}"/>
    <cellStyle name="40% - Accent1 2 3 3 3" xfId="5383" xr:uid="{00000000-0005-0000-0000-0000F3030000}"/>
    <cellStyle name="40% - Accent1 2 3 3 3 2" xfId="22281" xr:uid="{C51B5734-CEC6-46FB-89F7-6B6416DF6189}"/>
    <cellStyle name="40% - Accent1 2 3 3 3 3" xfId="13833" xr:uid="{E19573E1-523C-4E5E-8C34-5712F1AC5025}"/>
    <cellStyle name="40% - Accent1 2 3 3 4" xfId="18063" xr:uid="{1A8628BE-BA3E-419A-A294-EA07F3702501}"/>
    <cellStyle name="40% - Accent1 2 3 3 5" xfId="9615" xr:uid="{69379736-31C3-4D82-A358-255636F65F64}"/>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24839" xr:uid="{00D21390-10BC-4573-9F54-9ED6B1B4827F}"/>
    <cellStyle name="40% - Accent1 2 3 4 2 2 3" xfId="16391" xr:uid="{7154C00D-5F1F-4DA6-8F4E-A73E2D9F5FAE}"/>
    <cellStyle name="40% - Accent1 2 3 4 2 3" xfId="20621" xr:uid="{20C1FAB9-215A-4F8D-A3A6-B44F9323D357}"/>
    <cellStyle name="40% - Accent1 2 3 4 2 4" xfId="12173" xr:uid="{5FD762CE-BC39-45C9-9DC1-E92FC9CC1968}"/>
    <cellStyle name="40% - Accent1 2 3 4 3" xfId="5796" xr:uid="{00000000-0005-0000-0000-0000F7030000}"/>
    <cellStyle name="40% - Accent1 2 3 4 3 2" xfId="22694" xr:uid="{2EB29DBA-1816-4F42-BDEF-A13990897A25}"/>
    <cellStyle name="40% - Accent1 2 3 4 3 3" xfId="14246" xr:uid="{9F19D29A-4B85-46C1-9D91-70F5B1BBA93B}"/>
    <cellStyle name="40% - Accent1 2 3 4 4" xfId="18476" xr:uid="{33DF4F33-43FF-4F80-9C3E-435AC03C70A2}"/>
    <cellStyle name="40% - Accent1 2 3 4 5" xfId="10028" xr:uid="{B6378169-8355-4132-BD1E-E3085F900759}"/>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25252" xr:uid="{03634321-F874-4B24-AC16-16A701044A85}"/>
    <cellStyle name="40% - Accent1 2 3 5 2 2 3" xfId="16804" xr:uid="{B59C1A2C-807E-4105-8F4A-466FECBFB152}"/>
    <cellStyle name="40% - Accent1 2 3 5 2 3" xfId="21034" xr:uid="{508F348D-14B7-426B-9CB4-E9F5A988F744}"/>
    <cellStyle name="40% - Accent1 2 3 5 2 4" xfId="12586" xr:uid="{278015B6-C4A7-48D0-B595-7DDC890B5A54}"/>
    <cellStyle name="40% - Accent1 2 3 5 3" xfId="6209" xr:uid="{00000000-0005-0000-0000-0000FB030000}"/>
    <cellStyle name="40% - Accent1 2 3 5 3 2" xfId="23107" xr:uid="{C81D7157-C554-4CBF-B4DE-ACB35ACA217E}"/>
    <cellStyle name="40% - Accent1 2 3 5 3 3" xfId="14659" xr:uid="{823C7CE0-5BE3-46CB-9F54-50E66FB57B2E}"/>
    <cellStyle name="40% - Accent1 2 3 5 4" xfId="18889" xr:uid="{41E16CBD-A988-4572-91F5-7F639D13AD0E}"/>
    <cellStyle name="40% - Accent1 2 3 5 5" xfId="10441" xr:uid="{D91E7551-33DB-4C65-96CA-CB1F247B8211}"/>
    <cellStyle name="40% - Accent1 2 3 6" xfId="2316" xr:uid="{00000000-0005-0000-0000-0000FC030000}"/>
    <cellStyle name="40% - Accent1 2 3 6 2" xfId="6622" xr:uid="{00000000-0005-0000-0000-0000FD030000}"/>
    <cellStyle name="40% - Accent1 2 3 6 2 2" xfId="23520" xr:uid="{14F19940-7B04-49F3-92E0-C2FEB80A0529}"/>
    <cellStyle name="40% - Accent1 2 3 6 2 3" xfId="15072" xr:uid="{C842DC78-6D6A-4A86-B83B-EC73C7C68B75}"/>
    <cellStyle name="40% - Accent1 2 3 6 3" xfId="19302" xr:uid="{E4FD599D-C65D-4EF9-BC6D-977337D4B733}"/>
    <cellStyle name="40% - Accent1 2 3 6 4" xfId="10854" xr:uid="{78A88642-5151-42B1-829A-59585091DA4B}"/>
    <cellStyle name="40% - Accent1 2 3 7" xfId="4556" xr:uid="{00000000-0005-0000-0000-0000FE030000}"/>
    <cellStyle name="40% - Accent1 2 3 7 2" xfId="21454" xr:uid="{3AB14FE5-B2B7-468C-8710-F9CAD36E2137}"/>
    <cellStyle name="40% - Accent1 2 3 7 3" xfId="13006" xr:uid="{D3E949FE-65A4-4A0A-B6CF-6644AC8DF6AD}"/>
    <cellStyle name="40% - Accent1 2 3 8" xfId="17236" xr:uid="{0AD5B650-721A-44A2-B0E9-0EB709FA1502}"/>
    <cellStyle name="40% - Accent1 2 3 9" xfId="8788" xr:uid="{A103CA6D-F84C-44B4-B2DB-8FB0BA3C1A13}"/>
    <cellStyle name="40% - Accent1 2 4" xfId="619" xr:uid="{00000000-0005-0000-0000-0000FF030000}"/>
    <cellStyle name="40% - Accent1 2 4 2" xfId="2890" xr:uid="{00000000-0005-0000-0000-000000040000}"/>
    <cellStyle name="40% - Accent1 2 4 2 2" xfId="7112" xr:uid="{00000000-0005-0000-0000-000001040000}"/>
    <cellStyle name="40% - Accent1 2 4 2 2 2" xfId="24010" xr:uid="{2BB4F936-3B2B-4892-B98E-5FE4C20A04C4}"/>
    <cellStyle name="40% - Accent1 2 4 2 2 3" xfId="15562" xr:uid="{8144F0A4-5FDD-4A41-BD47-53EECF78EDB4}"/>
    <cellStyle name="40% - Accent1 2 4 2 3" xfId="19792" xr:uid="{A017857E-E7D5-49EF-A227-34BCAB4300B9}"/>
    <cellStyle name="40% - Accent1 2 4 2 4" xfId="11344" xr:uid="{C7DC004F-E5D8-4BA3-A77E-D8079BF855F0}"/>
    <cellStyle name="40% - Accent1 2 4 3" xfId="4967" xr:uid="{00000000-0005-0000-0000-000002040000}"/>
    <cellStyle name="40% - Accent1 2 4 3 2" xfId="21865" xr:uid="{79AD90DB-EE7C-4A03-9538-7B782EB59D39}"/>
    <cellStyle name="40% - Accent1 2 4 3 3" xfId="13417" xr:uid="{E9290891-FDBA-42E5-9DA8-25D9D423CD44}"/>
    <cellStyle name="40% - Accent1 2 4 4" xfId="17647" xr:uid="{1DB97C5A-F0D7-4D72-8AED-D2F5BB65E937}"/>
    <cellStyle name="40% - Accent1 2 4 5" xfId="9199" xr:uid="{9C5CC53A-D00C-4378-8FA9-D2DADA757047}"/>
    <cellStyle name="40% - Accent1 2 5" xfId="1072" xr:uid="{00000000-0005-0000-0000-000003040000}"/>
    <cellStyle name="40% - Accent1 2 5 2" xfId="3303" xr:uid="{00000000-0005-0000-0000-000004040000}"/>
    <cellStyle name="40% - Accent1 2 5 2 2" xfId="7525" xr:uid="{00000000-0005-0000-0000-000005040000}"/>
    <cellStyle name="40% - Accent1 2 5 2 2 2" xfId="24423" xr:uid="{8EBF9292-35D7-44DF-8FC9-6ADDFBB7B911}"/>
    <cellStyle name="40% - Accent1 2 5 2 2 3" xfId="15975" xr:uid="{28CD2EED-4681-4712-A43E-A3C7FA9D6C22}"/>
    <cellStyle name="40% - Accent1 2 5 2 3" xfId="20205" xr:uid="{EEA7E90A-A196-458D-B894-5BA77F59CF98}"/>
    <cellStyle name="40% - Accent1 2 5 2 4" xfId="11757" xr:uid="{F3F25369-FA94-4C10-8003-D212AAD372F9}"/>
    <cellStyle name="40% - Accent1 2 5 3" xfId="5380" xr:uid="{00000000-0005-0000-0000-000006040000}"/>
    <cellStyle name="40% - Accent1 2 5 3 2" xfId="22278" xr:uid="{0E60E9CC-297D-4C50-A462-42F69BCDD1BC}"/>
    <cellStyle name="40% - Accent1 2 5 3 3" xfId="13830" xr:uid="{A478AB0F-4CF1-474D-9FA3-1F9E695676F4}"/>
    <cellStyle name="40% - Accent1 2 5 4" xfId="18060" xr:uid="{6ED37EDC-5C91-48B1-A2EF-1A1989BD855C}"/>
    <cellStyle name="40% - Accent1 2 5 5" xfId="9612" xr:uid="{CF8EBF5F-C9D0-4B0C-ACD0-C326DA095143}"/>
    <cellStyle name="40% - Accent1 2 6" xfId="1486" xr:uid="{00000000-0005-0000-0000-000007040000}"/>
    <cellStyle name="40% - Accent1 2 6 2" xfId="3716" xr:uid="{00000000-0005-0000-0000-000008040000}"/>
    <cellStyle name="40% - Accent1 2 6 2 2" xfId="7938" xr:uid="{00000000-0005-0000-0000-000009040000}"/>
    <cellStyle name="40% - Accent1 2 6 2 2 2" xfId="24836" xr:uid="{E498C3B7-7AE9-48B6-86E1-4ACF89D1EB9E}"/>
    <cellStyle name="40% - Accent1 2 6 2 2 3" xfId="16388" xr:uid="{C9B96238-E543-4947-B82C-89501CEB4D7E}"/>
    <cellStyle name="40% - Accent1 2 6 2 3" xfId="20618" xr:uid="{0CB6C71C-B1B8-4E9D-99E1-D75D6B50E7E9}"/>
    <cellStyle name="40% - Accent1 2 6 2 4" xfId="12170" xr:uid="{23C21015-090A-43EE-902E-857B04133C70}"/>
    <cellStyle name="40% - Accent1 2 6 3" xfId="5793" xr:uid="{00000000-0005-0000-0000-00000A040000}"/>
    <cellStyle name="40% - Accent1 2 6 3 2" xfId="22691" xr:uid="{35AE08B2-3204-4570-9BDC-100C0D1F541E}"/>
    <cellStyle name="40% - Accent1 2 6 3 3" xfId="14243" xr:uid="{7B12A0B7-9FDE-4EBE-B5C1-89A599C232D7}"/>
    <cellStyle name="40% - Accent1 2 6 4" xfId="18473" xr:uid="{AD7FC5DE-2085-482A-945E-57D67BC159DC}"/>
    <cellStyle name="40% - Accent1 2 6 5" xfId="10025" xr:uid="{201E30D5-839B-4429-A8D3-CF218E640D51}"/>
    <cellStyle name="40% - Accent1 2 7" xfId="1900" xr:uid="{00000000-0005-0000-0000-00000B040000}"/>
    <cellStyle name="40% - Accent1 2 7 2" xfId="4129" xr:uid="{00000000-0005-0000-0000-00000C040000}"/>
    <cellStyle name="40% - Accent1 2 7 2 2" xfId="8351" xr:uid="{00000000-0005-0000-0000-00000D040000}"/>
    <cellStyle name="40% - Accent1 2 7 2 2 2" xfId="25249" xr:uid="{1E2169EE-12EE-4CB4-885F-BF7E3DDC7702}"/>
    <cellStyle name="40% - Accent1 2 7 2 2 3" xfId="16801" xr:uid="{4DB0993F-AB0A-4AB8-8776-114DF883DF80}"/>
    <cellStyle name="40% - Accent1 2 7 2 3" xfId="21031" xr:uid="{AA41EE89-3D4B-42B2-BD70-C26F7C57CEBB}"/>
    <cellStyle name="40% - Accent1 2 7 2 4" xfId="12583" xr:uid="{017144F4-076A-49B0-9122-4BEF1816F4F5}"/>
    <cellStyle name="40% - Accent1 2 7 3" xfId="6206" xr:uid="{00000000-0005-0000-0000-00000E040000}"/>
    <cellStyle name="40% - Accent1 2 7 3 2" xfId="23104" xr:uid="{86F4CA03-7F5C-47BD-8D15-88FC68B04D70}"/>
    <cellStyle name="40% - Accent1 2 7 3 3" xfId="14656" xr:uid="{560A60A7-3DDC-4F87-BDDE-E40AAAAAFAA2}"/>
    <cellStyle name="40% - Accent1 2 7 4" xfId="18886" xr:uid="{E388919C-AAB9-486A-87DD-4E8C262423FC}"/>
    <cellStyle name="40% - Accent1 2 7 5" xfId="10438" xr:uid="{BB2B405A-E79B-4A0C-9963-AB6B3E66DA6D}"/>
    <cellStyle name="40% - Accent1 2 8" xfId="2313" xr:uid="{00000000-0005-0000-0000-00000F040000}"/>
    <cellStyle name="40% - Accent1 2 8 2" xfId="6619" xr:uid="{00000000-0005-0000-0000-000010040000}"/>
    <cellStyle name="40% - Accent1 2 8 2 2" xfId="23517" xr:uid="{B7459FCA-3A32-45A7-B4CA-20F29B6C00BD}"/>
    <cellStyle name="40% - Accent1 2 8 2 3" xfId="15069" xr:uid="{3326107D-5A96-452C-9FD6-A136DD53D95D}"/>
    <cellStyle name="40% - Accent1 2 8 3" xfId="19299" xr:uid="{349EFB22-3C4F-406F-A275-2817EE9BA509}"/>
    <cellStyle name="40% - Accent1 2 8 4" xfId="10851" xr:uid="{62A369FC-F6E4-4244-A630-1D6626A460BE}"/>
    <cellStyle name="40% - Accent1 2 9" xfId="4553" xr:uid="{00000000-0005-0000-0000-000011040000}"/>
    <cellStyle name="40% - Accent1 2 9 2" xfId="21451" xr:uid="{4349549B-0423-4E27-AEFB-DEC75D007B56}"/>
    <cellStyle name="40% - Accent1 2 9 3" xfId="13003" xr:uid="{7A86958E-899F-4E5F-95AC-00909CF7120A}"/>
    <cellStyle name="40% - Accent1 3" xfId="54" xr:uid="{00000000-0005-0000-0000-000012040000}"/>
    <cellStyle name="40% - Accent1 3 10" xfId="8789" xr:uid="{5E6875C3-DBA3-4944-A923-886165DEF876}"/>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24015" xr:uid="{25A17753-077E-4B28-832D-66392B5E4F0E}"/>
    <cellStyle name="40% - Accent1 3 2 2 2 2 3" xfId="15567" xr:uid="{59BCFD45-95AC-41C2-B998-99D7C36DD57D}"/>
    <cellStyle name="40% - Accent1 3 2 2 2 3" xfId="19797" xr:uid="{60775C0F-DD75-4B64-A138-2498D3797766}"/>
    <cellStyle name="40% - Accent1 3 2 2 2 4" xfId="11349" xr:uid="{D22D5F6A-D120-4588-8D1A-98CD4723DE2C}"/>
    <cellStyle name="40% - Accent1 3 2 2 3" xfId="4972" xr:uid="{00000000-0005-0000-0000-000017040000}"/>
    <cellStyle name="40% - Accent1 3 2 2 3 2" xfId="21870" xr:uid="{916F18D1-FB45-4D33-9033-7F36AE8A04FF}"/>
    <cellStyle name="40% - Accent1 3 2 2 3 3" xfId="13422" xr:uid="{57F0AC30-5EEE-43E3-8C52-BF7D886F1B3C}"/>
    <cellStyle name="40% - Accent1 3 2 2 4" xfId="17652" xr:uid="{9B33F203-DFE1-45FC-A35D-716BA573419C}"/>
    <cellStyle name="40% - Accent1 3 2 2 5" xfId="9204" xr:uid="{7D1F30A4-33D8-4E2D-AF68-63EDC48BC12C}"/>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24428" xr:uid="{B9A869B2-348A-4447-9FB9-CE9858EBA236}"/>
    <cellStyle name="40% - Accent1 3 2 3 2 2 3" xfId="15980" xr:uid="{BC406C8B-D710-454B-B785-76A8258C9171}"/>
    <cellStyle name="40% - Accent1 3 2 3 2 3" xfId="20210" xr:uid="{F2438FC7-B051-4E0B-9AD4-42EA7C103894}"/>
    <cellStyle name="40% - Accent1 3 2 3 2 4" xfId="11762" xr:uid="{FABC05B2-C49A-43B1-9752-FE95F987CB18}"/>
    <cellStyle name="40% - Accent1 3 2 3 3" xfId="5385" xr:uid="{00000000-0005-0000-0000-00001B040000}"/>
    <cellStyle name="40% - Accent1 3 2 3 3 2" xfId="22283" xr:uid="{F969A579-D22D-4D1D-8041-FA4015CA5F3E}"/>
    <cellStyle name="40% - Accent1 3 2 3 3 3" xfId="13835" xr:uid="{ED5FBED2-6F4B-4A40-9C06-857620707AD7}"/>
    <cellStyle name="40% - Accent1 3 2 3 4" xfId="18065" xr:uid="{B049DCD0-17A1-461A-8E56-7B1133C4D788}"/>
    <cellStyle name="40% - Accent1 3 2 3 5" xfId="9617" xr:uid="{296EDEAF-F2F2-45CA-B070-583BB97A0B08}"/>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24841" xr:uid="{F8AF9EDF-BA4B-4ECD-8758-E6EDF6DC71AC}"/>
    <cellStyle name="40% - Accent1 3 2 4 2 2 3" xfId="16393" xr:uid="{1279DD6C-CB0D-4A07-81A4-ED809647CDA6}"/>
    <cellStyle name="40% - Accent1 3 2 4 2 3" xfId="20623" xr:uid="{69F36815-7F42-4746-9EFF-936489F869C5}"/>
    <cellStyle name="40% - Accent1 3 2 4 2 4" xfId="12175" xr:uid="{7A5638EA-6421-413F-8539-1CCE474F9839}"/>
    <cellStyle name="40% - Accent1 3 2 4 3" xfId="5798" xr:uid="{00000000-0005-0000-0000-00001F040000}"/>
    <cellStyle name="40% - Accent1 3 2 4 3 2" xfId="22696" xr:uid="{8AF0478C-0F7F-4C31-96E4-FDCA61C3BDA3}"/>
    <cellStyle name="40% - Accent1 3 2 4 3 3" xfId="14248" xr:uid="{9431FBD3-8F52-4AF4-BE89-2EB1169FE337}"/>
    <cellStyle name="40% - Accent1 3 2 4 4" xfId="18478" xr:uid="{8A6BC3C9-4E32-417F-9A18-F756E3A0EB8E}"/>
    <cellStyle name="40% - Accent1 3 2 4 5" xfId="10030" xr:uid="{FED3EEAB-9F5F-436F-84E5-E9A792827B8E}"/>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25254" xr:uid="{C54B6187-610A-4330-BC1C-9FBA18590953}"/>
    <cellStyle name="40% - Accent1 3 2 5 2 2 3" xfId="16806" xr:uid="{37C005D0-CBC0-46CB-A87C-7AAFF1D02CBE}"/>
    <cellStyle name="40% - Accent1 3 2 5 2 3" xfId="21036" xr:uid="{8E305B91-80B7-41C0-9568-87D119A5D230}"/>
    <cellStyle name="40% - Accent1 3 2 5 2 4" xfId="12588" xr:uid="{6B03F237-1A50-4790-B788-6201A8CBA00C}"/>
    <cellStyle name="40% - Accent1 3 2 5 3" xfId="6211" xr:uid="{00000000-0005-0000-0000-000023040000}"/>
    <cellStyle name="40% - Accent1 3 2 5 3 2" xfId="23109" xr:uid="{1EC2C52D-3022-451E-A009-A0F1D25F53BF}"/>
    <cellStyle name="40% - Accent1 3 2 5 3 3" xfId="14661" xr:uid="{572AD040-3A58-434E-9569-76B3335F5CCB}"/>
    <cellStyle name="40% - Accent1 3 2 5 4" xfId="18891" xr:uid="{0D2ED874-7CDF-4DCB-8C7B-99E7932B8B99}"/>
    <cellStyle name="40% - Accent1 3 2 5 5" xfId="10443" xr:uid="{840C8856-AE78-400E-9450-2C2B16DF2763}"/>
    <cellStyle name="40% - Accent1 3 2 6" xfId="2318" xr:uid="{00000000-0005-0000-0000-000024040000}"/>
    <cellStyle name="40% - Accent1 3 2 6 2" xfId="6624" xr:uid="{00000000-0005-0000-0000-000025040000}"/>
    <cellStyle name="40% - Accent1 3 2 6 2 2" xfId="23522" xr:uid="{464D0763-C2B3-4E79-8505-9D0D45244B8D}"/>
    <cellStyle name="40% - Accent1 3 2 6 2 3" xfId="15074" xr:uid="{EEA4010B-2A00-4043-ADCC-6EDA768D5B33}"/>
    <cellStyle name="40% - Accent1 3 2 6 3" xfId="19304" xr:uid="{6CD889CE-53C8-4E2A-A1D3-B3AE9C6FB95D}"/>
    <cellStyle name="40% - Accent1 3 2 6 4" xfId="10856" xr:uid="{DED239D6-D6DE-4949-9D7E-4017E246B98C}"/>
    <cellStyle name="40% - Accent1 3 2 7" xfId="4558" xr:uid="{00000000-0005-0000-0000-000026040000}"/>
    <cellStyle name="40% - Accent1 3 2 7 2" xfId="21456" xr:uid="{9EAFBC6E-287D-407B-B081-41DB1EE922F8}"/>
    <cellStyle name="40% - Accent1 3 2 7 3" xfId="13008" xr:uid="{EAA5E6F3-B48A-4E33-BF41-2186109289BA}"/>
    <cellStyle name="40% - Accent1 3 2 8" xfId="17238" xr:uid="{AF8DFE75-4F40-4EA4-87D1-6F5C4AAD3740}"/>
    <cellStyle name="40% - Accent1 3 2 9" xfId="8790" xr:uid="{68528A35-E7C1-4154-BE3B-81237DF99B80}"/>
    <cellStyle name="40% - Accent1 3 3" xfId="623" xr:uid="{00000000-0005-0000-0000-000027040000}"/>
    <cellStyle name="40% - Accent1 3 3 2" xfId="2894" xr:uid="{00000000-0005-0000-0000-000028040000}"/>
    <cellStyle name="40% - Accent1 3 3 2 2" xfId="7116" xr:uid="{00000000-0005-0000-0000-000029040000}"/>
    <cellStyle name="40% - Accent1 3 3 2 2 2" xfId="24014" xr:uid="{29E950E6-E99D-456B-B586-58585392CC87}"/>
    <cellStyle name="40% - Accent1 3 3 2 2 3" xfId="15566" xr:uid="{F379329A-C552-4926-A2D8-6479B1835AB1}"/>
    <cellStyle name="40% - Accent1 3 3 2 3" xfId="19796" xr:uid="{B9B200AA-BB1B-44A7-8F96-8C09F5C0EEA4}"/>
    <cellStyle name="40% - Accent1 3 3 2 4" xfId="11348" xr:uid="{CE3432FC-FA9D-4A72-9674-26EFB45F9B50}"/>
    <cellStyle name="40% - Accent1 3 3 3" xfId="4971" xr:uid="{00000000-0005-0000-0000-00002A040000}"/>
    <cellStyle name="40% - Accent1 3 3 3 2" xfId="21869" xr:uid="{363DC4F4-53E0-4D0A-BDFA-9DCFD7401D64}"/>
    <cellStyle name="40% - Accent1 3 3 3 3" xfId="13421" xr:uid="{3782AD40-CE31-416A-A258-8358918E45A2}"/>
    <cellStyle name="40% - Accent1 3 3 4" xfId="17651" xr:uid="{0809860E-4D12-4633-82E8-FBC273219387}"/>
    <cellStyle name="40% - Accent1 3 3 5" xfId="9203" xr:uid="{243D463E-86E2-4151-A42F-2922A9C8C14A}"/>
    <cellStyle name="40% - Accent1 3 4" xfId="1076" xr:uid="{00000000-0005-0000-0000-00002B040000}"/>
    <cellStyle name="40% - Accent1 3 4 2" xfId="3307" xr:uid="{00000000-0005-0000-0000-00002C040000}"/>
    <cellStyle name="40% - Accent1 3 4 2 2" xfId="7529" xr:uid="{00000000-0005-0000-0000-00002D040000}"/>
    <cellStyle name="40% - Accent1 3 4 2 2 2" xfId="24427" xr:uid="{D76CAE7A-CEDE-4D31-9CB5-562A97824485}"/>
    <cellStyle name="40% - Accent1 3 4 2 2 3" xfId="15979" xr:uid="{0682CC0F-2177-4B78-9297-D1D1C1BA04FF}"/>
    <cellStyle name="40% - Accent1 3 4 2 3" xfId="20209" xr:uid="{535BC341-8591-4A40-B02F-F2A7407DA1B0}"/>
    <cellStyle name="40% - Accent1 3 4 2 4" xfId="11761" xr:uid="{15EA91AF-0BE2-4A2D-9615-028ADAAA1050}"/>
    <cellStyle name="40% - Accent1 3 4 3" xfId="5384" xr:uid="{00000000-0005-0000-0000-00002E040000}"/>
    <cellStyle name="40% - Accent1 3 4 3 2" xfId="22282" xr:uid="{DD4D88B4-F84E-4B04-9723-8E2978843522}"/>
    <cellStyle name="40% - Accent1 3 4 3 3" xfId="13834" xr:uid="{83163513-59B1-4B32-BB47-3CBA32BE977D}"/>
    <cellStyle name="40% - Accent1 3 4 4" xfId="18064" xr:uid="{0C7EADD2-9C26-48E8-B212-5CF859D0F016}"/>
    <cellStyle name="40% - Accent1 3 4 5" xfId="9616" xr:uid="{CA6CE780-3F11-40C2-8379-B84D4D494377}"/>
    <cellStyle name="40% - Accent1 3 5" xfId="1490" xr:uid="{00000000-0005-0000-0000-00002F040000}"/>
    <cellStyle name="40% - Accent1 3 5 2" xfId="3720" xr:uid="{00000000-0005-0000-0000-000030040000}"/>
    <cellStyle name="40% - Accent1 3 5 2 2" xfId="7942" xr:uid="{00000000-0005-0000-0000-000031040000}"/>
    <cellStyle name="40% - Accent1 3 5 2 2 2" xfId="24840" xr:uid="{2F918B15-B5BF-4343-AEE0-57FF9F091D97}"/>
    <cellStyle name="40% - Accent1 3 5 2 2 3" xfId="16392" xr:uid="{32D0C917-35D2-4FA5-9C5A-E60018C8C690}"/>
    <cellStyle name="40% - Accent1 3 5 2 3" xfId="20622" xr:uid="{C797363B-ABA9-458B-82BA-3B8089B44ABF}"/>
    <cellStyle name="40% - Accent1 3 5 2 4" xfId="12174" xr:uid="{C1B9A35C-8628-4D81-B841-3FAC68480E4E}"/>
    <cellStyle name="40% - Accent1 3 5 3" xfId="5797" xr:uid="{00000000-0005-0000-0000-000032040000}"/>
    <cellStyle name="40% - Accent1 3 5 3 2" xfId="22695" xr:uid="{D075BDB0-A929-4EEB-AFEF-F5F63D5B7871}"/>
    <cellStyle name="40% - Accent1 3 5 3 3" xfId="14247" xr:uid="{8DD3B2E5-A7C1-4B27-9D1A-84011F0B1BCF}"/>
    <cellStyle name="40% - Accent1 3 5 4" xfId="18477" xr:uid="{F070FF20-8725-4FEC-9BF0-813E59D47343}"/>
    <cellStyle name="40% - Accent1 3 5 5" xfId="10029" xr:uid="{D42B50EE-1ECB-4011-A809-5441CCDC2725}"/>
    <cellStyle name="40% - Accent1 3 6" xfId="1904" xr:uid="{00000000-0005-0000-0000-000033040000}"/>
    <cellStyle name="40% - Accent1 3 6 2" xfId="4133" xr:uid="{00000000-0005-0000-0000-000034040000}"/>
    <cellStyle name="40% - Accent1 3 6 2 2" xfId="8355" xr:uid="{00000000-0005-0000-0000-000035040000}"/>
    <cellStyle name="40% - Accent1 3 6 2 2 2" xfId="25253" xr:uid="{EB63CF04-4A4C-4990-B834-C5B696CFF9BD}"/>
    <cellStyle name="40% - Accent1 3 6 2 2 3" xfId="16805" xr:uid="{C00EC54D-4BA6-49B6-93E4-6CFC53345AD9}"/>
    <cellStyle name="40% - Accent1 3 6 2 3" xfId="21035" xr:uid="{09E3F142-160F-43FA-B628-863C70F28542}"/>
    <cellStyle name="40% - Accent1 3 6 2 4" xfId="12587" xr:uid="{65E760FE-0C67-4885-A133-AD793D4C3EF5}"/>
    <cellStyle name="40% - Accent1 3 6 3" xfId="6210" xr:uid="{00000000-0005-0000-0000-000036040000}"/>
    <cellStyle name="40% - Accent1 3 6 3 2" xfId="23108" xr:uid="{8702E9AD-1DD7-454F-B3AB-523C2FD83D9A}"/>
    <cellStyle name="40% - Accent1 3 6 3 3" xfId="14660" xr:uid="{EF0A4248-0A7C-458D-A27A-CF7A0D94B969}"/>
    <cellStyle name="40% - Accent1 3 6 4" xfId="18890" xr:uid="{D44699BE-3B46-4FE3-8E8C-63AECFBE6315}"/>
    <cellStyle name="40% - Accent1 3 6 5" xfId="10442" xr:uid="{6D80003F-B4F2-4AEC-8B80-AC5167141AAF}"/>
    <cellStyle name="40% - Accent1 3 7" xfId="2317" xr:uid="{00000000-0005-0000-0000-000037040000}"/>
    <cellStyle name="40% - Accent1 3 7 2" xfId="6623" xr:uid="{00000000-0005-0000-0000-000038040000}"/>
    <cellStyle name="40% - Accent1 3 7 2 2" xfId="23521" xr:uid="{18104525-C7C3-4F35-93CC-A2E4CC257275}"/>
    <cellStyle name="40% - Accent1 3 7 2 3" xfId="15073" xr:uid="{7331D7B8-C775-420F-8B3C-D20F161F2121}"/>
    <cellStyle name="40% - Accent1 3 7 3" xfId="19303" xr:uid="{8AD2CD87-A6DB-4113-A3BE-612B9C10E34B}"/>
    <cellStyle name="40% - Accent1 3 7 4" xfId="10855" xr:uid="{D6F50E27-3DB4-4F88-93C7-6B0229880ADB}"/>
    <cellStyle name="40% - Accent1 3 8" xfId="4557" xr:uid="{00000000-0005-0000-0000-000039040000}"/>
    <cellStyle name="40% - Accent1 3 8 2" xfId="21455" xr:uid="{59C5F437-7CFF-4D2D-AC1A-330A958D362D}"/>
    <cellStyle name="40% - Accent1 3 8 3" xfId="13007" xr:uid="{812C9CA0-3ECE-40CF-A83B-13733F241C7B}"/>
    <cellStyle name="40% - Accent1 3 9" xfId="17237" xr:uid="{195B353A-42CC-40B0-AABB-8F021C332F21}"/>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2 2 2" xfId="24016" xr:uid="{1E17F4B8-4605-44CC-BCEA-603D67897DB5}"/>
    <cellStyle name="40% - Accent1 4 2 2 2 3" xfId="15568" xr:uid="{80128C71-E9C5-4141-85C2-0CDB94926B4E}"/>
    <cellStyle name="40% - Accent1 4 2 2 3" xfId="19798" xr:uid="{BCF90EAA-C75A-4169-9A42-7A07E9E92AC8}"/>
    <cellStyle name="40% - Accent1 4 2 2 4" xfId="11350" xr:uid="{950F822A-F5B9-4F50-8F1B-E6CB72DD2B64}"/>
    <cellStyle name="40% - Accent1 4 2 3" xfId="4973" xr:uid="{00000000-0005-0000-0000-00003E040000}"/>
    <cellStyle name="40% - Accent1 4 2 3 2" xfId="21871" xr:uid="{22ADF9F9-7B37-44B7-9967-BD12D7BE4568}"/>
    <cellStyle name="40% - Accent1 4 2 3 3" xfId="13423" xr:uid="{100FE43D-E1C4-4590-959C-C836F0A7827C}"/>
    <cellStyle name="40% - Accent1 4 2 4" xfId="17653" xr:uid="{F672C425-2535-4A8B-9B15-20F9EC7DF86E}"/>
    <cellStyle name="40% - Accent1 4 2 5" xfId="9205" xr:uid="{094CFC12-D732-4C27-A23B-7A5E610E41B9}"/>
    <cellStyle name="40% - Accent1 4 3" xfId="1078" xr:uid="{00000000-0005-0000-0000-00003F040000}"/>
    <cellStyle name="40% - Accent1 4 3 2" xfId="3309" xr:uid="{00000000-0005-0000-0000-000040040000}"/>
    <cellStyle name="40% - Accent1 4 3 2 2" xfId="7531" xr:uid="{00000000-0005-0000-0000-000041040000}"/>
    <cellStyle name="40% - Accent1 4 3 2 2 2" xfId="24429" xr:uid="{0E2CCD1A-0A7B-48EA-869A-A11DDC1789A9}"/>
    <cellStyle name="40% - Accent1 4 3 2 2 3" xfId="15981" xr:uid="{4F186726-3F71-45D2-8D2E-F03620C3A418}"/>
    <cellStyle name="40% - Accent1 4 3 2 3" xfId="20211" xr:uid="{BFB281B4-574E-41CB-B006-0A90D863E70B}"/>
    <cellStyle name="40% - Accent1 4 3 2 4" xfId="11763" xr:uid="{A29FE3A0-0074-4C99-9BA4-D0994F46FA7B}"/>
    <cellStyle name="40% - Accent1 4 3 3" xfId="5386" xr:uid="{00000000-0005-0000-0000-000042040000}"/>
    <cellStyle name="40% - Accent1 4 3 3 2" xfId="22284" xr:uid="{71D1AB88-B1E1-49B6-A280-4B9A1140C772}"/>
    <cellStyle name="40% - Accent1 4 3 3 3" xfId="13836" xr:uid="{DAFEF7D9-FCAC-4E4D-9B98-13CD90BE6ADD}"/>
    <cellStyle name="40% - Accent1 4 3 4" xfId="18066" xr:uid="{CFE766F0-5354-4B05-A9DD-FB084B7774C8}"/>
    <cellStyle name="40% - Accent1 4 3 5" xfId="9618" xr:uid="{5AC4AC38-07A9-435A-8F7F-2E3D3651E0FD}"/>
    <cellStyle name="40% - Accent1 4 4" xfId="1492" xr:uid="{00000000-0005-0000-0000-000043040000}"/>
    <cellStyle name="40% - Accent1 4 4 2" xfId="3722" xr:uid="{00000000-0005-0000-0000-000044040000}"/>
    <cellStyle name="40% - Accent1 4 4 2 2" xfId="7944" xr:uid="{00000000-0005-0000-0000-000045040000}"/>
    <cellStyle name="40% - Accent1 4 4 2 2 2" xfId="24842" xr:uid="{EC3B3B03-0434-46A0-8521-83B1BBC9C6B1}"/>
    <cellStyle name="40% - Accent1 4 4 2 2 3" xfId="16394" xr:uid="{D317CE8D-7FB4-4A9C-9D7B-7721FB20F5A1}"/>
    <cellStyle name="40% - Accent1 4 4 2 3" xfId="20624" xr:uid="{7706A6A7-6756-4A8B-9F4A-3F4E981AD15E}"/>
    <cellStyle name="40% - Accent1 4 4 2 4" xfId="12176" xr:uid="{471F2B2B-7F55-47E2-928D-389F98957208}"/>
    <cellStyle name="40% - Accent1 4 4 3" xfId="5799" xr:uid="{00000000-0005-0000-0000-000046040000}"/>
    <cellStyle name="40% - Accent1 4 4 3 2" xfId="22697" xr:uid="{17A63868-1A3B-48D8-8C94-410102A8E18E}"/>
    <cellStyle name="40% - Accent1 4 4 3 3" xfId="14249" xr:uid="{272E2C2C-1697-4352-B486-AEA595104B28}"/>
    <cellStyle name="40% - Accent1 4 4 4" xfId="18479" xr:uid="{B5782894-85BC-4B1F-874C-9ED4AACF07C2}"/>
    <cellStyle name="40% - Accent1 4 4 5" xfId="10031" xr:uid="{8B936573-F24F-4502-9831-C359FB8D1CC4}"/>
    <cellStyle name="40% - Accent1 4 5" xfId="1906" xr:uid="{00000000-0005-0000-0000-000047040000}"/>
    <cellStyle name="40% - Accent1 4 5 2" xfId="4135" xr:uid="{00000000-0005-0000-0000-000048040000}"/>
    <cellStyle name="40% - Accent1 4 5 2 2" xfId="8357" xr:uid="{00000000-0005-0000-0000-000049040000}"/>
    <cellStyle name="40% - Accent1 4 5 2 2 2" xfId="25255" xr:uid="{010DFFA3-B18D-461D-8DF5-A0802DC86BFA}"/>
    <cellStyle name="40% - Accent1 4 5 2 2 3" xfId="16807" xr:uid="{D8FFDEF5-83C1-4CAC-9678-DEFEEE72C54E}"/>
    <cellStyle name="40% - Accent1 4 5 2 3" xfId="21037" xr:uid="{1FE7A55F-1A51-45B9-8620-54A1019BE309}"/>
    <cellStyle name="40% - Accent1 4 5 2 4" xfId="12589" xr:uid="{497849B4-5CBB-4D9D-93E1-4F1E3986C7B0}"/>
    <cellStyle name="40% - Accent1 4 5 3" xfId="6212" xr:uid="{00000000-0005-0000-0000-00004A040000}"/>
    <cellStyle name="40% - Accent1 4 5 3 2" xfId="23110" xr:uid="{B4F2A193-2088-4178-B570-A789975ED196}"/>
    <cellStyle name="40% - Accent1 4 5 3 3" xfId="14662" xr:uid="{42D321F1-9179-4E11-A815-D57FE981666F}"/>
    <cellStyle name="40% - Accent1 4 5 4" xfId="18892" xr:uid="{F913E0B1-4CC1-4BF5-AA3A-7DF8688BC9CC}"/>
    <cellStyle name="40% - Accent1 4 5 5" xfId="10444" xr:uid="{881C6B05-8100-4B96-9E15-D65360AF946C}"/>
    <cellStyle name="40% - Accent1 4 6" xfId="2319" xr:uid="{00000000-0005-0000-0000-00004B040000}"/>
    <cellStyle name="40% - Accent1 4 6 2" xfId="6625" xr:uid="{00000000-0005-0000-0000-00004C040000}"/>
    <cellStyle name="40% - Accent1 4 6 2 2" xfId="23523" xr:uid="{2ACE42A3-EE40-477F-8164-DDC65B56A614}"/>
    <cellStyle name="40% - Accent1 4 6 2 3" xfId="15075" xr:uid="{4D7A751A-9BC8-45C1-AEB6-2EAD534D665B}"/>
    <cellStyle name="40% - Accent1 4 6 3" xfId="19305" xr:uid="{8B529C3B-F8D7-4D9B-A331-C9F5E6BF4ACB}"/>
    <cellStyle name="40% - Accent1 4 6 4" xfId="10857" xr:uid="{79E5626C-FD93-4D24-8BB5-6060300385A5}"/>
    <cellStyle name="40% - Accent1 4 7" xfId="4559" xr:uid="{00000000-0005-0000-0000-00004D040000}"/>
    <cellStyle name="40% - Accent1 4 7 2" xfId="21457" xr:uid="{0A32CA7D-2B93-4B3C-96B8-64B0EB007EE4}"/>
    <cellStyle name="40% - Accent1 4 7 3" xfId="13009" xr:uid="{0962C6E8-C34D-4017-8A5B-BE113C3EC83D}"/>
    <cellStyle name="40% - Accent1 4 8" xfId="17239" xr:uid="{ACE3C6E2-3DCE-4DF6-86CD-01E6147BCFE3}"/>
    <cellStyle name="40% - Accent1 4 9" xfId="8791" xr:uid="{A37CAB48-B7F5-4899-94DB-3EA0A8A00769}"/>
    <cellStyle name="40% - Accent1 5" xfId="618" xr:uid="{00000000-0005-0000-0000-00004E040000}"/>
    <cellStyle name="40% - Accent1 5 2" xfId="2889" xr:uid="{00000000-0005-0000-0000-00004F040000}"/>
    <cellStyle name="40% - Accent1 5 2 2" xfId="7111" xr:uid="{00000000-0005-0000-0000-000050040000}"/>
    <cellStyle name="40% - Accent1 5 2 2 2" xfId="24009" xr:uid="{33B74641-AEFD-4E3D-9F11-3682982AE4CA}"/>
    <cellStyle name="40% - Accent1 5 2 2 3" xfId="15561" xr:uid="{510CFEFE-C8F2-4182-8D3D-93A835C3125D}"/>
    <cellStyle name="40% - Accent1 5 2 3" xfId="19791" xr:uid="{49290E2B-0FB7-495E-A79C-2A2C44E3F610}"/>
    <cellStyle name="40% - Accent1 5 2 4" xfId="11343" xr:uid="{3A7CBC88-8D42-46DC-ACCC-858B5EBE20C2}"/>
    <cellStyle name="40% - Accent1 5 3" xfId="4966" xr:uid="{00000000-0005-0000-0000-000051040000}"/>
    <cellStyle name="40% - Accent1 5 3 2" xfId="21864" xr:uid="{C1BA9719-9330-4806-8A13-4FADCA56F8A4}"/>
    <cellStyle name="40% - Accent1 5 3 3" xfId="13416" xr:uid="{192B2A76-F70F-47C1-BE6C-23DD5B7C9AA9}"/>
    <cellStyle name="40% - Accent1 5 4" xfId="17646" xr:uid="{84147472-1D09-46A5-BC82-BDD9F872559E}"/>
    <cellStyle name="40% - Accent1 5 5" xfId="9198" xr:uid="{E5D1DC0D-8E3E-4B18-8B65-B4F03D1292F3}"/>
    <cellStyle name="40% - Accent1 6" xfId="1071" xr:uid="{00000000-0005-0000-0000-000052040000}"/>
    <cellStyle name="40% - Accent1 6 2" xfId="3302" xr:uid="{00000000-0005-0000-0000-000053040000}"/>
    <cellStyle name="40% - Accent1 6 2 2" xfId="7524" xr:uid="{00000000-0005-0000-0000-000054040000}"/>
    <cellStyle name="40% - Accent1 6 2 2 2" xfId="24422" xr:uid="{8AADAF0D-1862-4039-BFCA-39553CA9A101}"/>
    <cellStyle name="40% - Accent1 6 2 2 3" xfId="15974" xr:uid="{C169417B-A8E6-47D9-8777-AA8A1DBD1B59}"/>
    <cellStyle name="40% - Accent1 6 2 3" xfId="20204" xr:uid="{D4E00991-2090-4E31-986F-F5C14547ED85}"/>
    <cellStyle name="40% - Accent1 6 2 4" xfId="11756" xr:uid="{3173B5B9-7F31-4461-AEE8-016365FB0F94}"/>
    <cellStyle name="40% - Accent1 6 3" xfId="5379" xr:uid="{00000000-0005-0000-0000-000055040000}"/>
    <cellStyle name="40% - Accent1 6 3 2" xfId="22277" xr:uid="{086AE49D-803A-463E-8245-CF2350194CA7}"/>
    <cellStyle name="40% - Accent1 6 3 3" xfId="13829" xr:uid="{D867CE1C-DCD3-4794-8A71-DE482B21C377}"/>
    <cellStyle name="40% - Accent1 6 4" xfId="18059" xr:uid="{2ACF6384-47F0-4E7A-AFC0-C325A8C0799C}"/>
    <cellStyle name="40% - Accent1 6 5" xfId="9611" xr:uid="{837F7340-EC4D-4A2A-8591-3954755B942E}"/>
    <cellStyle name="40% - Accent1 7" xfId="1485" xr:uid="{00000000-0005-0000-0000-000056040000}"/>
    <cellStyle name="40% - Accent1 7 2" xfId="3715" xr:uid="{00000000-0005-0000-0000-000057040000}"/>
    <cellStyle name="40% - Accent1 7 2 2" xfId="7937" xr:uid="{00000000-0005-0000-0000-000058040000}"/>
    <cellStyle name="40% - Accent1 7 2 2 2" xfId="24835" xr:uid="{5A3FCFB4-41FF-4D30-8EBB-22D93CE5D818}"/>
    <cellStyle name="40% - Accent1 7 2 2 3" xfId="16387" xr:uid="{684C8E11-0F0E-43D7-A076-9F6DCD358A73}"/>
    <cellStyle name="40% - Accent1 7 2 3" xfId="20617" xr:uid="{B0F40B3D-7132-49CC-A0FF-FFE411561796}"/>
    <cellStyle name="40% - Accent1 7 2 4" xfId="12169" xr:uid="{17D5F817-25C9-4C47-AC39-A3235C72C4B0}"/>
    <cellStyle name="40% - Accent1 7 3" xfId="5792" xr:uid="{00000000-0005-0000-0000-000059040000}"/>
    <cellStyle name="40% - Accent1 7 3 2" xfId="22690" xr:uid="{EE75833F-C283-4690-8AB7-32E17530FDB2}"/>
    <cellStyle name="40% - Accent1 7 3 3" xfId="14242" xr:uid="{D50EAC13-A396-446A-82A7-1A6A83D33BAA}"/>
    <cellStyle name="40% - Accent1 7 4" xfId="18472" xr:uid="{2E3C7ADF-F57F-4569-B393-45FC84516A15}"/>
    <cellStyle name="40% - Accent1 7 5" xfId="10024" xr:uid="{39F104AD-C55D-47C9-AD33-0E3C55DA61BB}"/>
    <cellStyle name="40% - Accent1 8" xfId="1899" xr:uid="{00000000-0005-0000-0000-00005A040000}"/>
    <cellStyle name="40% - Accent1 8 2" xfId="4128" xr:uid="{00000000-0005-0000-0000-00005B040000}"/>
    <cellStyle name="40% - Accent1 8 2 2" xfId="8350" xr:uid="{00000000-0005-0000-0000-00005C040000}"/>
    <cellStyle name="40% - Accent1 8 2 2 2" xfId="25248" xr:uid="{3AA4DA3B-8777-43A2-8D47-EAC0C7E27A8B}"/>
    <cellStyle name="40% - Accent1 8 2 2 3" xfId="16800" xr:uid="{31964769-95D1-4635-A4EC-3BB1143FABD7}"/>
    <cellStyle name="40% - Accent1 8 2 3" xfId="21030" xr:uid="{748FA9B7-AE0D-4671-B23E-EA56DB1DAD9D}"/>
    <cellStyle name="40% - Accent1 8 2 4" xfId="12582" xr:uid="{FF7ABC9E-AB40-47A2-9B99-64C555A53061}"/>
    <cellStyle name="40% - Accent1 8 3" xfId="6205" xr:uid="{00000000-0005-0000-0000-00005D040000}"/>
    <cellStyle name="40% - Accent1 8 3 2" xfId="23103" xr:uid="{A4C840CA-A7CB-4E51-BEDA-EA99701FB13C}"/>
    <cellStyle name="40% - Accent1 8 3 3" xfId="14655" xr:uid="{3EF2100C-1C75-4472-A1D7-1DCAB56D542E}"/>
    <cellStyle name="40% - Accent1 8 4" xfId="18885" xr:uid="{EDE127D7-6180-4B9B-A43B-DC4C1E2A55F4}"/>
    <cellStyle name="40% - Accent1 8 5" xfId="10437" xr:uid="{D475476A-6FF0-451D-B944-CFA7A8715A86}"/>
    <cellStyle name="40% - Accent1 9" xfId="2312" xr:uid="{00000000-0005-0000-0000-00005E040000}"/>
    <cellStyle name="40% - Accent1 9 2" xfId="6618" xr:uid="{00000000-0005-0000-0000-00005F040000}"/>
    <cellStyle name="40% - Accent1 9 2 2" xfId="23516" xr:uid="{E2CD8304-8A3F-4AC4-B122-9D32CE83D251}"/>
    <cellStyle name="40% - Accent1 9 2 3" xfId="15068" xr:uid="{F3BFCD51-E193-4F92-AA71-92A82EB893B7}"/>
    <cellStyle name="40% - Accent1 9 3" xfId="19298" xr:uid="{D722A2A0-15E5-4FC5-9030-AF085730D252}"/>
    <cellStyle name="40% - Accent1 9 4" xfId="10850" xr:uid="{E7AACC45-67BC-4A34-81F9-FEBF50D62882}"/>
    <cellStyle name="40% - Accent2" xfId="57" builtinId="35" customBuiltin="1"/>
    <cellStyle name="40% - Accent2 10" xfId="4560" xr:uid="{00000000-0005-0000-0000-000061040000}"/>
    <cellStyle name="40% - Accent2 10 2" xfId="21458" xr:uid="{8B805AD7-8F98-484C-B5EE-0C049D5AE7A6}"/>
    <cellStyle name="40% - Accent2 10 3" xfId="13010" xr:uid="{AEEFB32C-F683-4A13-86B6-A7C7CED886EF}"/>
    <cellStyle name="40% - Accent2 11" xfId="17240" xr:uid="{EEDD804D-409E-4276-B79A-1063EF1F6E71}"/>
    <cellStyle name="40% - Accent2 12" xfId="8792" xr:uid="{D9B6A5B9-AF36-4B29-A9AE-ED2FEC07B7CF}"/>
    <cellStyle name="40% - Accent2 2" xfId="58" xr:uid="{00000000-0005-0000-0000-000062040000}"/>
    <cellStyle name="40% - Accent2 2 10" xfId="17241" xr:uid="{A8F3171A-882B-4F95-AC52-4698FEB917D9}"/>
    <cellStyle name="40% - Accent2 2 11" xfId="8793" xr:uid="{BEEF971A-6D16-4219-9F0A-1526B0C24919}"/>
    <cellStyle name="40% - Accent2 2 2" xfId="59" xr:uid="{00000000-0005-0000-0000-000063040000}"/>
    <cellStyle name="40% - Accent2 2 2 10" xfId="8794" xr:uid="{3790B6E6-1992-4527-A8E7-41CAD2E35F01}"/>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24020" xr:uid="{AD4FDEA4-2438-4C30-B320-306FEC70D1F4}"/>
    <cellStyle name="40% - Accent2 2 2 2 2 2 2 3" xfId="15572" xr:uid="{4A3DD6CE-892D-466C-8DB5-FB4A135A08D5}"/>
    <cellStyle name="40% - Accent2 2 2 2 2 2 3" xfId="19802" xr:uid="{97DF0DB4-2C99-4F92-A474-299C52D4AA17}"/>
    <cellStyle name="40% - Accent2 2 2 2 2 2 4" xfId="11354" xr:uid="{994E91EB-CCFB-4308-8A1A-513383D9E413}"/>
    <cellStyle name="40% - Accent2 2 2 2 2 3" xfId="4977" xr:uid="{00000000-0005-0000-0000-000068040000}"/>
    <cellStyle name="40% - Accent2 2 2 2 2 3 2" xfId="21875" xr:uid="{6D131DCA-EB37-4442-BE1D-D9FDD432DC3D}"/>
    <cellStyle name="40% - Accent2 2 2 2 2 3 3" xfId="13427" xr:uid="{9BA0D82F-EEC2-411E-9A20-70BE2411B1D5}"/>
    <cellStyle name="40% - Accent2 2 2 2 2 4" xfId="17657" xr:uid="{F0AE191D-7EF6-408C-B454-E4670D8308C0}"/>
    <cellStyle name="40% - Accent2 2 2 2 2 5" xfId="9209" xr:uid="{BA54C812-4718-4E8A-B368-A9D876D39B7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24433" xr:uid="{A48A2F97-4B85-4E2B-A367-B44D0C306C97}"/>
    <cellStyle name="40% - Accent2 2 2 2 3 2 2 3" xfId="15985" xr:uid="{A02342E9-5EF1-4515-99C2-FC9A167BEB00}"/>
    <cellStyle name="40% - Accent2 2 2 2 3 2 3" xfId="20215" xr:uid="{2173F6A3-034B-423C-B11B-BCD59F53C59B}"/>
    <cellStyle name="40% - Accent2 2 2 2 3 2 4" xfId="11767" xr:uid="{63234860-4EAE-45E4-821E-7D71383031A5}"/>
    <cellStyle name="40% - Accent2 2 2 2 3 3" xfId="5390" xr:uid="{00000000-0005-0000-0000-00006C040000}"/>
    <cellStyle name="40% - Accent2 2 2 2 3 3 2" xfId="22288" xr:uid="{794490AF-97E9-4BAB-9BCF-4EF936B0A209}"/>
    <cellStyle name="40% - Accent2 2 2 2 3 3 3" xfId="13840" xr:uid="{A956F890-22FF-4F2F-A4A7-40F606CE28E2}"/>
    <cellStyle name="40% - Accent2 2 2 2 3 4" xfId="18070" xr:uid="{CCA82F38-AAA0-42CE-BC4C-16726B068F92}"/>
    <cellStyle name="40% - Accent2 2 2 2 3 5" xfId="9622" xr:uid="{413F46E7-2BE8-4694-AED4-6F35A84DDFB2}"/>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24846" xr:uid="{93B64FF5-D505-403C-9848-74EDB371464D}"/>
    <cellStyle name="40% - Accent2 2 2 2 4 2 2 3" xfId="16398" xr:uid="{764A5B0A-57A3-435E-875C-2763DC644909}"/>
    <cellStyle name="40% - Accent2 2 2 2 4 2 3" xfId="20628" xr:uid="{D57126F7-08A4-432A-A489-A645419CDF1D}"/>
    <cellStyle name="40% - Accent2 2 2 2 4 2 4" xfId="12180" xr:uid="{D2D763F3-3395-4696-849C-8629546AC431}"/>
    <cellStyle name="40% - Accent2 2 2 2 4 3" xfId="5803" xr:uid="{00000000-0005-0000-0000-000070040000}"/>
    <cellStyle name="40% - Accent2 2 2 2 4 3 2" xfId="22701" xr:uid="{B219B3E8-3058-44BB-ABCC-E2D24A7080BE}"/>
    <cellStyle name="40% - Accent2 2 2 2 4 3 3" xfId="14253" xr:uid="{BC3773DC-EC70-4895-A592-ABF2CCB7EC1D}"/>
    <cellStyle name="40% - Accent2 2 2 2 4 4" xfId="18483" xr:uid="{822B31C3-6A0B-45B6-B5EC-FB157665BF23}"/>
    <cellStyle name="40% - Accent2 2 2 2 4 5" xfId="10035" xr:uid="{E2506F3B-AF01-4AF7-93B7-B1521C155405}"/>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25259" xr:uid="{D5969BF7-02D1-421E-9E3A-6ABE9711C0D9}"/>
    <cellStyle name="40% - Accent2 2 2 2 5 2 2 3" xfId="16811" xr:uid="{940ABFED-61FA-47FB-9E4C-47EB413A1307}"/>
    <cellStyle name="40% - Accent2 2 2 2 5 2 3" xfId="21041" xr:uid="{B3BB7641-09EE-4C68-9ABD-C7C1A3D3494F}"/>
    <cellStyle name="40% - Accent2 2 2 2 5 2 4" xfId="12593" xr:uid="{289B067C-86CD-4BE4-B55B-AEB9BCBE3D66}"/>
    <cellStyle name="40% - Accent2 2 2 2 5 3" xfId="6216" xr:uid="{00000000-0005-0000-0000-000074040000}"/>
    <cellStyle name="40% - Accent2 2 2 2 5 3 2" xfId="23114" xr:uid="{07D4A8B7-CEC7-414D-94F4-0DC9C2F3C83C}"/>
    <cellStyle name="40% - Accent2 2 2 2 5 3 3" xfId="14666" xr:uid="{023C911A-3656-42E7-A5F5-88DB74F0831B}"/>
    <cellStyle name="40% - Accent2 2 2 2 5 4" xfId="18896" xr:uid="{4163C518-E427-4FB5-AACF-16BB8E9E9290}"/>
    <cellStyle name="40% - Accent2 2 2 2 5 5" xfId="10448" xr:uid="{EF008290-E28A-47CA-B4EC-1321E3206D5E}"/>
    <cellStyle name="40% - Accent2 2 2 2 6" xfId="2323" xr:uid="{00000000-0005-0000-0000-000075040000}"/>
    <cellStyle name="40% - Accent2 2 2 2 6 2" xfId="6629" xr:uid="{00000000-0005-0000-0000-000076040000}"/>
    <cellStyle name="40% - Accent2 2 2 2 6 2 2" xfId="23527" xr:uid="{66DC0B7C-2390-4E63-ADB9-977CD43F4A4E}"/>
    <cellStyle name="40% - Accent2 2 2 2 6 2 3" xfId="15079" xr:uid="{90DB488E-EC56-44EA-A209-6DD8C44E49AD}"/>
    <cellStyle name="40% - Accent2 2 2 2 6 3" xfId="19309" xr:uid="{AFCD47AB-B94B-4342-8448-A0295080AD7D}"/>
    <cellStyle name="40% - Accent2 2 2 2 6 4" xfId="10861" xr:uid="{C21C3160-8AD1-48C3-BC6F-918A3A95AA2D}"/>
    <cellStyle name="40% - Accent2 2 2 2 7" xfId="4563" xr:uid="{00000000-0005-0000-0000-000077040000}"/>
    <cellStyle name="40% - Accent2 2 2 2 7 2" xfId="21461" xr:uid="{D54C1A69-869A-4AFE-8B01-E0A38E00D0BE}"/>
    <cellStyle name="40% - Accent2 2 2 2 7 3" xfId="13013" xr:uid="{5F6430FD-77A4-4B4A-8DD8-D80F08199D7A}"/>
    <cellStyle name="40% - Accent2 2 2 2 8" xfId="17243" xr:uid="{006D1C03-5B1A-4201-946D-639887EFB480}"/>
    <cellStyle name="40% - Accent2 2 2 2 9" xfId="8795" xr:uid="{3DBFB360-E475-4633-B67B-734645830245}"/>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24019" xr:uid="{BC79D548-6F73-47DE-915E-F95D9BB2E62F}"/>
    <cellStyle name="40% - Accent2 2 2 3 2 2 3" xfId="15571" xr:uid="{88985268-D089-4074-A14B-920970702408}"/>
    <cellStyle name="40% - Accent2 2 2 3 2 3" xfId="19801" xr:uid="{D6372F88-EDEF-4FAC-BA06-6F73D6A6E324}"/>
    <cellStyle name="40% - Accent2 2 2 3 2 4" xfId="11353" xr:uid="{85053D3D-2FF0-448F-A86A-08CB83774D51}"/>
    <cellStyle name="40% - Accent2 2 2 3 3" xfId="4976" xr:uid="{00000000-0005-0000-0000-00007B040000}"/>
    <cellStyle name="40% - Accent2 2 2 3 3 2" xfId="21874" xr:uid="{7AEF4F02-D641-4932-A820-CA3A226CDFB8}"/>
    <cellStyle name="40% - Accent2 2 2 3 3 3" xfId="13426" xr:uid="{4BB8E198-A1A2-4702-8AB9-12A012A97C42}"/>
    <cellStyle name="40% - Accent2 2 2 3 4" xfId="17656" xr:uid="{7B189447-BD07-4FF0-8ED0-61095B5EF74C}"/>
    <cellStyle name="40% - Accent2 2 2 3 5" xfId="9208" xr:uid="{AA3F1E93-24C7-41B8-9D85-DA6917F23D7B}"/>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24432" xr:uid="{B4F9B158-469F-43D6-931C-E0B4DD80CCE4}"/>
    <cellStyle name="40% - Accent2 2 2 4 2 2 3" xfId="15984" xr:uid="{21BD11DC-9163-4203-8904-CE3C5A4C48AE}"/>
    <cellStyle name="40% - Accent2 2 2 4 2 3" xfId="20214" xr:uid="{78ACBBE4-0682-4020-957F-3C2B0D0A34F9}"/>
    <cellStyle name="40% - Accent2 2 2 4 2 4" xfId="11766" xr:uid="{98023C93-C3A9-45BF-9E0C-EED7F577B33D}"/>
    <cellStyle name="40% - Accent2 2 2 4 3" xfId="5389" xr:uid="{00000000-0005-0000-0000-00007F040000}"/>
    <cellStyle name="40% - Accent2 2 2 4 3 2" xfId="22287" xr:uid="{13010186-8768-44F2-B7BE-F024A4D5EE2D}"/>
    <cellStyle name="40% - Accent2 2 2 4 3 3" xfId="13839" xr:uid="{33D607A4-C847-4C59-8262-BD522B6A2151}"/>
    <cellStyle name="40% - Accent2 2 2 4 4" xfId="18069" xr:uid="{77D21B61-74AC-453D-B3CD-81512A267725}"/>
    <cellStyle name="40% - Accent2 2 2 4 5" xfId="9621" xr:uid="{21C26C81-3753-4482-A3B6-432CA0AA0AC0}"/>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24845" xr:uid="{DD68AC1F-5CE3-4D79-9A15-D2D0ADEF42BC}"/>
    <cellStyle name="40% - Accent2 2 2 5 2 2 3" xfId="16397" xr:uid="{A0DEEF39-3028-4B39-A116-386ECF1D5A3A}"/>
    <cellStyle name="40% - Accent2 2 2 5 2 3" xfId="20627" xr:uid="{7BA98E82-F3BD-4877-A6B2-19538E708932}"/>
    <cellStyle name="40% - Accent2 2 2 5 2 4" xfId="12179" xr:uid="{D3A2513A-7CEA-42AA-8713-B67651B41530}"/>
    <cellStyle name="40% - Accent2 2 2 5 3" xfId="5802" xr:uid="{00000000-0005-0000-0000-000083040000}"/>
    <cellStyle name="40% - Accent2 2 2 5 3 2" xfId="22700" xr:uid="{A8F640C4-1433-44A2-AD55-3CA8E7A5B8BD}"/>
    <cellStyle name="40% - Accent2 2 2 5 3 3" xfId="14252" xr:uid="{D6366690-A034-4A80-AA14-854AAF2FC374}"/>
    <cellStyle name="40% - Accent2 2 2 5 4" xfId="18482" xr:uid="{E15DF2E2-62FB-44B0-ADEF-49A7F126769E}"/>
    <cellStyle name="40% - Accent2 2 2 5 5" xfId="10034" xr:uid="{483AA306-7822-435F-B2DD-5995BE4513DD}"/>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25258" xr:uid="{6089A18B-31F1-4AA5-80E8-A7DD3AD81C3E}"/>
    <cellStyle name="40% - Accent2 2 2 6 2 2 3" xfId="16810" xr:uid="{C579C39B-EB60-44EC-B993-540487BF5EDD}"/>
    <cellStyle name="40% - Accent2 2 2 6 2 3" xfId="21040" xr:uid="{98A80A20-3274-4722-9A5E-3F770D670E39}"/>
    <cellStyle name="40% - Accent2 2 2 6 2 4" xfId="12592" xr:uid="{D6EFFB8E-DBCF-46BF-A87B-C094A56576BA}"/>
    <cellStyle name="40% - Accent2 2 2 6 3" xfId="6215" xr:uid="{00000000-0005-0000-0000-000087040000}"/>
    <cellStyle name="40% - Accent2 2 2 6 3 2" xfId="23113" xr:uid="{73E5FCDE-D4F8-4476-A4C1-1DC1F6442A50}"/>
    <cellStyle name="40% - Accent2 2 2 6 3 3" xfId="14665" xr:uid="{B12CBA7A-3714-4838-AB84-EEA2F4943359}"/>
    <cellStyle name="40% - Accent2 2 2 6 4" xfId="18895" xr:uid="{F12F72A8-3358-4D8C-80BA-9ED0F5B2790E}"/>
    <cellStyle name="40% - Accent2 2 2 6 5" xfId="10447" xr:uid="{D0896787-554F-43CE-AC5B-4C9BA89144AE}"/>
    <cellStyle name="40% - Accent2 2 2 7" xfId="2322" xr:uid="{00000000-0005-0000-0000-000088040000}"/>
    <cellStyle name="40% - Accent2 2 2 7 2" xfId="6628" xr:uid="{00000000-0005-0000-0000-000089040000}"/>
    <cellStyle name="40% - Accent2 2 2 7 2 2" xfId="23526" xr:uid="{CC1A85AA-E344-4CF0-97E9-717A861A8E81}"/>
    <cellStyle name="40% - Accent2 2 2 7 2 3" xfId="15078" xr:uid="{49D8A014-4AD9-4D99-BC21-A84EE1B22CB2}"/>
    <cellStyle name="40% - Accent2 2 2 7 3" xfId="19308" xr:uid="{9BA60FD8-5423-4212-BC31-35EA6FEBD59A}"/>
    <cellStyle name="40% - Accent2 2 2 7 4" xfId="10860" xr:uid="{C10BECC7-50A6-4CED-BD4B-0F1F330456B9}"/>
    <cellStyle name="40% - Accent2 2 2 8" xfId="4562" xr:uid="{00000000-0005-0000-0000-00008A040000}"/>
    <cellStyle name="40% - Accent2 2 2 8 2" xfId="21460" xr:uid="{326F91D8-06F1-4D81-AFC4-FC92B6A00D4F}"/>
    <cellStyle name="40% - Accent2 2 2 8 3" xfId="13012" xr:uid="{2A07960A-DE26-4949-B1F6-8A7AEA70FB94}"/>
    <cellStyle name="40% - Accent2 2 2 9" xfId="17242" xr:uid="{B2460CA6-3B67-4DBC-9DAB-F0217F62CD9A}"/>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24021" xr:uid="{104F9789-C713-4266-AAE5-E6C5C55B4272}"/>
    <cellStyle name="40% - Accent2 2 3 2 2 2 3" xfId="15573" xr:uid="{C36CB986-BAFC-4275-AEF6-E03E4E92E30D}"/>
    <cellStyle name="40% - Accent2 2 3 2 2 3" xfId="19803" xr:uid="{393FDE96-7F85-4347-AF25-AB2B18B9BCF5}"/>
    <cellStyle name="40% - Accent2 2 3 2 2 4" xfId="11355" xr:uid="{4C583B4B-F259-450B-B236-FBE2332C298E}"/>
    <cellStyle name="40% - Accent2 2 3 2 3" xfId="4978" xr:uid="{00000000-0005-0000-0000-00008F040000}"/>
    <cellStyle name="40% - Accent2 2 3 2 3 2" xfId="21876" xr:uid="{D5CCAFBB-6DF9-46BC-9898-3B674C19DA87}"/>
    <cellStyle name="40% - Accent2 2 3 2 3 3" xfId="13428" xr:uid="{AF8E7B4A-67D9-4067-B0C2-DB2682DB378E}"/>
    <cellStyle name="40% - Accent2 2 3 2 4" xfId="17658" xr:uid="{60E83EFF-2EFC-4AF1-BF56-08FB50C0F45A}"/>
    <cellStyle name="40% - Accent2 2 3 2 5" xfId="9210" xr:uid="{F87913FD-4EF9-4C5F-AA45-3B2FBD159FA0}"/>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24434" xr:uid="{0FC153A8-1B7E-4933-822B-EFA6231896E3}"/>
    <cellStyle name="40% - Accent2 2 3 3 2 2 3" xfId="15986" xr:uid="{F668E1EB-EFC4-4ECF-BA45-F729C2713DA2}"/>
    <cellStyle name="40% - Accent2 2 3 3 2 3" xfId="20216" xr:uid="{A4C2D572-E84B-4AA9-8EFC-79AC6EF00253}"/>
    <cellStyle name="40% - Accent2 2 3 3 2 4" xfId="11768" xr:uid="{B9DE6311-199A-419F-9C8B-727639D577DB}"/>
    <cellStyle name="40% - Accent2 2 3 3 3" xfId="5391" xr:uid="{00000000-0005-0000-0000-000093040000}"/>
    <cellStyle name="40% - Accent2 2 3 3 3 2" xfId="22289" xr:uid="{9116E2E9-2B12-43BB-8CCE-F792758372F7}"/>
    <cellStyle name="40% - Accent2 2 3 3 3 3" xfId="13841" xr:uid="{6D66DFC4-4A99-4314-9BDB-5F6266DE9EBF}"/>
    <cellStyle name="40% - Accent2 2 3 3 4" xfId="18071" xr:uid="{9E777F5B-4ECE-4AEA-9322-CF83F2B7A8C7}"/>
    <cellStyle name="40% - Accent2 2 3 3 5" xfId="9623" xr:uid="{DFE1313C-679F-49E3-A732-C1B7671B5D53}"/>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24847" xr:uid="{ED9A916C-228C-4B98-8AB0-A618952F5770}"/>
    <cellStyle name="40% - Accent2 2 3 4 2 2 3" xfId="16399" xr:uid="{D27496EA-EB66-4D9C-8FBC-4C9C7A08B6F3}"/>
    <cellStyle name="40% - Accent2 2 3 4 2 3" xfId="20629" xr:uid="{7E1043F3-D383-4A89-9249-B024C3442BA7}"/>
    <cellStyle name="40% - Accent2 2 3 4 2 4" xfId="12181" xr:uid="{2F44676D-99BE-4D08-B4CD-BB160B0ACC71}"/>
    <cellStyle name="40% - Accent2 2 3 4 3" xfId="5804" xr:uid="{00000000-0005-0000-0000-000097040000}"/>
    <cellStyle name="40% - Accent2 2 3 4 3 2" xfId="22702" xr:uid="{F53246AB-15F0-4644-92AD-5ED7C950627F}"/>
    <cellStyle name="40% - Accent2 2 3 4 3 3" xfId="14254" xr:uid="{65AB7E88-633B-4CCE-8C09-B891A1EEE8C7}"/>
    <cellStyle name="40% - Accent2 2 3 4 4" xfId="18484" xr:uid="{D880F054-A728-4535-8CC0-A202E7BE965B}"/>
    <cellStyle name="40% - Accent2 2 3 4 5" xfId="10036" xr:uid="{B8EBCD82-EC5B-4E3B-B89B-C8BA0DF33DAF}"/>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25260" xr:uid="{BE6553F2-191B-4BF1-9828-97305AB08A97}"/>
    <cellStyle name="40% - Accent2 2 3 5 2 2 3" xfId="16812" xr:uid="{E48C9A35-CD57-4DC1-8FA2-AD6281CAA5D7}"/>
    <cellStyle name="40% - Accent2 2 3 5 2 3" xfId="21042" xr:uid="{229E5222-17EC-4E69-B145-944F9FD7BC53}"/>
    <cellStyle name="40% - Accent2 2 3 5 2 4" xfId="12594" xr:uid="{431FADF3-5826-4336-90CF-3A83738A9F17}"/>
    <cellStyle name="40% - Accent2 2 3 5 3" xfId="6217" xr:uid="{00000000-0005-0000-0000-00009B040000}"/>
    <cellStyle name="40% - Accent2 2 3 5 3 2" xfId="23115" xr:uid="{381AB048-42A8-42EC-9FEC-AD9FBA9F6555}"/>
    <cellStyle name="40% - Accent2 2 3 5 3 3" xfId="14667" xr:uid="{D62C5298-EDE8-4B05-ABFF-C287A61F2170}"/>
    <cellStyle name="40% - Accent2 2 3 5 4" xfId="18897" xr:uid="{2C3E31C9-6566-40DE-B324-C386633F93F8}"/>
    <cellStyle name="40% - Accent2 2 3 5 5" xfId="10449" xr:uid="{4BFDAD56-C1E0-4D94-8166-B621D184C7D0}"/>
    <cellStyle name="40% - Accent2 2 3 6" xfId="2324" xr:uid="{00000000-0005-0000-0000-00009C040000}"/>
    <cellStyle name="40% - Accent2 2 3 6 2" xfId="6630" xr:uid="{00000000-0005-0000-0000-00009D040000}"/>
    <cellStyle name="40% - Accent2 2 3 6 2 2" xfId="23528" xr:uid="{9215E7BC-4EBA-4EE8-B3EF-4F215099AD1F}"/>
    <cellStyle name="40% - Accent2 2 3 6 2 3" xfId="15080" xr:uid="{6B038BAA-01E8-494A-ABDB-A38BBEB71C8C}"/>
    <cellStyle name="40% - Accent2 2 3 6 3" xfId="19310" xr:uid="{9D6FC244-01C5-41D5-98FB-34E57ABFBDFF}"/>
    <cellStyle name="40% - Accent2 2 3 6 4" xfId="10862" xr:uid="{26D94111-4E4F-4868-9DC3-63E01FCEB2BB}"/>
    <cellStyle name="40% - Accent2 2 3 7" xfId="4564" xr:uid="{00000000-0005-0000-0000-00009E040000}"/>
    <cellStyle name="40% - Accent2 2 3 7 2" xfId="21462" xr:uid="{A9B29BCD-EAD7-4413-A074-F5E9FB7775B0}"/>
    <cellStyle name="40% - Accent2 2 3 7 3" xfId="13014" xr:uid="{70CF090D-FA7F-4F50-A6E2-3F328ABAEB54}"/>
    <cellStyle name="40% - Accent2 2 3 8" xfId="17244" xr:uid="{8661159E-172D-411D-998C-117ECD5EB6D4}"/>
    <cellStyle name="40% - Accent2 2 3 9" xfId="8796" xr:uid="{60B90E57-EDA1-4630-97C8-0A83771FA2F4}"/>
    <cellStyle name="40% - Accent2 2 4" xfId="627" xr:uid="{00000000-0005-0000-0000-00009F040000}"/>
    <cellStyle name="40% - Accent2 2 4 2" xfId="2898" xr:uid="{00000000-0005-0000-0000-0000A0040000}"/>
    <cellStyle name="40% - Accent2 2 4 2 2" xfId="7120" xr:uid="{00000000-0005-0000-0000-0000A1040000}"/>
    <cellStyle name="40% - Accent2 2 4 2 2 2" xfId="24018" xr:uid="{949B44BA-E875-470D-AA10-FE46B399877A}"/>
    <cellStyle name="40% - Accent2 2 4 2 2 3" xfId="15570" xr:uid="{ADF2D13C-C3CC-441B-9172-9F8236508028}"/>
    <cellStyle name="40% - Accent2 2 4 2 3" xfId="19800" xr:uid="{94C2F1BF-5C29-4562-8EB4-8A142EF5571A}"/>
    <cellStyle name="40% - Accent2 2 4 2 4" xfId="11352" xr:uid="{87855C87-D472-443F-969E-23F24B6CF570}"/>
    <cellStyle name="40% - Accent2 2 4 3" xfId="4975" xr:uid="{00000000-0005-0000-0000-0000A2040000}"/>
    <cellStyle name="40% - Accent2 2 4 3 2" xfId="21873" xr:uid="{DE926CB1-F74E-420A-87B2-64E3BBD8596F}"/>
    <cellStyle name="40% - Accent2 2 4 3 3" xfId="13425" xr:uid="{5F0FEF1D-9A14-43D9-82F7-067CBD9C0B46}"/>
    <cellStyle name="40% - Accent2 2 4 4" xfId="17655" xr:uid="{7EB7487B-978E-4CBD-B1DB-CE41E82B0338}"/>
    <cellStyle name="40% - Accent2 2 4 5" xfId="9207" xr:uid="{AC88E478-88FC-4054-9E2D-16F78EE5075D}"/>
    <cellStyle name="40% - Accent2 2 5" xfId="1080" xr:uid="{00000000-0005-0000-0000-0000A3040000}"/>
    <cellStyle name="40% - Accent2 2 5 2" xfId="3311" xr:uid="{00000000-0005-0000-0000-0000A4040000}"/>
    <cellStyle name="40% - Accent2 2 5 2 2" xfId="7533" xr:uid="{00000000-0005-0000-0000-0000A5040000}"/>
    <cellStyle name="40% - Accent2 2 5 2 2 2" xfId="24431" xr:uid="{B97BB189-E090-4AA1-9C4E-68E6469A058C}"/>
    <cellStyle name="40% - Accent2 2 5 2 2 3" xfId="15983" xr:uid="{64352F4F-3935-439A-9C96-00C7D5C4FC7B}"/>
    <cellStyle name="40% - Accent2 2 5 2 3" xfId="20213" xr:uid="{3846FA50-75FE-48CC-A901-A3EC9ADA670E}"/>
    <cellStyle name="40% - Accent2 2 5 2 4" xfId="11765" xr:uid="{45ED42A9-3743-4737-BC3B-58213C8AE0F5}"/>
    <cellStyle name="40% - Accent2 2 5 3" xfId="5388" xr:uid="{00000000-0005-0000-0000-0000A6040000}"/>
    <cellStyle name="40% - Accent2 2 5 3 2" xfId="22286" xr:uid="{97442EBB-D69B-4AFB-82BD-CAD4427E432D}"/>
    <cellStyle name="40% - Accent2 2 5 3 3" xfId="13838" xr:uid="{5593FC44-CDDD-4262-9313-2FA0A7560E89}"/>
    <cellStyle name="40% - Accent2 2 5 4" xfId="18068" xr:uid="{F27A1CE2-11B8-4A5A-9C7D-B3BC9E289216}"/>
    <cellStyle name="40% - Accent2 2 5 5" xfId="9620" xr:uid="{93DF90A7-DE01-47AB-B9FB-741447392552}"/>
    <cellStyle name="40% - Accent2 2 6" xfId="1494" xr:uid="{00000000-0005-0000-0000-0000A7040000}"/>
    <cellStyle name="40% - Accent2 2 6 2" xfId="3724" xr:uid="{00000000-0005-0000-0000-0000A8040000}"/>
    <cellStyle name="40% - Accent2 2 6 2 2" xfId="7946" xr:uid="{00000000-0005-0000-0000-0000A9040000}"/>
    <cellStyle name="40% - Accent2 2 6 2 2 2" xfId="24844" xr:uid="{35A7D8F6-E0CB-498B-9214-01E507502A68}"/>
    <cellStyle name="40% - Accent2 2 6 2 2 3" xfId="16396" xr:uid="{B122F890-ECA3-430B-9ED9-91A874DD6F09}"/>
    <cellStyle name="40% - Accent2 2 6 2 3" xfId="20626" xr:uid="{B8B43D7C-BE9B-44CA-93F3-66E308757C8F}"/>
    <cellStyle name="40% - Accent2 2 6 2 4" xfId="12178" xr:uid="{8A89D358-84C2-441B-88DC-E6D0CAA1FAD8}"/>
    <cellStyle name="40% - Accent2 2 6 3" xfId="5801" xr:uid="{00000000-0005-0000-0000-0000AA040000}"/>
    <cellStyle name="40% - Accent2 2 6 3 2" xfId="22699" xr:uid="{565E0068-6588-431F-B2F6-338EE02C0C2C}"/>
    <cellStyle name="40% - Accent2 2 6 3 3" xfId="14251" xr:uid="{B48A0A86-FB58-4751-BDFA-E3869A5C4125}"/>
    <cellStyle name="40% - Accent2 2 6 4" xfId="18481" xr:uid="{B82571B7-DF8D-4BFD-8522-BD3EA5740643}"/>
    <cellStyle name="40% - Accent2 2 6 5" xfId="10033" xr:uid="{F8B028E6-1EFC-4255-AF71-253ADAF15B94}"/>
    <cellStyle name="40% - Accent2 2 7" xfId="1908" xr:uid="{00000000-0005-0000-0000-0000AB040000}"/>
    <cellStyle name="40% - Accent2 2 7 2" xfId="4137" xr:uid="{00000000-0005-0000-0000-0000AC040000}"/>
    <cellStyle name="40% - Accent2 2 7 2 2" xfId="8359" xr:uid="{00000000-0005-0000-0000-0000AD040000}"/>
    <cellStyle name="40% - Accent2 2 7 2 2 2" xfId="25257" xr:uid="{D989398C-DD33-477C-A815-A2E12EFB9556}"/>
    <cellStyle name="40% - Accent2 2 7 2 2 3" xfId="16809" xr:uid="{4ED13AEC-7ACA-46E0-8270-1688F88F2CE9}"/>
    <cellStyle name="40% - Accent2 2 7 2 3" xfId="21039" xr:uid="{0F20E416-FE16-479A-B356-4854C07A97F2}"/>
    <cellStyle name="40% - Accent2 2 7 2 4" xfId="12591" xr:uid="{180281FC-3397-497B-8529-EFE2CB270ADC}"/>
    <cellStyle name="40% - Accent2 2 7 3" xfId="6214" xr:uid="{00000000-0005-0000-0000-0000AE040000}"/>
    <cellStyle name="40% - Accent2 2 7 3 2" xfId="23112" xr:uid="{31EBF2C4-457E-4E68-A20F-C97B9658CBE4}"/>
    <cellStyle name="40% - Accent2 2 7 3 3" xfId="14664" xr:uid="{82107E66-8A39-414F-9E8C-E4615DF5EB6C}"/>
    <cellStyle name="40% - Accent2 2 7 4" xfId="18894" xr:uid="{B06DBDB9-43E2-456D-B8F3-E5FF162A2375}"/>
    <cellStyle name="40% - Accent2 2 7 5" xfId="10446" xr:uid="{5D81C1D3-0C8F-4C99-B3F9-1B6B31381AEE}"/>
    <cellStyle name="40% - Accent2 2 8" xfId="2321" xr:uid="{00000000-0005-0000-0000-0000AF040000}"/>
    <cellStyle name="40% - Accent2 2 8 2" xfId="6627" xr:uid="{00000000-0005-0000-0000-0000B0040000}"/>
    <cellStyle name="40% - Accent2 2 8 2 2" xfId="23525" xr:uid="{593B70E4-2991-4F68-B37B-9E648DE21B9E}"/>
    <cellStyle name="40% - Accent2 2 8 2 3" xfId="15077" xr:uid="{52536E8A-E1CE-4A09-8692-9CBF0355FD46}"/>
    <cellStyle name="40% - Accent2 2 8 3" xfId="19307" xr:uid="{60267132-8668-48B4-929C-2DE088040779}"/>
    <cellStyle name="40% - Accent2 2 8 4" xfId="10859" xr:uid="{5EF37095-9C9F-412B-9889-421489167F6B}"/>
    <cellStyle name="40% - Accent2 2 9" xfId="4561" xr:uid="{00000000-0005-0000-0000-0000B1040000}"/>
    <cellStyle name="40% - Accent2 2 9 2" xfId="21459" xr:uid="{58EC0CE7-B138-4BE7-8C36-AE7CB086C8C8}"/>
    <cellStyle name="40% - Accent2 2 9 3" xfId="13011" xr:uid="{B0E3E702-C48D-4AA4-8654-FC5498C58AD1}"/>
    <cellStyle name="40% - Accent2 3" xfId="62" xr:uid="{00000000-0005-0000-0000-0000B2040000}"/>
    <cellStyle name="40% - Accent2 3 10" xfId="8797" xr:uid="{40B6F899-C72B-4373-9850-F40BB36B637C}"/>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24023" xr:uid="{0FC96D47-3CE2-4FD3-BC61-4610444A9B75}"/>
    <cellStyle name="40% - Accent2 3 2 2 2 2 3" xfId="15575" xr:uid="{A384253F-9A78-482C-8A11-521BC3DED9D2}"/>
    <cellStyle name="40% - Accent2 3 2 2 2 3" xfId="19805" xr:uid="{F76EAEBA-3321-41C2-AE13-E9801C036344}"/>
    <cellStyle name="40% - Accent2 3 2 2 2 4" xfId="11357" xr:uid="{C5CE7343-1F6A-4F71-BF97-4822B37CE002}"/>
    <cellStyle name="40% - Accent2 3 2 2 3" xfId="4980" xr:uid="{00000000-0005-0000-0000-0000B7040000}"/>
    <cellStyle name="40% - Accent2 3 2 2 3 2" xfId="21878" xr:uid="{073DD052-0019-4B94-9268-8574710AEDFF}"/>
    <cellStyle name="40% - Accent2 3 2 2 3 3" xfId="13430" xr:uid="{D68EB7DF-B619-4859-861D-278207B9F12F}"/>
    <cellStyle name="40% - Accent2 3 2 2 4" xfId="17660" xr:uid="{46267FD1-212F-4352-B7AE-76B95D5E3E57}"/>
    <cellStyle name="40% - Accent2 3 2 2 5" xfId="9212" xr:uid="{5A3C95A8-AB75-406B-8555-37DC25ECF1E9}"/>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24436" xr:uid="{F6B92D56-D6DA-4110-B66A-77EC031B5C57}"/>
    <cellStyle name="40% - Accent2 3 2 3 2 2 3" xfId="15988" xr:uid="{DE3DCA3D-B3F5-49F2-B1B6-AD699819A4FF}"/>
    <cellStyle name="40% - Accent2 3 2 3 2 3" xfId="20218" xr:uid="{1E74580B-2E55-4042-83AE-E9F5E99957EB}"/>
    <cellStyle name="40% - Accent2 3 2 3 2 4" xfId="11770" xr:uid="{2C1E1DA8-FBBE-4190-B8D2-8002CCB5E078}"/>
    <cellStyle name="40% - Accent2 3 2 3 3" xfId="5393" xr:uid="{00000000-0005-0000-0000-0000BB040000}"/>
    <cellStyle name="40% - Accent2 3 2 3 3 2" xfId="22291" xr:uid="{77395D90-2935-463C-80B4-13D67E874D9D}"/>
    <cellStyle name="40% - Accent2 3 2 3 3 3" xfId="13843" xr:uid="{F49F9708-52F9-4E00-962B-E199D62200B9}"/>
    <cellStyle name="40% - Accent2 3 2 3 4" xfId="18073" xr:uid="{1357E81F-DD1F-48C1-BF33-378CE490E330}"/>
    <cellStyle name="40% - Accent2 3 2 3 5" xfId="9625" xr:uid="{7433701C-16CB-4BC9-9C52-C28838354B5D}"/>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24849" xr:uid="{16ABD175-48CD-4B8B-BDA9-4A7DCA636892}"/>
    <cellStyle name="40% - Accent2 3 2 4 2 2 3" xfId="16401" xr:uid="{7FE1DBDD-7F30-4653-85A3-DB3412A77DF1}"/>
    <cellStyle name="40% - Accent2 3 2 4 2 3" xfId="20631" xr:uid="{CCD89D71-C98F-425B-A412-7FD072FCB16D}"/>
    <cellStyle name="40% - Accent2 3 2 4 2 4" xfId="12183" xr:uid="{EE405924-32A2-4323-A53B-98753DCC59F7}"/>
    <cellStyle name="40% - Accent2 3 2 4 3" xfId="5806" xr:uid="{00000000-0005-0000-0000-0000BF040000}"/>
    <cellStyle name="40% - Accent2 3 2 4 3 2" xfId="22704" xr:uid="{04520E72-233C-43F6-B5E4-D50E7345A4EB}"/>
    <cellStyle name="40% - Accent2 3 2 4 3 3" xfId="14256" xr:uid="{73DAD625-AF65-4E07-8D46-956ADBCB93DA}"/>
    <cellStyle name="40% - Accent2 3 2 4 4" xfId="18486" xr:uid="{645FC300-00D1-45E0-AA5A-7E1B89DD725C}"/>
    <cellStyle name="40% - Accent2 3 2 4 5" xfId="10038" xr:uid="{D2693099-6DA5-42F9-94FE-E7C39ED068E1}"/>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25262" xr:uid="{1829887C-2CB5-4757-A150-DA5B2EF1C605}"/>
    <cellStyle name="40% - Accent2 3 2 5 2 2 3" xfId="16814" xr:uid="{1E8EC455-DBD2-4A14-9C20-1D4EB3F05B1F}"/>
    <cellStyle name="40% - Accent2 3 2 5 2 3" xfId="21044" xr:uid="{2CD8E408-B5F1-42B0-9CE5-9ACF6A495845}"/>
    <cellStyle name="40% - Accent2 3 2 5 2 4" xfId="12596" xr:uid="{DEF3B516-5580-46BC-9A7F-D5E8428761DA}"/>
    <cellStyle name="40% - Accent2 3 2 5 3" xfId="6219" xr:uid="{00000000-0005-0000-0000-0000C3040000}"/>
    <cellStyle name="40% - Accent2 3 2 5 3 2" xfId="23117" xr:uid="{9A0DF964-A792-4A97-99C0-3364F677B28B}"/>
    <cellStyle name="40% - Accent2 3 2 5 3 3" xfId="14669" xr:uid="{E6D245A7-3EBA-4B3D-8C2D-EEB89FC44395}"/>
    <cellStyle name="40% - Accent2 3 2 5 4" xfId="18899" xr:uid="{E7EAF9DE-D622-4EA2-AEC5-0427C4210866}"/>
    <cellStyle name="40% - Accent2 3 2 5 5" xfId="10451" xr:uid="{543D8C4B-3F10-45A2-AAED-1E04EC9EAC81}"/>
    <cellStyle name="40% - Accent2 3 2 6" xfId="2326" xr:uid="{00000000-0005-0000-0000-0000C4040000}"/>
    <cellStyle name="40% - Accent2 3 2 6 2" xfId="6632" xr:uid="{00000000-0005-0000-0000-0000C5040000}"/>
    <cellStyle name="40% - Accent2 3 2 6 2 2" xfId="23530" xr:uid="{1B42219A-803D-4CC6-9B7D-B6091C735825}"/>
    <cellStyle name="40% - Accent2 3 2 6 2 3" xfId="15082" xr:uid="{4E3ED1C5-6FAE-40C6-9AAA-E31FD9CFD827}"/>
    <cellStyle name="40% - Accent2 3 2 6 3" xfId="19312" xr:uid="{99429ECB-B7FB-4D9C-8CA8-6F99170DDCAF}"/>
    <cellStyle name="40% - Accent2 3 2 6 4" xfId="10864" xr:uid="{6DF3214E-4CE7-4DA1-8C2C-F5DD1218F210}"/>
    <cellStyle name="40% - Accent2 3 2 7" xfId="4566" xr:uid="{00000000-0005-0000-0000-0000C6040000}"/>
    <cellStyle name="40% - Accent2 3 2 7 2" xfId="21464" xr:uid="{94A5FB66-68BF-4571-8006-67724B06025A}"/>
    <cellStyle name="40% - Accent2 3 2 7 3" xfId="13016" xr:uid="{672C87A9-415D-46B9-8376-252DA86E47DD}"/>
    <cellStyle name="40% - Accent2 3 2 8" xfId="17246" xr:uid="{7B423022-F31C-4008-A5A0-A49209D62134}"/>
    <cellStyle name="40% - Accent2 3 2 9" xfId="8798" xr:uid="{14CFAA8D-F284-4853-97C2-A6C99A03ECB5}"/>
    <cellStyle name="40% - Accent2 3 3" xfId="631" xr:uid="{00000000-0005-0000-0000-0000C7040000}"/>
    <cellStyle name="40% - Accent2 3 3 2" xfId="2902" xr:uid="{00000000-0005-0000-0000-0000C8040000}"/>
    <cellStyle name="40% - Accent2 3 3 2 2" xfId="7124" xr:uid="{00000000-0005-0000-0000-0000C9040000}"/>
    <cellStyle name="40% - Accent2 3 3 2 2 2" xfId="24022" xr:uid="{D418F90D-8661-4DCF-9C0D-8D8A9E221638}"/>
    <cellStyle name="40% - Accent2 3 3 2 2 3" xfId="15574" xr:uid="{18FEA291-9CDB-4667-A5ED-0743C8AE5AAB}"/>
    <cellStyle name="40% - Accent2 3 3 2 3" xfId="19804" xr:uid="{E8CC186B-2066-43EC-8242-CBC5A4DACD37}"/>
    <cellStyle name="40% - Accent2 3 3 2 4" xfId="11356" xr:uid="{E764F771-852F-49D3-97B5-381F2278B8FD}"/>
    <cellStyle name="40% - Accent2 3 3 3" xfId="4979" xr:uid="{00000000-0005-0000-0000-0000CA040000}"/>
    <cellStyle name="40% - Accent2 3 3 3 2" xfId="21877" xr:uid="{46BEC0E0-C0F4-4E66-855B-C91C2144A110}"/>
    <cellStyle name="40% - Accent2 3 3 3 3" xfId="13429" xr:uid="{5D84E554-FA48-43E5-9C63-36A7D45BB423}"/>
    <cellStyle name="40% - Accent2 3 3 4" xfId="17659" xr:uid="{7684FBD7-32BF-47EC-8EE3-C528DF195636}"/>
    <cellStyle name="40% - Accent2 3 3 5" xfId="9211" xr:uid="{3ED7ADC3-4F14-49C4-8462-2F1543484E0C}"/>
    <cellStyle name="40% - Accent2 3 4" xfId="1084" xr:uid="{00000000-0005-0000-0000-0000CB040000}"/>
    <cellStyle name="40% - Accent2 3 4 2" xfId="3315" xr:uid="{00000000-0005-0000-0000-0000CC040000}"/>
    <cellStyle name="40% - Accent2 3 4 2 2" xfId="7537" xr:uid="{00000000-0005-0000-0000-0000CD040000}"/>
    <cellStyle name="40% - Accent2 3 4 2 2 2" xfId="24435" xr:uid="{10A3B6A3-73DC-4317-9885-0BAFCE4396BB}"/>
    <cellStyle name="40% - Accent2 3 4 2 2 3" xfId="15987" xr:uid="{F2B4144D-C500-4424-B057-B1C06D55E501}"/>
    <cellStyle name="40% - Accent2 3 4 2 3" xfId="20217" xr:uid="{2A3F9CF1-093E-4976-B0B1-2C661FE2CDD7}"/>
    <cellStyle name="40% - Accent2 3 4 2 4" xfId="11769" xr:uid="{4969FE3F-870F-4FD0-B2B7-893D611AE332}"/>
    <cellStyle name="40% - Accent2 3 4 3" xfId="5392" xr:uid="{00000000-0005-0000-0000-0000CE040000}"/>
    <cellStyle name="40% - Accent2 3 4 3 2" xfId="22290" xr:uid="{5DDABCD2-6241-489B-ACEE-4D73E122862C}"/>
    <cellStyle name="40% - Accent2 3 4 3 3" xfId="13842" xr:uid="{65AD6E15-4150-47C3-A12A-B0855A93F4BE}"/>
    <cellStyle name="40% - Accent2 3 4 4" xfId="18072" xr:uid="{30691F59-8526-4680-8A5B-56735C93B91B}"/>
    <cellStyle name="40% - Accent2 3 4 5" xfId="9624" xr:uid="{8813E1E7-4C53-419A-81BA-0FA3AD462927}"/>
    <cellStyle name="40% - Accent2 3 5" xfId="1498" xr:uid="{00000000-0005-0000-0000-0000CF040000}"/>
    <cellStyle name="40% - Accent2 3 5 2" xfId="3728" xr:uid="{00000000-0005-0000-0000-0000D0040000}"/>
    <cellStyle name="40% - Accent2 3 5 2 2" xfId="7950" xr:uid="{00000000-0005-0000-0000-0000D1040000}"/>
    <cellStyle name="40% - Accent2 3 5 2 2 2" xfId="24848" xr:uid="{0230669A-303E-4935-B32C-96587AD55868}"/>
    <cellStyle name="40% - Accent2 3 5 2 2 3" xfId="16400" xr:uid="{4D5B6D92-6019-415F-96CE-EAE24590E927}"/>
    <cellStyle name="40% - Accent2 3 5 2 3" xfId="20630" xr:uid="{2741072B-97A6-4749-921C-C9B65B364CCF}"/>
    <cellStyle name="40% - Accent2 3 5 2 4" xfId="12182" xr:uid="{3A06898E-03B5-4F7C-9DAB-6D38538D472B}"/>
    <cellStyle name="40% - Accent2 3 5 3" xfId="5805" xr:uid="{00000000-0005-0000-0000-0000D2040000}"/>
    <cellStyle name="40% - Accent2 3 5 3 2" xfId="22703" xr:uid="{1F829DCD-0FF7-4120-89BB-57041B6BE0ED}"/>
    <cellStyle name="40% - Accent2 3 5 3 3" xfId="14255" xr:uid="{E22F7FE7-139B-4AC9-A187-873EA99F640A}"/>
    <cellStyle name="40% - Accent2 3 5 4" xfId="18485" xr:uid="{B3DC67EA-919B-4617-965F-86E2779C4650}"/>
    <cellStyle name="40% - Accent2 3 5 5" xfId="10037" xr:uid="{35EDF47E-FD43-4DD4-9570-0DB743F4D9BF}"/>
    <cellStyle name="40% - Accent2 3 6" xfId="1912" xr:uid="{00000000-0005-0000-0000-0000D3040000}"/>
    <cellStyle name="40% - Accent2 3 6 2" xfId="4141" xr:uid="{00000000-0005-0000-0000-0000D4040000}"/>
    <cellStyle name="40% - Accent2 3 6 2 2" xfId="8363" xr:uid="{00000000-0005-0000-0000-0000D5040000}"/>
    <cellStyle name="40% - Accent2 3 6 2 2 2" xfId="25261" xr:uid="{AB3B8E36-7D15-4369-9891-6B62B6BDF755}"/>
    <cellStyle name="40% - Accent2 3 6 2 2 3" xfId="16813" xr:uid="{1C5AE135-821E-43D9-9364-93BF2FE2AFF0}"/>
    <cellStyle name="40% - Accent2 3 6 2 3" xfId="21043" xr:uid="{F5749AC9-85D9-4260-AFDD-47BDA6EFDA23}"/>
    <cellStyle name="40% - Accent2 3 6 2 4" xfId="12595" xr:uid="{29721712-4049-4CF6-9083-938E27DE11E4}"/>
    <cellStyle name="40% - Accent2 3 6 3" xfId="6218" xr:uid="{00000000-0005-0000-0000-0000D6040000}"/>
    <cellStyle name="40% - Accent2 3 6 3 2" xfId="23116" xr:uid="{0907BD5D-1587-45BD-97C2-D13201D89EDD}"/>
    <cellStyle name="40% - Accent2 3 6 3 3" xfId="14668" xr:uid="{6E149D79-FE1C-4C6B-A8D9-6EBE1DEED0E6}"/>
    <cellStyle name="40% - Accent2 3 6 4" xfId="18898" xr:uid="{8D122252-1269-4DC6-B32F-4026999DF34B}"/>
    <cellStyle name="40% - Accent2 3 6 5" xfId="10450" xr:uid="{D1191B10-8E92-4ACD-9FA6-AE4328FFF59A}"/>
    <cellStyle name="40% - Accent2 3 7" xfId="2325" xr:uid="{00000000-0005-0000-0000-0000D7040000}"/>
    <cellStyle name="40% - Accent2 3 7 2" xfId="6631" xr:uid="{00000000-0005-0000-0000-0000D8040000}"/>
    <cellStyle name="40% - Accent2 3 7 2 2" xfId="23529" xr:uid="{648666D9-7BE9-429A-B575-2D0B6A497F10}"/>
    <cellStyle name="40% - Accent2 3 7 2 3" xfId="15081" xr:uid="{3195D33E-055E-4A7E-B351-120FB4F485E3}"/>
    <cellStyle name="40% - Accent2 3 7 3" xfId="19311" xr:uid="{C25B4B96-2A0D-4B1A-96EC-2141DBFD2D56}"/>
    <cellStyle name="40% - Accent2 3 7 4" xfId="10863" xr:uid="{945EEDB5-4B07-43BC-A821-D32709FD4056}"/>
    <cellStyle name="40% - Accent2 3 8" xfId="4565" xr:uid="{00000000-0005-0000-0000-0000D9040000}"/>
    <cellStyle name="40% - Accent2 3 8 2" xfId="21463" xr:uid="{A2857483-9DFF-4AC8-A815-F8BB0DB4FD8D}"/>
    <cellStyle name="40% - Accent2 3 8 3" xfId="13015" xr:uid="{90B80FB0-52DA-4228-BF7C-D996AE773BD4}"/>
    <cellStyle name="40% - Accent2 3 9" xfId="17245" xr:uid="{87C31FDF-DCF0-481F-8F48-0F6C86C4C2BA}"/>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2 2 2" xfId="24024" xr:uid="{A6544E12-7B3E-4C02-931B-6EADB5C8ECF0}"/>
    <cellStyle name="40% - Accent2 4 2 2 2 3" xfId="15576" xr:uid="{40D4DE8F-494F-457C-8C59-9FE1E60B4890}"/>
    <cellStyle name="40% - Accent2 4 2 2 3" xfId="19806" xr:uid="{389544F2-7AA4-4D3E-BBF4-E6805FFAF9FA}"/>
    <cellStyle name="40% - Accent2 4 2 2 4" xfId="11358" xr:uid="{92242DAF-4098-4107-A4D5-78C8B44AA558}"/>
    <cellStyle name="40% - Accent2 4 2 3" xfId="4981" xr:uid="{00000000-0005-0000-0000-0000DE040000}"/>
    <cellStyle name="40% - Accent2 4 2 3 2" xfId="21879" xr:uid="{756DFFEC-DCC9-4D3D-9C23-BBAB0DE14459}"/>
    <cellStyle name="40% - Accent2 4 2 3 3" xfId="13431" xr:uid="{A7E28011-EBE1-47EB-87D6-D54EC8EFF58C}"/>
    <cellStyle name="40% - Accent2 4 2 4" xfId="17661" xr:uid="{D47BDAD5-6481-42A8-8B26-AA7A0FC76EB1}"/>
    <cellStyle name="40% - Accent2 4 2 5" xfId="9213" xr:uid="{B76BC7C8-B0F8-413B-BF6B-BA1C72AB344B}"/>
    <cellStyle name="40% - Accent2 4 3" xfId="1086" xr:uid="{00000000-0005-0000-0000-0000DF040000}"/>
    <cellStyle name="40% - Accent2 4 3 2" xfId="3317" xr:uid="{00000000-0005-0000-0000-0000E0040000}"/>
    <cellStyle name="40% - Accent2 4 3 2 2" xfId="7539" xr:uid="{00000000-0005-0000-0000-0000E1040000}"/>
    <cellStyle name="40% - Accent2 4 3 2 2 2" xfId="24437" xr:uid="{C6CD4D72-FAA5-495C-AE67-EF9CE3C50094}"/>
    <cellStyle name="40% - Accent2 4 3 2 2 3" xfId="15989" xr:uid="{79E34BAC-9394-4C77-92A1-E0A63D00ED1A}"/>
    <cellStyle name="40% - Accent2 4 3 2 3" xfId="20219" xr:uid="{44DB7585-099B-4F0D-9FCB-6C904E657D14}"/>
    <cellStyle name="40% - Accent2 4 3 2 4" xfId="11771" xr:uid="{1D619680-3CF1-4AFC-93A9-BCE68781C525}"/>
    <cellStyle name="40% - Accent2 4 3 3" xfId="5394" xr:uid="{00000000-0005-0000-0000-0000E2040000}"/>
    <cellStyle name="40% - Accent2 4 3 3 2" xfId="22292" xr:uid="{C7ED19E7-25A8-4A38-BD18-3627B0F62BEC}"/>
    <cellStyle name="40% - Accent2 4 3 3 3" xfId="13844" xr:uid="{1D599C55-9EC9-469D-BCF9-14B8A55C089E}"/>
    <cellStyle name="40% - Accent2 4 3 4" xfId="18074" xr:uid="{A5F30F75-593A-4DF3-ACF4-E1BDE23B685B}"/>
    <cellStyle name="40% - Accent2 4 3 5" xfId="9626" xr:uid="{C4FA2E75-06A0-44BA-A436-59A06854D4C3}"/>
    <cellStyle name="40% - Accent2 4 4" xfId="1500" xr:uid="{00000000-0005-0000-0000-0000E3040000}"/>
    <cellStyle name="40% - Accent2 4 4 2" xfId="3730" xr:uid="{00000000-0005-0000-0000-0000E4040000}"/>
    <cellStyle name="40% - Accent2 4 4 2 2" xfId="7952" xr:uid="{00000000-0005-0000-0000-0000E5040000}"/>
    <cellStyle name="40% - Accent2 4 4 2 2 2" xfId="24850" xr:uid="{DFCA9143-E356-480A-8B97-73939C4A3BF1}"/>
    <cellStyle name="40% - Accent2 4 4 2 2 3" xfId="16402" xr:uid="{45FECC8A-77AA-4A4C-B748-4A912EA33F06}"/>
    <cellStyle name="40% - Accent2 4 4 2 3" xfId="20632" xr:uid="{73F68FAD-E173-4D4D-A731-E10EAD1C4DF2}"/>
    <cellStyle name="40% - Accent2 4 4 2 4" xfId="12184" xr:uid="{C596053F-8BC1-496B-B040-E38FA2C8A3E5}"/>
    <cellStyle name="40% - Accent2 4 4 3" xfId="5807" xr:uid="{00000000-0005-0000-0000-0000E6040000}"/>
    <cellStyle name="40% - Accent2 4 4 3 2" xfId="22705" xr:uid="{FCC71E0C-6CCC-4510-8F4D-C55CA663D388}"/>
    <cellStyle name="40% - Accent2 4 4 3 3" xfId="14257" xr:uid="{2207F313-E2D8-4A11-AA84-D62929B2FD10}"/>
    <cellStyle name="40% - Accent2 4 4 4" xfId="18487" xr:uid="{143349DA-1349-4D9D-9EF2-2274D6B7A0E3}"/>
    <cellStyle name="40% - Accent2 4 4 5" xfId="10039" xr:uid="{631CF377-92D1-41B0-9515-943D8A14302C}"/>
    <cellStyle name="40% - Accent2 4 5" xfId="1914" xr:uid="{00000000-0005-0000-0000-0000E7040000}"/>
    <cellStyle name="40% - Accent2 4 5 2" xfId="4143" xr:uid="{00000000-0005-0000-0000-0000E8040000}"/>
    <cellStyle name="40% - Accent2 4 5 2 2" xfId="8365" xr:uid="{00000000-0005-0000-0000-0000E9040000}"/>
    <cellStyle name="40% - Accent2 4 5 2 2 2" xfId="25263" xr:uid="{EC0BA06D-5815-4269-8317-C034626350CF}"/>
    <cellStyle name="40% - Accent2 4 5 2 2 3" xfId="16815" xr:uid="{F991905D-2B7D-424B-B580-8C7358ADEA2E}"/>
    <cellStyle name="40% - Accent2 4 5 2 3" xfId="21045" xr:uid="{CD1DC4BE-5294-4CAC-A8DB-552D489A8032}"/>
    <cellStyle name="40% - Accent2 4 5 2 4" xfId="12597" xr:uid="{2043AD2E-4423-431E-9AEF-FEDB2E5E8F50}"/>
    <cellStyle name="40% - Accent2 4 5 3" xfId="6220" xr:uid="{00000000-0005-0000-0000-0000EA040000}"/>
    <cellStyle name="40% - Accent2 4 5 3 2" xfId="23118" xr:uid="{02483AE5-6AEE-472A-9B17-8F5B666AD792}"/>
    <cellStyle name="40% - Accent2 4 5 3 3" xfId="14670" xr:uid="{BDC85DB0-2A8C-449F-B5D9-132A8250F02C}"/>
    <cellStyle name="40% - Accent2 4 5 4" xfId="18900" xr:uid="{AF1A2612-2C50-454D-B19D-F05C47773EAA}"/>
    <cellStyle name="40% - Accent2 4 5 5" xfId="10452" xr:uid="{E843183A-BFB4-4147-A9B5-3BC240F1D8BC}"/>
    <cellStyle name="40% - Accent2 4 6" xfId="2327" xr:uid="{00000000-0005-0000-0000-0000EB040000}"/>
    <cellStyle name="40% - Accent2 4 6 2" xfId="6633" xr:uid="{00000000-0005-0000-0000-0000EC040000}"/>
    <cellStyle name="40% - Accent2 4 6 2 2" xfId="23531" xr:uid="{AB54181C-E7BE-4509-B95E-21C775892BE0}"/>
    <cellStyle name="40% - Accent2 4 6 2 3" xfId="15083" xr:uid="{6D877322-D3FC-4534-AB2D-E3458815B9A7}"/>
    <cellStyle name="40% - Accent2 4 6 3" xfId="19313" xr:uid="{FD43D8B1-FAD0-490C-AAEC-719B1F5F9E2A}"/>
    <cellStyle name="40% - Accent2 4 6 4" xfId="10865" xr:uid="{E8CCA212-BD0B-45FD-B02E-8B12F8411608}"/>
    <cellStyle name="40% - Accent2 4 7" xfId="4567" xr:uid="{00000000-0005-0000-0000-0000ED040000}"/>
    <cellStyle name="40% - Accent2 4 7 2" xfId="21465" xr:uid="{4D985E23-ACA3-4C30-BA2F-40A40E97AE9D}"/>
    <cellStyle name="40% - Accent2 4 7 3" xfId="13017" xr:uid="{286C46F5-EE04-4542-8D67-AAA30414CCE3}"/>
    <cellStyle name="40% - Accent2 4 8" xfId="17247" xr:uid="{2AAE6399-A2E1-49DF-A710-569E6A2E9F5B}"/>
    <cellStyle name="40% - Accent2 4 9" xfId="8799" xr:uid="{A4FAA420-AD6F-40B0-A56C-2ED6ADDCE394}"/>
    <cellStyle name="40% - Accent2 5" xfId="626" xr:uid="{00000000-0005-0000-0000-0000EE040000}"/>
    <cellStyle name="40% - Accent2 5 2" xfId="2897" xr:uid="{00000000-0005-0000-0000-0000EF040000}"/>
    <cellStyle name="40% - Accent2 5 2 2" xfId="7119" xr:uid="{00000000-0005-0000-0000-0000F0040000}"/>
    <cellStyle name="40% - Accent2 5 2 2 2" xfId="24017" xr:uid="{17E96AD7-9253-4BF7-88AA-B9A0B97C33DF}"/>
    <cellStyle name="40% - Accent2 5 2 2 3" xfId="15569" xr:uid="{4463BD0D-3041-4956-B1C9-CBAC8EEA210B}"/>
    <cellStyle name="40% - Accent2 5 2 3" xfId="19799" xr:uid="{9965E2DF-13EC-40BF-805F-CAD1B4D36936}"/>
    <cellStyle name="40% - Accent2 5 2 4" xfId="11351" xr:uid="{445EDB4F-E782-4EC0-8080-2066655DB77C}"/>
    <cellStyle name="40% - Accent2 5 3" xfId="4974" xr:uid="{00000000-0005-0000-0000-0000F1040000}"/>
    <cellStyle name="40% - Accent2 5 3 2" xfId="21872" xr:uid="{C063C32A-CAA4-4EDF-96CC-A74DFA13FE98}"/>
    <cellStyle name="40% - Accent2 5 3 3" xfId="13424" xr:uid="{C469FD0E-C0A8-46C0-94E6-7DF5B5404F61}"/>
    <cellStyle name="40% - Accent2 5 4" xfId="17654" xr:uid="{12D7CA4A-DB3F-49BA-AF62-967C4AE3C941}"/>
    <cellStyle name="40% - Accent2 5 5" xfId="9206" xr:uid="{8F19402F-8E20-45FA-93A3-C6DAF78C66CB}"/>
    <cellStyle name="40% - Accent2 6" xfId="1079" xr:uid="{00000000-0005-0000-0000-0000F2040000}"/>
    <cellStyle name="40% - Accent2 6 2" xfId="3310" xr:uid="{00000000-0005-0000-0000-0000F3040000}"/>
    <cellStyle name="40% - Accent2 6 2 2" xfId="7532" xr:uid="{00000000-0005-0000-0000-0000F4040000}"/>
    <cellStyle name="40% - Accent2 6 2 2 2" xfId="24430" xr:uid="{E4521D44-2F47-4B0D-B7A3-3EDB1D4C039A}"/>
    <cellStyle name="40% - Accent2 6 2 2 3" xfId="15982" xr:uid="{F32DF1FA-17E3-4AB4-93DE-F0051A001268}"/>
    <cellStyle name="40% - Accent2 6 2 3" xfId="20212" xr:uid="{C4D1CE72-0959-4EAC-95A6-DAFF2C2D6947}"/>
    <cellStyle name="40% - Accent2 6 2 4" xfId="11764" xr:uid="{84FBE9C8-DB98-4A48-997D-5816A509DF9B}"/>
    <cellStyle name="40% - Accent2 6 3" xfId="5387" xr:uid="{00000000-0005-0000-0000-0000F5040000}"/>
    <cellStyle name="40% - Accent2 6 3 2" xfId="22285" xr:uid="{120A02DC-AEE3-4783-9082-27DFD1680B73}"/>
    <cellStyle name="40% - Accent2 6 3 3" xfId="13837" xr:uid="{36C274F8-FCE3-4CE0-B785-4774FA8ED6E6}"/>
    <cellStyle name="40% - Accent2 6 4" xfId="18067" xr:uid="{572F913F-1EB4-4A53-BD7F-26A613667F42}"/>
    <cellStyle name="40% - Accent2 6 5" xfId="9619" xr:uid="{461F2E47-27C9-4D49-8427-0700C4697D70}"/>
    <cellStyle name="40% - Accent2 7" xfId="1493" xr:uid="{00000000-0005-0000-0000-0000F6040000}"/>
    <cellStyle name="40% - Accent2 7 2" xfId="3723" xr:uid="{00000000-0005-0000-0000-0000F7040000}"/>
    <cellStyle name="40% - Accent2 7 2 2" xfId="7945" xr:uid="{00000000-0005-0000-0000-0000F8040000}"/>
    <cellStyle name="40% - Accent2 7 2 2 2" xfId="24843" xr:uid="{4D28162B-3D6A-469A-A68B-761A98B4F276}"/>
    <cellStyle name="40% - Accent2 7 2 2 3" xfId="16395" xr:uid="{9FCF8C5B-F3A0-497B-A87C-F8175120B4B4}"/>
    <cellStyle name="40% - Accent2 7 2 3" xfId="20625" xr:uid="{99653F42-3D28-447A-BD88-E5662ECBBD83}"/>
    <cellStyle name="40% - Accent2 7 2 4" xfId="12177" xr:uid="{43F19007-177F-40F1-9DC0-DA27246FA8BE}"/>
    <cellStyle name="40% - Accent2 7 3" xfId="5800" xr:uid="{00000000-0005-0000-0000-0000F9040000}"/>
    <cellStyle name="40% - Accent2 7 3 2" xfId="22698" xr:uid="{E2750C4B-962F-49F2-A7D3-53A1F59A5932}"/>
    <cellStyle name="40% - Accent2 7 3 3" xfId="14250" xr:uid="{4BFDE446-08C2-437D-A420-BC4E1894499B}"/>
    <cellStyle name="40% - Accent2 7 4" xfId="18480" xr:uid="{19287976-8C1A-48AF-B19C-A38FFFB4B7B1}"/>
    <cellStyle name="40% - Accent2 7 5" xfId="10032" xr:uid="{BCBA8DFD-4BDA-4ADC-96CE-684B4CA4CEFF}"/>
    <cellStyle name="40% - Accent2 8" xfId="1907" xr:uid="{00000000-0005-0000-0000-0000FA040000}"/>
    <cellStyle name="40% - Accent2 8 2" xfId="4136" xr:uid="{00000000-0005-0000-0000-0000FB040000}"/>
    <cellStyle name="40% - Accent2 8 2 2" xfId="8358" xr:uid="{00000000-0005-0000-0000-0000FC040000}"/>
    <cellStyle name="40% - Accent2 8 2 2 2" xfId="25256" xr:uid="{550B2F92-DC13-4288-9593-9838B526EB5F}"/>
    <cellStyle name="40% - Accent2 8 2 2 3" xfId="16808" xr:uid="{48B29450-BA69-49AB-89E0-CD183A702DD5}"/>
    <cellStyle name="40% - Accent2 8 2 3" xfId="21038" xr:uid="{165299CE-8596-40B0-B0C2-C0EC30F1FAFE}"/>
    <cellStyle name="40% - Accent2 8 2 4" xfId="12590" xr:uid="{9F2DA706-4836-449D-AE36-C8416017C765}"/>
    <cellStyle name="40% - Accent2 8 3" xfId="6213" xr:uid="{00000000-0005-0000-0000-0000FD040000}"/>
    <cellStyle name="40% - Accent2 8 3 2" xfId="23111" xr:uid="{D73AD1A0-B8E6-408D-B18D-F7C1802E2F84}"/>
    <cellStyle name="40% - Accent2 8 3 3" xfId="14663" xr:uid="{EBC7C0D9-F8FE-49ED-86EC-16F1A63C7DB1}"/>
    <cellStyle name="40% - Accent2 8 4" xfId="18893" xr:uid="{0541DCAF-C503-4A72-9776-E0E5203C332F}"/>
    <cellStyle name="40% - Accent2 8 5" xfId="10445" xr:uid="{ECCF2344-B40A-4E31-804A-21C45D450A80}"/>
    <cellStyle name="40% - Accent2 9" xfId="2320" xr:uid="{00000000-0005-0000-0000-0000FE040000}"/>
    <cellStyle name="40% - Accent2 9 2" xfId="6626" xr:uid="{00000000-0005-0000-0000-0000FF040000}"/>
    <cellStyle name="40% - Accent2 9 2 2" xfId="23524" xr:uid="{36028381-E772-452F-8A7B-5230E1EDFD47}"/>
    <cellStyle name="40% - Accent2 9 2 3" xfId="15076" xr:uid="{BF981AAC-5322-4016-A82E-1F5C9AA585FD}"/>
    <cellStyle name="40% - Accent2 9 3" xfId="19306" xr:uid="{6976B69D-DE09-4EAB-8D77-EDDEE5858593}"/>
    <cellStyle name="40% - Accent2 9 4" xfId="10858" xr:uid="{01D607E3-1ACA-498C-B8DB-CD6B389467EE}"/>
    <cellStyle name="40% - Accent3" xfId="65" builtinId="39" customBuiltin="1"/>
    <cellStyle name="40% - Accent3 10" xfId="4568" xr:uid="{00000000-0005-0000-0000-000001050000}"/>
    <cellStyle name="40% - Accent3 10 2" xfId="21466" xr:uid="{F470C667-A8C6-491B-9D10-E36482552D1B}"/>
    <cellStyle name="40% - Accent3 10 3" xfId="13018" xr:uid="{01971456-E810-4324-A6E9-40164B6F50F2}"/>
    <cellStyle name="40% - Accent3 11" xfId="17248" xr:uid="{A89B2249-FE5B-4BF8-B25C-3C87C189ECED}"/>
    <cellStyle name="40% - Accent3 12" xfId="8800" xr:uid="{D3F9F608-AF60-4915-9CD4-7E3D9F7A0AB4}"/>
    <cellStyle name="40% - Accent3 2" xfId="66" xr:uid="{00000000-0005-0000-0000-000002050000}"/>
    <cellStyle name="40% - Accent3 2 10" xfId="17249" xr:uid="{7CC14745-A797-4D34-AE4E-9FA5C4A331F3}"/>
    <cellStyle name="40% - Accent3 2 11" xfId="8801" xr:uid="{205DD9E8-5763-4421-8575-C28FDAC7F47F}"/>
    <cellStyle name="40% - Accent3 2 2" xfId="67" xr:uid="{00000000-0005-0000-0000-000003050000}"/>
    <cellStyle name="40% - Accent3 2 2 10" xfId="8802" xr:uid="{80FAB72E-2236-4B54-8927-C71C186EB5F9}"/>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24028" xr:uid="{9DD601B1-C7B3-4BA4-949A-B2EE2BA393FA}"/>
    <cellStyle name="40% - Accent3 2 2 2 2 2 2 3" xfId="15580" xr:uid="{8B41786A-5A24-42AD-B863-8B846BA5FAF0}"/>
    <cellStyle name="40% - Accent3 2 2 2 2 2 3" xfId="19810" xr:uid="{D88E3057-DEEE-485A-A01C-835EF862F4B3}"/>
    <cellStyle name="40% - Accent3 2 2 2 2 2 4" xfId="11362" xr:uid="{A293407C-751D-4A7B-8D60-B2EEE644B796}"/>
    <cellStyle name="40% - Accent3 2 2 2 2 3" xfId="4985" xr:uid="{00000000-0005-0000-0000-000008050000}"/>
    <cellStyle name="40% - Accent3 2 2 2 2 3 2" xfId="21883" xr:uid="{157BC2EC-54D1-4792-AC7D-BFB5370F61D9}"/>
    <cellStyle name="40% - Accent3 2 2 2 2 3 3" xfId="13435" xr:uid="{C1EF43CE-09ED-47F5-9296-2EBE1E873D85}"/>
    <cellStyle name="40% - Accent3 2 2 2 2 4" xfId="17665" xr:uid="{FAE16309-E0FA-4FC2-A181-BE3735A9D0C4}"/>
    <cellStyle name="40% - Accent3 2 2 2 2 5" xfId="9217" xr:uid="{E48402E2-9382-473D-B43D-7DB772F13C68}"/>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24441" xr:uid="{032E41AB-2198-48CA-8A89-84582C1BAD0E}"/>
    <cellStyle name="40% - Accent3 2 2 2 3 2 2 3" xfId="15993" xr:uid="{8BE642D7-6F5D-4A85-9BC5-ECA8AF39C8B9}"/>
    <cellStyle name="40% - Accent3 2 2 2 3 2 3" xfId="20223" xr:uid="{38A292C0-8F37-45BC-AF19-C01CFED8A902}"/>
    <cellStyle name="40% - Accent3 2 2 2 3 2 4" xfId="11775" xr:uid="{B484794C-04BF-4CB6-A04F-CA91B941BC6B}"/>
    <cellStyle name="40% - Accent3 2 2 2 3 3" xfId="5398" xr:uid="{00000000-0005-0000-0000-00000C050000}"/>
    <cellStyle name="40% - Accent3 2 2 2 3 3 2" xfId="22296" xr:uid="{256E0AAF-B74F-42CF-9D12-89FE80703EC8}"/>
    <cellStyle name="40% - Accent3 2 2 2 3 3 3" xfId="13848" xr:uid="{C93F6C3A-A0A4-40F8-9183-7805737520DF}"/>
    <cellStyle name="40% - Accent3 2 2 2 3 4" xfId="18078" xr:uid="{05032C0F-B5B6-4AF1-BBC3-E1FF64FDB994}"/>
    <cellStyle name="40% - Accent3 2 2 2 3 5" xfId="9630" xr:uid="{DDD7F5B7-232C-4253-A17D-189CC9FFD8E1}"/>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24854" xr:uid="{D561AD45-FC36-4E3A-B6F4-8A19D7FE7301}"/>
    <cellStyle name="40% - Accent3 2 2 2 4 2 2 3" xfId="16406" xr:uid="{B3E87CF1-4B21-483D-BFE8-FA5A4A1471E9}"/>
    <cellStyle name="40% - Accent3 2 2 2 4 2 3" xfId="20636" xr:uid="{E8EB388F-7CB3-4646-9E20-444ADD9F32FA}"/>
    <cellStyle name="40% - Accent3 2 2 2 4 2 4" xfId="12188" xr:uid="{3A3EB997-64AB-413A-8400-A8C67B7B9C55}"/>
    <cellStyle name="40% - Accent3 2 2 2 4 3" xfId="5811" xr:uid="{00000000-0005-0000-0000-000010050000}"/>
    <cellStyle name="40% - Accent3 2 2 2 4 3 2" xfId="22709" xr:uid="{289964E9-A747-4EC2-BF07-B812E9B2650F}"/>
    <cellStyle name="40% - Accent3 2 2 2 4 3 3" xfId="14261" xr:uid="{4D68AE04-DE89-4A74-AA34-FB159C991380}"/>
    <cellStyle name="40% - Accent3 2 2 2 4 4" xfId="18491" xr:uid="{A3D328B8-D2B1-45E7-8905-718B0B186C13}"/>
    <cellStyle name="40% - Accent3 2 2 2 4 5" xfId="10043" xr:uid="{8C40D737-B96D-4CE6-A281-D4E6579F29BD}"/>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25267" xr:uid="{B89E6EEE-B63A-48BE-8785-6F787D19124C}"/>
    <cellStyle name="40% - Accent3 2 2 2 5 2 2 3" xfId="16819" xr:uid="{EC209B3E-F24D-443A-8135-90DB8A58E236}"/>
    <cellStyle name="40% - Accent3 2 2 2 5 2 3" xfId="21049" xr:uid="{76CCBAD6-637C-449A-8D70-123F003D94F0}"/>
    <cellStyle name="40% - Accent3 2 2 2 5 2 4" xfId="12601" xr:uid="{9955F2D6-1D0F-45AB-881F-FA61DF241B73}"/>
    <cellStyle name="40% - Accent3 2 2 2 5 3" xfId="6224" xr:uid="{00000000-0005-0000-0000-000014050000}"/>
    <cellStyle name="40% - Accent3 2 2 2 5 3 2" xfId="23122" xr:uid="{4FA1ADC9-DA22-4D77-A13E-CD74EEB82D51}"/>
    <cellStyle name="40% - Accent3 2 2 2 5 3 3" xfId="14674" xr:uid="{8032991E-3560-4997-83DD-94439AA5CB5D}"/>
    <cellStyle name="40% - Accent3 2 2 2 5 4" xfId="18904" xr:uid="{59F47355-513A-437B-AB00-6D4E05A72247}"/>
    <cellStyle name="40% - Accent3 2 2 2 5 5" xfId="10456" xr:uid="{3A495023-5A3A-4259-9679-77393D870BA6}"/>
    <cellStyle name="40% - Accent3 2 2 2 6" xfId="2331" xr:uid="{00000000-0005-0000-0000-000015050000}"/>
    <cellStyle name="40% - Accent3 2 2 2 6 2" xfId="6637" xr:uid="{00000000-0005-0000-0000-000016050000}"/>
    <cellStyle name="40% - Accent3 2 2 2 6 2 2" xfId="23535" xr:uid="{2DB30234-0D4C-45F0-8432-0372BFF9AFD6}"/>
    <cellStyle name="40% - Accent3 2 2 2 6 2 3" xfId="15087" xr:uid="{87921EEF-C762-4B57-9169-257524550B05}"/>
    <cellStyle name="40% - Accent3 2 2 2 6 3" xfId="19317" xr:uid="{F9B627BB-1D2C-451C-A5AE-1DDB6F7A7FC4}"/>
    <cellStyle name="40% - Accent3 2 2 2 6 4" xfId="10869" xr:uid="{C1532BB8-259A-45BF-A479-EF94A4DDC395}"/>
    <cellStyle name="40% - Accent3 2 2 2 7" xfId="4571" xr:uid="{00000000-0005-0000-0000-000017050000}"/>
    <cellStyle name="40% - Accent3 2 2 2 7 2" xfId="21469" xr:uid="{91CE1D38-B94C-4E4F-AC4F-D07D538AF490}"/>
    <cellStyle name="40% - Accent3 2 2 2 7 3" xfId="13021" xr:uid="{0259905B-B0AC-4C27-A3E4-1DC17558B415}"/>
    <cellStyle name="40% - Accent3 2 2 2 8" xfId="17251" xr:uid="{F03E6FAB-F15B-41A5-B4CD-D158A87F6C4B}"/>
    <cellStyle name="40% - Accent3 2 2 2 9" xfId="8803" xr:uid="{45FED258-A124-4C2A-AF9A-AAF34FC78F83}"/>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24027" xr:uid="{A17794CE-FCBC-4958-8892-E9694E460594}"/>
    <cellStyle name="40% - Accent3 2 2 3 2 2 3" xfId="15579" xr:uid="{7F19429C-28F8-4EE5-8B74-EF55693C079F}"/>
    <cellStyle name="40% - Accent3 2 2 3 2 3" xfId="19809" xr:uid="{9F9193BC-3055-43F7-BCC4-DBEAA83A9922}"/>
    <cellStyle name="40% - Accent3 2 2 3 2 4" xfId="11361" xr:uid="{65ED5155-664F-4B45-8AE7-13BC892E3F47}"/>
    <cellStyle name="40% - Accent3 2 2 3 3" xfId="4984" xr:uid="{00000000-0005-0000-0000-00001B050000}"/>
    <cellStyle name="40% - Accent3 2 2 3 3 2" xfId="21882" xr:uid="{C75AB2EF-3675-4A81-85DB-B5FEA436CB3B}"/>
    <cellStyle name="40% - Accent3 2 2 3 3 3" xfId="13434" xr:uid="{B0D20A0F-A787-4E1E-B984-80E7E79143FE}"/>
    <cellStyle name="40% - Accent3 2 2 3 4" xfId="17664" xr:uid="{90673C96-2C99-4D75-84B6-16334F813732}"/>
    <cellStyle name="40% - Accent3 2 2 3 5" xfId="9216" xr:uid="{CE65DD80-3F1F-4B1C-88CE-49AE94EF898A}"/>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24440" xr:uid="{13D655C0-04B5-429D-B2A8-17CA81B3F9B8}"/>
    <cellStyle name="40% - Accent3 2 2 4 2 2 3" xfId="15992" xr:uid="{16FF4A29-B0D6-4A71-93C2-F9568CB16FF9}"/>
    <cellStyle name="40% - Accent3 2 2 4 2 3" xfId="20222" xr:uid="{EAE9122D-3691-4007-8938-8C4E63DC6651}"/>
    <cellStyle name="40% - Accent3 2 2 4 2 4" xfId="11774" xr:uid="{A54E9935-9DF9-4F1C-B702-AD2C9CA422C4}"/>
    <cellStyle name="40% - Accent3 2 2 4 3" xfId="5397" xr:uid="{00000000-0005-0000-0000-00001F050000}"/>
    <cellStyle name="40% - Accent3 2 2 4 3 2" xfId="22295" xr:uid="{7A37E76D-1D17-4FA4-BB76-850D06E4F8AA}"/>
    <cellStyle name="40% - Accent3 2 2 4 3 3" xfId="13847" xr:uid="{C06BC00B-D316-4D00-A7D1-DA558CDC72F2}"/>
    <cellStyle name="40% - Accent3 2 2 4 4" xfId="18077" xr:uid="{699B0E52-6382-44B4-8352-99AFDABD4209}"/>
    <cellStyle name="40% - Accent3 2 2 4 5" xfId="9629" xr:uid="{8A5B11F4-C206-4CD4-AE61-C5CE2DE7A7F3}"/>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24853" xr:uid="{F21916C1-C061-48E1-9E58-AC994ABF7AA1}"/>
    <cellStyle name="40% - Accent3 2 2 5 2 2 3" xfId="16405" xr:uid="{7300FFAA-1E46-4FD5-90C2-6C636DBFFEF3}"/>
    <cellStyle name="40% - Accent3 2 2 5 2 3" xfId="20635" xr:uid="{B7D49496-2B98-4A87-B217-4246FF984B30}"/>
    <cellStyle name="40% - Accent3 2 2 5 2 4" xfId="12187" xr:uid="{CA33A1A0-47AB-4779-98BC-9A4010EE2884}"/>
    <cellStyle name="40% - Accent3 2 2 5 3" xfId="5810" xr:uid="{00000000-0005-0000-0000-000023050000}"/>
    <cellStyle name="40% - Accent3 2 2 5 3 2" xfId="22708" xr:uid="{AC90457D-8FE9-4BCC-A529-F087A652A859}"/>
    <cellStyle name="40% - Accent3 2 2 5 3 3" xfId="14260" xr:uid="{B38D4613-21DE-43D3-97B5-568F86E4F282}"/>
    <cellStyle name="40% - Accent3 2 2 5 4" xfId="18490" xr:uid="{3F76F1D0-3115-49D6-B9FB-4C82495D11A6}"/>
    <cellStyle name="40% - Accent3 2 2 5 5" xfId="10042" xr:uid="{77EE704B-26A9-46B0-8BF6-D4D842C85A8C}"/>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25266" xr:uid="{FDC7A93E-509A-4CA6-ADFD-70D028557A98}"/>
    <cellStyle name="40% - Accent3 2 2 6 2 2 3" xfId="16818" xr:uid="{A2A0C5F7-35DE-407A-9DAC-C8988603E703}"/>
    <cellStyle name="40% - Accent3 2 2 6 2 3" xfId="21048" xr:uid="{56E6D811-4A5F-4682-92AA-55AB68C10E38}"/>
    <cellStyle name="40% - Accent3 2 2 6 2 4" xfId="12600" xr:uid="{90577372-6830-4191-9D14-FCEB93FA5257}"/>
    <cellStyle name="40% - Accent3 2 2 6 3" xfId="6223" xr:uid="{00000000-0005-0000-0000-000027050000}"/>
    <cellStyle name="40% - Accent3 2 2 6 3 2" xfId="23121" xr:uid="{0EE6304F-83ED-4B78-A15B-198245F01C82}"/>
    <cellStyle name="40% - Accent3 2 2 6 3 3" xfId="14673" xr:uid="{2F7E1303-461D-4442-A950-E9F4BF9DED3A}"/>
    <cellStyle name="40% - Accent3 2 2 6 4" xfId="18903" xr:uid="{0A4CD93A-30CF-4064-A871-40900F366B42}"/>
    <cellStyle name="40% - Accent3 2 2 6 5" xfId="10455" xr:uid="{1B291CAC-22FA-4229-A673-14C15BACB070}"/>
    <cellStyle name="40% - Accent3 2 2 7" xfId="2330" xr:uid="{00000000-0005-0000-0000-000028050000}"/>
    <cellStyle name="40% - Accent3 2 2 7 2" xfId="6636" xr:uid="{00000000-0005-0000-0000-000029050000}"/>
    <cellStyle name="40% - Accent3 2 2 7 2 2" xfId="23534" xr:uid="{E285D752-CD51-4C97-A2F6-FC4D95D309B3}"/>
    <cellStyle name="40% - Accent3 2 2 7 2 3" xfId="15086" xr:uid="{2EA2233A-F1F4-4C95-A8DD-78A0891C9007}"/>
    <cellStyle name="40% - Accent3 2 2 7 3" xfId="19316" xr:uid="{94A1CE7F-6642-423A-8369-CFFFE5DB848C}"/>
    <cellStyle name="40% - Accent3 2 2 7 4" xfId="10868" xr:uid="{5CD47B3B-B9A9-48BE-A50B-B86410426DC1}"/>
    <cellStyle name="40% - Accent3 2 2 8" xfId="4570" xr:uid="{00000000-0005-0000-0000-00002A050000}"/>
    <cellStyle name="40% - Accent3 2 2 8 2" xfId="21468" xr:uid="{21927DC5-9678-4529-A6B2-259737753C56}"/>
    <cellStyle name="40% - Accent3 2 2 8 3" xfId="13020" xr:uid="{A1DA7CFD-15AC-4A33-B96F-5FB40F5DFF04}"/>
    <cellStyle name="40% - Accent3 2 2 9" xfId="17250" xr:uid="{102C90A2-CB01-42F3-865F-A7DB18E0704E}"/>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24029" xr:uid="{040E854D-333B-4FC7-AC3E-F8396E27B24B}"/>
    <cellStyle name="40% - Accent3 2 3 2 2 2 3" xfId="15581" xr:uid="{F591C25C-C7BF-4C58-9202-4916ABFF5499}"/>
    <cellStyle name="40% - Accent3 2 3 2 2 3" xfId="19811" xr:uid="{CF5211C8-52E3-4104-89E0-F2B867D0A8F6}"/>
    <cellStyle name="40% - Accent3 2 3 2 2 4" xfId="11363" xr:uid="{7BB06CB9-B43A-41E1-A53D-6B6FFC21EA79}"/>
    <cellStyle name="40% - Accent3 2 3 2 3" xfId="4986" xr:uid="{00000000-0005-0000-0000-00002F050000}"/>
    <cellStyle name="40% - Accent3 2 3 2 3 2" xfId="21884" xr:uid="{7EC6BF95-9BB7-474A-98A7-BF1C9CE3089D}"/>
    <cellStyle name="40% - Accent3 2 3 2 3 3" xfId="13436" xr:uid="{87A04EDA-8802-4CB6-A0AB-3FE82BAFF29F}"/>
    <cellStyle name="40% - Accent3 2 3 2 4" xfId="17666" xr:uid="{59800B2C-B9F0-46CF-95F4-57C59DAD764B}"/>
    <cellStyle name="40% - Accent3 2 3 2 5" xfId="9218" xr:uid="{66D84B3A-6A27-4B3A-9F55-1B85A6DB17EC}"/>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24442" xr:uid="{B927741F-6EBD-423D-AC10-87FDB3ACEDBF}"/>
    <cellStyle name="40% - Accent3 2 3 3 2 2 3" xfId="15994" xr:uid="{79DED3FE-D2D0-4FB7-BDAB-A19D2407B31F}"/>
    <cellStyle name="40% - Accent3 2 3 3 2 3" xfId="20224" xr:uid="{4E5E12C8-4095-4CAA-AA04-8BB18545506B}"/>
    <cellStyle name="40% - Accent3 2 3 3 2 4" xfId="11776" xr:uid="{06CBD69C-7F2D-44ED-B886-104030473B55}"/>
    <cellStyle name="40% - Accent3 2 3 3 3" xfId="5399" xr:uid="{00000000-0005-0000-0000-000033050000}"/>
    <cellStyle name="40% - Accent3 2 3 3 3 2" xfId="22297" xr:uid="{5F72AF27-19E3-460D-88A1-3DFCB3AC90AC}"/>
    <cellStyle name="40% - Accent3 2 3 3 3 3" xfId="13849" xr:uid="{EE5803CB-AFAB-4740-9CC1-291FACCA332A}"/>
    <cellStyle name="40% - Accent3 2 3 3 4" xfId="18079" xr:uid="{A937495A-45F8-4386-BA1A-ACEB12BCDD07}"/>
    <cellStyle name="40% - Accent3 2 3 3 5" xfId="9631" xr:uid="{3A73C579-FA6F-4FC5-B4DA-312CA30A45B3}"/>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24855" xr:uid="{249BE8C7-B0AD-4661-847F-084A49535E8D}"/>
    <cellStyle name="40% - Accent3 2 3 4 2 2 3" xfId="16407" xr:uid="{3653E684-3BFF-4969-B661-055BB63E0192}"/>
    <cellStyle name="40% - Accent3 2 3 4 2 3" xfId="20637" xr:uid="{DC16E2E5-2DDF-4BF6-BEC8-C345728F0E16}"/>
    <cellStyle name="40% - Accent3 2 3 4 2 4" xfId="12189" xr:uid="{A60DD692-AEA8-4E89-8641-ACF32B86A134}"/>
    <cellStyle name="40% - Accent3 2 3 4 3" xfId="5812" xr:uid="{00000000-0005-0000-0000-000037050000}"/>
    <cellStyle name="40% - Accent3 2 3 4 3 2" xfId="22710" xr:uid="{45B1D912-36FF-44CC-A5A2-2BC340382594}"/>
    <cellStyle name="40% - Accent3 2 3 4 3 3" xfId="14262" xr:uid="{D7959460-83FC-44D9-B72A-42CAAB7B9220}"/>
    <cellStyle name="40% - Accent3 2 3 4 4" xfId="18492" xr:uid="{16628643-96E8-4976-9601-A8C262788FED}"/>
    <cellStyle name="40% - Accent3 2 3 4 5" xfId="10044" xr:uid="{6C83EF9C-ED0B-4E44-B7C8-FB05A48D2AD9}"/>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25268" xr:uid="{1E587B45-12AC-4F94-B8D7-9ACF050313E0}"/>
    <cellStyle name="40% - Accent3 2 3 5 2 2 3" xfId="16820" xr:uid="{C6604FB0-F81F-4E07-B3FC-6D98120FCC63}"/>
    <cellStyle name="40% - Accent3 2 3 5 2 3" xfId="21050" xr:uid="{4E0DE82E-9A54-4D52-99FA-912B6597A189}"/>
    <cellStyle name="40% - Accent3 2 3 5 2 4" xfId="12602" xr:uid="{A495742F-FB82-44A9-9AED-FD07EC32BFE8}"/>
    <cellStyle name="40% - Accent3 2 3 5 3" xfId="6225" xr:uid="{00000000-0005-0000-0000-00003B050000}"/>
    <cellStyle name="40% - Accent3 2 3 5 3 2" xfId="23123" xr:uid="{57C240D5-2CF7-42F5-89B9-3FC8233494B2}"/>
    <cellStyle name="40% - Accent3 2 3 5 3 3" xfId="14675" xr:uid="{3D148E82-631B-4DDD-9116-52A3F4AD0E41}"/>
    <cellStyle name="40% - Accent3 2 3 5 4" xfId="18905" xr:uid="{9F109D3C-C041-45B0-9C1C-78932E5EF2BE}"/>
    <cellStyle name="40% - Accent3 2 3 5 5" xfId="10457" xr:uid="{1CC5C6AC-95DD-4201-9DA9-96ED381F4943}"/>
    <cellStyle name="40% - Accent3 2 3 6" xfId="2332" xr:uid="{00000000-0005-0000-0000-00003C050000}"/>
    <cellStyle name="40% - Accent3 2 3 6 2" xfId="6638" xr:uid="{00000000-0005-0000-0000-00003D050000}"/>
    <cellStyle name="40% - Accent3 2 3 6 2 2" xfId="23536" xr:uid="{B4CF8BAC-ACAA-440D-A94F-38914BA183D5}"/>
    <cellStyle name="40% - Accent3 2 3 6 2 3" xfId="15088" xr:uid="{D9B828DA-EEA8-4107-BE11-C4847CC09DE0}"/>
    <cellStyle name="40% - Accent3 2 3 6 3" xfId="19318" xr:uid="{C18FBFF0-006F-4F0E-B049-F3F0EBFDCE47}"/>
    <cellStyle name="40% - Accent3 2 3 6 4" xfId="10870" xr:uid="{F74C9975-DD98-48DF-AEEB-49F8537B7AAB}"/>
    <cellStyle name="40% - Accent3 2 3 7" xfId="4572" xr:uid="{00000000-0005-0000-0000-00003E050000}"/>
    <cellStyle name="40% - Accent3 2 3 7 2" xfId="21470" xr:uid="{269F8F04-DACF-4D8E-8768-00EAE6908F09}"/>
    <cellStyle name="40% - Accent3 2 3 7 3" xfId="13022" xr:uid="{6558981B-6998-4AA4-B3DA-62C0A4D64E1E}"/>
    <cellStyle name="40% - Accent3 2 3 8" xfId="17252" xr:uid="{F0A80EA8-2306-4D25-BF03-7AA314050BCF}"/>
    <cellStyle name="40% - Accent3 2 3 9" xfId="8804" xr:uid="{BE74A8C9-6ED5-4044-87D4-74DD798BD28D}"/>
    <cellStyle name="40% - Accent3 2 4" xfId="635" xr:uid="{00000000-0005-0000-0000-00003F050000}"/>
    <cellStyle name="40% - Accent3 2 4 2" xfId="2906" xr:uid="{00000000-0005-0000-0000-000040050000}"/>
    <cellStyle name="40% - Accent3 2 4 2 2" xfId="7128" xr:uid="{00000000-0005-0000-0000-000041050000}"/>
    <cellStyle name="40% - Accent3 2 4 2 2 2" xfId="24026" xr:uid="{8CFB8961-F667-4541-A269-7AD188313654}"/>
    <cellStyle name="40% - Accent3 2 4 2 2 3" xfId="15578" xr:uid="{EEEC51A8-6960-4076-B3C1-77D145E9645A}"/>
    <cellStyle name="40% - Accent3 2 4 2 3" xfId="19808" xr:uid="{2D8379D3-9E22-4772-BE1C-676C17D03BBC}"/>
    <cellStyle name="40% - Accent3 2 4 2 4" xfId="11360" xr:uid="{553960B7-C58A-4513-B0D3-1B8B2CE17121}"/>
    <cellStyle name="40% - Accent3 2 4 3" xfId="4983" xr:uid="{00000000-0005-0000-0000-000042050000}"/>
    <cellStyle name="40% - Accent3 2 4 3 2" xfId="21881" xr:uid="{0FA36F6E-64D6-4648-8BC6-2162C5C4AACF}"/>
    <cellStyle name="40% - Accent3 2 4 3 3" xfId="13433" xr:uid="{1BCF6D51-9C0F-4952-A405-6523706D20A2}"/>
    <cellStyle name="40% - Accent3 2 4 4" xfId="17663" xr:uid="{DA273FC4-6B1D-4B4A-852B-684410B68EFF}"/>
    <cellStyle name="40% - Accent3 2 4 5" xfId="9215" xr:uid="{3F822637-2719-4ECB-BD2F-D7946EB69F71}"/>
    <cellStyle name="40% - Accent3 2 5" xfId="1088" xr:uid="{00000000-0005-0000-0000-000043050000}"/>
    <cellStyle name="40% - Accent3 2 5 2" xfId="3319" xr:uid="{00000000-0005-0000-0000-000044050000}"/>
    <cellStyle name="40% - Accent3 2 5 2 2" xfId="7541" xr:uid="{00000000-0005-0000-0000-000045050000}"/>
    <cellStyle name="40% - Accent3 2 5 2 2 2" xfId="24439" xr:uid="{1834FA59-4AD7-476A-8771-1D8BAE52E9CD}"/>
    <cellStyle name="40% - Accent3 2 5 2 2 3" xfId="15991" xr:uid="{33E85B02-1CAA-44A5-8C02-C8673D4EA2AA}"/>
    <cellStyle name="40% - Accent3 2 5 2 3" xfId="20221" xr:uid="{7487CA43-AD54-4949-BAA0-6D9BD0AE1F28}"/>
    <cellStyle name="40% - Accent3 2 5 2 4" xfId="11773" xr:uid="{352154BC-D621-471B-8B47-2BBEE7085745}"/>
    <cellStyle name="40% - Accent3 2 5 3" xfId="5396" xr:uid="{00000000-0005-0000-0000-000046050000}"/>
    <cellStyle name="40% - Accent3 2 5 3 2" xfId="22294" xr:uid="{BDD78410-B520-4E19-BFCC-AC9367923A44}"/>
    <cellStyle name="40% - Accent3 2 5 3 3" xfId="13846" xr:uid="{FA6F9006-483E-4883-8D7B-D2F3C1C7EF7B}"/>
    <cellStyle name="40% - Accent3 2 5 4" xfId="18076" xr:uid="{9920550F-1691-49AC-AC36-2E10B06AEB03}"/>
    <cellStyle name="40% - Accent3 2 5 5" xfId="9628" xr:uid="{56ABEEC0-FA0D-4651-A3E8-FEAC6F664D1A}"/>
    <cellStyle name="40% - Accent3 2 6" xfId="1502" xr:uid="{00000000-0005-0000-0000-000047050000}"/>
    <cellStyle name="40% - Accent3 2 6 2" xfId="3732" xr:uid="{00000000-0005-0000-0000-000048050000}"/>
    <cellStyle name="40% - Accent3 2 6 2 2" xfId="7954" xr:uid="{00000000-0005-0000-0000-000049050000}"/>
    <cellStyle name="40% - Accent3 2 6 2 2 2" xfId="24852" xr:uid="{E29059BF-6629-473D-AADB-0ADFF881FD21}"/>
    <cellStyle name="40% - Accent3 2 6 2 2 3" xfId="16404" xr:uid="{76FE648E-F45E-4F24-8D26-E560BAC3E168}"/>
    <cellStyle name="40% - Accent3 2 6 2 3" xfId="20634" xr:uid="{E0D0E72A-2428-435B-A0FA-97367927012C}"/>
    <cellStyle name="40% - Accent3 2 6 2 4" xfId="12186" xr:uid="{B04E29F4-B6FB-403D-83EA-440F478171FF}"/>
    <cellStyle name="40% - Accent3 2 6 3" xfId="5809" xr:uid="{00000000-0005-0000-0000-00004A050000}"/>
    <cellStyle name="40% - Accent3 2 6 3 2" xfId="22707" xr:uid="{6DFD739C-8811-4192-86C8-38DC7EF9A3A0}"/>
    <cellStyle name="40% - Accent3 2 6 3 3" xfId="14259" xr:uid="{52053B22-EEB0-4DB7-B4F0-C86622D1626D}"/>
    <cellStyle name="40% - Accent3 2 6 4" xfId="18489" xr:uid="{DE27F4CB-B8FF-4AE3-89B0-073343394536}"/>
    <cellStyle name="40% - Accent3 2 6 5" xfId="10041" xr:uid="{51064679-12BD-4685-A672-23ED17253EA5}"/>
    <cellStyle name="40% - Accent3 2 7" xfId="1916" xr:uid="{00000000-0005-0000-0000-00004B050000}"/>
    <cellStyle name="40% - Accent3 2 7 2" xfId="4145" xr:uid="{00000000-0005-0000-0000-00004C050000}"/>
    <cellStyle name="40% - Accent3 2 7 2 2" xfId="8367" xr:uid="{00000000-0005-0000-0000-00004D050000}"/>
    <cellStyle name="40% - Accent3 2 7 2 2 2" xfId="25265" xr:uid="{07018073-AF43-4E10-B2A2-CA6B3175BB35}"/>
    <cellStyle name="40% - Accent3 2 7 2 2 3" xfId="16817" xr:uid="{284093ED-91B5-4688-8895-66A396674713}"/>
    <cellStyle name="40% - Accent3 2 7 2 3" xfId="21047" xr:uid="{BE5FFAE3-64B5-485F-99CD-FB284612264A}"/>
    <cellStyle name="40% - Accent3 2 7 2 4" xfId="12599" xr:uid="{D4A0D37E-30E9-4382-91D7-81E00DFE6F97}"/>
    <cellStyle name="40% - Accent3 2 7 3" xfId="6222" xr:uid="{00000000-0005-0000-0000-00004E050000}"/>
    <cellStyle name="40% - Accent3 2 7 3 2" xfId="23120" xr:uid="{5D2E6612-617D-4EC0-97AE-2255EABC4236}"/>
    <cellStyle name="40% - Accent3 2 7 3 3" xfId="14672" xr:uid="{5AE4C8CF-E4B6-4EB3-A663-460145FEF31C}"/>
    <cellStyle name="40% - Accent3 2 7 4" xfId="18902" xr:uid="{861E4DED-6D6C-4954-AA13-838896874EC2}"/>
    <cellStyle name="40% - Accent3 2 7 5" xfId="10454" xr:uid="{C9AFE288-ADCD-46AC-A546-7A5FC033B8CA}"/>
    <cellStyle name="40% - Accent3 2 8" xfId="2329" xr:uid="{00000000-0005-0000-0000-00004F050000}"/>
    <cellStyle name="40% - Accent3 2 8 2" xfId="6635" xr:uid="{00000000-0005-0000-0000-000050050000}"/>
    <cellStyle name="40% - Accent3 2 8 2 2" xfId="23533" xr:uid="{CA480D63-72FF-447F-B2C7-AB1A86373C73}"/>
    <cellStyle name="40% - Accent3 2 8 2 3" xfId="15085" xr:uid="{0C5473B6-2245-4CB0-B8E2-5C2A151436CD}"/>
    <cellStyle name="40% - Accent3 2 8 3" xfId="19315" xr:uid="{57E50DE4-B207-45E8-B850-97C4735402B5}"/>
    <cellStyle name="40% - Accent3 2 8 4" xfId="10867" xr:uid="{0A4680BE-FFB9-4488-A533-F77BF81FFF5B}"/>
    <cellStyle name="40% - Accent3 2 9" xfId="4569" xr:uid="{00000000-0005-0000-0000-000051050000}"/>
    <cellStyle name="40% - Accent3 2 9 2" xfId="21467" xr:uid="{8C6F2757-5B45-4A3A-88F6-90DF58E455BE}"/>
    <cellStyle name="40% - Accent3 2 9 3" xfId="13019" xr:uid="{2C6B672F-8560-488E-A842-A9F986D67CC9}"/>
    <cellStyle name="40% - Accent3 3" xfId="70" xr:uid="{00000000-0005-0000-0000-000052050000}"/>
    <cellStyle name="40% - Accent3 3 10" xfId="8805" xr:uid="{F218592D-73B4-4401-98B4-1F72D72E7583}"/>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24031" xr:uid="{4F35939C-6CD4-4D4D-8CB1-705E34A66DBD}"/>
    <cellStyle name="40% - Accent3 3 2 2 2 2 3" xfId="15583" xr:uid="{E53F863F-DA79-4994-8602-FF843AD1E0F7}"/>
    <cellStyle name="40% - Accent3 3 2 2 2 3" xfId="19813" xr:uid="{40F21887-5F63-4E46-9FB7-6C7574B8FE35}"/>
    <cellStyle name="40% - Accent3 3 2 2 2 4" xfId="11365" xr:uid="{157DF238-2B9D-4C77-AA48-2149EAE748B9}"/>
    <cellStyle name="40% - Accent3 3 2 2 3" xfId="4988" xr:uid="{00000000-0005-0000-0000-000057050000}"/>
    <cellStyle name="40% - Accent3 3 2 2 3 2" xfId="21886" xr:uid="{C9B27ED6-17AE-48B7-8BFA-C7579C986226}"/>
    <cellStyle name="40% - Accent3 3 2 2 3 3" xfId="13438" xr:uid="{AC4800FC-E314-4579-9BF5-5CA67AC6BB0B}"/>
    <cellStyle name="40% - Accent3 3 2 2 4" xfId="17668" xr:uid="{FE83F3C9-F36C-488E-9CB8-727EE30BB5B3}"/>
    <cellStyle name="40% - Accent3 3 2 2 5" xfId="9220" xr:uid="{3D619308-F3D7-47B6-B5BD-67FA26819AD1}"/>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24444" xr:uid="{8AE72369-A4F8-4EDD-933D-CA49C873CAF3}"/>
    <cellStyle name="40% - Accent3 3 2 3 2 2 3" xfId="15996" xr:uid="{697D9E64-5F6D-480F-8BF0-30E5CDA9C213}"/>
    <cellStyle name="40% - Accent3 3 2 3 2 3" xfId="20226" xr:uid="{53847806-B6AD-435B-9FE2-AD90A1AFCB84}"/>
    <cellStyle name="40% - Accent3 3 2 3 2 4" xfId="11778" xr:uid="{DD82E41D-F0DD-44A9-B59C-E0228F4ECFA0}"/>
    <cellStyle name="40% - Accent3 3 2 3 3" xfId="5401" xr:uid="{00000000-0005-0000-0000-00005B050000}"/>
    <cellStyle name="40% - Accent3 3 2 3 3 2" xfId="22299" xr:uid="{3B7E5FCB-AF75-4F53-B9C3-2C1EE587F538}"/>
    <cellStyle name="40% - Accent3 3 2 3 3 3" xfId="13851" xr:uid="{9D8A4D1D-0F49-4FB8-9432-BCF63C4A0391}"/>
    <cellStyle name="40% - Accent3 3 2 3 4" xfId="18081" xr:uid="{560ED71F-CCB6-4520-A3F7-C602251ED21C}"/>
    <cellStyle name="40% - Accent3 3 2 3 5" xfId="9633" xr:uid="{5B079354-B862-40C6-A92F-0A1A377D5FE4}"/>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24857" xr:uid="{0C210D52-F255-47EE-B384-EF66894EAB42}"/>
    <cellStyle name="40% - Accent3 3 2 4 2 2 3" xfId="16409" xr:uid="{58B4FEC4-1C63-48DE-A162-99DC21A71E66}"/>
    <cellStyle name="40% - Accent3 3 2 4 2 3" xfId="20639" xr:uid="{C2FCF098-80C2-4EF5-BF3A-78E70ED29FB9}"/>
    <cellStyle name="40% - Accent3 3 2 4 2 4" xfId="12191" xr:uid="{00807F56-07D8-4497-A206-02FA3457A124}"/>
    <cellStyle name="40% - Accent3 3 2 4 3" xfId="5814" xr:uid="{00000000-0005-0000-0000-00005F050000}"/>
    <cellStyle name="40% - Accent3 3 2 4 3 2" xfId="22712" xr:uid="{B5FD8CCA-7109-465A-BF92-36256E5B3F13}"/>
    <cellStyle name="40% - Accent3 3 2 4 3 3" xfId="14264" xr:uid="{5327F938-EFBF-4282-8920-A7B32A8CFC9C}"/>
    <cellStyle name="40% - Accent3 3 2 4 4" xfId="18494" xr:uid="{EA31B1A3-A6DD-452E-B34F-EAF1FFDC06ED}"/>
    <cellStyle name="40% - Accent3 3 2 4 5" xfId="10046" xr:uid="{FF677111-D825-40EC-B8C1-9E73DF4E391F}"/>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25270" xr:uid="{93527DFB-215A-47AB-AFAB-C9B1DCB6620D}"/>
    <cellStyle name="40% - Accent3 3 2 5 2 2 3" xfId="16822" xr:uid="{EE22F974-16AA-45AC-941E-2E295DC4C677}"/>
    <cellStyle name="40% - Accent3 3 2 5 2 3" xfId="21052" xr:uid="{3C3E5C7B-F6A1-42E6-9D6A-53E99917DA48}"/>
    <cellStyle name="40% - Accent3 3 2 5 2 4" xfId="12604" xr:uid="{69C1A604-820A-4A98-B80F-0AC2C50F44CC}"/>
    <cellStyle name="40% - Accent3 3 2 5 3" xfId="6227" xr:uid="{00000000-0005-0000-0000-000063050000}"/>
    <cellStyle name="40% - Accent3 3 2 5 3 2" xfId="23125" xr:uid="{CED112AA-E8D3-4B7B-A476-F0745D63C587}"/>
    <cellStyle name="40% - Accent3 3 2 5 3 3" xfId="14677" xr:uid="{A57F8F24-282A-45D0-A8B4-F22131F964B0}"/>
    <cellStyle name="40% - Accent3 3 2 5 4" xfId="18907" xr:uid="{EF3594A6-5294-4A55-9943-4709C99DEC3D}"/>
    <cellStyle name="40% - Accent3 3 2 5 5" xfId="10459" xr:uid="{59B047EF-30B0-4185-B629-2844AB511FFC}"/>
    <cellStyle name="40% - Accent3 3 2 6" xfId="2334" xr:uid="{00000000-0005-0000-0000-000064050000}"/>
    <cellStyle name="40% - Accent3 3 2 6 2" xfId="6640" xr:uid="{00000000-0005-0000-0000-000065050000}"/>
    <cellStyle name="40% - Accent3 3 2 6 2 2" xfId="23538" xr:uid="{36CA7B27-56F4-47FF-A240-54244470073F}"/>
    <cellStyle name="40% - Accent3 3 2 6 2 3" xfId="15090" xr:uid="{7BB94BE2-AAEC-435A-8C10-4B21FBF1B9C4}"/>
    <cellStyle name="40% - Accent3 3 2 6 3" xfId="19320" xr:uid="{332F8677-C325-4BB3-AF0A-6BA21BAB3C88}"/>
    <cellStyle name="40% - Accent3 3 2 6 4" xfId="10872" xr:uid="{D2674344-827E-43F4-A8A9-4E070CC3E3A3}"/>
    <cellStyle name="40% - Accent3 3 2 7" xfId="4574" xr:uid="{00000000-0005-0000-0000-000066050000}"/>
    <cellStyle name="40% - Accent3 3 2 7 2" xfId="21472" xr:uid="{082562F5-59BC-48DE-A878-50CB91D1E7BC}"/>
    <cellStyle name="40% - Accent3 3 2 7 3" xfId="13024" xr:uid="{42094963-5F4C-422B-B809-68FFAB5CB054}"/>
    <cellStyle name="40% - Accent3 3 2 8" xfId="17254" xr:uid="{B975DC5E-3029-4E8D-BE3F-BD859B61F8B2}"/>
    <cellStyle name="40% - Accent3 3 2 9" xfId="8806" xr:uid="{48974AA3-4BA1-4049-985E-8EDA8151631E}"/>
    <cellStyle name="40% - Accent3 3 3" xfId="639" xr:uid="{00000000-0005-0000-0000-000067050000}"/>
    <cellStyle name="40% - Accent3 3 3 2" xfId="2910" xr:uid="{00000000-0005-0000-0000-000068050000}"/>
    <cellStyle name="40% - Accent3 3 3 2 2" xfId="7132" xr:uid="{00000000-0005-0000-0000-000069050000}"/>
    <cellStyle name="40% - Accent3 3 3 2 2 2" xfId="24030" xr:uid="{859AAB8B-98DC-4FEA-9EAB-6AA83986142B}"/>
    <cellStyle name="40% - Accent3 3 3 2 2 3" xfId="15582" xr:uid="{C88CFF61-9677-4CAE-970F-6F67E124D587}"/>
    <cellStyle name="40% - Accent3 3 3 2 3" xfId="19812" xr:uid="{994B4CDB-FF7A-4B2E-BF87-AB16DA7DBC3F}"/>
    <cellStyle name="40% - Accent3 3 3 2 4" xfId="11364" xr:uid="{CCC79120-12F5-469D-BB5F-0EE9A65BE72F}"/>
    <cellStyle name="40% - Accent3 3 3 3" xfId="4987" xr:uid="{00000000-0005-0000-0000-00006A050000}"/>
    <cellStyle name="40% - Accent3 3 3 3 2" xfId="21885" xr:uid="{13BFE9BF-8A5D-429E-A9D0-62A318CAD005}"/>
    <cellStyle name="40% - Accent3 3 3 3 3" xfId="13437" xr:uid="{F6716E46-C0DE-420E-845B-B81AE5D86667}"/>
    <cellStyle name="40% - Accent3 3 3 4" xfId="17667" xr:uid="{794F6259-CE68-4E14-862A-BA67EDE0351F}"/>
    <cellStyle name="40% - Accent3 3 3 5" xfId="9219" xr:uid="{E0793CE4-0506-4AF3-A8C6-49BA1B2D993C}"/>
    <cellStyle name="40% - Accent3 3 4" xfId="1092" xr:uid="{00000000-0005-0000-0000-00006B050000}"/>
    <cellStyle name="40% - Accent3 3 4 2" xfId="3323" xr:uid="{00000000-0005-0000-0000-00006C050000}"/>
    <cellStyle name="40% - Accent3 3 4 2 2" xfId="7545" xr:uid="{00000000-0005-0000-0000-00006D050000}"/>
    <cellStyle name="40% - Accent3 3 4 2 2 2" xfId="24443" xr:uid="{3EB734BB-6192-4A53-84D4-0998AE3511D1}"/>
    <cellStyle name="40% - Accent3 3 4 2 2 3" xfId="15995" xr:uid="{DD940E9E-CEA0-436B-836A-0AD78EC4CFC3}"/>
    <cellStyle name="40% - Accent3 3 4 2 3" xfId="20225" xr:uid="{74A2E07F-105A-494C-AD0C-90E21A774785}"/>
    <cellStyle name="40% - Accent3 3 4 2 4" xfId="11777" xr:uid="{2E0F3F9C-DDE0-4A17-83EA-3BD2E5A0016A}"/>
    <cellStyle name="40% - Accent3 3 4 3" xfId="5400" xr:uid="{00000000-0005-0000-0000-00006E050000}"/>
    <cellStyle name="40% - Accent3 3 4 3 2" xfId="22298" xr:uid="{5620C7DE-126C-4671-A7D8-ED94EA18F199}"/>
    <cellStyle name="40% - Accent3 3 4 3 3" xfId="13850" xr:uid="{02162DB8-1FC5-4160-8B41-DBCCD9C6BB9B}"/>
    <cellStyle name="40% - Accent3 3 4 4" xfId="18080" xr:uid="{D44794A2-C7B4-4B96-9D5C-95F9426709B9}"/>
    <cellStyle name="40% - Accent3 3 4 5" xfId="9632" xr:uid="{80315512-E41C-425D-95C6-B83AD4567B68}"/>
    <cellStyle name="40% - Accent3 3 5" xfId="1506" xr:uid="{00000000-0005-0000-0000-00006F050000}"/>
    <cellStyle name="40% - Accent3 3 5 2" xfId="3736" xr:uid="{00000000-0005-0000-0000-000070050000}"/>
    <cellStyle name="40% - Accent3 3 5 2 2" xfId="7958" xr:uid="{00000000-0005-0000-0000-000071050000}"/>
    <cellStyle name="40% - Accent3 3 5 2 2 2" xfId="24856" xr:uid="{1902ADEC-FD52-4DDD-8B38-1F61926E8700}"/>
    <cellStyle name="40% - Accent3 3 5 2 2 3" xfId="16408" xr:uid="{698DC6B6-9B3C-4D96-A12B-E23221F942C5}"/>
    <cellStyle name="40% - Accent3 3 5 2 3" xfId="20638" xr:uid="{11DC3791-CEA7-4D0E-9900-10CD8550F180}"/>
    <cellStyle name="40% - Accent3 3 5 2 4" xfId="12190" xr:uid="{20D8452E-4ED2-489C-BEB3-B43B0930B7FF}"/>
    <cellStyle name="40% - Accent3 3 5 3" xfId="5813" xr:uid="{00000000-0005-0000-0000-000072050000}"/>
    <cellStyle name="40% - Accent3 3 5 3 2" xfId="22711" xr:uid="{13624B19-8D56-4F0C-A68A-DF0C5D92DB8C}"/>
    <cellStyle name="40% - Accent3 3 5 3 3" xfId="14263" xr:uid="{8C65C471-14BF-417D-B4B9-BDEBF919DBB5}"/>
    <cellStyle name="40% - Accent3 3 5 4" xfId="18493" xr:uid="{AAB95543-E81F-4F16-A1AE-890B90B00120}"/>
    <cellStyle name="40% - Accent3 3 5 5" xfId="10045" xr:uid="{6A641A7D-5F0A-4744-A0BD-1CDA8BB06841}"/>
    <cellStyle name="40% - Accent3 3 6" xfId="1920" xr:uid="{00000000-0005-0000-0000-000073050000}"/>
    <cellStyle name="40% - Accent3 3 6 2" xfId="4149" xr:uid="{00000000-0005-0000-0000-000074050000}"/>
    <cellStyle name="40% - Accent3 3 6 2 2" xfId="8371" xr:uid="{00000000-0005-0000-0000-000075050000}"/>
    <cellStyle name="40% - Accent3 3 6 2 2 2" xfId="25269" xr:uid="{C641A6CF-514E-4DC3-A1E0-A09266D95EE3}"/>
    <cellStyle name="40% - Accent3 3 6 2 2 3" xfId="16821" xr:uid="{1552FDA8-9A70-4C33-B7AC-4BE8D0E8E538}"/>
    <cellStyle name="40% - Accent3 3 6 2 3" xfId="21051" xr:uid="{348DFAA8-8A86-4B7D-884F-68BA3620F187}"/>
    <cellStyle name="40% - Accent3 3 6 2 4" xfId="12603" xr:uid="{F06FA777-35A5-45E6-9003-4B3820CF1DE1}"/>
    <cellStyle name="40% - Accent3 3 6 3" xfId="6226" xr:uid="{00000000-0005-0000-0000-000076050000}"/>
    <cellStyle name="40% - Accent3 3 6 3 2" xfId="23124" xr:uid="{EEBC0073-467C-46B9-ABE4-D98AA729F330}"/>
    <cellStyle name="40% - Accent3 3 6 3 3" xfId="14676" xr:uid="{415B8B15-77D3-4A89-B836-AFA2A66A758B}"/>
    <cellStyle name="40% - Accent3 3 6 4" xfId="18906" xr:uid="{4996812F-9D33-4501-8A85-61B0038D16D2}"/>
    <cellStyle name="40% - Accent3 3 6 5" xfId="10458" xr:uid="{24FDDF94-7A9B-4A2B-A145-BADF98900F45}"/>
    <cellStyle name="40% - Accent3 3 7" xfId="2333" xr:uid="{00000000-0005-0000-0000-000077050000}"/>
    <cellStyle name="40% - Accent3 3 7 2" xfId="6639" xr:uid="{00000000-0005-0000-0000-000078050000}"/>
    <cellStyle name="40% - Accent3 3 7 2 2" xfId="23537" xr:uid="{EFCCED8A-32DF-4CC2-B922-829CDCF4DAE1}"/>
    <cellStyle name="40% - Accent3 3 7 2 3" xfId="15089" xr:uid="{54300845-A316-4D6D-B1E3-FAB09F208E5C}"/>
    <cellStyle name="40% - Accent3 3 7 3" xfId="19319" xr:uid="{A7D8103B-8BC4-473A-A0B9-2ABEEAACF70A}"/>
    <cellStyle name="40% - Accent3 3 7 4" xfId="10871" xr:uid="{EB358015-8700-42F9-9C2A-B471B965C22B}"/>
    <cellStyle name="40% - Accent3 3 8" xfId="4573" xr:uid="{00000000-0005-0000-0000-000079050000}"/>
    <cellStyle name="40% - Accent3 3 8 2" xfId="21471" xr:uid="{13537519-B40E-462A-860D-10ACA258B0E2}"/>
    <cellStyle name="40% - Accent3 3 8 3" xfId="13023" xr:uid="{100523CD-5703-4684-918D-2ED08F68CD6C}"/>
    <cellStyle name="40% - Accent3 3 9" xfId="17253" xr:uid="{FBCE99E1-8B36-4F28-BF41-33CCE47C38C1}"/>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2 2 2" xfId="24032" xr:uid="{37AB0789-DA6B-40DC-8D7A-5B32ABC29C5D}"/>
    <cellStyle name="40% - Accent3 4 2 2 2 3" xfId="15584" xr:uid="{4D7E443E-5A04-406B-8B9C-D642ECFB8D46}"/>
    <cellStyle name="40% - Accent3 4 2 2 3" xfId="19814" xr:uid="{E5389FCA-E3C3-4053-BAB2-9AEF80D98CC8}"/>
    <cellStyle name="40% - Accent3 4 2 2 4" xfId="11366" xr:uid="{84406188-EE55-4ED1-9A48-BD66E7AA5E16}"/>
    <cellStyle name="40% - Accent3 4 2 3" xfId="4989" xr:uid="{00000000-0005-0000-0000-00007E050000}"/>
    <cellStyle name="40% - Accent3 4 2 3 2" xfId="21887" xr:uid="{C7B8E624-AD1E-431E-8722-EB22405D49BD}"/>
    <cellStyle name="40% - Accent3 4 2 3 3" xfId="13439" xr:uid="{29B4EC73-7440-41B8-8E44-D0DE35DD0BCC}"/>
    <cellStyle name="40% - Accent3 4 2 4" xfId="17669" xr:uid="{A8B7300F-8F09-48AA-B674-10DDF2520A24}"/>
    <cellStyle name="40% - Accent3 4 2 5" xfId="9221" xr:uid="{48E17819-E760-4A58-906F-B12FB2140623}"/>
    <cellStyle name="40% - Accent3 4 3" xfId="1094" xr:uid="{00000000-0005-0000-0000-00007F050000}"/>
    <cellStyle name="40% - Accent3 4 3 2" xfId="3325" xr:uid="{00000000-0005-0000-0000-000080050000}"/>
    <cellStyle name="40% - Accent3 4 3 2 2" xfId="7547" xr:uid="{00000000-0005-0000-0000-000081050000}"/>
    <cellStyle name="40% - Accent3 4 3 2 2 2" xfId="24445" xr:uid="{D86FEABD-D25F-4208-A68D-B0F9AB323A3E}"/>
    <cellStyle name="40% - Accent3 4 3 2 2 3" xfId="15997" xr:uid="{35E01258-B3F2-433C-97F9-9CF4342C87E5}"/>
    <cellStyle name="40% - Accent3 4 3 2 3" xfId="20227" xr:uid="{A1B74D00-580D-4802-83DF-43A4034F13CF}"/>
    <cellStyle name="40% - Accent3 4 3 2 4" xfId="11779" xr:uid="{A8D24BA8-4AF5-4B3D-AA29-856B4AC114D0}"/>
    <cellStyle name="40% - Accent3 4 3 3" xfId="5402" xr:uid="{00000000-0005-0000-0000-000082050000}"/>
    <cellStyle name="40% - Accent3 4 3 3 2" xfId="22300" xr:uid="{92C0006A-FACC-4F6F-AB82-6136B9E09D79}"/>
    <cellStyle name="40% - Accent3 4 3 3 3" xfId="13852" xr:uid="{A7C8B36A-188B-44F9-B4D8-25557FB77090}"/>
    <cellStyle name="40% - Accent3 4 3 4" xfId="18082" xr:uid="{348673AA-6F85-48AE-8A97-5CDDBBABE469}"/>
    <cellStyle name="40% - Accent3 4 3 5" xfId="9634" xr:uid="{13CB074B-618F-4AA6-9098-BA1EC9C12C7E}"/>
    <cellStyle name="40% - Accent3 4 4" xfId="1508" xr:uid="{00000000-0005-0000-0000-000083050000}"/>
    <cellStyle name="40% - Accent3 4 4 2" xfId="3738" xr:uid="{00000000-0005-0000-0000-000084050000}"/>
    <cellStyle name="40% - Accent3 4 4 2 2" xfId="7960" xr:uid="{00000000-0005-0000-0000-000085050000}"/>
    <cellStyle name="40% - Accent3 4 4 2 2 2" xfId="24858" xr:uid="{4310C847-6589-4E58-BA0E-FDD4FC0BB372}"/>
    <cellStyle name="40% - Accent3 4 4 2 2 3" xfId="16410" xr:uid="{986022B6-E52A-4E0A-81F3-693C91C77E5E}"/>
    <cellStyle name="40% - Accent3 4 4 2 3" xfId="20640" xr:uid="{364EC634-BE5C-49A8-81BE-61A077466001}"/>
    <cellStyle name="40% - Accent3 4 4 2 4" xfId="12192" xr:uid="{9509238B-FF09-4F26-9E7F-94EB5DBB2EB6}"/>
    <cellStyle name="40% - Accent3 4 4 3" xfId="5815" xr:uid="{00000000-0005-0000-0000-000086050000}"/>
    <cellStyle name="40% - Accent3 4 4 3 2" xfId="22713" xr:uid="{13B6D372-6CC4-490B-8174-E0A39A004674}"/>
    <cellStyle name="40% - Accent3 4 4 3 3" xfId="14265" xr:uid="{83F3653F-5968-4DC9-B712-416AB9D48A8A}"/>
    <cellStyle name="40% - Accent3 4 4 4" xfId="18495" xr:uid="{363B89BD-B911-4BBE-81EA-362713F52BAD}"/>
    <cellStyle name="40% - Accent3 4 4 5" xfId="10047" xr:uid="{BDE5F334-AC0E-4027-A2F7-0B7F49F5E6D1}"/>
    <cellStyle name="40% - Accent3 4 5" xfId="1922" xr:uid="{00000000-0005-0000-0000-000087050000}"/>
    <cellStyle name="40% - Accent3 4 5 2" xfId="4151" xr:uid="{00000000-0005-0000-0000-000088050000}"/>
    <cellStyle name="40% - Accent3 4 5 2 2" xfId="8373" xr:uid="{00000000-0005-0000-0000-000089050000}"/>
    <cellStyle name="40% - Accent3 4 5 2 2 2" xfId="25271" xr:uid="{40D0C12C-33ED-4303-9443-6A53DDF21556}"/>
    <cellStyle name="40% - Accent3 4 5 2 2 3" xfId="16823" xr:uid="{354C52A3-87CC-4900-871B-0FB228DE8835}"/>
    <cellStyle name="40% - Accent3 4 5 2 3" xfId="21053" xr:uid="{41D5C663-DCB8-4216-B54E-A54BCE70DB26}"/>
    <cellStyle name="40% - Accent3 4 5 2 4" xfId="12605" xr:uid="{7707E319-7C0D-43ED-8475-4C139ADCACA4}"/>
    <cellStyle name="40% - Accent3 4 5 3" xfId="6228" xr:uid="{00000000-0005-0000-0000-00008A050000}"/>
    <cellStyle name="40% - Accent3 4 5 3 2" xfId="23126" xr:uid="{3661BC72-F4BA-4138-824F-F80444281D7A}"/>
    <cellStyle name="40% - Accent3 4 5 3 3" xfId="14678" xr:uid="{55CE0CB2-5C55-471A-8618-1E3B865C0D4F}"/>
    <cellStyle name="40% - Accent3 4 5 4" xfId="18908" xr:uid="{B4846E8F-FB06-49F1-BB0E-1B09AEDB3EAB}"/>
    <cellStyle name="40% - Accent3 4 5 5" xfId="10460" xr:uid="{00E8D41A-3C8C-42AA-9522-5854ACF6AF63}"/>
    <cellStyle name="40% - Accent3 4 6" xfId="2335" xr:uid="{00000000-0005-0000-0000-00008B050000}"/>
    <cellStyle name="40% - Accent3 4 6 2" xfId="6641" xr:uid="{00000000-0005-0000-0000-00008C050000}"/>
    <cellStyle name="40% - Accent3 4 6 2 2" xfId="23539" xr:uid="{24005504-9232-431B-BB4B-A365A61D0CA2}"/>
    <cellStyle name="40% - Accent3 4 6 2 3" xfId="15091" xr:uid="{363F25C0-6F61-4695-86DD-38690D395F98}"/>
    <cellStyle name="40% - Accent3 4 6 3" xfId="19321" xr:uid="{C670264F-41FA-41E9-B426-AE93AE763F1E}"/>
    <cellStyle name="40% - Accent3 4 6 4" xfId="10873" xr:uid="{F31380E3-298F-45A3-9B34-D735D3655918}"/>
    <cellStyle name="40% - Accent3 4 7" xfId="4575" xr:uid="{00000000-0005-0000-0000-00008D050000}"/>
    <cellStyle name="40% - Accent3 4 7 2" xfId="21473" xr:uid="{482441EE-811E-4A56-A473-35E7A738328F}"/>
    <cellStyle name="40% - Accent3 4 7 3" xfId="13025" xr:uid="{DBACF540-8A34-480A-9F94-B081F83B0B7F}"/>
    <cellStyle name="40% - Accent3 4 8" xfId="17255" xr:uid="{1478F51A-23A6-4670-A1DE-8FBB461BD126}"/>
    <cellStyle name="40% - Accent3 4 9" xfId="8807" xr:uid="{B1D5A20A-246B-401D-9206-5872CE3B4610}"/>
    <cellStyle name="40% - Accent3 5" xfId="634" xr:uid="{00000000-0005-0000-0000-00008E050000}"/>
    <cellStyle name="40% - Accent3 5 2" xfId="2905" xr:uid="{00000000-0005-0000-0000-00008F050000}"/>
    <cellStyle name="40% - Accent3 5 2 2" xfId="7127" xr:uid="{00000000-0005-0000-0000-000090050000}"/>
    <cellStyle name="40% - Accent3 5 2 2 2" xfId="24025" xr:uid="{C4234DF2-5AB9-46D3-AFFA-DA94D5A1563A}"/>
    <cellStyle name="40% - Accent3 5 2 2 3" xfId="15577" xr:uid="{050E097B-746D-49B1-83F1-641229B9388E}"/>
    <cellStyle name="40% - Accent3 5 2 3" xfId="19807" xr:uid="{06254B1E-4651-463E-9659-C59FBE9BA47A}"/>
    <cellStyle name="40% - Accent3 5 2 4" xfId="11359" xr:uid="{939F906A-F1AF-40DA-815C-2F2ACF2864AF}"/>
    <cellStyle name="40% - Accent3 5 3" xfId="4982" xr:uid="{00000000-0005-0000-0000-000091050000}"/>
    <cellStyle name="40% - Accent3 5 3 2" xfId="21880" xr:uid="{A0A4CBD0-5AFB-42FF-A9CD-DE3D40318957}"/>
    <cellStyle name="40% - Accent3 5 3 3" xfId="13432" xr:uid="{B7E1EBEE-7E32-4313-846D-9CFEB858F1F2}"/>
    <cellStyle name="40% - Accent3 5 4" xfId="17662" xr:uid="{0A1C3BC8-EB96-4F6F-B9DC-7CE3A6AD3654}"/>
    <cellStyle name="40% - Accent3 5 5" xfId="9214" xr:uid="{321086F7-1E56-49EC-A304-EEDF99CA51A5}"/>
    <cellStyle name="40% - Accent3 6" xfId="1087" xr:uid="{00000000-0005-0000-0000-000092050000}"/>
    <cellStyle name="40% - Accent3 6 2" xfId="3318" xr:uid="{00000000-0005-0000-0000-000093050000}"/>
    <cellStyle name="40% - Accent3 6 2 2" xfId="7540" xr:uid="{00000000-0005-0000-0000-000094050000}"/>
    <cellStyle name="40% - Accent3 6 2 2 2" xfId="24438" xr:uid="{716093BA-376F-4F55-94AA-CC250DAE9D58}"/>
    <cellStyle name="40% - Accent3 6 2 2 3" xfId="15990" xr:uid="{6D7A5852-28CF-4DDF-89F6-09224FF520B4}"/>
    <cellStyle name="40% - Accent3 6 2 3" xfId="20220" xr:uid="{90DE4759-4A5F-45E4-8A71-3A151474A0C6}"/>
    <cellStyle name="40% - Accent3 6 2 4" xfId="11772" xr:uid="{BA582EDB-A903-4C53-8DF8-F3CB1B7F4050}"/>
    <cellStyle name="40% - Accent3 6 3" xfId="5395" xr:uid="{00000000-0005-0000-0000-000095050000}"/>
    <cellStyle name="40% - Accent3 6 3 2" xfId="22293" xr:uid="{3771FB52-BAED-480A-952E-860285881EFE}"/>
    <cellStyle name="40% - Accent3 6 3 3" xfId="13845" xr:uid="{B2500CA0-CBAD-46F6-BEFA-04C74DCBED7D}"/>
    <cellStyle name="40% - Accent3 6 4" xfId="18075" xr:uid="{981D6B8A-8F9D-440B-A137-FAEB1E68D589}"/>
    <cellStyle name="40% - Accent3 6 5" xfId="9627" xr:uid="{EEABF354-F5D9-4708-89AB-B45E9BB05CFA}"/>
    <cellStyle name="40% - Accent3 7" xfId="1501" xr:uid="{00000000-0005-0000-0000-000096050000}"/>
    <cellStyle name="40% - Accent3 7 2" xfId="3731" xr:uid="{00000000-0005-0000-0000-000097050000}"/>
    <cellStyle name="40% - Accent3 7 2 2" xfId="7953" xr:uid="{00000000-0005-0000-0000-000098050000}"/>
    <cellStyle name="40% - Accent3 7 2 2 2" xfId="24851" xr:uid="{6C3222F9-EDDE-406D-8B09-40555A807A04}"/>
    <cellStyle name="40% - Accent3 7 2 2 3" xfId="16403" xr:uid="{BDEB9465-10B5-4C9F-B3A1-694896E983A6}"/>
    <cellStyle name="40% - Accent3 7 2 3" xfId="20633" xr:uid="{9C8A5496-BAFB-4255-A849-0961027B2D12}"/>
    <cellStyle name="40% - Accent3 7 2 4" xfId="12185" xr:uid="{98E66476-DE6E-461D-B19A-E879288C7364}"/>
    <cellStyle name="40% - Accent3 7 3" xfId="5808" xr:uid="{00000000-0005-0000-0000-000099050000}"/>
    <cellStyle name="40% - Accent3 7 3 2" xfId="22706" xr:uid="{DB5EC3CA-CD68-434F-82C7-708C607C302C}"/>
    <cellStyle name="40% - Accent3 7 3 3" xfId="14258" xr:uid="{693D7303-469E-4AB5-81E2-4C4D5B7F3DA1}"/>
    <cellStyle name="40% - Accent3 7 4" xfId="18488" xr:uid="{39BBD944-8F95-4C48-BE64-F3C164BC3F7D}"/>
    <cellStyle name="40% - Accent3 7 5" xfId="10040" xr:uid="{A072BDD4-3E0D-4F48-8F2B-C015BE305774}"/>
    <cellStyle name="40% - Accent3 8" xfId="1915" xr:uid="{00000000-0005-0000-0000-00009A050000}"/>
    <cellStyle name="40% - Accent3 8 2" xfId="4144" xr:uid="{00000000-0005-0000-0000-00009B050000}"/>
    <cellStyle name="40% - Accent3 8 2 2" xfId="8366" xr:uid="{00000000-0005-0000-0000-00009C050000}"/>
    <cellStyle name="40% - Accent3 8 2 2 2" xfId="25264" xr:uid="{BCF72768-CAB9-469D-AE1D-F9B7E2A9AB04}"/>
    <cellStyle name="40% - Accent3 8 2 2 3" xfId="16816" xr:uid="{9219FBF1-EB14-45B9-8068-4A1D9C41FF78}"/>
    <cellStyle name="40% - Accent3 8 2 3" xfId="21046" xr:uid="{D109031C-1E67-499E-BB4A-0A05DE70ACA7}"/>
    <cellStyle name="40% - Accent3 8 2 4" xfId="12598" xr:uid="{63745733-2752-475F-A75D-B7E505CDDEBC}"/>
    <cellStyle name="40% - Accent3 8 3" xfId="6221" xr:uid="{00000000-0005-0000-0000-00009D050000}"/>
    <cellStyle name="40% - Accent3 8 3 2" xfId="23119" xr:uid="{93ACA793-A917-4383-A793-DC938A90449A}"/>
    <cellStyle name="40% - Accent3 8 3 3" xfId="14671" xr:uid="{1B11D006-37DB-4445-83FA-79568D3EFF33}"/>
    <cellStyle name="40% - Accent3 8 4" xfId="18901" xr:uid="{14384D75-7D7F-443B-A6B6-3ADA53019391}"/>
    <cellStyle name="40% - Accent3 8 5" xfId="10453" xr:uid="{2A8511A7-FCA9-46CC-9642-08F095805D94}"/>
    <cellStyle name="40% - Accent3 9" xfId="2328" xr:uid="{00000000-0005-0000-0000-00009E050000}"/>
    <cellStyle name="40% - Accent3 9 2" xfId="6634" xr:uid="{00000000-0005-0000-0000-00009F050000}"/>
    <cellStyle name="40% - Accent3 9 2 2" xfId="23532" xr:uid="{B8429D79-B5FB-4D75-B478-4EC847205D46}"/>
    <cellStyle name="40% - Accent3 9 2 3" xfId="15084" xr:uid="{7CE6BFB1-9F92-49A5-88B8-3B151BBCA50A}"/>
    <cellStyle name="40% - Accent3 9 3" xfId="19314" xr:uid="{D05F703F-1426-4000-9311-E24EA97DD150}"/>
    <cellStyle name="40% - Accent3 9 4" xfId="10866" xr:uid="{ECE8E998-9D64-42AC-B82D-27D1ADA4F16D}"/>
    <cellStyle name="40% - Accent4" xfId="73" builtinId="43" customBuiltin="1"/>
    <cellStyle name="40% - Accent4 10" xfId="4576" xr:uid="{00000000-0005-0000-0000-0000A1050000}"/>
    <cellStyle name="40% - Accent4 10 2" xfId="21474" xr:uid="{001F06D0-100D-4D89-B6EB-7388DF678D35}"/>
    <cellStyle name="40% - Accent4 10 3" xfId="13026" xr:uid="{5606581D-8CEA-43B4-8B83-684884159E28}"/>
    <cellStyle name="40% - Accent4 11" xfId="17256" xr:uid="{CC1FBE98-036B-4140-AF38-D836663ADB17}"/>
    <cellStyle name="40% - Accent4 12" xfId="8808" xr:uid="{7B95BE53-8452-4048-880D-228155F31D79}"/>
    <cellStyle name="40% - Accent4 2" xfId="74" xr:uid="{00000000-0005-0000-0000-0000A2050000}"/>
    <cellStyle name="40% - Accent4 2 10" xfId="17257" xr:uid="{2A9012A0-AB9E-45C3-B181-B5D1E835CB66}"/>
    <cellStyle name="40% - Accent4 2 11" xfId="8809" xr:uid="{3427354D-CA3E-4928-9DAF-7560A5DB8E33}"/>
    <cellStyle name="40% - Accent4 2 2" xfId="75" xr:uid="{00000000-0005-0000-0000-0000A3050000}"/>
    <cellStyle name="40% - Accent4 2 2 10" xfId="8810" xr:uid="{2359A19B-AEE4-4996-BF90-200B6C23EDD1}"/>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24036" xr:uid="{FDFE47EE-8E3B-4EC5-9F6E-3A94D4EFF27E}"/>
    <cellStyle name="40% - Accent4 2 2 2 2 2 2 3" xfId="15588" xr:uid="{614573F3-F821-47FC-A628-720F928C1742}"/>
    <cellStyle name="40% - Accent4 2 2 2 2 2 3" xfId="19818" xr:uid="{CADCC639-2155-4B58-AB39-4451CA87D4FB}"/>
    <cellStyle name="40% - Accent4 2 2 2 2 2 4" xfId="11370" xr:uid="{6608B96F-AB73-4416-A994-C8C30F176488}"/>
    <cellStyle name="40% - Accent4 2 2 2 2 3" xfId="4993" xr:uid="{00000000-0005-0000-0000-0000A8050000}"/>
    <cellStyle name="40% - Accent4 2 2 2 2 3 2" xfId="21891" xr:uid="{0FC37FAF-BBFD-4C2A-8682-E9278BFB68F7}"/>
    <cellStyle name="40% - Accent4 2 2 2 2 3 3" xfId="13443" xr:uid="{3EEF65E2-C510-47BF-A410-2B01D5375E0A}"/>
    <cellStyle name="40% - Accent4 2 2 2 2 4" xfId="17673" xr:uid="{7BB1A7D1-2014-479B-A0E1-5A9DB43437C6}"/>
    <cellStyle name="40% - Accent4 2 2 2 2 5" xfId="9225" xr:uid="{71570841-4DC0-4B02-B452-E45C6698989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24449" xr:uid="{BAD8A2F2-1BE3-4D03-BFB2-51B405C90A59}"/>
    <cellStyle name="40% - Accent4 2 2 2 3 2 2 3" xfId="16001" xr:uid="{C7EEE7A4-D3C1-4456-B515-4E337CFD44CD}"/>
    <cellStyle name="40% - Accent4 2 2 2 3 2 3" xfId="20231" xr:uid="{3E1925E3-433B-4C9B-892E-B947EE76387D}"/>
    <cellStyle name="40% - Accent4 2 2 2 3 2 4" xfId="11783" xr:uid="{27E4C93E-380B-4454-BA2D-FF9DEE7B4E6F}"/>
    <cellStyle name="40% - Accent4 2 2 2 3 3" xfId="5406" xr:uid="{00000000-0005-0000-0000-0000AC050000}"/>
    <cellStyle name="40% - Accent4 2 2 2 3 3 2" xfId="22304" xr:uid="{C6E2547D-62AB-467D-90D0-C33AB87671F3}"/>
    <cellStyle name="40% - Accent4 2 2 2 3 3 3" xfId="13856" xr:uid="{4D26BC2E-8CBA-49E1-87FE-839DEBD77DB6}"/>
    <cellStyle name="40% - Accent4 2 2 2 3 4" xfId="18086" xr:uid="{159535EA-BADD-4579-BED3-F8DC366A5DE4}"/>
    <cellStyle name="40% - Accent4 2 2 2 3 5" xfId="9638" xr:uid="{0170ED2D-BB5A-42B5-B26F-2155E944AC74}"/>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24862" xr:uid="{EC6A8A1E-391C-41D7-8137-CB9FBD74AB66}"/>
    <cellStyle name="40% - Accent4 2 2 2 4 2 2 3" xfId="16414" xr:uid="{48EA0007-E53C-4610-9BA3-C11D8BA89C07}"/>
    <cellStyle name="40% - Accent4 2 2 2 4 2 3" xfId="20644" xr:uid="{24570AE7-A75B-4829-9A2F-F1D42126A5D7}"/>
    <cellStyle name="40% - Accent4 2 2 2 4 2 4" xfId="12196" xr:uid="{ECCC9984-0A5C-4B6C-8A43-CB8FA304D3B2}"/>
    <cellStyle name="40% - Accent4 2 2 2 4 3" xfId="5819" xr:uid="{00000000-0005-0000-0000-0000B0050000}"/>
    <cellStyle name="40% - Accent4 2 2 2 4 3 2" xfId="22717" xr:uid="{173217C9-0934-46AB-AC0B-AC4DF8180148}"/>
    <cellStyle name="40% - Accent4 2 2 2 4 3 3" xfId="14269" xr:uid="{A66E8E49-6A44-4512-92CD-D754E59F8F36}"/>
    <cellStyle name="40% - Accent4 2 2 2 4 4" xfId="18499" xr:uid="{129A5E41-E69C-43B4-9AA1-C3DE568A6042}"/>
    <cellStyle name="40% - Accent4 2 2 2 4 5" xfId="10051" xr:uid="{96E9A2EF-957C-4438-B4B5-DD8585B38285}"/>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25275" xr:uid="{B72826C8-F3EE-4E00-98F0-68CD3E0D5311}"/>
    <cellStyle name="40% - Accent4 2 2 2 5 2 2 3" xfId="16827" xr:uid="{2D85C63F-D75A-4EE4-85A5-F95D60C798B4}"/>
    <cellStyle name="40% - Accent4 2 2 2 5 2 3" xfId="21057" xr:uid="{BAD1DC52-E78F-4C9A-8077-528A4B7794E4}"/>
    <cellStyle name="40% - Accent4 2 2 2 5 2 4" xfId="12609" xr:uid="{9090224B-5818-41BC-A516-A3678D465C0B}"/>
    <cellStyle name="40% - Accent4 2 2 2 5 3" xfId="6232" xr:uid="{00000000-0005-0000-0000-0000B4050000}"/>
    <cellStyle name="40% - Accent4 2 2 2 5 3 2" xfId="23130" xr:uid="{C07E48D9-5753-43BC-B031-81DAA3F54814}"/>
    <cellStyle name="40% - Accent4 2 2 2 5 3 3" xfId="14682" xr:uid="{870EC1E1-70EA-49D1-8AEF-27D1013D1023}"/>
    <cellStyle name="40% - Accent4 2 2 2 5 4" xfId="18912" xr:uid="{C0A628B5-0200-4189-A066-B5F7AA5C73C0}"/>
    <cellStyle name="40% - Accent4 2 2 2 5 5" xfId="10464" xr:uid="{9C2E8868-48C9-40B2-A17E-602897574049}"/>
    <cellStyle name="40% - Accent4 2 2 2 6" xfId="2339" xr:uid="{00000000-0005-0000-0000-0000B5050000}"/>
    <cellStyle name="40% - Accent4 2 2 2 6 2" xfId="6645" xr:uid="{00000000-0005-0000-0000-0000B6050000}"/>
    <cellStyle name="40% - Accent4 2 2 2 6 2 2" xfId="23543" xr:uid="{8FC9B4DE-BE13-4F2D-B8B4-CF1AA742FEAC}"/>
    <cellStyle name="40% - Accent4 2 2 2 6 2 3" xfId="15095" xr:uid="{7E8C00A3-7DE4-40FE-8C9E-E2D898119737}"/>
    <cellStyle name="40% - Accent4 2 2 2 6 3" xfId="19325" xr:uid="{D2B0C1A4-DBF1-44D0-974F-416ECA0DF96D}"/>
    <cellStyle name="40% - Accent4 2 2 2 6 4" xfId="10877" xr:uid="{E79C6B26-2824-4B22-8C5B-21DDDA280F20}"/>
    <cellStyle name="40% - Accent4 2 2 2 7" xfId="4579" xr:uid="{00000000-0005-0000-0000-0000B7050000}"/>
    <cellStyle name="40% - Accent4 2 2 2 7 2" xfId="21477" xr:uid="{06E1701A-0AF7-45DD-A699-A349F2D5CCDC}"/>
    <cellStyle name="40% - Accent4 2 2 2 7 3" xfId="13029" xr:uid="{AC360C53-4EC3-46B9-BBA5-48291B683FA6}"/>
    <cellStyle name="40% - Accent4 2 2 2 8" xfId="17259" xr:uid="{062DEEAD-2E36-4F1E-9848-F753FA5BC4E6}"/>
    <cellStyle name="40% - Accent4 2 2 2 9" xfId="8811" xr:uid="{3E4F2FE4-757C-4054-B562-B174A0EF0A80}"/>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24035" xr:uid="{166303B3-3FB1-42CA-8ACE-52B96FDEDA6B}"/>
    <cellStyle name="40% - Accent4 2 2 3 2 2 3" xfId="15587" xr:uid="{9B46AD4B-61B9-42E2-B3DD-558B1731A2C7}"/>
    <cellStyle name="40% - Accent4 2 2 3 2 3" xfId="19817" xr:uid="{D1AA9C07-CBC5-4E33-A5F2-A4086534639C}"/>
    <cellStyle name="40% - Accent4 2 2 3 2 4" xfId="11369" xr:uid="{5BE93C23-18D6-4CD5-AAF9-6447554119F6}"/>
    <cellStyle name="40% - Accent4 2 2 3 3" xfId="4992" xr:uid="{00000000-0005-0000-0000-0000BB050000}"/>
    <cellStyle name="40% - Accent4 2 2 3 3 2" xfId="21890" xr:uid="{D8BD13AE-E517-4F27-A33E-5A2DE60C31A8}"/>
    <cellStyle name="40% - Accent4 2 2 3 3 3" xfId="13442" xr:uid="{27A0139A-BAEA-469C-B197-D2B740FFED6A}"/>
    <cellStyle name="40% - Accent4 2 2 3 4" xfId="17672" xr:uid="{C5B7CA4B-C237-42D6-9524-FD0E2E17422D}"/>
    <cellStyle name="40% - Accent4 2 2 3 5" xfId="9224" xr:uid="{7F7458BD-8A01-413C-BB31-A516858DACEA}"/>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24448" xr:uid="{61509D30-D5C7-4114-9C79-0543D1E17BD5}"/>
    <cellStyle name="40% - Accent4 2 2 4 2 2 3" xfId="16000" xr:uid="{23790AEE-0036-4843-BD43-9A4B16AE383A}"/>
    <cellStyle name="40% - Accent4 2 2 4 2 3" xfId="20230" xr:uid="{9E9DB2A8-5CF4-4654-B2D1-FE95C5D7808D}"/>
    <cellStyle name="40% - Accent4 2 2 4 2 4" xfId="11782" xr:uid="{5BFDF44B-F1F9-4B53-8EC2-36194925BD08}"/>
    <cellStyle name="40% - Accent4 2 2 4 3" xfId="5405" xr:uid="{00000000-0005-0000-0000-0000BF050000}"/>
    <cellStyle name="40% - Accent4 2 2 4 3 2" xfId="22303" xr:uid="{7C3D60DE-1B55-4150-9836-6B8E303AD5D4}"/>
    <cellStyle name="40% - Accent4 2 2 4 3 3" xfId="13855" xr:uid="{FCB758BA-3DAD-4E14-9196-BDEC639B91CE}"/>
    <cellStyle name="40% - Accent4 2 2 4 4" xfId="18085" xr:uid="{3374DC18-103D-4A9E-890C-542584E33CE3}"/>
    <cellStyle name="40% - Accent4 2 2 4 5" xfId="9637" xr:uid="{63C619CD-FD53-42A6-9B20-67CB7301ADAA}"/>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24861" xr:uid="{D8196375-B259-4204-B00D-8BD97D07038A}"/>
    <cellStyle name="40% - Accent4 2 2 5 2 2 3" xfId="16413" xr:uid="{5D266DFF-3070-4F9F-AE21-D22891D6E883}"/>
    <cellStyle name="40% - Accent4 2 2 5 2 3" xfId="20643" xr:uid="{E9E8EE54-B606-4582-90B6-C41A8C101C7C}"/>
    <cellStyle name="40% - Accent4 2 2 5 2 4" xfId="12195" xr:uid="{FD4E3529-82F5-4082-83A2-93E6F955423C}"/>
    <cellStyle name="40% - Accent4 2 2 5 3" xfId="5818" xr:uid="{00000000-0005-0000-0000-0000C3050000}"/>
    <cellStyle name="40% - Accent4 2 2 5 3 2" xfId="22716" xr:uid="{FA108BB5-3CC2-4150-B1CB-167D8E8AE0A7}"/>
    <cellStyle name="40% - Accent4 2 2 5 3 3" xfId="14268" xr:uid="{E78FAA16-A91D-4BCF-99B7-0F3EE0B5D774}"/>
    <cellStyle name="40% - Accent4 2 2 5 4" xfId="18498" xr:uid="{AB007C93-F19F-4606-BC90-5E2CB20B3678}"/>
    <cellStyle name="40% - Accent4 2 2 5 5" xfId="10050" xr:uid="{6C4B8C43-B9CF-4BEA-989A-6AFC17F7C7B3}"/>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25274" xr:uid="{F5382C8C-E70D-4C88-B941-84E5A6EA78DE}"/>
    <cellStyle name="40% - Accent4 2 2 6 2 2 3" xfId="16826" xr:uid="{AEBB5E81-10E2-40F6-8301-4B54FC74893D}"/>
    <cellStyle name="40% - Accent4 2 2 6 2 3" xfId="21056" xr:uid="{3A50FD6F-9D0F-4BFD-9646-E92658874F8E}"/>
    <cellStyle name="40% - Accent4 2 2 6 2 4" xfId="12608" xr:uid="{7298010D-EBCC-498A-8381-73443B1732B4}"/>
    <cellStyle name="40% - Accent4 2 2 6 3" xfId="6231" xr:uid="{00000000-0005-0000-0000-0000C7050000}"/>
    <cellStyle name="40% - Accent4 2 2 6 3 2" xfId="23129" xr:uid="{EFFD9169-0031-4E67-AC6F-8A6F8CE65461}"/>
    <cellStyle name="40% - Accent4 2 2 6 3 3" xfId="14681" xr:uid="{73184E6C-3F76-47C3-B4E5-CDA23DAD2A57}"/>
    <cellStyle name="40% - Accent4 2 2 6 4" xfId="18911" xr:uid="{2E1A25BD-ACE2-4EC7-A88C-FA26FA0ACBB0}"/>
    <cellStyle name="40% - Accent4 2 2 6 5" xfId="10463" xr:uid="{CFEA2301-602A-43C0-B58E-5608923D3E94}"/>
    <cellStyle name="40% - Accent4 2 2 7" xfId="2338" xr:uid="{00000000-0005-0000-0000-0000C8050000}"/>
    <cellStyle name="40% - Accent4 2 2 7 2" xfId="6644" xr:uid="{00000000-0005-0000-0000-0000C9050000}"/>
    <cellStyle name="40% - Accent4 2 2 7 2 2" xfId="23542" xr:uid="{DB5BE9CA-982C-4194-BBB1-2CB3DC3BB804}"/>
    <cellStyle name="40% - Accent4 2 2 7 2 3" xfId="15094" xr:uid="{4F3F8A68-00A0-42AF-A905-F0C53B95C9BC}"/>
    <cellStyle name="40% - Accent4 2 2 7 3" xfId="19324" xr:uid="{736D742E-8F09-4EF0-967B-7EEF642E8DB3}"/>
    <cellStyle name="40% - Accent4 2 2 7 4" xfId="10876" xr:uid="{A40B8594-2449-480F-84EA-B7DD8FF2A51F}"/>
    <cellStyle name="40% - Accent4 2 2 8" xfId="4578" xr:uid="{00000000-0005-0000-0000-0000CA050000}"/>
    <cellStyle name="40% - Accent4 2 2 8 2" xfId="21476" xr:uid="{3FB06410-DE4C-499F-BDB4-3CF13921523A}"/>
    <cellStyle name="40% - Accent4 2 2 8 3" xfId="13028" xr:uid="{7391259C-D1A0-418C-9F34-3B8029F28444}"/>
    <cellStyle name="40% - Accent4 2 2 9" xfId="17258" xr:uid="{33065443-F7DE-41BF-B8E3-839CD6105591}"/>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24037" xr:uid="{6C10AAA9-1A56-4B6D-9832-7413ADD82A88}"/>
    <cellStyle name="40% - Accent4 2 3 2 2 2 3" xfId="15589" xr:uid="{7115020A-F6C1-4A6C-9117-28BBBF5C00C5}"/>
    <cellStyle name="40% - Accent4 2 3 2 2 3" xfId="19819" xr:uid="{7635763F-5D5A-47E9-802F-8551F5A2B276}"/>
    <cellStyle name="40% - Accent4 2 3 2 2 4" xfId="11371" xr:uid="{DABFB633-1916-4702-B9DE-2799CFA511EE}"/>
    <cellStyle name="40% - Accent4 2 3 2 3" xfId="4994" xr:uid="{00000000-0005-0000-0000-0000CF050000}"/>
    <cellStyle name="40% - Accent4 2 3 2 3 2" xfId="21892" xr:uid="{18EFEFA4-D8F2-4991-901F-104EB25E78A9}"/>
    <cellStyle name="40% - Accent4 2 3 2 3 3" xfId="13444" xr:uid="{39DCABA3-CD93-47BF-ACA5-B2FDB83700F9}"/>
    <cellStyle name="40% - Accent4 2 3 2 4" xfId="17674" xr:uid="{ABD77CF6-99A7-4A4E-8CEE-6469A46D71B7}"/>
    <cellStyle name="40% - Accent4 2 3 2 5" xfId="9226" xr:uid="{458695EE-356F-4477-8387-EEAA4C3BB589}"/>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24450" xr:uid="{C23403AE-FCB8-4818-92CE-195734EF7519}"/>
    <cellStyle name="40% - Accent4 2 3 3 2 2 3" xfId="16002" xr:uid="{72AA4863-BCB7-4AC9-A892-63CA573EB272}"/>
    <cellStyle name="40% - Accent4 2 3 3 2 3" xfId="20232" xr:uid="{4E9EFF38-E34F-45BB-80A1-61538C3CF6B8}"/>
    <cellStyle name="40% - Accent4 2 3 3 2 4" xfId="11784" xr:uid="{4D21A9FC-C8A6-4A4C-8B07-862E2F853D5E}"/>
    <cellStyle name="40% - Accent4 2 3 3 3" xfId="5407" xr:uid="{00000000-0005-0000-0000-0000D3050000}"/>
    <cellStyle name="40% - Accent4 2 3 3 3 2" xfId="22305" xr:uid="{FA59C32C-AD0E-490E-99C6-9181680662BC}"/>
    <cellStyle name="40% - Accent4 2 3 3 3 3" xfId="13857" xr:uid="{A8881D09-BB04-4245-ACE0-62084AAEB5F1}"/>
    <cellStyle name="40% - Accent4 2 3 3 4" xfId="18087" xr:uid="{430C191C-2D1B-4BCA-86D1-F0EEE03D0059}"/>
    <cellStyle name="40% - Accent4 2 3 3 5" xfId="9639" xr:uid="{20DD249C-2EE1-4314-BF7C-5FCD077B3014}"/>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24863" xr:uid="{C3171AE8-6729-4A2E-8387-3C5284C24528}"/>
    <cellStyle name="40% - Accent4 2 3 4 2 2 3" xfId="16415" xr:uid="{9398982B-72EE-4FE1-A8AF-F217C3104FF3}"/>
    <cellStyle name="40% - Accent4 2 3 4 2 3" xfId="20645" xr:uid="{5AB946C9-7FD5-4211-9B61-664CD8560975}"/>
    <cellStyle name="40% - Accent4 2 3 4 2 4" xfId="12197" xr:uid="{FE7A9ADC-7006-4833-95D3-68E80A51DF49}"/>
    <cellStyle name="40% - Accent4 2 3 4 3" xfId="5820" xr:uid="{00000000-0005-0000-0000-0000D7050000}"/>
    <cellStyle name="40% - Accent4 2 3 4 3 2" xfId="22718" xr:uid="{43EC7FD9-EEA3-449A-B927-E2F4E9586B12}"/>
    <cellStyle name="40% - Accent4 2 3 4 3 3" xfId="14270" xr:uid="{ECF7D902-F20D-412F-94F6-EDC7B7A3B8CE}"/>
    <cellStyle name="40% - Accent4 2 3 4 4" xfId="18500" xr:uid="{8A4531BE-5A79-437B-80E9-85320F526520}"/>
    <cellStyle name="40% - Accent4 2 3 4 5" xfId="10052" xr:uid="{F97B7B94-B295-411D-A154-FC7936E22C0D}"/>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25276" xr:uid="{FF9804D1-5994-4B55-8504-B79E869B89B8}"/>
    <cellStyle name="40% - Accent4 2 3 5 2 2 3" xfId="16828" xr:uid="{FCBD41CD-FF93-4427-B3B1-2B2C75468EE4}"/>
    <cellStyle name="40% - Accent4 2 3 5 2 3" xfId="21058" xr:uid="{7D9C4186-AE8D-46B9-9263-03B5F1D2A2E4}"/>
    <cellStyle name="40% - Accent4 2 3 5 2 4" xfId="12610" xr:uid="{55F98AB9-2F97-4D29-9086-A2078099165B}"/>
    <cellStyle name="40% - Accent4 2 3 5 3" xfId="6233" xr:uid="{00000000-0005-0000-0000-0000DB050000}"/>
    <cellStyle name="40% - Accent4 2 3 5 3 2" xfId="23131" xr:uid="{22B18DD1-C572-456B-827D-BDABE76DC45B}"/>
    <cellStyle name="40% - Accent4 2 3 5 3 3" xfId="14683" xr:uid="{091ACEAE-415B-4724-8985-B8FF27FB1FEB}"/>
    <cellStyle name="40% - Accent4 2 3 5 4" xfId="18913" xr:uid="{2D9EDF38-EF74-4D0F-BEA4-B0C35D48F376}"/>
    <cellStyle name="40% - Accent4 2 3 5 5" xfId="10465" xr:uid="{05DD1B72-03FA-4DFB-9147-B270A1B84970}"/>
    <cellStyle name="40% - Accent4 2 3 6" xfId="2340" xr:uid="{00000000-0005-0000-0000-0000DC050000}"/>
    <cellStyle name="40% - Accent4 2 3 6 2" xfId="6646" xr:uid="{00000000-0005-0000-0000-0000DD050000}"/>
    <cellStyle name="40% - Accent4 2 3 6 2 2" xfId="23544" xr:uid="{4A6ED7AF-2259-4336-821E-C272A17148AF}"/>
    <cellStyle name="40% - Accent4 2 3 6 2 3" xfId="15096" xr:uid="{5F63C35A-8FC7-4518-8F0E-6DF551BF96E5}"/>
    <cellStyle name="40% - Accent4 2 3 6 3" xfId="19326" xr:uid="{35006DCA-D764-4643-AEA0-E1511B50E8CD}"/>
    <cellStyle name="40% - Accent4 2 3 6 4" xfId="10878" xr:uid="{A74AF836-1119-40BB-ABEC-E3BFAA51DA93}"/>
    <cellStyle name="40% - Accent4 2 3 7" xfId="4580" xr:uid="{00000000-0005-0000-0000-0000DE050000}"/>
    <cellStyle name="40% - Accent4 2 3 7 2" xfId="21478" xr:uid="{656A11B5-4FA0-456D-8622-B5E184DEB68A}"/>
    <cellStyle name="40% - Accent4 2 3 7 3" xfId="13030" xr:uid="{770A2032-0082-4116-A974-D0CC1915BDE1}"/>
    <cellStyle name="40% - Accent4 2 3 8" xfId="17260" xr:uid="{9C01C60F-9E25-4C23-A079-B66BC19CBC85}"/>
    <cellStyle name="40% - Accent4 2 3 9" xfId="8812" xr:uid="{DD048F21-9E6B-438E-99E1-1247824C545A}"/>
    <cellStyle name="40% - Accent4 2 4" xfId="643" xr:uid="{00000000-0005-0000-0000-0000DF050000}"/>
    <cellStyle name="40% - Accent4 2 4 2" xfId="2914" xr:uid="{00000000-0005-0000-0000-0000E0050000}"/>
    <cellStyle name="40% - Accent4 2 4 2 2" xfId="7136" xr:uid="{00000000-0005-0000-0000-0000E1050000}"/>
    <cellStyle name="40% - Accent4 2 4 2 2 2" xfId="24034" xr:uid="{96AE0AD0-C391-4D39-A6CF-9F3281769286}"/>
    <cellStyle name="40% - Accent4 2 4 2 2 3" xfId="15586" xr:uid="{B120F3C0-A04F-4B04-9E24-7B553B96D96D}"/>
    <cellStyle name="40% - Accent4 2 4 2 3" xfId="19816" xr:uid="{75E1FBE8-BAFF-4C33-BFFD-AA24825A7776}"/>
    <cellStyle name="40% - Accent4 2 4 2 4" xfId="11368" xr:uid="{1CF41B7A-3BC3-4D69-AE59-A654D5AD009C}"/>
    <cellStyle name="40% - Accent4 2 4 3" xfId="4991" xr:uid="{00000000-0005-0000-0000-0000E2050000}"/>
    <cellStyle name="40% - Accent4 2 4 3 2" xfId="21889" xr:uid="{298A2115-9FBC-4BBB-8721-5D26B1EEB2E5}"/>
    <cellStyle name="40% - Accent4 2 4 3 3" xfId="13441" xr:uid="{3ED31735-15D3-4840-AF6C-8F00C677B900}"/>
    <cellStyle name="40% - Accent4 2 4 4" xfId="17671" xr:uid="{176FA640-C85A-4F3D-87F8-5D69958F9DB3}"/>
    <cellStyle name="40% - Accent4 2 4 5" xfId="9223" xr:uid="{DC856554-304F-4E55-8021-2B4A9E220FE3}"/>
    <cellStyle name="40% - Accent4 2 5" xfId="1096" xr:uid="{00000000-0005-0000-0000-0000E3050000}"/>
    <cellStyle name="40% - Accent4 2 5 2" xfId="3327" xr:uid="{00000000-0005-0000-0000-0000E4050000}"/>
    <cellStyle name="40% - Accent4 2 5 2 2" xfId="7549" xr:uid="{00000000-0005-0000-0000-0000E5050000}"/>
    <cellStyle name="40% - Accent4 2 5 2 2 2" xfId="24447" xr:uid="{DF19EC61-DC30-4431-84BC-93D6A2DB7D40}"/>
    <cellStyle name="40% - Accent4 2 5 2 2 3" xfId="15999" xr:uid="{37EB41E8-5F96-4915-ADC4-6004C682E10E}"/>
    <cellStyle name="40% - Accent4 2 5 2 3" xfId="20229" xr:uid="{84638CB7-1873-4E5A-B559-4CA0ADB4E237}"/>
    <cellStyle name="40% - Accent4 2 5 2 4" xfId="11781" xr:uid="{515A3589-C467-4AFF-A089-9E8A7786D0BD}"/>
    <cellStyle name="40% - Accent4 2 5 3" xfId="5404" xr:uid="{00000000-0005-0000-0000-0000E6050000}"/>
    <cellStyle name="40% - Accent4 2 5 3 2" xfId="22302" xr:uid="{70637035-C480-49CF-9AD3-7A1B01DAE2F7}"/>
    <cellStyle name="40% - Accent4 2 5 3 3" xfId="13854" xr:uid="{0745DB92-1116-429A-BC8F-995AAC7953E7}"/>
    <cellStyle name="40% - Accent4 2 5 4" xfId="18084" xr:uid="{151577B7-221B-4DE2-88AE-BE3ABF983937}"/>
    <cellStyle name="40% - Accent4 2 5 5" xfId="9636" xr:uid="{D14A0C61-F5A5-405D-995E-5A5B97548B28}"/>
    <cellStyle name="40% - Accent4 2 6" xfId="1510" xr:uid="{00000000-0005-0000-0000-0000E7050000}"/>
    <cellStyle name="40% - Accent4 2 6 2" xfId="3740" xr:uid="{00000000-0005-0000-0000-0000E8050000}"/>
    <cellStyle name="40% - Accent4 2 6 2 2" xfId="7962" xr:uid="{00000000-0005-0000-0000-0000E9050000}"/>
    <cellStyle name="40% - Accent4 2 6 2 2 2" xfId="24860" xr:uid="{7204CF9A-36AB-4882-8330-04A8132EE8D0}"/>
    <cellStyle name="40% - Accent4 2 6 2 2 3" xfId="16412" xr:uid="{C33F4FCC-E8D4-47FE-B101-E550F86B26BC}"/>
    <cellStyle name="40% - Accent4 2 6 2 3" xfId="20642" xr:uid="{AD23DC51-22CF-4CBC-924F-9495BE9990E2}"/>
    <cellStyle name="40% - Accent4 2 6 2 4" xfId="12194" xr:uid="{B215C8A2-DE13-40BA-8926-77D9940EAF66}"/>
    <cellStyle name="40% - Accent4 2 6 3" xfId="5817" xr:uid="{00000000-0005-0000-0000-0000EA050000}"/>
    <cellStyle name="40% - Accent4 2 6 3 2" xfId="22715" xr:uid="{E3DC957D-2947-4E3D-96B8-B7298D688A35}"/>
    <cellStyle name="40% - Accent4 2 6 3 3" xfId="14267" xr:uid="{67EF2600-75D5-4CEB-AFBC-E4BBC9E74B51}"/>
    <cellStyle name="40% - Accent4 2 6 4" xfId="18497" xr:uid="{0A8569E4-AFA8-4C8C-930A-B81F26850CF7}"/>
    <cellStyle name="40% - Accent4 2 6 5" xfId="10049" xr:uid="{FA6E95A5-F737-43A6-9CFE-90263644921B}"/>
    <cellStyle name="40% - Accent4 2 7" xfId="1924" xr:uid="{00000000-0005-0000-0000-0000EB050000}"/>
    <cellStyle name="40% - Accent4 2 7 2" xfId="4153" xr:uid="{00000000-0005-0000-0000-0000EC050000}"/>
    <cellStyle name="40% - Accent4 2 7 2 2" xfId="8375" xr:uid="{00000000-0005-0000-0000-0000ED050000}"/>
    <cellStyle name="40% - Accent4 2 7 2 2 2" xfId="25273" xr:uid="{2E5069AC-CA8B-4F3C-8E51-3FD3E5E092D1}"/>
    <cellStyle name="40% - Accent4 2 7 2 2 3" xfId="16825" xr:uid="{770A0234-F594-4E9F-B323-673259078C8D}"/>
    <cellStyle name="40% - Accent4 2 7 2 3" xfId="21055" xr:uid="{D047E911-2733-45ED-9883-9918386365E4}"/>
    <cellStyle name="40% - Accent4 2 7 2 4" xfId="12607" xr:uid="{7A7FD860-EB81-4020-A8ED-8C06E4F82642}"/>
    <cellStyle name="40% - Accent4 2 7 3" xfId="6230" xr:uid="{00000000-0005-0000-0000-0000EE050000}"/>
    <cellStyle name="40% - Accent4 2 7 3 2" xfId="23128" xr:uid="{57492ABC-3CE1-432D-9E87-A776C5157FD7}"/>
    <cellStyle name="40% - Accent4 2 7 3 3" xfId="14680" xr:uid="{478EC1DF-8403-41D8-8EC1-D63F7DDBE610}"/>
    <cellStyle name="40% - Accent4 2 7 4" xfId="18910" xr:uid="{BF38D1B4-86C5-4631-851D-83B308488E3E}"/>
    <cellStyle name="40% - Accent4 2 7 5" xfId="10462" xr:uid="{B2F5764A-889A-40D5-9BE5-183473EE0338}"/>
    <cellStyle name="40% - Accent4 2 8" xfId="2337" xr:uid="{00000000-0005-0000-0000-0000EF050000}"/>
    <cellStyle name="40% - Accent4 2 8 2" xfId="6643" xr:uid="{00000000-0005-0000-0000-0000F0050000}"/>
    <cellStyle name="40% - Accent4 2 8 2 2" xfId="23541" xr:uid="{0506EB18-9DC7-4498-BCB8-7B6E82AE95F6}"/>
    <cellStyle name="40% - Accent4 2 8 2 3" xfId="15093" xr:uid="{E8F2831F-110B-4A18-82C5-E8C028B2C73F}"/>
    <cellStyle name="40% - Accent4 2 8 3" xfId="19323" xr:uid="{1A49A41B-63B1-4D13-AD81-8450E5960EDE}"/>
    <cellStyle name="40% - Accent4 2 8 4" xfId="10875" xr:uid="{21AFD980-7DFA-4077-9E26-E36111C9C05F}"/>
    <cellStyle name="40% - Accent4 2 9" xfId="4577" xr:uid="{00000000-0005-0000-0000-0000F1050000}"/>
    <cellStyle name="40% - Accent4 2 9 2" xfId="21475" xr:uid="{E52CEB20-5E44-4129-84FE-89F87CA72DD8}"/>
    <cellStyle name="40% - Accent4 2 9 3" xfId="13027" xr:uid="{33A20F3B-AD2D-4E9A-A5A2-90D077695508}"/>
    <cellStyle name="40% - Accent4 3" xfId="78" xr:uid="{00000000-0005-0000-0000-0000F2050000}"/>
    <cellStyle name="40% - Accent4 3 10" xfId="8813" xr:uid="{8B0CAA9B-3987-4150-A9FB-10692028D0A1}"/>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24039" xr:uid="{980FC925-DCF6-4C17-B9B9-CD85091CAC04}"/>
    <cellStyle name="40% - Accent4 3 2 2 2 2 3" xfId="15591" xr:uid="{7DC8E487-F0D9-40E4-8A78-7334F9430E6E}"/>
    <cellStyle name="40% - Accent4 3 2 2 2 3" xfId="19821" xr:uid="{531ED718-50CB-4669-82E1-AEFDEDB47575}"/>
    <cellStyle name="40% - Accent4 3 2 2 2 4" xfId="11373" xr:uid="{7BA8E73C-4784-4226-90A6-5E465B70E534}"/>
    <cellStyle name="40% - Accent4 3 2 2 3" xfId="4996" xr:uid="{00000000-0005-0000-0000-0000F7050000}"/>
    <cellStyle name="40% - Accent4 3 2 2 3 2" xfId="21894" xr:uid="{D37FE5CB-404E-45A3-A0A9-6E51AF0410AD}"/>
    <cellStyle name="40% - Accent4 3 2 2 3 3" xfId="13446" xr:uid="{516C1712-42B5-42F6-9218-0DD071E3AA80}"/>
    <cellStyle name="40% - Accent4 3 2 2 4" xfId="17676" xr:uid="{66258728-3A1C-4853-AF8A-146FF7848359}"/>
    <cellStyle name="40% - Accent4 3 2 2 5" xfId="9228" xr:uid="{6D72FAF4-B6B4-459C-96AD-92362A8202CD}"/>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24452" xr:uid="{19E17503-8002-466A-987E-284168C7BCAF}"/>
    <cellStyle name="40% - Accent4 3 2 3 2 2 3" xfId="16004" xr:uid="{AACCCD4D-0922-456F-8844-AE22782A3653}"/>
    <cellStyle name="40% - Accent4 3 2 3 2 3" xfId="20234" xr:uid="{F3D3316A-210B-4B47-8322-F3198F5C6E9F}"/>
    <cellStyle name="40% - Accent4 3 2 3 2 4" xfId="11786" xr:uid="{B1BBEC22-5EB6-4D8B-8A1B-18DB0BAAB1FC}"/>
    <cellStyle name="40% - Accent4 3 2 3 3" xfId="5409" xr:uid="{00000000-0005-0000-0000-0000FB050000}"/>
    <cellStyle name="40% - Accent4 3 2 3 3 2" xfId="22307" xr:uid="{07E3F32E-199E-4F66-A094-691357295C84}"/>
    <cellStyle name="40% - Accent4 3 2 3 3 3" xfId="13859" xr:uid="{CEEA7900-991A-4C30-86B0-FA745480ABCC}"/>
    <cellStyle name="40% - Accent4 3 2 3 4" xfId="18089" xr:uid="{DC951635-233C-47B6-8831-C13E1BD59435}"/>
    <cellStyle name="40% - Accent4 3 2 3 5" xfId="9641" xr:uid="{9EB3F96F-28E5-4F33-A3A6-BC99A7E2A8B1}"/>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24865" xr:uid="{7A275D89-16A5-4722-8DB4-5DA1C6B26AD0}"/>
    <cellStyle name="40% - Accent4 3 2 4 2 2 3" xfId="16417" xr:uid="{300EC0A0-DCF9-480E-A54F-57BD051BF71A}"/>
    <cellStyle name="40% - Accent4 3 2 4 2 3" xfId="20647" xr:uid="{56DDCA0A-AFFB-4775-8164-E78495CB7DAB}"/>
    <cellStyle name="40% - Accent4 3 2 4 2 4" xfId="12199" xr:uid="{81A5CEDF-394B-4C95-AC63-7A8484E0C533}"/>
    <cellStyle name="40% - Accent4 3 2 4 3" xfId="5822" xr:uid="{00000000-0005-0000-0000-0000FF050000}"/>
    <cellStyle name="40% - Accent4 3 2 4 3 2" xfId="22720" xr:uid="{634FA10F-6439-4449-A65C-2462196C57D9}"/>
    <cellStyle name="40% - Accent4 3 2 4 3 3" xfId="14272" xr:uid="{A613B7C1-19CC-443C-B714-2ADE49A8ECA0}"/>
    <cellStyle name="40% - Accent4 3 2 4 4" xfId="18502" xr:uid="{1303052A-9AD7-4BF8-8007-D4D3EA24F15C}"/>
    <cellStyle name="40% - Accent4 3 2 4 5" xfId="10054" xr:uid="{E896F9B5-45DF-4C15-A62A-6CAE55601B82}"/>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25278" xr:uid="{7D438DDD-62E3-43EA-B8D5-2F1C4110B2B5}"/>
    <cellStyle name="40% - Accent4 3 2 5 2 2 3" xfId="16830" xr:uid="{15C91A68-9C93-451C-ACA7-12102396D990}"/>
    <cellStyle name="40% - Accent4 3 2 5 2 3" xfId="21060" xr:uid="{1AAA9D74-2EDC-4847-BDA4-DB37F2EF3A0B}"/>
    <cellStyle name="40% - Accent4 3 2 5 2 4" xfId="12612" xr:uid="{F9E1C66D-85E4-4F41-98C3-7D26CBFDDB9B}"/>
    <cellStyle name="40% - Accent4 3 2 5 3" xfId="6235" xr:uid="{00000000-0005-0000-0000-000003060000}"/>
    <cellStyle name="40% - Accent4 3 2 5 3 2" xfId="23133" xr:uid="{FD140291-6D70-4AFA-A045-E1AF0E3C6C87}"/>
    <cellStyle name="40% - Accent4 3 2 5 3 3" xfId="14685" xr:uid="{236DC191-A2A7-4C19-BF19-0AD2A72E31C6}"/>
    <cellStyle name="40% - Accent4 3 2 5 4" xfId="18915" xr:uid="{99DD1134-5DBE-4BBB-AADD-957899CECE04}"/>
    <cellStyle name="40% - Accent4 3 2 5 5" xfId="10467" xr:uid="{C50902D0-A306-4341-8402-DE16D1FF3F25}"/>
    <cellStyle name="40% - Accent4 3 2 6" xfId="2342" xr:uid="{00000000-0005-0000-0000-000004060000}"/>
    <cellStyle name="40% - Accent4 3 2 6 2" xfId="6648" xr:uid="{00000000-0005-0000-0000-000005060000}"/>
    <cellStyle name="40% - Accent4 3 2 6 2 2" xfId="23546" xr:uid="{9808FF15-8C02-492E-AD4C-653C1278AA46}"/>
    <cellStyle name="40% - Accent4 3 2 6 2 3" xfId="15098" xr:uid="{E28026A9-A7D1-48CC-A120-1D53341F4940}"/>
    <cellStyle name="40% - Accent4 3 2 6 3" xfId="19328" xr:uid="{078D64B7-AFA2-4422-9ACB-C9566F6E1EF4}"/>
    <cellStyle name="40% - Accent4 3 2 6 4" xfId="10880" xr:uid="{98771507-A1BB-4EB7-9EB4-D04F4D9AC972}"/>
    <cellStyle name="40% - Accent4 3 2 7" xfId="4582" xr:uid="{00000000-0005-0000-0000-000006060000}"/>
    <cellStyle name="40% - Accent4 3 2 7 2" xfId="21480" xr:uid="{3044476D-4219-49E1-B086-B32B79848892}"/>
    <cellStyle name="40% - Accent4 3 2 7 3" xfId="13032" xr:uid="{151C7AF6-FA2E-465C-8CA2-58419ECE3AF8}"/>
    <cellStyle name="40% - Accent4 3 2 8" xfId="17262" xr:uid="{9B7FEBA1-96C5-4013-9A46-10DBFE56BE59}"/>
    <cellStyle name="40% - Accent4 3 2 9" xfId="8814" xr:uid="{448CA8A4-C352-4949-8BD5-E9D24FEB6AD8}"/>
    <cellStyle name="40% - Accent4 3 3" xfId="647" xr:uid="{00000000-0005-0000-0000-000007060000}"/>
    <cellStyle name="40% - Accent4 3 3 2" xfId="2918" xr:uid="{00000000-0005-0000-0000-000008060000}"/>
    <cellStyle name="40% - Accent4 3 3 2 2" xfId="7140" xr:uid="{00000000-0005-0000-0000-000009060000}"/>
    <cellStyle name="40% - Accent4 3 3 2 2 2" xfId="24038" xr:uid="{2AAFA7C7-7FC7-44D5-B076-BA239BF886DA}"/>
    <cellStyle name="40% - Accent4 3 3 2 2 3" xfId="15590" xr:uid="{E9BDB70A-E91A-484B-8FB6-41B05CAD170E}"/>
    <cellStyle name="40% - Accent4 3 3 2 3" xfId="19820" xr:uid="{C842D52D-2E90-4E7C-B3F7-917A1E6E8A92}"/>
    <cellStyle name="40% - Accent4 3 3 2 4" xfId="11372" xr:uid="{59A15289-AD19-4DB7-97E8-4993F52AB2FD}"/>
    <cellStyle name="40% - Accent4 3 3 3" xfId="4995" xr:uid="{00000000-0005-0000-0000-00000A060000}"/>
    <cellStyle name="40% - Accent4 3 3 3 2" xfId="21893" xr:uid="{45E1FE67-77C4-4554-92AA-04B5518BDC0F}"/>
    <cellStyle name="40% - Accent4 3 3 3 3" xfId="13445" xr:uid="{E9A6D484-661C-4FCB-BCA5-131A8AE99B94}"/>
    <cellStyle name="40% - Accent4 3 3 4" xfId="17675" xr:uid="{193BE316-5A36-40EE-B601-EE5DBBF46C4F}"/>
    <cellStyle name="40% - Accent4 3 3 5" xfId="9227" xr:uid="{F0441A38-29B4-47E6-AC62-13EE0F334D7E}"/>
    <cellStyle name="40% - Accent4 3 4" xfId="1100" xr:uid="{00000000-0005-0000-0000-00000B060000}"/>
    <cellStyle name="40% - Accent4 3 4 2" xfId="3331" xr:uid="{00000000-0005-0000-0000-00000C060000}"/>
    <cellStyle name="40% - Accent4 3 4 2 2" xfId="7553" xr:uid="{00000000-0005-0000-0000-00000D060000}"/>
    <cellStyle name="40% - Accent4 3 4 2 2 2" xfId="24451" xr:uid="{8F96CEB9-66E9-4226-980D-8B81C563F3DF}"/>
    <cellStyle name="40% - Accent4 3 4 2 2 3" xfId="16003" xr:uid="{49E4C32C-0A47-45AA-A732-B7CBB52D8846}"/>
    <cellStyle name="40% - Accent4 3 4 2 3" xfId="20233" xr:uid="{6C8EE3A2-35B9-4EDD-81E4-236F87C32E4E}"/>
    <cellStyle name="40% - Accent4 3 4 2 4" xfId="11785" xr:uid="{F74A59DB-8C24-48AB-9B2A-8460E982D552}"/>
    <cellStyle name="40% - Accent4 3 4 3" xfId="5408" xr:uid="{00000000-0005-0000-0000-00000E060000}"/>
    <cellStyle name="40% - Accent4 3 4 3 2" xfId="22306" xr:uid="{F6C65A80-E4B1-4F3D-B18C-A45C4DEB1F58}"/>
    <cellStyle name="40% - Accent4 3 4 3 3" xfId="13858" xr:uid="{98CB7577-D2D9-4E3F-9396-E1CD5987762C}"/>
    <cellStyle name="40% - Accent4 3 4 4" xfId="18088" xr:uid="{8F6232A7-DCFB-4810-90ED-3670DE9D63CD}"/>
    <cellStyle name="40% - Accent4 3 4 5" xfId="9640" xr:uid="{44F6EEB9-D9A6-473F-B65A-22EABDFA0684}"/>
    <cellStyle name="40% - Accent4 3 5" xfId="1514" xr:uid="{00000000-0005-0000-0000-00000F060000}"/>
    <cellStyle name="40% - Accent4 3 5 2" xfId="3744" xr:uid="{00000000-0005-0000-0000-000010060000}"/>
    <cellStyle name="40% - Accent4 3 5 2 2" xfId="7966" xr:uid="{00000000-0005-0000-0000-000011060000}"/>
    <cellStyle name="40% - Accent4 3 5 2 2 2" xfId="24864" xr:uid="{237B515C-AA9D-4A1D-89C4-968F5D3FB79C}"/>
    <cellStyle name="40% - Accent4 3 5 2 2 3" xfId="16416" xr:uid="{0C40F44C-8A00-4AD2-9962-A2559E4D2968}"/>
    <cellStyle name="40% - Accent4 3 5 2 3" xfId="20646" xr:uid="{470CEB7C-9296-4854-A9C8-65550EAC3E26}"/>
    <cellStyle name="40% - Accent4 3 5 2 4" xfId="12198" xr:uid="{464C4771-A163-4482-8F41-4B6BF2E79EC1}"/>
    <cellStyle name="40% - Accent4 3 5 3" xfId="5821" xr:uid="{00000000-0005-0000-0000-000012060000}"/>
    <cellStyle name="40% - Accent4 3 5 3 2" xfId="22719" xr:uid="{CD708332-A93E-4CD6-82F6-9FD59B2AE46B}"/>
    <cellStyle name="40% - Accent4 3 5 3 3" xfId="14271" xr:uid="{5A9CE927-6713-4D57-8935-2A3F08ACCEF2}"/>
    <cellStyle name="40% - Accent4 3 5 4" xfId="18501" xr:uid="{841349AF-BF5B-46E2-9B3B-6E38AEF88349}"/>
    <cellStyle name="40% - Accent4 3 5 5" xfId="10053" xr:uid="{84F52530-5D6C-48C3-9055-B02F5A094E5F}"/>
    <cellStyle name="40% - Accent4 3 6" xfId="1928" xr:uid="{00000000-0005-0000-0000-000013060000}"/>
    <cellStyle name="40% - Accent4 3 6 2" xfId="4157" xr:uid="{00000000-0005-0000-0000-000014060000}"/>
    <cellStyle name="40% - Accent4 3 6 2 2" xfId="8379" xr:uid="{00000000-0005-0000-0000-000015060000}"/>
    <cellStyle name="40% - Accent4 3 6 2 2 2" xfId="25277" xr:uid="{08613191-E7EB-40D6-809A-F7B56FCEB248}"/>
    <cellStyle name="40% - Accent4 3 6 2 2 3" xfId="16829" xr:uid="{65D7DFBF-0422-476C-96BD-1DB7BA95950B}"/>
    <cellStyle name="40% - Accent4 3 6 2 3" xfId="21059" xr:uid="{78FFE73E-D36A-4AF3-8E89-675D81695C18}"/>
    <cellStyle name="40% - Accent4 3 6 2 4" xfId="12611" xr:uid="{F1189A2C-2D7B-4637-B603-C555CD28EBBD}"/>
    <cellStyle name="40% - Accent4 3 6 3" xfId="6234" xr:uid="{00000000-0005-0000-0000-000016060000}"/>
    <cellStyle name="40% - Accent4 3 6 3 2" xfId="23132" xr:uid="{39E9D44B-DBA9-466C-A397-A4E9E32696C5}"/>
    <cellStyle name="40% - Accent4 3 6 3 3" xfId="14684" xr:uid="{45EF07D8-2122-4CDE-873F-811C7193B159}"/>
    <cellStyle name="40% - Accent4 3 6 4" xfId="18914" xr:uid="{1490C04F-10C4-42A3-AA5C-837FCC45F6C4}"/>
    <cellStyle name="40% - Accent4 3 6 5" xfId="10466" xr:uid="{F909F1EF-7AA0-4D56-A3F9-EC4DE72EF49D}"/>
    <cellStyle name="40% - Accent4 3 7" xfId="2341" xr:uid="{00000000-0005-0000-0000-000017060000}"/>
    <cellStyle name="40% - Accent4 3 7 2" xfId="6647" xr:uid="{00000000-0005-0000-0000-000018060000}"/>
    <cellStyle name="40% - Accent4 3 7 2 2" xfId="23545" xr:uid="{B4D6D9AA-7FC7-4A8B-9325-B1A4295931E7}"/>
    <cellStyle name="40% - Accent4 3 7 2 3" xfId="15097" xr:uid="{1A6D5A27-6BFF-4779-9378-1D1A0A6C9DDD}"/>
    <cellStyle name="40% - Accent4 3 7 3" xfId="19327" xr:uid="{F4B3F70F-9909-4C39-B4FA-6EF1EABDAD79}"/>
    <cellStyle name="40% - Accent4 3 7 4" xfId="10879" xr:uid="{F87309BB-7A5B-4237-A1C1-33528AD6D4CB}"/>
    <cellStyle name="40% - Accent4 3 8" xfId="4581" xr:uid="{00000000-0005-0000-0000-000019060000}"/>
    <cellStyle name="40% - Accent4 3 8 2" xfId="21479" xr:uid="{E9AA658B-9414-435D-8330-8414CEFFB4BD}"/>
    <cellStyle name="40% - Accent4 3 8 3" xfId="13031" xr:uid="{1DA22842-2432-4424-987F-3B5039E8F86A}"/>
    <cellStyle name="40% - Accent4 3 9" xfId="17261" xr:uid="{F91CB83B-3841-4C41-9872-D94A748175F4}"/>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2 2 2" xfId="24040" xr:uid="{75BF4822-4838-42DA-A0B8-FF920935EF73}"/>
    <cellStyle name="40% - Accent4 4 2 2 2 3" xfId="15592" xr:uid="{45E367A4-174B-416A-97C0-921E81BD9378}"/>
    <cellStyle name="40% - Accent4 4 2 2 3" xfId="19822" xr:uid="{6B20D502-4C9F-4414-BAC4-7B5E54CC96C3}"/>
    <cellStyle name="40% - Accent4 4 2 2 4" xfId="11374" xr:uid="{3CBF3610-8C14-4360-9090-647A3C4F62F6}"/>
    <cellStyle name="40% - Accent4 4 2 3" xfId="4997" xr:uid="{00000000-0005-0000-0000-00001E060000}"/>
    <cellStyle name="40% - Accent4 4 2 3 2" xfId="21895" xr:uid="{5C45397A-C540-4DFD-8B17-584E6A014C37}"/>
    <cellStyle name="40% - Accent4 4 2 3 3" xfId="13447" xr:uid="{2D1F65B7-C858-4104-B4FC-8805FA7695C8}"/>
    <cellStyle name="40% - Accent4 4 2 4" xfId="17677" xr:uid="{72E2C648-4F9B-44D0-8016-25FFE1938300}"/>
    <cellStyle name="40% - Accent4 4 2 5" xfId="9229" xr:uid="{4F508BCE-34C2-4E20-A93E-95B858CA731C}"/>
    <cellStyle name="40% - Accent4 4 3" xfId="1102" xr:uid="{00000000-0005-0000-0000-00001F060000}"/>
    <cellStyle name="40% - Accent4 4 3 2" xfId="3333" xr:uid="{00000000-0005-0000-0000-000020060000}"/>
    <cellStyle name="40% - Accent4 4 3 2 2" xfId="7555" xr:uid="{00000000-0005-0000-0000-000021060000}"/>
    <cellStyle name="40% - Accent4 4 3 2 2 2" xfId="24453" xr:uid="{442275A8-3C2F-4D4F-B1BF-C879E1580E03}"/>
    <cellStyle name="40% - Accent4 4 3 2 2 3" xfId="16005" xr:uid="{5F090B7D-9FF5-425C-A7B7-26E709CB04BF}"/>
    <cellStyle name="40% - Accent4 4 3 2 3" xfId="20235" xr:uid="{784EC3F8-1453-4240-B8BD-723B7ECE6474}"/>
    <cellStyle name="40% - Accent4 4 3 2 4" xfId="11787" xr:uid="{E235B04F-15D8-448C-B7D7-96201037A6A5}"/>
    <cellStyle name="40% - Accent4 4 3 3" xfId="5410" xr:uid="{00000000-0005-0000-0000-000022060000}"/>
    <cellStyle name="40% - Accent4 4 3 3 2" xfId="22308" xr:uid="{F5124544-884F-4B16-AB50-FCDF05782D43}"/>
    <cellStyle name="40% - Accent4 4 3 3 3" xfId="13860" xr:uid="{F5603543-B501-4FD4-99B0-F6F137B6835C}"/>
    <cellStyle name="40% - Accent4 4 3 4" xfId="18090" xr:uid="{4644D4D4-FD4B-4F85-8D20-101E02CD18D8}"/>
    <cellStyle name="40% - Accent4 4 3 5" xfId="9642" xr:uid="{36A030AC-6580-48A1-9289-1C80DF4F3381}"/>
    <cellStyle name="40% - Accent4 4 4" xfId="1516" xr:uid="{00000000-0005-0000-0000-000023060000}"/>
    <cellStyle name="40% - Accent4 4 4 2" xfId="3746" xr:uid="{00000000-0005-0000-0000-000024060000}"/>
    <cellStyle name="40% - Accent4 4 4 2 2" xfId="7968" xr:uid="{00000000-0005-0000-0000-000025060000}"/>
    <cellStyle name="40% - Accent4 4 4 2 2 2" xfId="24866" xr:uid="{BD10A112-80AC-41F8-93AA-E51887EC12EA}"/>
    <cellStyle name="40% - Accent4 4 4 2 2 3" xfId="16418" xr:uid="{CF923C96-D60D-4AF9-B625-9F1FCC5EDB1E}"/>
    <cellStyle name="40% - Accent4 4 4 2 3" xfId="20648" xr:uid="{DDD8394C-B1C1-496B-8EA7-A85EFB5F543D}"/>
    <cellStyle name="40% - Accent4 4 4 2 4" xfId="12200" xr:uid="{B1D3CD28-EF7B-4E55-A8B6-0F9A7A732015}"/>
    <cellStyle name="40% - Accent4 4 4 3" xfId="5823" xr:uid="{00000000-0005-0000-0000-000026060000}"/>
    <cellStyle name="40% - Accent4 4 4 3 2" xfId="22721" xr:uid="{2BEB991C-649B-4725-91DF-4C80D6D49A5D}"/>
    <cellStyle name="40% - Accent4 4 4 3 3" xfId="14273" xr:uid="{E2BB3DC9-DC94-48E5-B1E6-E8D410BDE78A}"/>
    <cellStyle name="40% - Accent4 4 4 4" xfId="18503" xr:uid="{EDDDF77C-893A-4578-9749-141727D4DCF2}"/>
    <cellStyle name="40% - Accent4 4 4 5" xfId="10055" xr:uid="{2847FFF7-C820-4AB6-8F7D-7A3ABE097E4F}"/>
    <cellStyle name="40% - Accent4 4 5" xfId="1930" xr:uid="{00000000-0005-0000-0000-000027060000}"/>
    <cellStyle name="40% - Accent4 4 5 2" xfId="4159" xr:uid="{00000000-0005-0000-0000-000028060000}"/>
    <cellStyle name="40% - Accent4 4 5 2 2" xfId="8381" xr:uid="{00000000-0005-0000-0000-000029060000}"/>
    <cellStyle name="40% - Accent4 4 5 2 2 2" xfId="25279" xr:uid="{BBB3078D-FD0F-4B89-973C-C90B2E5A42E7}"/>
    <cellStyle name="40% - Accent4 4 5 2 2 3" xfId="16831" xr:uid="{5D6E9C8C-F113-4A9D-9EBF-2BAAC79A3CBC}"/>
    <cellStyle name="40% - Accent4 4 5 2 3" xfId="21061" xr:uid="{1F9C69D2-6D25-4B29-84F7-9AA5A4B46EF4}"/>
    <cellStyle name="40% - Accent4 4 5 2 4" xfId="12613" xr:uid="{7E119ED2-6C0A-47D7-9F5C-BAC078417924}"/>
    <cellStyle name="40% - Accent4 4 5 3" xfId="6236" xr:uid="{00000000-0005-0000-0000-00002A060000}"/>
    <cellStyle name="40% - Accent4 4 5 3 2" xfId="23134" xr:uid="{9C0C219E-AFA9-4B4F-B858-BE19952EC01C}"/>
    <cellStyle name="40% - Accent4 4 5 3 3" xfId="14686" xr:uid="{7F8F5814-BC06-4DAB-A2B6-D6100F453D91}"/>
    <cellStyle name="40% - Accent4 4 5 4" xfId="18916" xr:uid="{8B2A0D71-FF9F-40CD-8302-D5795561DAC7}"/>
    <cellStyle name="40% - Accent4 4 5 5" xfId="10468" xr:uid="{987D58F3-6C67-4CBC-8501-2AD861E87CB7}"/>
    <cellStyle name="40% - Accent4 4 6" xfId="2343" xr:uid="{00000000-0005-0000-0000-00002B060000}"/>
    <cellStyle name="40% - Accent4 4 6 2" xfId="6649" xr:uid="{00000000-0005-0000-0000-00002C060000}"/>
    <cellStyle name="40% - Accent4 4 6 2 2" xfId="23547" xr:uid="{DCE7D7F0-34AD-4180-8B85-F55146B34DDF}"/>
    <cellStyle name="40% - Accent4 4 6 2 3" xfId="15099" xr:uid="{0A2C3C74-AFBA-4697-A52A-F9B3E3D2F043}"/>
    <cellStyle name="40% - Accent4 4 6 3" xfId="19329" xr:uid="{842887E1-3579-4041-A323-0B0CF23E7658}"/>
    <cellStyle name="40% - Accent4 4 6 4" xfId="10881" xr:uid="{5EB74B18-1E44-41D1-8C12-19584D5A9A5F}"/>
    <cellStyle name="40% - Accent4 4 7" xfId="4583" xr:uid="{00000000-0005-0000-0000-00002D060000}"/>
    <cellStyle name="40% - Accent4 4 7 2" xfId="21481" xr:uid="{144CDC2F-DBF3-47ED-9FCF-AC3B40967452}"/>
    <cellStyle name="40% - Accent4 4 7 3" xfId="13033" xr:uid="{48FCBD3E-3249-4831-8189-B4B149633725}"/>
    <cellStyle name="40% - Accent4 4 8" xfId="17263" xr:uid="{F24ADF50-288A-47F6-A63E-AB24C334E99B}"/>
    <cellStyle name="40% - Accent4 4 9" xfId="8815" xr:uid="{A9F59FA7-5179-4A1A-A0CE-55FB074DFA38}"/>
    <cellStyle name="40% - Accent4 5" xfId="642" xr:uid="{00000000-0005-0000-0000-00002E060000}"/>
    <cellStyle name="40% - Accent4 5 2" xfId="2913" xr:uid="{00000000-0005-0000-0000-00002F060000}"/>
    <cellStyle name="40% - Accent4 5 2 2" xfId="7135" xr:uid="{00000000-0005-0000-0000-000030060000}"/>
    <cellStyle name="40% - Accent4 5 2 2 2" xfId="24033" xr:uid="{13A57EF6-354A-41D1-884A-BA824E2C866A}"/>
    <cellStyle name="40% - Accent4 5 2 2 3" xfId="15585" xr:uid="{328B1BD4-B127-4FAA-B310-6FD6974174EA}"/>
    <cellStyle name="40% - Accent4 5 2 3" xfId="19815" xr:uid="{31D17D55-89C7-4A7E-A503-05876B3B1B63}"/>
    <cellStyle name="40% - Accent4 5 2 4" xfId="11367" xr:uid="{7465D2B2-1498-4B2A-B024-05EF94C3C57A}"/>
    <cellStyle name="40% - Accent4 5 3" xfId="4990" xr:uid="{00000000-0005-0000-0000-000031060000}"/>
    <cellStyle name="40% - Accent4 5 3 2" xfId="21888" xr:uid="{A5613CD6-CDE1-4DD6-A12E-45D2E69F88D3}"/>
    <cellStyle name="40% - Accent4 5 3 3" xfId="13440" xr:uid="{B9D8C89C-A795-4341-BF1E-2192823C2D1C}"/>
    <cellStyle name="40% - Accent4 5 4" xfId="17670" xr:uid="{9560FCF0-EBAF-48FA-BAAA-77A9D559998D}"/>
    <cellStyle name="40% - Accent4 5 5" xfId="9222" xr:uid="{7C9126BD-4B40-4836-9FEB-F54AC4EC10F8}"/>
    <cellStyle name="40% - Accent4 6" xfId="1095" xr:uid="{00000000-0005-0000-0000-000032060000}"/>
    <cellStyle name="40% - Accent4 6 2" xfId="3326" xr:uid="{00000000-0005-0000-0000-000033060000}"/>
    <cellStyle name="40% - Accent4 6 2 2" xfId="7548" xr:uid="{00000000-0005-0000-0000-000034060000}"/>
    <cellStyle name="40% - Accent4 6 2 2 2" xfId="24446" xr:uid="{51AA5F82-D76D-4478-B1F4-A084FBECAA5A}"/>
    <cellStyle name="40% - Accent4 6 2 2 3" xfId="15998" xr:uid="{6BB86DE6-B196-4279-BD67-A06E1755E183}"/>
    <cellStyle name="40% - Accent4 6 2 3" xfId="20228" xr:uid="{162FFCF2-4016-4CE7-9CBE-5904A77D507F}"/>
    <cellStyle name="40% - Accent4 6 2 4" xfId="11780" xr:uid="{BBCD7ED2-A89F-43A2-8ED4-36D304455C3C}"/>
    <cellStyle name="40% - Accent4 6 3" xfId="5403" xr:uid="{00000000-0005-0000-0000-000035060000}"/>
    <cellStyle name="40% - Accent4 6 3 2" xfId="22301" xr:uid="{2E3DF3AE-4D7C-4063-B991-782358352E44}"/>
    <cellStyle name="40% - Accent4 6 3 3" xfId="13853" xr:uid="{D43A37A9-06AE-4F6D-AFD9-5E50256968DB}"/>
    <cellStyle name="40% - Accent4 6 4" xfId="18083" xr:uid="{53952EF4-54DF-4EED-BFB6-F6212B91C097}"/>
    <cellStyle name="40% - Accent4 6 5" xfId="9635" xr:uid="{2E3BED90-7662-43D1-90E4-489B2601189C}"/>
    <cellStyle name="40% - Accent4 7" xfId="1509" xr:uid="{00000000-0005-0000-0000-000036060000}"/>
    <cellStyle name="40% - Accent4 7 2" xfId="3739" xr:uid="{00000000-0005-0000-0000-000037060000}"/>
    <cellStyle name="40% - Accent4 7 2 2" xfId="7961" xr:uid="{00000000-0005-0000-0000-000038060000}"/>
    <cellStyle name="40% - Accent4 7 2 2 2" xfId="24859" xr:uid="{8C1E11FE-363C-46F1-9339-9302BC12558E}"/>
    <cellStyle name="40% - Accent4 7 2 2 3" xfId="16411" xr:uid="{C33D69E5-4D9E-493A-9A79-802FE8033CA6}"/>
    <cellStyle name="40% - Accent4 7 2 3" xfId="20641" xr:uid="{98019239-4649-4172-809F-F45996837770}"/>
    <cellStyle name="40% - Accent4 7 2 4" xfId="12193" xr:uid="{634C5534-6FBE-43C8-858E-972969B2B9B1}"/>
    <cellStyle name="40% - Accent4 7 3" xfId="5816" xr:uid="{00000000-0005-0000-0000-000039060000}"/>
    <cellStyle name="40% - Accent4 7 3 2" xfId="22714" xr:uid="{77CC1BFB-499A-4143-B9A5-5DFA2F5E63E6}"/>
    <cellStyle name="40% - Accent4 7 3 3" xfId="14266" xr:uid="{89034EE9-96D6-49D9-ABD9-86532F64DEFE}"/>
    <cellStyle name="40% - Accent4 7 4" xfId="18496" xr:uid="{2C7ADB1A-0E32-4EE9-8F3C-9C6EAFFDB6DA}"/>
    <cellStyle name="40% - Accent4 7 5" xfId="10048" xr:uid="{32A82B96-24AE-460C-92AE-AEEB02D44BD1}"/>
    <cellStyle name="40% - Accent4 8" xfId="1923" xr:uid="{00000000-0005-0000-0000-00003A060000}"/>
    <cellStyle name="40% - Accent4 8 2" xfId="4152" xr:uid="{00000000-0005-0000-0000-00003B060000}"/>
    <cellStyle name="40% - Accent4 8 2 2" xfId="8374" xr:uid="{00000000-0005-0000-0000-00003C060000}"/>
    <cellStyle name="40% - Accent4 8 2 2 2" xfId="25272" xr:uid="{B99AFC03-1217-4449-86A8-1DE5F6635604}"/>
    <cellStyle name="40% - Accent4 8 2 2 3" xfId="16824" xr:uid="{4D30397C-B228-4807-BF28-2AE4D88129C0}"/>
    <cellStyle name="40% - Accent4 8 2 3" xfId="21054" xr:uid="{4E99E1A9-E7F4-4158-ABD8-7AF3B82DE1C4}"/>
    <cellStyle name="40% - Accent4 8 2 4" xfId="12606" xr:uid="{6F9AB1C8-02E9-4613-BF7D-3E4F07F17D93}"/>
    <cellStyle name="40% - Accent4 8 3" xfId="6229" xr:uid="{00000000-0005-0000-0000-00003D060000}"/>
    <cellStyle name="40% - Accent4 8 3 2" xfId="23127" xr:uid="{0013C505-EBAD-4A72-805A-72005BCBA916}"/>
    <cellStyle name="40% - Accent4 8 3 3" xfId="14679" xr:uid="{37A7268A-2EE2-48E7-A09A-9C2E767CDACF}"/>
    <cellStyle name="40% - Accent4 8 4" xfId="18909" xr:uid="{53452161-B094-42E9-8673-846821971B4C}"/>
    <cellStyle name="40% - Accent4 8 5" xfId="10461" xr:uid="{E14249C2-C179-46DF-8F46-1E40FCB78AFF}"/>
    <cellStyle name="40% - Accent4 9" xfId="2336" xr:uid="{00000000-0005-0000-0000-00003E060000}"/>
    <cellStyle name="40% - Accent4 9 2" xfId="6642" xr:uid="{00000000-0005-0000-0000-00003F060000}"/>
    <cellStyle name="40% - Accent4 9 2 2" xfId="23540" xr:uid="{A1AEF738-1B4D-460B-A73C-ECF8BD699347}"/>
    <cellStyle name="40% - Accent4 9 2 3" xfId="15092" xr:uid="{6761BD6F-56D8-4F19-A090-396207BDB85E}"/>
    <cellStyle name="40% - Accent4 9 3" xfId="19322" xr:uid="{75BF856E-A8BC-4517-A190-A140F2A4C99E}"/>
    <cellStyle name="40% - Accent4 9 4" xfId="10874" xr:uid="{500E1DB9-EDEE-4190-89C9-6914761C8CA9}"/>
    <cellStyle name="40% - Accent5" xfId="81" builtinId="47" customBuiltin="1"/>
    <cellStyle name="40% - Accent5 10" xfId="4584" xr:uid="{00000000-0005-0000-0000-000041060000}"/>
    <cellStyle name="40% - Accent5 10 2" xfId="21482" xr:uid="{CD32CD13-911F-4226-91B9-81B858F38726}"/>
    <cellStyle name="40% - Accent5 10 3" xfId="13034" xr:uid="{51D9CC87-2210-486B-8198-6E410BE22155}"/>
    <cellStyle name="40% - Accent5 11" xfId="17264" xr:uid="{D4AE9B5B-C2F4-410C-B7F4-CEB76606DFAA}"/>
    <cellStyle name="40% - Accent5 12" xfId="8816" xr:uid="{50060C4D-7CA4-448D-A3DA-0E70CAD6B114}"/>
    <cellStyle name="40% - Accent5 2" xfId="82" xr:uid="{00000000-0005-0000-0000-000042060000}"/>
    <cellStyle name="40% - Accent5 2 10" xfId="17265" xr:uid="{DBECACF5-ECBE-4F5A-A67D-4C499942F49E}"/>
    <cellStyle name="40% - Accent5 2 11" xfId="8817" xr:uid="{7637F2F7-BFDB-4173-8CD6-B17555F40599}"/>
    <cellStyle name="40% - Accent5 2 2" xfId="83" xr:uid="{00000000-0005-0000-0000-000043060000}"/>
    <cellStyle name="40% - Accent5 2 2 10" xfId="8818" xr:uid="{CCE5615B-39F7-4437-AA78-A24E1353A1FA}"/>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24044" xr:uid="{B25B8042-802B-4AB8-9742-06C3DBB7EF2E}"/>
    <cellStyle name="40% - Accent5 2 2 2 2 2 2 3" xfId="15596" xr:uid="{3DEC1539-6F23-46C0-9D24-4690E5BDD422}"/>
    <cellStyle name="40% - Accent5 2 2 2 2 2 3" xfId="19826" xr:uid="{50B247C1-81BA-49F5-B1D2-0F6B5C3F3C3F}"/>
    <cellStyle name="40% - Accent5 2 2 2 2 2 4" xfId="11378" xr:uid="{D03B8EBA-50B3-4CD1-A68D-3E9A117E79E8}"/>
    <cellStyle name="40% - Accent5 2 2 2 2 3" xfId="5001" xr:uid="{00000000-0005-0000-0000-000048060000}"/>
    <cellStyle name="40% - Accent5 2 2 2 2 3 2" xfId="21899" xr:uid="{FAA496CA-AB02-48A1-B297-EF8CC35C06D0}"/>
    <cellStyle name="40% - Accent5 2 2 2 2 3 3" xfId="13451" xr:uid="{A7A8C76A-52FE-44AD-93EA-765EA31BF669}"/>
    <cellStyle name="40% - Accent5 2 2 2 2 4" xfId="17681" xr:uid="{A105738F-60C7-4AA3-9014-11C366DDA8EB}"/>
    <cellStyle name="40% - Accent5 2 2 2 2 5" xfId="9233" xr:uid="{68F233A9-F458-4B04-B326-0801EB783F49}"/>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24457" xr:uid="{C85181EB-9177-4110-8FD7-44227DF66E67}"/>
    <cellStyle name="40% - Accent5 2 2 2 3 2 2 3" xfId="16009" xr:uid="{5F9D1C82-32AD-49A7-BC29-BB69E330F98E}"/>
    <cellStyle name="40% - Accent5 2 2 2 3 2 3" xfId="20239" xr:uid="{6359BE75-EB97-4946-9840-C95D7C645AE3}"/>
    <cellStyle name="40% - Accent5 2 2 2 3 2 4" xfId="11791" xr:uid="{90EC806B-1B56-4BCB-A364-A4CD0555447F}"/>
    <cellStyle name="40% - Accent5 2 2 2 3 3" xfId="5414" xr:uid="{00000000-0005-0000-0000-00004C060000}"/>
    <cellStyle name="40% - Accent5 2 2 2 3 3 2" xfId="22312" xr:uid="{5DDCECD6-4057-4BE4-B4E1-C98D41E15E88}"/>
    <cellStyle name="40% - Accent5 2 2 2 3 3 3" xfId="13864" xr:uid="{4A5E15CB-0A7B-478D-BE1B-42191025C1B3}"/>
    <cellStyle name="40% - Accent5 2 2 2 3 4" xfId="18094" xr:uid="{69D1A055-10C7-403F-BB58-AF24D7243107}"/>
    <cellStyle name="40% - Accent5 2 2 2 3 5" xfId="9646" xr:uid="{3DF4E9E3-7E61-4855-83FC-FF472A51A712}"/>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24870" xr:uid="{1A9BBF0F-5CB6-4D74-8BAD-E5E40BC13178}"/>
    <cellStyle name="40% - Accent5 2 2 2 4 2 2 3" xfId="16422" xr:uid="{9607D884-F63F-4D73-9326-D92997406C76}"/>
    <cellStyle name="40% - Accent5 2 2 2 4 2 3" xfId="20652" xr:uid="{053A1CA9-6F32-4A0B-AB7C-1DDA4BF0EB65}"/>
    <cellStyle name="40% - Accent5 2 2 2 4 2 4" xfId="12204" xr:uid="{A7529E8E-5010-405B-A009-F2AA8412BFF1}"/>
    <cellStyle name="40% - Accent5 2 2 2 4 3" xfId="5827" xr:uid="{00000000-0005-0000-0000-000050060000}"/>
    <cellStyle name="40% - Accent5 2 2 2 4 3 2" xfId="22725" xr:uid="{469BD5A0-847C-4A09-BBE2-163A44DF253F}"/>
    <cellStyle name="40% - Accent5 2 2 2 4 3 3" xfId="14277" xr:uid="{D9570D8E-BAEF-4540-88AA-8787985E0399}"/>
    <cellStyle name="40% - Accent5 2 2 2 4 4" xfId="18507" xr:uid="{C0E44F69-20E3-42EF-8521-B5A57A8720B2}"/>
    <cellStyle name="40% - Accent5 2 2 2 4 5" xfId="10059" xr:uid="{763E239F-4FC4-4E74-A718-2793750CE2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25283" xr:uid="{EC106158-7AC2-44A5-8A19-C02950DF5A95}"/>
    <cellStyle name="40% - Accent5 2 2 2 5 2 2 3" xfId="16835" xr:uid="{B9FBAE68-CC1F-4652-B393-D9A76708AA28}"/>
    <cellStyle name="40% - Accent5 2 2 2 5 2 3" xfId="21065" xr:uid="{2DCA67DC-59B4-4BBB-B3AD-DF6168E457EA}"/>
    <cellStyle name="40% - Accent5 2 2 2 5 2 4" xfId="12617" xr:uid="{F136DF41-B627-4526-B58C-92437D673B14}"/>
    <cellStyle name="40% - Accent5 2 2 2 5 3" xfId="6240" xr:uid="{00000000-0005-0000-0000-000054060000}"/>
    <cellStyle name="40% - Accent5 2 2 2 5 3 2" xfId="23138" xr:uid="{78D0D981-30FC-4335-A9F8-98436D7EF448}"/>
    <cellStyle name="40% - Accent5 2 2 2 5 3 3" xfId="14690" xr:uid="{A83F640E-BBCD-4BC0-99D5-37C18FC6E709}"/>
    <cellStyle name="40% - Accent5 2 2 2 5 4" xfId="18920" xr:uid="{3548D11E-4509-4E86-AF24-B7F9F7A8DF93}"/>
    <cellStyle name="40% - Accent5 2 2 2 5 5" xfId="10472" xr:uid="{14BF30FE-0237-4CFC-9CB8-460E7574D09D}"/>
    <cellStyle name="40% - Accent5 2 2 2 6" xfId="2347" xr:uid="{00000000-0005-0000-0000-000055060000}"/>
    <cellStyle name="40% - Accent5 2 2 2 6 2" xfId="6653" xr:uid="{00000000-0005-0000-0000-000056060000}"/>
    <cellStyle name="40% - Accent5 2 2 2 6 2 2" xfId="23551" xr:uid="{9AAE1A24-70B8-450C-84D6-37A6E7FFE47F}"/>
    <cellStyle name="40% - Accent5 2 2 2 6 2 3" xfId="15103" xr:uid="{0037E09F-3D5C-4A5E-8EDD-1EEC9BCD9B83}"/>
    <cellStyle name="40% - Accent5 2 2 2 6 3" xfId="19333" xr:uid="{C348008B-7E1A-45B6-B7E2-387157606471}"/>
    <cellStyle name="40% - Accent5 2 2 2 6 4" xfId="10885" xr:uid="{4534769D-8124-441E-87C7-81C721F43B0B}"/>
    <cellStyle name="40% - Accent5 2 2 2 7" xfId="4587" xr:uid="{00000000-0005-0000-0000-000057060000}"/>
    <cellStyle name="40% - Accent5 2 2 2 7 2" xfId="21485" xr:uid="{060637BB-C76B-4B86-964D-EC3C4AC2D48E}"/>
    <cellStyle name="40% - Accent5 2 2 2 7 3" xfId="13037" xr:uid="{F1E67325-0897-4CAC-A1B1-67D02ABD911C}"/>
    <cellStyle name="40% - Accent5 2 2 2 8" xfId="17267" xr:uid="{6F38EE8D-50E8-4F8E-A55E-BA146BA798F6}"/>
    <cellStyle name="40% - Accent5 2 2 2 9" xfId="8819" xr:uid="{C8FB3B64-D3FF-46D9-ACAC-A9402A3943C6}"/>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24043" xr:uid="{025921C8-B85B-47F9-A069-04CA1980D29A}"/>
    <cellStyle name="40% - Accent5 2 2 3 2 2 3" xfId="15595" xr:uid="{244F55FE-8C74-40C3-933A-32A0E5A2818D}"/>
    <cellStyle name="40% - Accent5 2 2 3 2 3" xfId="19825" xr:uid="{7ECF6E78-5B1D-42FD-B01E-EBEF74B026BF}"/>
    <cellStyle name="40% - Accent5 2 2 3 2 4" xfId="11377" xr:uid="{B9CA25AF-F25C-488D-B03C-DA3364480E37}"/>
    <cellStyle name="40% - Accent5 2 2 3 3" xfId="5000" xr:uid="{00000000-0005-0000-0000-00005B060000}"/>
    <cellStyle name="40% - Accent5 2 2 3 3 2" xfId="21898" xr:uid="{F7419A3F-08DB-4DF7-9D04-F5504C5D7924}"/>
    <cellStyle name="40% - Accent5 2 2 3 3 3" xfId="13450" xr:uid="{83A5F408-B963-4EBD-8BE6-93DB2D8A4658}"/>
    <cellStyle name="40% - Accent5 2 2 3 4" xfId="17680" xr:uid="{53DC5F79-E321-4EC1-AC2E-B4D3092A3C93}"/>
    <cellStyle name="40% - Accent5 2 2 3 5" xfId="9232" xr:uid="{2197162B-C427-4D6C-BCFF-9B6223A0A524}"/>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24456" xr:uid="{40179757-B50B-4EF6-918D-2F180C661686}"/>
    <cellStyle name="40% - Accent5 2 2 4 2 2 3" xfId="16008" xr:uid="{F9E4A9E1-2200-431D-B35B-5F17D9CA41F5}"/>
    <cellStyle name="40% - Accent5 2 2 4 2 3" xfId="20238" xr:uid="{36ABF263-D599-4FA2-98E9-93A11A5829F3}"/>
    <cellStyle name="40% - Accent5 2 2 4 2 4" xfId="11790" xr:uid="{77F80039-6C50-4BA0-93BD-81703BEF1821}"/>
    <cellStyle name="40% - Accent5 2 2 4 3" xfId="5413" xr:uid="{00000000-0005-0000-0000-00005F060000}"/>
    <cellStyle name="40% - Accent5 2 2 4 3 2" xfId="22311" xr:uid="{B5D258E9-903A-432D-8F5F-08338A8C7A6D}"/>
    <cellStyle name="40% - Accent5 2 2 4 3 3" xfId="13863" xr:uid="{13B87D21-1E70-44CC-8C9E-84C5536EAE47}"/>
    <cellStyle name="40% - Accent5 2 2 4 4" xfId="18093" xr:uid="{0F1A20E7-0253-4206-A68D-24DE5A884038}"/>
    <cellStyle name="40% - Accent5 2 2 4 5" xfId="9645" xr:uid="{F596693B-63D9-49D5-95C4-510E9102FA20}"/>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24869" xr:uid="{2F4B614F-DAC4-441F-91A9-E940EABECB15}"/>
    <cellStyle name="40% - Accent5 2 2 5 2 2 3" xfId="16421" xr:uid="{0FD6FFAA-DCAD-4479-B5E6-06764C02030E}"/>
    <cellStyle name="40% - Accent5 2 2 5 2 3" xfId="20651" xr:uid="{6ACA1803-F25C-495E-8186-A6F8A8C696E7}"/>
    <cellStyle name="40% - Accent5 2 2 5 2 4" xfId="12203" xr:uid="{3BF1659F-5371-4DBA-AF7A-AF0E87E71EDC}"/>
    <cellStyle name="40% - Accent5 2 2 5 3" xfId="5826" xr:uid="{00000000-0005-0000-0000-000063060000}"/>
    <cellStyle name="40% - Accent5 2 2 5 3 2" xfId="22724" xr:uid="{C5D70D05-F48A-4C98-BBDB-BC8B332753FA}"/>
    <cellStyle name="40% - Accent5 2 2 5 3 3" xfId="14276" xr:uid="{44DDBFEC-C3D4-40C4-8F2F-684BD87F4C11}"/>
    <cellStyle name="40% - Accent5 2 2 5 4" xfId="18506" xr:uid="{074DFB6C-4254-4A5E-9ACC-CF8AE80F73F7}"/>
    <cellStyle name="40% - Accent5 2 2 5 5" xfId="10058" xr:uid="{B78FE8DF-B2B4-416A-8B5B-8FA9DF519614}"/>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25282" xr:uid="{5DF29461-FEC6-4C22-AFB2-0EF792F62BA8}"/>
    <cellStyle name="40% - Accent5 2 2 6 2 2 3" xfId="16834" xr:uid="{F2EA0A98-58FD-4518-8EF4-EE12D1F45AEB}"/>
    <cellStyle name="40% - Accent5 2 2 6 2 3" xfId="21064" xr:uid="{86570737-CED0-476A-92FB-79A83D125030}"/>
    <cellStyle name="40% - Accent5 2 2 6 2 4" xfId="12616" xr:uid="{B6F76CCA-A1CF-4E27-9842-E6A2CA6B5B1D}"/>
    <cellStyle name="40% - Accent5 2 2 6 3" xfId="6239" xr:uid="{00000000-0005-0000-0000-000067060000}"/>
    <cellStyle name="40% - Accent5 2 2 6 3 2" xfId="23137" xr:uid="{D0CE0299-87F1-4C52-ADC1-EFB8C43CF77E}"/>
    <cellStyle name="40% - Accent5 2 2 6 3 3" xfId="14689" xr:uid="{8B46758A-A4BE-4615-AB9F-E493F4BCC41B}"/>
    <cellStyle name="40% - Accent5 2 2 6 4" xfId="18919" xr:uid="{8788B30F-1086-410F-A753-F37B3E7114B7}"/>
    <cellStyle name="40% - Accent5 2 2 6 5" xfId="10471" xr:uid="{FD22BFB7-256F-4DB6-BF40-D56B1BBCFD02}"/>
    <cellStyle name="40% - Accent5 2 2 7" xfId="2346" xr:uid="{00000000-0005-0000-0000-000068060000}"/>
    <cellStyle name="40% - Accent5 2 2 7 2" xfId="6652" xr:uid="{00000000-0005-0000-0000-000069060000}"/>
    <cellStyle name="40% - Accent5 2 2 7 2 2" xfId="23550" xr:uid="{A5B6B171-3EC0-44CA-A0E8-92D2FB13D529}"/>
    <cellStyle name="40% - Accent5 2 2 7 2 3" xfId="15102" xr:uid="{8016413A-3AB6-46DA-BA35-D8931DE6F622}"/>
    <cellStyle name="40% - Accent5 2 2 7 3" xfId="19332" xr:uid="{10798B35-6A70-4495-A6F3-4AED415E097D}"/>
    <cellStyle name="40% - Accent5 2 2 7 4" xfId="10884" xr:uid="{EC286100-2AEC-42D9-961D-BB23630FB31C}"/>
    <cellStyle name="40% - Accent5 2 2 8" xfId="4586" xr:uid="{00000000-0005-0000-0000-00006A060000}"/>
    <cellStyle name="40% - Accent5 2 2 8 2" xfId="21484" xr:uid="{DA2E3107-C34D-41EF-80FE-D5D7890AA853}"/>
    <cellStyle name="40% - Accent5 2 2 8 3" xfId="13036" xr:uid="{2B591BAD-83BD-432B-BAC4-7F9C86A64285}"/>
    <cellStyle name="40% - Accent5 2 2 9" xfId="17266" xr:uid="{ACEFE73D-9B6C-4008-9FB3-862B3B70DAA1}"/>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24045" xr:uid="{E1186955-6C7D-456E-A82D-5DDE22657774}"/>
    <cellStyle name="40% - Accent5 2 3 2 2 2 3" xfId="15597" xr:uid="{34A31B96-87B9-44C7-BB43-3CB95DD7E67F}"/>
    <cellStyle name="40% - Accent5 2 3 2 2 3" xfId="19827" xr:uid="{648944FF-98B2-40E5-AACA-61258A6E6ED8}"/>
    <cellStyle name="40% - Accent5 2 3 2 2 4" xfId="11379" xr:uid="{9D869328-3746-44E2-AEBD-65ADFBFD2155}"/>
    <cellStyle name="40% - Accent5 2 3 2 3" xfId="5002" xr:uid="{00000000-0005-0000-0000-00006F060000}"/>
    <cellStyle name="40% - Accent5 2 3 2 3 2" xfId="21900" xr:uid="{599ECC20-7581-4D62-9938-A2388FCC2720}"/>
    <cellStyle name="40% - Accent5 2 3 2 3 3" xfId="13452" xr:uid="{533FC87D-2F7F-4294-BC91-DE10C0534879}"/>
    <cellStyle name="40% - Accent5 2 3 2 4" xfId="17682" xr:uid="{A4D046CB-83A2-4A44-8FD4-17312D04CDB3}"/>
    <cellStyle name="40% - Accent5 2 3 2 5" xfId="9234" xr:uid="{9ED0AAA6-4668-48FB-9414-3B77EF8010EE}"/>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24458" xr:uid="{D728F165-220E-493A-9F96-CED4217AD478}"/>
    <cellStyle name="40% - Accent5 2 3 3 2 2 3" xfId="16010" xr:uid="{A42EDB0F-CA1D-4821-9FE8-894EE87822FF}"/>
    <cellStyle name="40% - Accent5 2 3 3 2 3" xfId="20240" xr:uid="{CF422666-4B57-43CE-8D43-3D90520E5E16}"/>
    <cellStyle name="40% - Accent5 2 3 3 2 4" xfId="11792" xr:uid="{87CDEC4D-8D81-4E85-BAF6-DBFCB89B19E4}"/>
    <cellStyle name="40% - Accent5 2 3 3 3" xfId="5415" xr:uid="{00000000-0005-0000-0000-000073060000}"/>
    <cellStyle name="40% - Accent5 2 3 3 3 2" xfId="22313" xr:uid="{B3DD437B-0737-4038-A415-132040DC64E1}"/>
    <cellStyle name="40% - Accent5 2 3 3 3 3" xfId="13865" xr:uid="{AD6BC08F-1504-4BE7-9081-D18818CB56C0}"/>
    <cellStyle name="40% - Accent5 2 3 3 4" xfId="18095" xr:uid="{5C68EC05-D2D3-449F-8EF0-C9036D98F232}"/>
    <cellStyle name="40% - Accent5 2 3 3 5" xfId="9647" xr:uid="{F561EC8A-21BF-445F-9977-125026992EC9}"/>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24871" xr:uid="{D957A0B3-329E-47FF-8FAD-AE06D275EA32}"/>
    <cellStyle name="40% - Accent5 2 3 4 2 2 3" xfId="16423" xr:uid="{D20BB553-D4E7-4CCD-97FF-730D29997B9F}"/>
    <cellStyle name="40% - Accent5 2 3 4 2 3" xfId="20653" xr:uid="{02262C53-8932-4E3D-BC0F-A8CA3F81EA19}"/>
    <cellStyle name="40% - Accent5 2 3 4 2 4" xfId="12205" xr:uid="{D2613006-521C-47D3-AABE-2BDFA0A5E3F5}"/>
    <cellStyle name="40% - Accent5 2 3 4 3" xfId="5828" xr:uid="{00000000-0005-0000-0000-000077060000}"/>
    <cellStyle name="40% - Accent5 2 3 4 3 2" xfId="22726" xr:uid="{B74D87E7-F25A-4867-8197-C11072E3A839}"/>
    <cellStyle name="40% - Accent5 2 3 4 3 3" xfId="14278" xr:uid="{8E297CF9-7B56-430F-9489-8C36FDEA2655}"/>
    <cellStyle name="40% - Accent5 2 3 4 4" xfId="18508" xr:uid="{C7CB2EA7-8EAD-469C-83E5-3A9D37943580}"/>
    <cellStyle name="40% - Accent5 2 3 4 5" xfId="10060" xr:uid="{6BD1591C-101E-4781-9167-E017BCA7198C}"/>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25284" xr:uid="{B545C400-7630-428C-9D89-A2FA3D389CDB}"/>
    <cellStyle name="40% - Accent5 2 3 5 2 2 3" xfId="16836" xr:uid="{663C32C0-DB59-4E2C-AC2B-B0FE49102951}"/>
    <cellStyle name="40% - Accent5 2 3 5 2 3" xfId="21066" xr:uid="{120BB974-AEDF-4831-8E12-D8A93EF30B06}"/>
    <cellStyle name="40% - Accent5 2 3 5 2 4" xfId="12618" xr:uid="{43E0B26E-8B36-43CC-B0C9-93C26E85E5EA}"/>
    <cellStyle name="40% - Accent5 2 3 5 3" xfId="6241" xr:uid="{00000000-0005-0000-0000-00007B060000}"/>
    <cellStyle name="40% - Accent5 2 3 5 3 2" xfId="23139" xr:uid="{DA9EA0E8-4E11-46BB-8E25-1DF857E6A5F5}"/>
    <cellStyle name="40% - Accent5 2 3 5 3 3" xfId="14691" xr:uid="{6DBB08DC-8EAD-42A5-8C89-706C5D819596}"/>
    <cellStyle name="40% - Accent5 2 3 5 4" xfId="18921" xr:uid="{DE03FD50-98A8-4C14-A098-A5F6069DCD9D}"/>
    <cellStyle name="40% - Accent5 2 3 5 5" xfId="10473" xr:uid="{A6E78A08-DD34-4EE2-B0B8-94CE858E0B02}"/>
    <cellStyle name="40% - Accent5 2 3 6" xfId="2348" xr:uid="{00000000-0005-0000-0000-00007C060000}"/>
    <cellStyle name="40% - Accent5 2 3 6 2" xfId="6654" xr:uid="{00000000-0005-0000-0000-00007D060000}"/>
    <cellStyle name="40% - Accent5 2 3 6 2 2" xfId="23552" xr:uid="{CD15956A-8D51-425A-86E2-871C554C0CBA}"/>
    <cellStyle name="40% - Accent5 2 3 6 2 3" xfId="15104" xr:uid="{30CB6E51-6EFB-4CA6-A896-442EB488BADD}"/>
    <cellStyle name="40% - Accent5 2 3 6 3" xfId="19334" xr:uid="{10011135-B64C-4703-8D7D-2CB5D9F070AE}"/>
    <cellStyle name="40% - Accent5 2 3 6 4" xfId="10886" xr:uid="{8BF29FB1-9B54-4ABE-9FD8-29CE71AFF5B2}"/>
    <cellStyle name="40% - Accent5 2 3 7" xfId="4588" xr:uid="{00000000-0005-0000-0000-00007E060000}"/>
    <cellStyle name="40% - Accent5 2 3 7 2" xfId="21486" xr:uid="{29C97154-2340-4C35-9876-3ACDD437E9A9}"/>
    <cellStyle name="40% - Accent5 2 3 7 3" xfId="13038" xr:uid="{5BFAA7F4-09E9-4850-B570-C97FC198D455}"/>
    <cellStyle name="40% - Accent5 2 3 8" xfId="17268" xr:uid="{F5A79BE7-B518-444B-80C9-FAF64633718C}"/>
    <cellStyle name="40% - Accent5 2 3 9" xfId="8820" xr:uid="{C32A61DA-88D0-4C27-AFEC-5D268F8163DB}"/>
    <cellStyle name="40% - Accent5 2 4" xfId="651" xr:uid="{00000000-0005-0000-0000-00007F060000}"/>
    <cellStyle name="40% - Accent5 2 4 2" xfId="2922" xr:uid="{00000000-0005-0000-0000-000080060000}"/>
    <cellStyle name="40% - Accent5 2 4 2 2" xfId="7144" xr:uid="{00000000-0005-0000-0000-000081060000}"/>
    <cellStyle name="40% - Accent5 2 4 2 2 2" xfId="24042" xr:uid="{C2A4A189-6712-4FB9-8C91-E78E9A53C490}"/>
    <cellStyle name="40% - Accent5 2 4 2 2 3" xfId="15594" xr:uid="{E0D41EFA-A9F6-4DD8-B6F5-DE11A3B40D17}"/>
    <cellStyle name="40% - Accent5 2 4 2 3" xfId="19824" xr:uid="{6FB0859D-C5A8-43BC-9B38-E040718BD91B}"/>
    <cellStyle name="40% - Accent5 2 4 2 4" xfId="11376" xr:uid="{13542A13-0774-4FDD-8204-B9E8E6839879}"/>
    <cellStyle name="40% - Accent5 2 4 3" xfId="4999" xr:uid="{00000000-0005-0000-0000-000082060000}"/>
    <cellStyle name="40% - Accent5 2 4 3 2" xfId="21897" xr:uid="{DFBB2F63-1281-4B93-A2C3-DCCFC46D8D34}"/>
    <cellStyle name="40% - Accent5 2 4 3 3" xfId="13449" xr:uid="{291C41A2-6E69-470E-A1E7-86475C134987}"/>
    <cellStyle name="40% - Accent5 2 4 4" xfId="17679" xr:uid="{0C95B7DB-9C79-4F45-BC81-0F35DF7EF543}"/>
    <cellStyle name="40% - Accent5 2 4 5" xfId="9231" xr:uid="{6519120C-DE59-4741-B72B-FF084DBFC2CF}"/>
    <cellStyle name="40% - Accent5 2 5" xfId="1104" xr:uid="{00000000-0005-0000-0000-000083060000}"/>
    <cellStyle name="40% - Accent5 2 5 2" xfId="3335" xr:uid="{00000000-0005-0000-0000-000084060000}"/>
    <cellStyle name="40% - Accent5 2 5 2 2" xfId="7557" xr:uid="{00000000-0005-0000-0000-000085060000}"/>
    <cellStyle name="40% - Accent5 2 5 2 2 2" xfId="24455" xr:uid="{4DF5B620-07B4-4A94-AF6A-3DAE05C4530B}"/>
    <cellStyle name="40% - Accent5 2 5 2 2 3" xfId="16007" xr:uid="{9E74577A-42C1-45F1-A608-AEF1F036DF32}"/>
    <cellStyle name="40% - Accent5 2 5 2 3" xfId="20237" xr:uid="{8A8827C6-0986-4471-9BDB-E44AC74BD45B}"/>
    <cellStyle name="40% - Accent5 2 5 2 4" xfId="11789" xr:uid="{557B79BC-4FD4-4B78-851C-A900886898F6}"/>
    <cellStyle name="40% - Accent5 2 5 3" xfId="5412" xr:uid="{00000000-0005-0000-0000-000086060000}"/>
    <cellStyle name="40% - Accent5 2 5 3 2" xfId="22310" xr:uid="{39BDDE93-5D55-4FFE-B7BD-A76C26DEAFBD}"/>
    <cellStyle name="40% - Accent5 2 5 3 3" xfId="13862" xr:uid="{9A8FF394-E9DA-438B-A778-714564E9517E}"/>
    <cellStyle name="40% - Accent5 2 5 4" xfId="18092" xr:uid="{8CDD7278-BD4C-4B52-9B44-BCF1E6144AEA}"/>
    <cellStyle name="40% - Accent5 2 5 5" xfId="9644" xr:uid="{25957F2A-1FFE-46AF-A775-CBD253156EA7}"/>
    <cellStyle name="40% - Accent5 2 6" xfId="1518" xr:uid="{00000000-0005-0000-0000-000087060000}"/>
    <cellStyle name="40% - Accent5 2 6 2" xfId="3748" xr:uid="{00000000-0005-0000-0000-000088060000}"/>
    <cellStyle name="40% - Accent5 2 6 2 2" xfId="7970" xr:uid="{00000000-0005-0000-0000-000089060000}"/>
    <cellStyle name="40% - Accent5 2 6 2 2 2" xfId="24868" xr:uid="{1E74FF92-A5AD-4C1B-9B94-3464DD3C7AC6}"/>
    <cellStyle name="40% - Accent5 2 6 2 2 3" xfId="16420" xr:uid="{6F3E972C-60A6-4BCC-BA29-D6D8159A3697}"/>
    <cellStyle name="40% - Accent5 2 6 2 3" xfId="20650" xr:uid="{CB762D8F-3416-459E-9C23-3CE72C8ABFB8}"/>
    <cellStyle name="40% - Accent5 2 6 2 4" xfId="12202" xr:uid="{C530BEF1-A026-43E7-95A8-708BAD05F68B}"/>
    <cellStyle name="40% - Accent5 2 6 3" xfId="5825" xr:uid="{00000000-0005-0000-0000-00008A060000}"/>
    <cellStyle name="40% - Accent5 2 6 3 2" xfId="22723" xr:uid="{D36F2614-F949-4497-B255-BC2CF330D8E7}"/>
    <cellStyle name="40% - Accent5 2 6 3 3" xfId="14275" xr:uid="{B3AE9A15-BCB0-4ED2-BC7F-F3A0A6B5EAE6}"/>
    <cellStyle name="40% - Accent5 2 6 4" xfId="18505" xr:uid="{2A37AB23-C442-4BF9-B9FE-946C444E8A69}"/>
    <cellStyle name="40% - Accent5 2 6 5" xfId="10057" xr:uid="{D2E2DC32-B3D6-4013-B983-D743CACBBEAE}"/>
    <cellStyle name="40% - Accent5 2 7" xfId="1932" xr:uid="{00000000-0005-0000-0000-00008B060000}"/>
    <cellStyle name="40% - Accent5 2 7 2" xfId="4161" xr:uid="{00000000-0005-0000-0000-00008C060000}"/>
    <cellStyle name="40% - Accent5 2 7 2 2" xfId="8383" xr:uid="{00000000-0005-0000-0000-00008D060000}"/>
    <cellStyle name="40% - Accent5 2 7 2 2 2" xfId="25281" xr:uid="{B80F52C6-9B41-4B72-B96D-2A272FAFB1D9}"/>
    <cellStyle name="40% - Accent5 2 7 2 2 3" xfId="16833" xr:uid="{111F5BEB-A3F3-4283-928D-B522131251C0}"/>
    <cellStyle name="40% - Accent5 2 7 2 3" xfId="21063" xr:uid="{82BF4950-D9FD-4F52-813E-828E8AD32E7C}"/>
    <cellStyle name="40% - Accent5 2 7 2 4" xfId="12615" xr:uid="{B9E39A36-8626-4019-8272-2C41138D62DD}"/>
    <cellStyle name="40% - Accent5 2 7 3" xfId="6238" xr:uid="{00000000-0005-0000-0000-00008E060000}"/>
    <cellStyle name="40% - Accent5 2 7 3 2" xfId="23136" xr:uid="{193A2C4E-AC10-4F2F-927C-9B6A52E824F3}"/>
    <cellStyle name="40% - Accent5 2 7 3 3" xfId="14688" xr:uid="{AEA5F658-8BC0-4183-8985-35CDF8A4892F}"/>
    <cellStyle name="40% - Accent5 2 7 4" xfId="18918" xr:uid="{F6C1E40F-93DB-4993-B50D-02256F63F273}"/>
    <cellStyle name="40% - Accent5 2 7 5" xfId="10470" xr:uid="{B51721F4-22BB-45DE-9FB9-4FAA061501C7}"/>
    <cellStyle name="40% - Accent5 2 8" xfId="2345" xr:uid="{00000000-0005-0000-0000-00008F060000}"/>
    <cellStyle name="40% - Accent5 2 8 2" xfId="6651" xr:uid="{00000000-0005-0000-0000-000090060000}"/>
    <cellStyle name="40% - Accent5 2 8 2 2" xfId="23549" xr:uid="{2315989A-F726-4D32-B930-1B5FDD05A554}"/>
    <cellStyle name="40% - Accent5 2 8 2 3" xfId="15101" xr:uid="{CA1915B9-9B7A-4EA2-B47D-1775BEBFD4BF}"/>
    <cellStyle name="40% - Accent5 2 8 3" xfId="19331" xr:uid="{9E02D40E-B2F3-426C-9996-34621E5EFC50}"/>
    <cellStyle name="40% - Accent5 2 8 4" xfId="10883" xr:uid="{ECEAD214-E876-4809-8900-08B2C266A164}"/>
    <cellStyle name="40% - Accent5 2 9" xfId="4585" xr:uid="{00000000-0005-0000-0000-000091060000}"/>
    <cellStyle name="40% - Accent5 2 9 2" xfId="21483" xr:uid="{8A29B250-0442-4B71-8C37-188003720250}"/>
    <cellStyle name="40% - Accent5 2 9 3" xfId="13035" xr:uid="{7934684C-11F9-46B3-A510-1D450AA1FE0A}"/>
    <cellStyle name="40% - Accent5 3" xfId="86" xr:uid="{00000000-0005-0000-0000-000092060000}"/>
    <cellStyle name="40% - Accent5 3 10" xfId="8821" xr:uid="{309F1058-986C-46FD-9B59-F056A91FC9EC}"/>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24047" xr:uid="{1D1950A1-726F-4EBE-AFB3-D932B7F862EF}"/>
    <cellStyle name="40% - Accent5 3 2 2 2 2 3" xfId="15599" xr:uid="{8C8A8525-31F8-420D-893E-EAD6FFD5A1BC}"/>
    <cellStyle name="40% - Accent5 3 2 2 2 3" xfId="19829" xr:uid="{ACEA18EA-8E65-4C3C-A720-8DD606F51FE5}"/>
    <cellStyle name="40% - Accent5 3 2 2 2 4" xfId="11381" xr:uid="{2753A8EE-B935-4309-9D87-B54DB9115C4A}"/>
    <cellStyle name="40% - Accent5 3 2 2 3" xfId="5004" xr:uid="{00000000-0005-0000-0000-000097060000}"/>
    <cellStyle name="40% - Accent5 3 2 2 3 2" xfId="21902" xr:uid="{FEB0BD79-C77C-4AF4-8272-08EC983DF15A}"/>
    <cellStyle name="40% - Accent5 3 2 2 3 3" xfId="13454" xr:uid="{9509715E-4CA1-46CE-A524-B285C5E174CD}"/>
    <cellStyle name="40% - Accent5 3 2 2 4" xfId="17684" xr:uid="{6C90A7B1-90C3-44F6-9338-6A3BC2A52FA3}"/>
    <cellStyle name="40% - Accent5 3 2 2 5" xfId="9236" xr:uid="{7079AE39-93DA-4386-8E1D-752CB732DFE2}"/>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24460" xr:uid="{167F7FCD-265A-4552-BBE9-92EC73951F0B}"/>
    <cellStyle name="40% - Accent5 3 2 3 2 2 3" xfId="16012" xr:uid="{8571B3F2-2A88-4FB1-B968-7B953E04EE4F}"/>
    <cellStyle name="40% - Accent5 3 2 3 2 3" xfId="20242" xr:uid="{BE57474D-CAB0-4B57-8CB4-BF81A85AC22C}"/>
    <cellStyle name="40% - Accent5 3 2 3 2 4" xfId="11794" xr:uid="{DDA77F91-6F59-40C6-8B72-ABB62D0A5031}"/>
    <cellStyle name="40% - Accent5 3 2 3 3" xfId="5417" xr:uid="{00000000-0005-0000-0000-00009B060000}"/>
    <cellStyle name="40% - Accent5 3 2 3 3 2" xfId="22315" xr:uid="{4A4FA710-BDF1-4185-97A0-C0D66CB55AC4}"/>
    <cellStyle name="40% - Accent5 3 2 3 3 3" xfId="13867" xr:uid="{87656C88-2944-41C3-A74E-276E86CBA214}"/>
    <cellStyle name="40% - Accent5 3 2 3 4" xfId="18097" xr:uid="{751AC894-B13F-4C2C-9CC2-C5F6D76273DB}"/>
    <cellStyle name="40% - Accent5 3 2 3 5" xfId="9649" xr:uid="{3D6C1389-4119-4673-ADD1-9A01B64A4D75}"/>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24873" xr:uid="{B9EB49A6-965A-43F7-9CA9-3B8CE09F60E1}"/>
    <cellStyle name="40% - Accent5 3 2 4 2 2 3" xfId="16425" xr:uid="{4A9E1CCD-754B-4668-B2C2-F0ECECFB0C9C}"/>
    <cellStyle name="40% - Accent5 3 2 4 2 3" xfId="20655" xr:uid="{2FC31E28-0898-4FF4-A138-D7B5D60E42A8}"/>
    <cellStyle name="40% - Accent5 3 2 4 2 4" xfId="12207" xr:uid="{9ED675CE-DFE3-41E5-B88B-5A17CEC049A1}"/>
    <cellStyle name="40% - Accent5 3 2 4 3" xfId="5830" xr:uid="{00000000-0005-0000-0000-00009F060000}"/>
    <cellStyle name="40% - Accent5 3 2 4 3 2" xfId="22728" xr:uid="{E08B8E7D-D892-43D4-A129-0BF35AF56B35}"/>
    <cellStyle name="40% - Accent5 3 2 4 3 3" xfId="14280" xr:uid="{0EB9715D-E535-4517-BC47-C30F4BA786B1}"/>
    <cellStyle name="40% - Accent5 3 2 4 4" xfId="18510" xr:uid="{0F0829DA-F27D-44CA-9E7F-FCDC5FC28A61}"/>
    <cellStyle name="40% - Accent5 3 2 4 5" xfId="10062" xr:uid="{97F9079F-CE42-4925-A7AC-612E50285939}"/>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25286" xr:uid="{0F3BA560-8941-48A2-B4A0-FECC57DB3DB8}"/>
    <cellStyle name="40% - Accent5 3 2 5 2 2 3" xfId="16838" xr:uid="{795877A6-9FB9-414D-81C1-37248FE2F2BB}"/>
    <cellStyle name="40% - Accent5 3 2 5 2 3" xfId="21068" xr:uid="{8F06FF21-6423-4CB0-B5CA-EDB064C3473E}"/>
    <cellStyle name="40% - Accent5 3 2 5 2 4" xfId="12620" xr:uid="{3009AA41-BB1E-49EA-988A-60EED8EAAC58}"/>
    <cellStyle name="40% - Accent5 3 2 5 3" xfId="6243" xr:uid="{00000000-0005-0000-0000-0000A3060000}"/>
    <cellStyle name="40% - Accent5 3 2 5 3 2" xfId="23141" xr:uid="{2E97D1EA-E72D-4DF6-8195-7CDE32439D57}"/>
    <cellStyle name="40% - Accent5 3 2 5 3 3" xfId="14693" xr:uid="{04F35F39-EDF3-4731-9574-8AE051ECF290}"/>
    <cellStyle name="40% - Accent5 3 2 5 4" xfId="18923" xr:uid="{060F871A-97E8-4783-9516-9E806402B8A1}"/>
    <cellStyle name="40% - Accent5 3 2 5 5" xfId="10475" xr:uid="{3B17960C-8DA3-409E-A4F3-B7012B343235}"/>
    <cellStyle name="40% - Accent5 3 2 6" xfId="2350" xr:uid="{00000000-0005-0000-0000-0000A4060000}"/>
    <cellStyle name="40% - Accent5 3 2 6 2" xfId="6656" xr:uid="{00000000-0005-0000-0000-0000A5060000}"/>
    <cellStyle name="40% - Accent5 3 2 6 2 2" xfId="23554" xr:uid="{89775013-7E60-43EF-92DE-3F6CDC16141E}"/>
    <cellStyle name="40% - Accent5 3 2 6 2 3" xfId="15106" xr:uid="{BD314F5A-127F-461A-A686-996C5B722FFD}"/>
    <cellStyle name="40% - Accent5 3 2 6 3" xfId="19336" xr:uid="{2B790720-76AA-4A5F-9BFD-9E1D50067627}"/>
    <cellStyle name="40% - Accent5 3 2 6 4" xfId="10888" xr:uid="{7DD51635-9685-487D-ABCD-79C6ED33391E}"/>
    <cellStyle name="40% - Accent5 3 2 7" xfId="4590" xr:uid="{00000000-0005-0000-0000-0000A6060000}"/>
    <cellStyle name="40% - Accent5 3 2 7 2" xfId="21488" xr:uid="{630FFB60-0DE1-4DC5-A3D0-A5F5FCFC1F39}"/>
    <cellStyle name="40% - Accent5 3 2 7 3" xfId="13040" xr:uid="{FD693E95-68E2-4132-89C8-68666035A868}"/>
    <cellStyle name="40% - Accent5 3 2 8" xfId="17270" xr:uid="{8185F778-6299-427F-98C4-59F2A356C3D6}"/>
    <cellStyle name="40% - Accent5 3 2 9" xfId="8822" xr:uid="{3A63EAD4-3721-4EDA-91A9-206C8BB5ACC0}"/>
    <cellStyle name="40% - Accent5 3 3" xfId="655" xr:uid="{00000000-0005-0000-0000-0000A7060000}"/>
    <cellStyle name="40% - Accent5 3 3 2" xfId="2926" xr:uid="{00000000-0005-0000-0000-0000A8060000}"/>
    <cellStyle name="40% - Accent5 3 3 2 2" xfId="7148" xr:uid="{00000000-0005-0000-0000-0000A9060000}"/>
    <cellStyle name="40% - Accent5 3 3 2 2 2" xfId="24046" xr:uid="{C62F7432-D20F-41EB-AB56-272A78D0968F}"/>
    <cellStyle name="40% - Accent5 3 3 2 2 3" xfId="15598" xr:uid="{84D4745C-B4B9-43BA-A5FF-066A97B9F6D5}"/>
    <cellStyle name="40% - Accent5 3 3 2 3" xfId="19828" xr:uid="{6DE70490-9ACD-4A12-82AB-6B47995B0C31}"/>
    <cellStyle name="40% - Accent5 3 3 2 4" xfId="11380" xr:uid="{190BFC23-462C-4479-9CD0-0A45622C8688}"/>
    <cellStyle name="40% - Accent5 3 3 3" xfId="5003" xr:uid="{00000000-0005-0000-0000-0000AA060000}"/>
    <cellStyle name="40% - Accent5 3 3 3 2" xfId="21901" xr:uid="{121BFC47-3299-45D4-8C06-A74AB8F4D000}"/>
    <cellStyle name="40% - Accent5 3 3 3 3" xfId="13453" xr:uid="{C5729C78-CBD8-4D6E-A6FE-F15C7DBA87A8}"/>
    <cellStyle name="40% - Accent5 3 3 4" xfId="17683" xr:uid="{1008B537-BADC-4FF6-B21B-9E2657BA39B3}"/>
    <cellStyle name="40% - Accent5 3 3 5" xfId="9235" xr:uid="{1F0F062C-9761-49FB-9BFC-FB2D11AF577A}"/>
    <cellStyle name="40% - Accent5 3 4" xfId="1108" xr:uid="{00000000-0005-0000-0000-0000AB060000}"/>
    <cellStyle name="40% - Accent5 3 4 2" xfId="3339" xr:uid="{00000000-0005-0000-0000-0000AC060000}"/>
    <cellStyle name="40% - Accent5 3 4 2 2" xfId="7561" xr:uid="{00000000-0005-0000-0000-0000AD060000}"/>
    <cellStyle name="40% - Accent5 3 4 2 2 2" xfId="24459" xr:uid="{F3798239-B2D7-488A-84CC-33C961A1C255}"/>
    <cellStyle name="40% - Accent5 3 4 2 2 3" xfId="16011" xr:uid="{4A94D55D-2CC6-4FFF-A8B0-FD3C7522222B}"/>
    <cellStyle name="40% - Accent5 3 4 2 3" xfId="20241" xr:uid="{689C6F24-EE92-4C44-87E7-3C9330D60FFB}"/>
    <cellStyle name="40% - Accent5 3 4 2 4" xfId="11793" xr:uid="{0D0FEF8C-C3B6-4D15-B28D-74ECF81788C7}"/>
    <cellStyle name="40% - Accent5 3 4 3" xfId="5416" xr:uid="{00000000-0005-0000-0000-0000AE060000}"/>
    <cellStyle name="40% - Accent5 3 4 3 2" xfId="22314" xr:uid="{F350EBFC-E653-4599-8541-CC7430E5A796}"/>
    <cellStyle name="40% - Accent5 3 4 3 3" xfId="13866" xr:uid="{65CAC261-4AD2-4B5E-94B7-AB614DC3C206}"/>
    <cellStyle name="40% - Accent5 3 4 4" xfId="18096" xr:uid="{83DA0436-BACC-41C6-B1A4-D67865340803}"/>
    <cellStyle name="40% - Accent5 3 4 5" xfId="9648" xr:uid="{E8F1E49D-1F3E-436A-94D0-1E2157B5ED58}"/>
    <cellStyle name="40% - Accent5 3 5" xfId="1522" xr:uid="{00000000-0005-0000-0000-0000AF060000}"/>
    <cellStyle name="40% - Accent5 3 5 2" xfId="3752" xr:uid="{00000000-0005-0000-0000-0000B0060000}"/>
    <cellStyle name="40% - Accent5 3 5 2 2" xfId="7974" xr:uid="{00000000-0005-0000-0000-0000B1060000}"/>
    <cellStyle name="40% - Accent5 3 5 2 2 2" xfId="24872" xr:uid="{CCD51935-D0DC-468B-B982-6C24BCD63974}"/>
    <cellStyle name="40% - Accent5 3 5 2 2 3" xfId="16424" xr:uid="{D336C365-EEB9-4E19-86F2-268B433EC588}"/>
    <cellStyle name="40% - Accent5 3 5 2 3" xfId="20654" xr:uid="{4743AE94-4C21-4106-A2C3-7FE6A0C756CF}"/>
    <cellStyle name="40% - Accent5 3 5 2 4" xfId="12206" xr:uid="{6046E659-7056-4674-9F70-6D2B66AE2BEE}"/>
    <cellStyle name="40% - Accent5 3 5 3" xfId="5829" xr:uid="{00000000-0005-0000-0000-0000B2060000}"/>
    <cellStyle name="40% - Accent5 3 5 3 2" xfId="22727" xr:uid="{81C8465A-A9C7-45B3-898D-79623DB243E8}"/>
    <cellStyle name="40% - Accent5 3 5 3 3" xfId="14279" xr:uid="{EC88EFA9-D9CE-4DE0-9015-CCAC5ED9CB7C}"/>
    <cellStyle name="40% - Accent5 3 5 4" xfId="18509" xr:uid="{FA9410EC-A44F-4DB9-A052-A3D457D04ADA}"/>
    <cellStyle name="40% - Accent5 3 5 5" xfId="10061" xr:uid="{C045E63B-1A7E-4639-918C-5087D24CD09B}"/>
    <cellStyle name="40% - Accent5 3 6" xfId="1936" xr:uid="{00000000-0005-0000-0000-0000B3060000}"/>
    <cellStyle name="40% - Accent5 3 6 2" xfId="4165" xr:uid="{00000000-0005-0000-0000-0000B4060000}"/>
    <cellStyle name="40% - Accent5 3 6 2 2" xfId="8387" xr:uid="{00000000-0005-0000-0000-0000B5060000}"/>
    <cellStyle name="40% - Accent5 3 6 2 2 2" xfId="25285" xr:uid="{69942AA8-C244-4D82-8EEC-8584C81C4543}"/>
    <cellStyle name="40% - Accent5 3 6 2 2 3" xfId="16837" xr:uid="{2E927C54-C25C-4D84-8143-88CD51AD2EE2}"/>
    <cellStyle name="40% - Accent5 3 6 2 3" xfId="21067" xr:uid="{06D947D2-CCB5-407B-B7AD-5CC4159A59CA}"/>
    <cellStyle name="40% - Accent5 3 6 2 4" xfId="12619" xr:uid="{F7D269ED-B20C-4C4B-A0A5-8CCE8D1F2C89}"/>
    <cellStyle name="40% - Accent5 3 6 3" xfId="6242" xr:uid="{00000000-0005-0000-0000-0000B6060000}"/>
    <cellStyle name="40% - Accent5 3 6 3 2" xfId="23140" xr:uid="{E72E83C9-F3DA-472E-8B69-80C177EB2629}"/>
    <cellStyle name="40% - Accent5 3 6 3 3" xfId="14692" xr:uid="{7B394B16-E81F-47A5-A024-0AEEC7977B5B}"/>
    <cellStyle name="40% - Accent5 3 6 4" xfId="18922" xr:uid="{E674613E-1CAC-4D92-B33C-77E2CA6ED2B5}"/>
    <cellStyle name="40% - Accent5 3 6 5" xfId="10474" xr:uid="{C8FC849C-9FE3-4F18-A764-27E5B31511C0}"/>
    <cellStyle name="40% - Accent5 3 7" xfId="2349" xr:uid="{00000000-0005-0000-0000-0000B7060000}"/>
    <cellStyle name="40% - Accent5 3 7 2" xfId="6655" xr:uid="{00000000-0005-0000-0000-0000B8060000}"/>
    <cellStyle name="40% - Accent5 3 7 2 2" xfId="23553" xr:uid="{2710DC20-A4D6-4B5C-A314-457C0CBD4E68}"/>
    <cellStyle name="40% - Accent5 3 7 2 3" xfId="15105" xr:uid="{C00894A4-1B9F-4E25-A78E-40DA9B94E872}"/>
    <cellStyle name="40% - Accent5 3 7 3" xfId="19335" xr:uid="{D0EBFF59-4DE3-4CB8-A489-6D58D071FB28}"/>
    <cellStyle name="40% - Accent5 3 7 4" xfId="10887" xr:uid="{D57A3EF9-5889-4612-B1EF-95F7EF15A212}"/>
    <cellStyle name="40% - Accent5 3 8" xfId="4589" xr:uid="{00000000-0005-0000-0000-0000B9060000}"/>
    <cellStyle name="40% - Accent5 3 8 2" xfId="21487" xr:uid="{0A342BD0-6938-4EB7-843F-A51CE03C255D}"/>
    <cellStyle name="40% - Accent5 3 8 3" xfId="13039" xr:uid="{9CC4F32B-B8F9-4E98-AE9F-53B88FF15CBD}"/>
    <cellStyle name="40% - Accent5 3 9" xfId="17269" xr:uid="{676F66A4-01D1-42C8-9949-D6A111B24133}"/>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2 2 2" xfId="24048" xr:uid="{EF4261DE-4974-40A7-90F3-1D3DB4E052B0}"/>
    <cellStyle name="40% - Accent5 4 2 2 2 3" xfId="15600" xr:uid="{99310B03-CCE9-49DE-9277-17CA043706CA}"/>
    <cellStyle name="40% - Accent5 4 2 2 3" xfId="19830" xr:uid="{700D1A43-9F61-428F-B07A-90BD559D55C8}"/>
    <cellStyle name="40% - Accent5 4 2 2 4" xfId="11382" xr:uid="{A59954CA-37CB-42A9-9520-C7673202813B}"/>
    <cellStyle name="40% - Accent5 4 2 3" xfId="5005" xr:uid="{00000000-0005-0000-0000-0000BE060000}"/>
    <cellStyle name="40% - Accent5 4 2 3 2" xfId="21903" xr:uid="{B01DA555-5955-4E8C-9B15-2B9AE7449FAE}"/>
    <cellStyle name="40% - Accent5 4 2 3 3" xfId="13455" xr:uid="{AE35754A-945D-443E-9556-B8ADA2659EAB}"/>
    <cellStyle name="40% - Accent5 4 2 4" xfId="17685" xr:uid="{D06A6902-B720-4BFA-87E2-C51D35E4EDA7}"/>
    <cellStyle name="40% - Accent5 4 2 5" xfId="9237" xr:uid="{405AF50C-006E-4E3C-8EDB-AD9BF9463BB4}"/>
    <cellStyle name="40% - Accent5 4 3" xfId="1110" xr:uid="{00000000-0005-0000-0000-0000BF060000}"/>
    <cellStyle name="40% - Accent5 4 3 2" xfId="3341" xr:uid="{00000000-0005-0000-0000-0000C0060000}"/>
    <cellStyle name="40% - Accent5 4 3 2 2" xfId="7563" xr:uid="{00000000-0005-0000-0000-0000C1060000}"/>
    <cellStyle name="40% - Accent5 4 3 2 2 2" xfId="24461" xr:uid="{32AE393B-57F4-404B-9295-6CB68E58F437}"/>
    <cellStyle name="40% - Accent5 4 3 2 2 3" xfId="16013" xr:uid="{BF6BC472-09AC-4D03-87D9-AFA7AD66BFF5}"/>
    <cellStyle name="40% - Accent5 4 3 2 3" xfId="20243" xr:uid="{F8184906-51F9-4D0E-9D67-6695DB859E4C}"/>
    <cellStyle name="40% - Accent5 4 3 2 4" xfId="11795" xr:uid="{9015BD43-E9BD-441D-8248-E14FE4058B25}"/>
    <cellStyle name="40% - Accent5 4 3 3" xfId="5418" xr:uid="{00000000-0005-0000-0000-0000C2060000}"/>
    <cellStyle name="40% - Accent5 4 3 3 2" xfId="22316" xr:uid="{8E886EAA-2549-4016-8045-C1557FD9723D}"/>
    <cellStyle name="40% - Accent5 4 3 3 3" xfId="13868" xr:uid="{3FE306CC-8ED8-43E7-B9DE-5B61B882501D}"/>
    <cellStyle name="40% - Accent5 4 3 4" xfId="18098" xr:uid="{CF1EF15D-E170-426D-9DD2-549859EF1879}"/>
    <cellStyle name="40% - Accent5 4 3 5" xfId="9650" xr:uid="{B02B6B50-BC5A-4D27-908A-42BF4FF6AF8F}"/>
    <cellStyle name="40% - Accent5 4 4" xfId="1524" xr:uid="{00000000-0005-0000-0000-0000C3060000}"/>
    <cellStyle name="40% - Accent5 4 4 2" xfId="3754" xr:uid="{00000000-0005-0000-0000-0000C4060000}"/>
    <cellStyle name="40% - Accent5 4 4 2 2" xfId="7976" xr:uid="{00000000-0005-0000-0000-0000C5060000}"/>
    <cellStyle name="40% - Accent5 4 4 2 2 2" xfId="24874" xr:uid="{CF30A922-44DF-408F-9B42-7CF3A878DF9B}"/>
    <cellStyle name="40% - Accent5 4 4 2 2 3" xfId="16426" xr:uid="{C69A1DFA-C408-48C7-995D-B44DD877A8B2}"/>
    <cellStyle name="40% - Accent5 4 4 2 3" xfId="20656" xr:uid="{4A23C080-E4FA-4EA0-B96A-3B3FB62C9C82}"/>
    <cellStyle name="40% - Accent5 4 4 2 4" xfId="12208" xr:uid="{2B6A0E1B-309D-4807-B85A-723DFD37FBF0}"/>
    <cellStyle name="40% - Accent5 4 4 3" xfId="5831" xr:uid="{00000000-0005-0000-0000-0000C6060000}"/>
    <cellStyle name="40% - Accent5 4 4 3 2" xfId="22729" xr:uid="{767C95D2-40EF-4CA6-93E8-AED960EBB345}"/>
    <cellStyle name="40% - Accent5 4 4 3 3" xfId="14281" xr:uid="{059C5189-DECC-4663-989A-C777C0E972F6}"/>
    <cellStyle name="40% - Accent5 4 4 4" xfId="18511" xr:uid="{CE1844B4-EC59-4853-B7C9-BE1EDB1426AB}"/>
    <cellStyle name="40% - Accent5 4 4 5" xfId="10063" xr:uid="{79E5FF13-3765-450E-9B95-A6466051DA0C}"/>
    <cellStyle name="40% - Accent5 4 5" xfId="1938" xr:uid="{00000000-0005-0000-0000-0000C7060000}"/>
    <cellStyle name="40% - Accent5 4 5 2" xfId="4167" xr:uid="{00000000-0005-0000-0000-0000C8060000}"/>
    <cellStyle name="40% - Accent5 4 5 2 2" xfId="8389" xr:uid="{00000000-0005-0000-0000-0000C9060000}"/>
    <cellStyle name="40% - Accent5 4 5 2 2 2" xfId="25287" xr:uid="{26217DE2-A3A5-4921-96BD-3DDCCA305213}"/>
    <cellStyle name="40% - Accent5 4 5 2 2 3" xfId="16839" xr:uid="{7B1840AC-4ADF-4253-BE6C-6ACC37BE5478}"/>
    <cellStyle name="40% - Accent5 4 5 2 3" xfId="21069" xr:uid="{71A134D5-2E11-4955-BBB4-4CA744EBBB68}"/>
    <cellStyle name="40% - Accent5 4 5 2 4" xfId="12621" xr:uid="{4A2B85D4-680B-49C8-9EC6-AC0E6C961ECA}"/>
    <cellStyle name="40% - Accent5 4 5 3" xfId="6244" xr:uid="{00000000-0005-0000-0000-0000CA060000}"/>
    <cellStyle name="40% - Accent5 4 5 3 2" xfId="23142" xr:uid="{BD7ECEA6-0735-4CA1-B78E-0F8EEDE9A8DB}"/>
    <cellStyle name="40% - Accent5 4 5 3 3" xfId="14694" xr:uid="{1A47386B-03B5-4424-9B58-2B5D8C3177AB}"/>
    <cellStyle name="40% - Accent5 4 5 4" xfId="18924" xr:uid="{17C7391C-CE34-4C55-A2DD-B0EB4DECCA71}"/>
    <cellStyle name="40% - Accent5 4 5 5" xfId="10476" xr:uid="{D5A82EB5-073E-4CDA-A004-3CFC8CC45C8A}"/>
    <cellStyle name="40% - Accent5 4 6" xfId="2351" xr:uid="{00000000-0005-0000-0000-0000CB060000}"/>
    <cellStyle name="40% - Accent5 4 6 2" xfId="6657" xr:uid="{00000000-0005-0000-0000-0000CC060000}"/>
    <cellStyle name="40% - Accent5 4 6 2 2" xfId="23555" xr:uid="{82B51201-911D-43C9-8C64-4B590AB80F39}"/>
    <cellStyle name="40% - Accent5 4 6 2 3" xfId="15107" xr:uid="{94E9AC2D-AE29-4AAD-B638-5881E4AD2D4E}"/>
    <cellStyle name="40% - Accent5 4 6 3" xfId="19337" xr:uid="{3642AF05-B957-4010-B15A-0FACB45A5191}"/>
    <cellStyle name="40% - Accent5 4 6 4" xfId="10889" xr:uid="{24BED259-B886-4ADF-A2C2-E66A3E604B3A}"/>
    <cellStyle name="40% - Accent5 4 7" xfId="4591" xr:uid="{00000000-0005-0000-0000-0000CD060000}"/>
    <cellStyle name="40% - Accent5 4 7 2" xfId="21489" xr:uid="{C0D51848-8DC4-478B-A25A-90E07723C78E}"/>
    <cellStyle name="40% - Accent5 4 7 3" xfId="13041" xr:uid="{A5857FFD-FF6B-4A65-9742-849FE8F82F91}"/>
    <cellStyle name="40% - Accent5 4 8" xfId="17271" xr:uid="{5C15584E-CD85-4524-BB77-D4EAD7BE60F1}"/>
    <cellStyle name="40% - Accent5 4 9" xfId="8823" xr:uid="{8879B957-4A07-43CC-B88A-8384AB0349F5}"/>
    <cellStyle name="40% - Accent5 5" xfId="650" xr:uid="{00000000-0005-0000-0000-0000CE060000}"/>
    <cellStyle name="40% - Accent5 5 2" xfId="2921" xr:uid="{00000000-0005-0000-0000-0000CF060000}"/>
    <cellStyle name="40% - Accent5 5 2 2" xfId="7143" xr:uid="{00000000-0005-0000-0000-0000D0060000}"/>
    <cellStyle name="40% - Accent5 5 2 2 2" xfId="24041" xr:uid="{72305AB8-A8CB-4E97-848F-0F1EEECAADB9}"/>
    <cellStyle name="40% - Accent5 5 2 2 3" xfId="15593" xr:uid="{E04B99BC-FBDD-4FB8-87C0-A0F163E7FA3B}"/>
    <cellStyle name="40% - Accent5 5 2 3" xfId="19823" xr:uid="{AE9F9F69-911D-4AE1-A067-4BD5C3C547EB}"/>
    <cellStyle name="40% - Accent5 5 2 4" xfId="11375" xr:uid="{253E56E2-FDB6-44D8-B323-E611B666F6A1}"/>
    <cellStyle name="40% - Accent5 5 3" xfId="4998" xr:uid="{00000000-0005-0000-0000-0000D1060000}"/>
    <cellStyle name="40% - Accent5 5 3 2" xfId="21896" xr:uid="{E027BFB4-9883-4ACC-A6DD-A2EA2A6D8F27}"/>
    <cellStyle name="40% - Accent5 5 3 3" xfId="13448" xr:uid="{2C8A47BB-39EE-468D-8175-0FEACE011D0D}"/>
    <cellStyle name="40% - Accent5 5 4" xfId="17678" xr:uid="{C96C3791-598C-40B9-A68E-A8C415317C77}"/>
    <cellStyle name="40% - Accent5 5 5" xfId="9230" xr:uid="{18F7EAA6-D5C3-4456-8673-537B3C3BDB80}"/>
    <cellStyle name="40% - Accent5 6" xfId="1103" xr:uid="{00000000-0005-0000-0000-0000D2060000}"/>
    <cellStyle name="40% - Accent5 6 2" xfId="3334" xr:uid="{00000000-0005-0000-0000-0000D3060000}"/>
    <cellStyle name="40% - Accent5 6 2 2" xfId="7556" xr:uid="{00000000-0005-0000-0000-0000D4060000}"/>
    <cellStyle name="40% - Accent5 6 2 2 2" xfId="24454" xr:uid="{7B3DF7C3-CB5F-4A50-A7BB-C4F7B87EF73D}"/>
    <cellStyle name="40% - Accent5 6 2 2 3" xfId="16006" xr:uid="{923E49E1-006F-4C4F-996E-4F70ECBE57D3}"/>
    <cellStyle name="40% - Accent5 6 2 3" xfId="20236" xr:uid="{C5E8DC16-B544-47E7-8D95-8335EF160C15}"/>
    <cellStyle name="40% - Accent5 6 2 4" xfId="11788" xr:uid="{B83CAD9C-D8FA-4D52-A606-62020D234FD0}"/>
    <cellStyle name="40% - Accent5 6 3" xfId="5411" xr:uid="{00000000-0005-0000-0000-0000D5060000}"/>
    <cellStyle name="40% - Accent5 6 3 2" xfId="22309" xr:uid="{0EBE3755-61BC-4471-96DA-A31D18D1BD73}"/>
    <cellStyle name="40% - Accent5 6 3 3" xfId="13861" xr:uid="{53C8A4EE-5F83-41C9-BCE6-97113BE8598C}"/>
    <cellStyle name="40% - Accent5 6 4" xfId="18091" xr:uid="{3052A935-181E-42C9-BFC5-0B1B169FB2C5}"/>
    <cellStyle name="40% - Accent5 6 5" xfId="9643" xr:uid="{0FEFBCD2-F467-4D9A-A0FE-74F862BEB6C2}"/>
    <cellStyle name="40% - Accent5 7" xfId="1517" xr:uid="{00000000-0005-0000-0000-0000D6060000}"/>
    <cellStyle name="40% - Accent5 7 2" xfId="3747" xr:uid="{00000000-0005-0000-0000-0000D7060000}"/>
    <cellStyle name="40% - Accent5 7 2 2" xfId="7969" xr:uid="{00000000-0005-0000-0000-0000D8060000}"/>
    <cellStyle name="40% - Accent5 7 2 2 2" xfId="24867" xr:uid="{ADC399A2-85E2-4749-BFF3-4360924BA5E9}"/>
    <cellStyle name="40% - Accent5 7 2 2 3" xfId="16419" xr:uid="{8D05D607-16D3-44B2-9193-FF4502D5E628}"/>
    <cellStyle name="40% - Accent5 7 2 3" xfId="20649" xr:uid="{C320AAEF-2777-4896-B3C4-45BAF42AD4C2}"/>
    <cellStyle name="40% - Accent5 7 2 4" xfId="12201" xr:uid="{B7008929-AB89-4998-BB6D-B6694BD7FB08}"/>
    <cellStyle name="40% - Accent5 7 3" xfId="5824" xr:uid="{00000000-0005-0000-0000-0000D9060000}"/>
    <cellStyle name="40% - Accent5 7 3 2" xfId="22722" xr:uid="{20ABC4CD-4D9E-44C6-A30C-9D33ACD37FB4}"/>
    <cellStyle name="40% - Accent5 7 3 3" xfId="14274" xr:uid="{171F8DA1-084F-4715-B5B0-756D140D42F2}"/>
    <cellStyle name="40% - Accent5 7 4" xfId="18504" xr:uid="{CB874C66-CBE1-477B-B339-419CB44DE27C}"/>
    <cellStyle name="40% - Accent5 7 5" xfId="10056" xr:uid="{7592FAB9-4E11-4F1F-A83B-CABB7400CAB0}"/>
    <cellStyle name="40% - Accent5 8" xfId="1931" xr:uid="{00000000-0005-0000-0000-0000DA060000}"/>
    <cellStyle name="40% - Accent5 8 2" xfId="4160" xr:uid="{00000000-0005-0000-0000-0000DB060000}"/>
    <cellStyle name="40% - Accent5 8 2 2" xfId="8382" xr:uid="{00000000-0005-0000-0000-0000DC060000}"/>
    <cellStyle name="40% - Accent5 8 2 2 2" xfId="25280" xr:uid="{849E73F3-5C62-4539-95DC-BFAD6307BEC9}"/>
    <cellStyle name="40% - Accent5 8 2 2 3" xfId="16832" xr:uid="{674C9A71-B100-4134-8CEE-FD4CBE1423F4}"/>
    <cellStyle name="40% - Accent5 8 2 3" xfId="21062" xr:uid="{E5BCE5C8-C2AB-4C61-BD01-6379F91FAE97}"/>
    <cellStyle name="40% - Accent5 8 2 4" xfId="12614" xr:uid="{963A2B75-8840-437F-9E37-F5594C926EED}"/>
    <cellStyle name="40% - Accent5 8 3" xfId="6237" xr:uid="{00000000-0005-0000-0000-0000DD060000}"/>
    <cellStyle name="40% - Accent5 8 3 2" xfId="23135" xr:uid="{611AFFC3-DFD7-416A-BEDC-830A2B342E48}"/>
    <cellStyle name="40% - Accent5 8 3 3" xfId="14687" xr:uid="{39452661-F59E-4DF4-A0BA-5C33E9212C85}"/>
    <cellStyle name="40% - Accent5 8 4" xfId="18917" xr:uid="{E37DF4DD-EFF6-4846-9564-1B4201F6778A}"/>
    <cellStyle name="40% - Accent5 8 5" xfId="10469" xr:uid="{A73195CF-9501-4DF1-BCCF-48B4252A3F5E}"/>
    <cellStyle name="40% - Accent5 9" xfId="2344" xr:uid="{00000000-0005-0000-0000-0000DE060000}"/>
    <cellStyle name="40% - Accent5 9 2" xfId="6650" xr:uid="{00000000-0005-0000-0000-0000DF060000}"/>
    <cellStyle name="40% - Accent5 9 2 2" xfId="23548" xr:uid="{E9E09666-25E6-4BCB-8AA5-A9C9399D18A7}"/>
    <cellStyle name="40% - Accent5 9 2 3" xfId="15100" xr:uid="{C32664CE-EE01-469A-9DD6-024B6F61592D}"/>
    <cellStyle name="40% - Accent5 9 3" xfId="19330" xr:uid="{28C0A219-3740-4F0F-BC61-A812D74EDFB3}"/>
    <cellStyle name="40% - Accent5 9 4" xfId="10882" xr:uid="{02EBE04E-DBF0-460D-B688-013672E03E7C}"/>
    <cellStyle name="40% - Accent6" xfId="89" builtinId="51" customBuiltin="1"/>
    <cellStyle name="40% - Accent6 10" xfId="4592" xr:uid="{00000000-0005-0000-0000-0000E1060000}"/>
    <cellStyle name="40% - Accent6 10 2" xfId="21490" xr:uid="{5BA7076B-BC6B-4EE0-B1C1-53FCA4869D7C}"/>
    <cellStyle name="40% - Accent6 10 3" xfId="13042" xr:uid="{45979B64-0ADD-4D78-AF6A-9113666E8300}"/>
    <cellStyle name="40% - Accent6 11" xfId="17272" xr:uid="{5BD673A5-F3C4-4CDD-9C53-22173C55CE6E}"/>
    <cellStyle name="40% - Accent6 12" xfId="8824" xr:uid="{EBCD403C-0154-474E-B04A-DE7F3ACFA3D0}"/>
    <cellStyle name="40% - Accent6 2" xfId="90" xr:uid="{00000000-0005-0000-0000-0000E2060000}"/>
    <cellStyle name="40% - Accent6 2 10" xfId="17273" xr:uid="{BCC56577-E97A-4974-B99A-689861487FFC}"/>
    <cellStyle name="40% - Accent6 2 11" xfId="8825" xr:uid="{6E289245-32E6-4D50-8C0D-B9EACAE2E242}"/>
    <cellStyle name="40% - Accent6 2 2" xfId="91" xr:uid="{00000000-0005-0000-0000-0000E3060000}"/>
    <cellStyle name="40% - Accent6 2 2 10" xfId="8826" xr:uid="{7DE70837-5CA7-4C46-B87F-F5DBB9E0AD82}"/>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24052" xr:uid="{D6379A79-DC63-4813-8F4E-660CC796BB63}"/>
    <cellStyle name="40% - Accent6 2 2 2 2 2 2 3" xfId="15604" xr:uid="{F5CB46BD-246C-44A9-ABDD-A5110AEDD7B5}"/>
    <cellStyle name="40% - Accent6 2 2 2 2 2 3" xfId="19834" xr:uid="{5EC24EA0-5106-4801-8958-4387A58988DF}"/>
    <cellStyle name="40% - Accent6 2 2 2 2 2 4" xfId="11386" xr:uid="{E87038B0-056D-4240-AC47-A36131CC8401}"/>
    <cellStyle name="40% - Accent6 2 2 2 2 3" xfId="5009" xr:uid="{00000000-0005-0000-0000-0000E8060000}"/>
    <cellStyle name="40% - Accent6 2 2 2 2 3 2" xfId="21907" xr:uid="{47598BF9-4141-4EC9-857D-85AF4EE6BE82}"/>
    <cellStyle name="40% - Accent6 2 2 2 2 3 3" xfId="13459" xr:uid="{B74A017C-7E01-433B-BB8A-5B1DE85C2C06}"/>
    <cellStyle name="40% - Accent6 2 2 2 2 4" xfId="17689" xr:uid="{16309012-846D-4800-BF9A-F77DDF4FB893}"/>
    <cellStyle name="40% - Accent6 2 2 2 2 5" xfId="9241" xr:uid="{40A33DB0-FE55-4CB4-9FF7-F00904714F95}"/>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24465" xr:uid="{E51D79B4-A1C5-4768-9112-6B92B04023D2}"/>
    <cellStyle name="40% - Accent6 2 2 2 3 2 2 3" xfId="16017" xr:uid="{8DDAF5FC-E6AD-43B8-9AE2-B8E389A43C81}"/>
    <cellStyle name="40% - Accent6 2 2 2 3 2 3" xfId="20247" xr:uid="{10C6A94F-26DA-4560-A544-07AA0B7F183B}"/>
    <cellStyle name="40% - Accent6 2 2 2 3 2 4" xfId="11799" xr:uid="{D3B3FD13-FD3F-4AA6-87FC-7DC72C80C8A9}"/>
    <cellStyle name="40% - Accent6 2 2 2 3 3" xfId="5422" xr:uid="{00000000-0005-0000-0000-0000EC060000}"/>
    <cellStyle name="40% - Accent6 2 2 2 3 3 2" xfId="22320" xr:uid="{CCBCEFA5-35D1-4BC1-BC19-21FF57AD621B}"/>
    <cellStyle name="40% - Accent6 2 2 2 3 3 3" xfId="13872" xr:uid="{E85AE8B0-DCC7-4D81-B3F8-C1A9BB1EDEC9}"/>
    <cellStyle name="40% - Accent6 2 2 2 3 4" xfId="18102" xr:uid="{F79B7C5C-BFC3-41F7-B2CD-F10DF3AB5593}"/>
    <cellStyle name="40% - Accent6 2 2 2 3 5" xfId="9654" xr:uid="{BCB60B91-57C6-415D-96B2-9A318D28DCE9}"/>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24878" xr:uid="{8ECF407A-E189-4967-8369-613280ECD0F3}"/>
    <cellStyle name="40% - Accent6 2 2 2 4 2 2 3" xfId="16430" xr:uid="{88D2F174-7341-4BD8-81F0-D570AA4A20D6}"/>
    <cellStyle name="40% - Accent6 2 2 2 4 2 3" xfId="20660" xr:uid="{80189510-2E07-48B2-898C-B76CECCD4B48}"/>
    <cellStyle name="40% - Accent6 2 2 2 4 2 4" xfId="12212" xr:uid="{C91DB194-D373-4110-BBEA-877682601387}"/>
    <cellStyle name="40% - Accent6 2 2 2 4 3" xfId="5835" xr:uid="{00000000-0005-0000-0000-0000F0060000}"/>
    <cellStyle name="40% - Accent6 2 2 2 4 3 2" xfId="22733" xr:uid="{01E29116-4919-4F2F-89F1-C70AEFCAF1C3}"/>
    <cellStyle name="40% - Accent6 2 2 2 4 3 3" xfId="14285" xr:uid="{6FC88AE2-9158-4D72-98B9-F0B283D9ED4B}"/>
    <cellStyle name="40% - Accent6 2 2 2 4 4" xfId="18515" xr:uid="{A1B3F492-4F48-4016-B492-97DE79476873}"/>
    <cellStyle name="40% - Accent6 2 2 2 4 5" xfId="10067" xr:uid="{06048CDD-D09E-4D6B-BA63-EDA5738117D5}"/>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25291" xr:uid="{6FDFECCF-9B9C-4F07-8A00-976964C12C6B}"/>
    <cellStyle name="40% - Accent6 2 2 2 5 2 2 3" xfId="16843" xr:uid="{432245D8-1413-46AE-9C82-6252BA5B8101}"/>
    <cellStyle name="40% - Accent6 2 2 2 5 2 3" xfId="21073" xr:uid="{A1C9532B-B807-460D-93A3-9AB1D7EB86D0}"/>
    <cellStyle name="40% - Accent6 2 2 2 5 2 4" xfId="12625" xr:uid="{17FB79D3-EDF8-4FAD-9E9D-C229764387C7}"/>
    <cellStyle name="40% - Accent6 2 2 2 5 3" xfId="6248" xr:uid="{00000000-0005-0000-0000-0000F4060000}"/>
    <cellStyle name="40% - Accent6 2 2 2 5 3 2" xfId="23146" xr:uid="{FBCE2FA5-23D4-488E-B44E-151D4928B7DC}"/>
    <cellStyle name="40% - Accent6 2 2 2 5 3 3" xfId="14698" xr:uid="{D6E1DB02-D448-4006-BE51-C420501A1C73}"/>
    <cellStyle name="40% - Accent6 2 2 2 5 4" xfId="18928" xr:uid="{ED1D81D8-F36A-4A34-889C-653231739202}"/>
    <cellStyle name="40% - Accent6 2 2 2 5 5" xfId="10480" xr:uid="{E564C574-6D7B-45A5-878E-933B37793ED3}"/>
    <cellStyle name="40% - Accent6 2 2 2 6" xfId="2355" xr:uid="{00000000-0005-0000-0000-0000F5060000}"/>
    <cellStyle name="40% - Accent6 2 2 2 6 2" xfId="6661" xr:uid="{00000000-0005-0000-0000-0000F6060000}"/>
    <cellStyle name="40% - Accent6 2 2 2 6 2 2" xfId="23559" xr:uid="{02626D22-3EF4-4942-9339-75086754E674}"/>
    <cellStyle name="40% - Accent6 2 2 2 6 2 3" xfId="15111" xr:uid="{18112675-E36C-4CCD-B895-49EBA75B11A2}"/>
    <cellStyle name="40% - Accent6 2 2 2 6 3" xfId="19341" xr:uid="{5715F7C9-E4F6-4B78-AE85-44459E53D633}"/>
    <cellStyle name="40% - Accent6 2 2 2 6 4" xfId="10893" xr:uid="{86CEDA72-3026-4FF9-AF2F-5AB72D71226C}"/>
    <cellStyle name="40% - Accent6 2 2 2 7" xfId="4595" xr:uid="{00000000-0005-0000-0000-0000F7060000}"/>
    <cellStyle name="40% - Accent6 2 2 2 7 2" xfId="21493" xr:uid="{790C2B0D-81E7-4CB2-B5C8-B7562BA5492F}"/>
    <cellStyle name="40% - Accent6 2 2 2 7 3" xfId="13045" xr:uid="{49FCE7B5-6708-413B-A0A5-F86A3FA10BBB}"/>
    <cellStyle name="40% - Accent6 2 2 2 8" xfId="17275" xr:uid="{98BD0A79-E13E-4F3F-BDFC-CDA45A361AF5}"/>
    <cellStyle name="40% - Accent6 2 2 2 9" xfId="8827" xr:uid="{91A514CE-411E-48BB-ABBD-E51BE9D696BD}"/>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24051" xr:uid="{7CED4513-8FF9-487C-BEF4-AB0BE0BA2ABD}"/>
    <cellStyle name="40% - Accent6 2 2 3 2 2 3" xfId="15603" xr:uid="{147D820D-9577-4F4F-8A35-6DF09DAD2EBB}"/>
    <cellStyle name="40% - Accent6 2 2 3 2 3" xfId="19833" xr:uid="{100492A0-9ACC-4888-93BB-E8A9BA1DAF85}"/>
    <cellStyle name="40% - Accent6 2 2 3 2 4" xfId="11385" xr:uid="{452CF864-E9AC-4B61-8449-794CF29709A9}"/>
    <cellStyle name="40% - Accent6 2 2 3 3" xfId="5008" xr:uid="{00000000-0005-0000-0000-0000FB060000}"/>
    <cellStyle name="40% - Accent6 2 2 3 3 2" xfId="21906" xr:uid="{973ACF50-A10A-4793-B32E-C23C63EFBE5B}"/>
    <cellStyle name="40% - Accent6 2 2 3 3 3" xfId="13458" xr:uid="{077C7C2C-D274-4FEA-A510-2F195779E3E6}"/>
    <cellStyle name="40% - Accent6 2 2 3 4" xfId="17688" xr:uid="{305C1A84-1EAB-48CE-8121-78CD36EA17BC}"/>
    <cellStyle name="40% - Accent6 2 2 3 5" xfId="9240" xr:uid="{48C8AB55-601C-4269-BCC5-6E36432E29BA}"/>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24464" xr:uid="{51F235DC-5A16-4535-A154-907C46B9C9C9}"/>
    <cellStyle name="40% - Accent6 2 2 4 2 2 3" xfId="16016" xr:uid="{DA4D4AFC-2D22-4AF3-AF96-7F6D68467BAE}"/>
    <cellStyle name="40% - Accent6 2 2 4 2 3" xfId="20246" xr:uid="{E27C74EF-2216-4C30-95F6-6B509B760C1B}"/>
    <cellStyle name="40% - Accent6 2 2 4 2 4" xfId="11798" xr:uid="{89C73A86-FECA-4CDF-A30A-2A2B8BCB9A36}"/>
    <cellStyle name="40% - Accent6 2 2 4 3" xfId="5421" xr:uid="{00000000-0005-0000-0000-0000FF060000}"/>
    <cellStyle name="40% - Accent6 2 2 4 3 2" xfId="22319" xr:uid="{B2541D93-69DB-44D9-9882-4AC312DEF9B8}"/>
    <cellStyle name="40% - Accent6 2 2 4 3 3" xfId="13871" xr:uid="{3D4D3D4B-AF27-4170-90E7-A47E4D2125E0}"/>
    <cellStyle name="40% - Accent6 2 2 4 4" xfId="18101" xr:uid="{4080DD4A-2DAC-4082-A209-F511F447C937}"/>
    <cellStyle name="40% - Accent6 2 2 4 5" xfId="9653" xr:uid="{BD009808-5CA1-4C5A-A611-0D92B51A6802}"/>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24877" xr:uid="{FAFA4BBB-4629-462F-A498-45A217313176}"/>
    <cellStyle name="40% - Accent6 2 2 5 2 2 3" xfId="16429" xr:uid="{6F6B3863-23E9-46AC-BA5B-3800268F8B88}"/>
    <cellStyle name="40% - Accent6 2 2 5 2 3" xfId="20659" xr:uid="{5D39C2AB-F724-46F5-A36F-BB89A2133F4E}"/>
    <cellStyle name="40% - Accent6 2 2 5 2 4" xfId="12211" xr:uid="{C1906FF4-55DB-4567-90FC-27931B4E4BF2}"/>
    <cellStyle name="40% - Accent6 2 2 5 3" xfId="5834" xr:uid="{00000000-0005-0000-0000-000003070000}"/>
    <cellStyle name="40% - Accent6 2 2 5 3 2" xfId="22732" xr:uid="{AA94C453-680E-45CA-A25D-FC2CF7211663}"/>
    <cellStyle name="40% - Accent6 2 2 5 3 3" xfId="14284" xr:uid="{F58AD9E3-3088-4207-A9D6-007C5E7522C8}"/>
    <cellStyle name="40% - Accent6 2 2 5 4" xfId="18514" xr:uid="{45553CA5-8B43-4621-B4F8-057742CE7E09}"/>
    <cellStyle name="40% - Accent6 2 2 5 5" xfId="10066" xr:uid="{0CDC97F1-E9FF-40D1-A66E-CF8981D6D222}"/>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25290" xr:uid="{74A6D90B-A89A-4D8E-A27E-61878DC5FB21}"/>
    <cellStyle name="40% - Accent6 2 2 6 2 2 3" xfId="16842" xr:uid="{7011046C-2419-4559-9679-A7B313B646F6}"/>
    <cellStyle name="40% - Accent6 2 2 6 2 3" xfId="21072" xr:uid="{53387BB9-BDAD-45AE-A7FD-703A5328EF8C}"/>
    <cellStyle name="40% - Accent6 2 2 6 2 4" xfId="12624" xr:uid="{5931A688-D528-4612-81FE-026F3FB2D26C}"/>
    <cellStyle name="40% - Accent6 2 2 6 3" xfId="6247" xr:uid="{00000000-0005-0000-0000-000007070000}"/>
    <cellStyle name="40% - Accent6 2 2 6 3 2" xfId="23145" xr:uid="{DD554F25-4ECA-4BF7-B4FC-4C85D15EDB85}"/>
    <cellStyle name="40% - Accent6 2 2 6 3 3" xfId="14697" xr:uid="{293C780B-7614-4762-89A3-006124AC1186}"/>
    <cellStyle name="40% - Accent6 2 2 6 4" xfId="18927" xr:uid="{B0088C42-8CC6-40C9-B687-AD288E8ED93E}"/>
    <cellStyle name="40% - Accent6 2 2 6 5" xfId="10479" xr:uid="{7A278184-B8D1-41D6-86DB-F06DC1CD5D56}"/>
    <cellStyle name="40% - Accent6 2 2 7" xfId="2354" xr:uid="{00000000-0005-0000-0000-000008070000}"/>
    <cellStyle name="40% - Accent6 2 2 7 2" xfId="6660" xr:uid="{00000000-0005-0000-0000-000009070000}"/>
    <cellStyle name="40% - Accent6 2 2 7 2 2" xfId="23558" xr:uid="{D55AF556-4F66-4728-91BC-72C497BBFC59}"/>
    <cellStyle name="40% - Accent6 2 2 7 2 3" xfId="15110" xr:uid="{02F20BAD-7210-4342-8972-373B467BD51C}"/>
    <cellStyle name="40% - Accent6 2 2 7 3" xfId="19340" xr:uid="{8B9D304A-CA2A-4B9F-B18A-0E140602EAD4}"/>
    <cellStyle name="40% - Accent6 2 2 7 4" xfId="10892" xr:uid="{76F3BBDC-0FD6-4E61-AFFB-D2F653915E25}"/>
    <cellStyle name="40% - Accent6 2 2 8" xfId="4594" xr:uid="{00000000-0005-0000-0000-00000A070000}"/>
    <cellStyle name="40% - Accent6 2 2 8 2" xfId="21492" xr:uid="{A95AC558-BED2-487E-9C2C-99AC4595319D}"/>
    <cellStyle name="40% - Accent6 2 2 8 3" xfId="13044" xr:uid="{E6125DB3-23A7-42D0-A1DB-13D3D3E266F0}"/>
    <cellStyle name="40% - Accent6 2 2 9" xfId="17274" xr:uid="{2EC97F5E-1DAA-4CC6-90A1-DCE5595EE324}"/>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24053" xr:uid="{693FCF53-5648-4901-8757-A930632BC749}"/>
    <cellStyle name="40% - Accent6 2 3 2 2 2 3" xfId="15605" xr:uid="{AB55CBEC-64D4-491F-A9F6-7C822ED290E1}"/>
    <cellStyle name="40% - Accent6 2 3 2 2 3" xfId="19835" xr:uid="{D2CBD8F8-97CA-48B6-ADFD-667693D9F622}"/>
    <cellStyle name="40% - Accent6 2 3 2 2 4" xfId="11387" xr:uid="{0B16816F-660F-4B8F-9F3B-7D413D18A685}"/>
    <cellStyle name="40% - Accent6 2 3 2 3" xfId="5010" xr:uid="{00000000-0005-0000-0000-00000F070000}"/>
    <cellStyle name="40% - Accent6 2 3 2 3 2" xfId="21908" xr:uid="{1A752EBF-C5A4-46F6-A096-607D9B543BBE}"/>
    <cellStyle name="40% - Accent6 2 3 2 3 3" xfId="13460" xr:uid="{7A395BAD-C07C-4303-9C29-1FD97AF8EA61}"/>
    <cellStyle name="40% - Accent6 2 3 2 4" xfId="17690" xr:uid="{DF9BB610-B744-4465-B219-6D46585C343F}"/>
    <cellStyle name="40% - Accent6 2 3 2 5" xfId="9242" xr:uid="{F9C83D40-AA75-4236-AB82-AB8D4E4C64A9}"/>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24466" xr:uid="{9DCF636F-31E0-479D-A9A7-A238B209C341}"/>
    <cellStyle name="40% - Accent6 2 3 3 2 2 3" xfId="16018" xr:uid="{3D93C61C-89BA-44A5-848E-C2FB3E62FC53}"/>
    <cellStyle name="40% - Accent6 2 3 3 2 3" xfId="20248" xr:uid="{E1211035-5F18-4090-AE52-748039277AB2}"/>
    <cellStyle name="40% - Accent6 2 3 3 2 4" xfId="11800" xr:uid="{89493457-70EC-46B0-BA88-246215E7DC77}"/>
    <cellStyle name="40% - Accent6 2 3 3 3" xfId="5423" xr:uid="{00000000-0005-0000-0000-000013070000}"/>
    <cellStyle name="40% - Accent6 2 3 3 3 2" xfId="22321" xr:uid="{AB1CBB16-1231-4DA9-82A7-3E6704620378}"/>
    <cellStyle name="40% - Accent6 2 3 3 3 3" xfId="13873" xr:uid="{C2C2B399-1EE8-430E-B212-2369FB2454BC}"/>
    <cellStyle name="40% - Accent6 2 3 3 4" xfId="18103" xr:uid="{A4639CA3-A166-4F94-9DE4-E344DB786670}"/>
    <cellStyle name="40% - Accent6 2 3 3 5" xfId="9655" xr:uid="{3D7C5DF5-3E85-4765-B789-C7EEF95FA98B}"/>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24879" xr:uid="{6C86E7BF-811E-4DD7-A83F-976D6A5676A8}"/>
    <cellStyle name="40% - Accent6 2 3 4 2 2 3" xfId="16431" xr:uid="{785CD0AA-5EC1-41D6-8F12-4FFA2EEA6F2F}"/>
    <cellStyle name="40% - Accent6 2 3 4 2 3" xfId="20661" xr:uid="{7C3FFDAA-1DD0-408A-865F-A5D6C3859D92}"/>
    <cellStyle name="40% - Accent6 2 3 4 2 4" xfId="12213" xr:uid="{C30F1404-85F8-46C7-A337-EE762A934005}"/>
    <cellStyle name="40% - Accent6 2 3 4 3" xfId="5836" xr:uid="{00000000-0005-0000-0000-000017070000}"/>
    <cellStyle name="40% - Accent6 2 3 4 3 2" xfId="22734" xr:uid="{BE161695-3346-487F-AC20-CAC3BD7A1D39}"/>
    <cellStyle name="40% - Accent6 2 3 4 3 3" xfId="14286" xr:uid="{AEC3FB0B-0421-4172-9BDD-3A5E20F098B5}"/>
    <cellStyle name="40% - Accent6 2 3 4 4" xfId="18516" xr:uid="{88659317-75A6-4D01-93D2-753E26F0ED81}"/>
    <cellStyle name="40% - Accent6 2 3 4 5" xfId="10068" xr:uid="{6E154EA2-1793-459B-B0C8-431993E5D294}"/>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25292" xr:uid="{77060371-2B38-4BC3-AF41-B42049832BAA}"/>
    <cellStyle name="40% - Accent6 2 3 5 2 2 3" xfId="16844" xr:uid="{74CA4F77-1E09-494D-A54E-C2103E4D9849}"/>
    <cellStyle name="40% - Accent6 2 3 5 2 3" xfId="21074" xr:uid="{E9D88B3C-A97B-4E59-8C1C-07A63EC8625F}"/>
    <cellStyle name="40% - Accent6 2 3 5 2 4" xfId="12626" xr:uid="{2FB1BBBB-105A-49AE-B37F-B773E38DC94E}"/>
    <cellStyle name="40% - Accent6 2 3 5 3" xfId="6249" xr:uid="{00000000-0005-0000-0000-00001B070000}"/>
    <cellStyle name="40% - Accent6 2 3 5 3 2" xfId="23147" xr:uid="{6EF16047-A166-40F7-845B-E236C2730E9F}"/>
    <cellStyle name="40% - Accent6 2 3 5 3 3" xfId="14699" xr:uid="{FEEB886B-ABC5-4876-BCAF-C3C246910FB1}"/>
    <cellStyle name="40% - Accent6 2 3 5 4" xfId="18929" xr:uid="{91A1D0A5-839D-466D-ACB8-BE5753DCC612}"/>
    <cellStyle name="40% - Accent6 2 3 5 5" xfId="10481" xr:uid="{C78ECE2B-5760-417B-8F6D-A2FC57F70DEF}"/>
    <cellStyle name="40% - Accent6 2 3 6" xfId="2356" xr:uid="{00000000-0005-0000-0000-00001C070000}"/>
    <cellStyle name="40% - Accent6 2 3 6 2" xfId="6662" xr:uid="{00000000-0005-0000-0000-00001D070000}"/>
    <cellStyle name="40% - Accent6 2 3 6 2 2" xfId="23560" xr:uid="{7BC55182-C130-4F57-85E6-9FFD475B8150}"/>
    <cellStyle name="40% - Accent6 2 3 6 2 3" xfId="15112" xr:uid="{289F2169-6F18-4DA9-872E-424D3D977A9F}"/>
    <cellStyle name="40% - Accent6 2 3 6 3" xfId="19342" xr:uid="{F4831969-1DA7-42A9-B5D1-E7D296C57D1E}"/>
    <cellStyle name="40% - Accent6 2 3 6 4" xfId="10894" xr:uid="{0FD5D4D1-F774-4E41-94FB-B3C5A17AE8F9}"/>
    <cellStyle name="40% - Accent6 2 3 7" xfId="4596" xr:uid="{00000000-0005-0000-0000-00001E070000}"/>
    <cellStyle name="40% - Accent6 2 3 7 2" xfId="21494" xr:uid="{484FABAF-FEE5-4D24-A436-09C8E329B999}"/>
    <cellStyle name="40% - Accent6 2 3 7 3" xfId="13046" xr:uid="{ACA85CEE-C42F-442D-A502-749D51A713D6}"/>
    <cellStyle name="40% - Accent6 2 3 8" xfId="17276" xr:uid="{C774CAD4-C559-493E-BA08-A2D7E279EACF}"/>
    <cellStyle name="40% - Accent6 2 3 9" xfId="8828" xr:uid="{2E108381-9193-49CD-9610-B15AB4B3097C}"/>
    <cellStyle name="40% - Accent6 2 4" xfId="659" xr:uid="{00000000-0005-0000-0000-00001F070000}"/>
    <cellStyle name="40% - Accent6 2 4 2" xfId="2930" xr:uid="{00000000-0005-0000-0000-000020070000}"/>
    <cellStyle name="40% - Accent6 2 4 2 2" xfId="7152" xr:uid="{00000000-0005-0000-0000-000021070000}"/>
    <cellStyle name="40% - Accent6 2 4 2 2 2" xfId="24050" xr:uid="{9090FB10-4896-4D58-8D74-1121D9264644}"/>
    <cellStyle name="40% - Accent6 2 4 2 2 3" xfId="15602" xr:uid="{CEE9B918-887E-451A-A030-351DAF3D9327}"/>
    <cellStyle name="40% - Accent6 2 4 2 3" xfId="19832" xr:uid="{CFE015BC-3638-4F69-A5DC-047F9C5A922A}"/>
    <cellStyle name="40% - Accent6 2 4 2 4" xfId="11384" xr:uid="{4A7B8519-6F68-4697-93B7-3DB7A5C70E95}"/>
    <cellStyle name="40% - Accent6 2 4 3" xfId="5007" xr:uid="{00000000-0005-0000-0000-000022070000}"/>
    <cellStyle name="40% - Accent6 2 4 3 2" xfId="21905" xr:uid="{AF5F6B15-B64D-49C2-9B74-3713654DE735}"/>
    <cellStyle name="40% - Accent6 2 4 3 3" xfId="13457" xr:uid="{31696EC8-70A3-43C9-B090-F54753048015}"/>
    <cellStyle name="40% - Accent6 2 4 4" xfId="17687" xr:uid="{9E934C39-28AC-43FE-8981-5E9CADF9CB1C}"/>
    <cellStyle name="40% - Accent6 2 4 5" xfId="9239" xr:uid="{B8D252F7-6299-4836-B315-76397D4CC1C8}"/>
    <cellStyle name="40% - Accent6 2 5" xfId="1112" xr:uid="{00000000-0005-0000-0000-000023070000}"/>
    <cellStyle name="40% - Accent6 2 5 2" xfId="3343" xr:uid="{00000000-0005-0000-0000-000024070000}"/>
    <cellStyle name="40% - Accent6 2 5 2 2" xfId="7565" xr:uid="{00000000-0005-0000-0000-000025070000}"/>
    <cellStyle name="40% - Accent6 2 5 2 2 2" xfId="24463" xr:uid="{3AE080FA-797E-4EAD-95C8-7A87A581E23C}"/>
    <cellStyle name="40% - Accent6 2 5 2 2 3" xfId="16015" xr:uid="{5EF77907-6156-4B0B-B32F-D069E87E18A1}"/>
    <cellStyle name="40% - Accent6 2 5 2 3" xfId="20245" xr:uid="{144E21CA-2716-43B4-8FB5-B31DA19D7193}"/>
    <cellStyle name="40% - Accent6 2 5 2 4" xfId="11797" xr:uid="{62D30A7C-7415-4D5E-86D6-53B378F2ECFA}"/>
    <cellStyle name="40% - Accent6 2 5 3" xfId="5420" xr:uid="{00000000-0005-0000-0000-000026070000}"/>
    <cellStyle name="40% - Accent6 2 5 3 2" xfId="22318" xr:uid="{B789E463-D2D0-48AB-B0EF-2B87A180BE2B}"/>
    <cellStyle name="40% - Accent6 2 5 3 3" xfId="13870" xr:uid="{E88CAB9A-7248-450A-BEAB-3FAA2FA9FCE1}"/>
    <cellStyle name="40% - Accent6 2 5 4" xfId="18100" xr:uid="{2DD1E6CF-D748-42D0-9BD2-4C7B21736D64}"/>
    <cellStyle name="40% - Accent6 2 5 5" xfId="9652" xr:uid="{AB7B18BB-6EAB-48E5-AB8B-4A471FFB73D3}"/>
    <cellStyle name="40% - Accent6 2 6" xfId="1526" xr:uid="{00000000-0005-0000-0000-000027070000}"/>
    <cellStyle name="40% - Accent6 2 6 2" xfId="3756" xr:uid="{00000000-0005-0000-0000-000028070000}"/>
    <cellStyle name="40% - Accent6 2 6 2 2" xfId="7978" xr:uid="{00000000-0005-0000-0000-000029070000}"/>
    <cellStyle name="40% - Accent6 2 6 2 2 2" xfId="24876" xr:uid="{D97C60E0-E3AB-4BB1-9ED8-B72A4F9CF321}"/>
    <cellStyle name="40% - Accent6 2 6 2 2 3" xfId="16428" xr:uid="{26EEC637-FEF5-4D6F-B394-DE54E68788E2}"/>
    <cellStyle name="40% - Accent6 2 6 2 3" xfId="20658" xr:uid="{8BE98A31-5AE5-4F38-85F5-212F65901333}"/>
    <cellStyle name="40% - Accent6 2 6 2 4" xfId="12210" xr:uid="{9BA3A904-3F85-440A-8120-3C050611D24B}"/>
    <cellStyle name="40% - Accent6 2 6 3" xfId="5833" xr:uid="{00000000-0005-0000-0000-00002A070000}"/>
    <cellStyle name="40% - Accent6 2 6 3 2" xfId="22731" xr:uid="{08D62B0D-7E34-439A-95C1-608183A1F773}"/>
    <cellStyle name="40% - Accent6 2 6 3 3" xfId="14283" xr:uid="{735AC40A-9EC4-4A61-8C0E-A273AFE6B8AC}"/>
    <cellStyle name="40% - Accent6 2 6 4" xfId="18513" xr:uid="{2DA0BBFC-68DB-4B46-9138-D98860EA01C2}"/>
    <cellStyle name="40% - Accent6 2 6 5" xfId="10065" xr:uid="{7869A163-E09F-4C3C-854D-89F19B5FA7EC}"/>
    <cellStyle name="40% - Accent6 2 7" xfId="1940" xr:uid="{00000000-0005-0000-0000-00002B070000}"/>
    <cellStyle name="40% - Accent6 2 7 2" xfId="4169" xr:uid="{00000000-0005-0000-0000-00002C070000}"/>
    <cellStyle name="40% - Accent6 2 7 2 2" xfId="8391" xr:uid="{00000000-0005-0000-0000-00002D070000}"/>
    <cellStyle name="40% - Accent6 2 7 2 2 2" xfId="25289" xr:uid="{42AD0BE2-67C4-4D6E-9708-EDD08B44D20F}"/>
    <cellStyle name="40% - Accent6 2 7 2 2 3" xfId="16841" xr:uid="{E05A8F75-AAAB-4667-9524-FD5DD8C8D281}"/>
    <cellStyle name="40% - Accent6 2 7 2 3" xfId="21071" xr:uid="{109850AD-2DE4-4DD3-8AAF-42AAE8F2F46B}"/>
    <cellStyle name="40% - Accent6 2 7 2 4" xfId="12623" xr:uid="{AE14E55C-4DD4-4071-9CC8-E4BDC4E58637}"/>
    <cellStyle name="40% - Accent6 2 7 3" xfId="6246" xr:uid="{00000000-0005-0000-0000-00002E070000}"/>
    <cellStyle name="40% - Accent6 2 7 3 2" xfId="23144" xr:uid="{9E4BEA40-C93E-4A43-A5FB-CA07F4D3FB1A}"/>
    <cellStyle name="40% - Accent6 2 7 3 3" xfId="14696" xr:uid="{6845BC82-7CEF-4CDA-B003-80AB810BF848}"/>
    <cellStyle name="40% - Accent6 2 7 4" xfId="18926" xr:uid="{46AB457E-FF8A-4754-9BB6-1F34F061F4CF}"/>
    <cellStyle name="40% - Accent6 2 7 5" xfId="10478" xr:uid="{E59DE879-4546-480A-85AA-9F0C47F8D3CC}"/>
    <cellStyle name="40% - Accent6 2 8" xfId="2353" xr:uid="{00000000-0005-0000-0000-00002F070000}"/>
    <cellStyle name="40% - Accent6 2 8 2" xfId="6659" xr:uid="{00000000-0005-0000-0000-000030070000}"/>
    <cellStyle name="40% - Accent6 2 8 2 2" xfId="23557" xr:uid="{B3264129-1AA7-4EE4-A9CF-1020D7D92629}"/>
    <cellStyle name="40% - Accent6 2 8 2 3" xfId="15109" xr:uid="{82C7C0A8-C49F-4FC1-B120-D84AB9DE6683}"/>
    <cellStyle name="40% - Accent6 2 8 3" xfId="19339" xr:uid="{8552D7C3-AE17-4AF8-892C-FDD7BE0A155E}"/>
    <cellStyle name="40% - Accent6 2 8 4" xfId="10891" xr:uid="{7A9E6E93-D1E6-4A45-AB0E-469615D0ED63}"/>
    <cellStyle name="40% - Accent6 2 9" xfId="4593" xr:uid="{00000000-0005-0000-0000-000031070000}"/>
    <cellStyle name="40% - Accent6 2 9 2" xfId="21491" xr:uid="{912A6D35-C0AE-4574-9C61-8E9DF35A5E25}"/>
    <cellStyle name="40% - Accent6 2 9 3" xfId="13043" xr:uid="{8FCF78AC-22B6-4CA6-A43F-E5605CA4B10A}"/>
    <cellStyle name="40% - Accent6 3" xfId="94" xr:uid="{00000000-0005-0000-0000-000032070000}"/>
    <cellStyle name="40% - Accent6 3 10" xfId="8829" xr:uid="{0E02A224-187B-4CB3-AE63-929197D715D7}"/>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24055" xr:uid="{C87397C5-BCB2-49FE-9C83-110614873D38}"/>
    <cellStyle name="40% - Accent6 3 2 2 2 2 3" xfId="15607" xr:uid="{33C66BD6-A582-41BE-95D6-13EABD2E9450}"/>
    <cellStyle name="40% - Accent6 3 2 2 2 3" xfId="19837" xr:uid="{5CF077EE-3024-4220-A191-8908F43F0FD4}"/>
    <cellStyle name="40% - Accent6 3 2 2 2 4" xfId="11389" xr:uid="{01B83045-A9CD-471C-BAD2-D758007AD94E}"/>
    <cellStyle name="40% - Accent6 3 2 2 3" xfId="5012" xr:uid="{00000000-0005-0000-0000-000037070000}"/>
    <cellStyle name="40% - Accent6 3 2 2 3 2" xfId="21910" xr:uid="{8510E20D-ADD7-4024-929A-3492D3E298C3}"/>
    <cellStyle name="40% - Accent6 3 2 2 3 3" xfId="13462" xr:uid="{3B31AE37-AC05-4FF7-8AFA-C74F2BA45492}"/>
    <cellStyle name="40% - Accent6 3 2 2 4" xfId="17692" xr:uid="{5AD7524F-740E-479A-8E33-D7F3935876EA}"/>
    <cellStyle name="40% - Accent6 3 2 2 5" xfId="9244" xr:uid="{DE05F8AA-1287-4887-94A2-372A8C041F48}"/>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24468" xr:uid="{5C6D7A08-AEB5-488D-A80B-B736F40DF45F}"/>
    <cellStyle name="40% - Accent6 3 2 3 2 2 3" xfId="16020" xr:uid="{23969D5F-4FAE-427A-8257-EC779C1066BD}"/>
    <cellStyle name="40% - Accent6 3 2 3 2 3" xfId="20250" xr:uid="{5DB29D5F-3C23-43A6-8F94-EDC1A41AC520}"/>
    <cellStyle name="40% - Accent6 3 2 3 2 4" xfId="11802" xr:uid="{61015FC7-EFF8-402B-B5DF-E2CF68C0565C}"/>
    <cellStyle name="40% - Accent6 3 2 3 3" xfId="5425" xr:uid="{00000000-0005-0000-0000-00003B070000}"/>
    <cellStyle name="40% - Accent6 3 2 3 3 2" xfId="22323" xr:uid="{D028ADB1-9BE3-4DD9-9879-FAB75FC48F2D}"/>
    <cellStyle name="40% - Accent6 3 2 3 3 3" xfId="13875" xr:uid="{29B2C484-8E13-4C61-8C6B-852D0F30E609}"/>
    <cellStyle name="40% - Accent6 3 2 3 4" xfId="18105" xr:uid="{3609CE86-B95C-443E-8686-B5963EF12924}"/>
    <cellStyle name="40% - Accent6 3 2 3 5" xfId="9657" xr:uid="{D27F8C81-B4D6-4DC5-A130-2C7918033EFA}"/>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24881" xr:uid="{04D78F13-9711-4711-BBAE-D9D631864C91}"/>
    <cellStyle name="40% - Accent6 3 2 4 2 2 3" xfId="16433" xr:uid="{B9224C74-49F3-4900-9122-8379599FEAC4}"/>
    <cellStyle name="40% - Accent6 3 2 4 2 3" xfId="20663" xr:uid="{4A8DD07B-BAFA-43E2-AB06-8C7A95E893CD}"/>
    <cellStyle name="40% - Accent6 3 2 4 2 4" xfId="12215" xr:uid="{FE308A90-B123-4678-BEE8-99DEAF8FC294}"/>
    <cellStyle name="40% - Accent6 3 2 4 3" xfId="5838" xr:uid="{00000000-0005-0000-0000-00003F070000}"/>
    <cellStyle name="40% - Accent6 3 2 4 3 2" xfId="22736" xr:uid="{9773DE7E-A7E6-4D9D-A9E1-1DDE31E7B0AB}"/>
    <cellStyle name="40% - Accent6 3 2 4 3 3" xfId="14288" xr:uid="{1E1EFA04-68DF-413E-92C8-80B1A2E51718}"/>
    <cellStyle name="40% - Accent6 3 2 4 4" xfId="18518" xr:uid="{E2360A2B-B5C1-4593-9591-F8E3276152C9}"/>
    <cellStyle name="40% - Accent6 3 2 4 5" xfId="10070" xr:uid="{91839E46-B8FB-4280-9F01-1C909392A9E4}"/>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25294" xr:uid="{464A2DB6-FD24-42B6-847A-6E42384CF775}"/>
    <cellStyle name="40% - Accent6 3 2 5 2 2 3" xfId="16846" xr:uid="{3AA5C7C0-8EE3-4414-A716-6B096F5FA9CF}"/>
    <cellStyle name="40% - Accent6 3 2 5 2 3" xfId="21076" xr:uid="{F1B7A2CB-78A7-4FEB-AC2B-066B423BF66C}"/>
    <cellStyle name="40% - Accent6 3 2 5 2 4" xfId="12628" xr:uid="{20C6F7FC-1A3F-4DFC-BA5B-84AE44D659A7}"/>
    <cellStyle name="40% - Accent6 3 2 5 3" xfId="6251" xr:uid="{00000000-0005-0000-0000-000043070000}"/>
    <cellStyle name="40% - Accent6 3 2 5 3 2" xfId="23149" xr:uid="{88223096-E7A3-43D0-824C-5B308C8515D7}"/>
    <cellStyle name="40% - Accent6 3 2 5 3 3" xfId="14701" xr:uid="{CD308CCD-44D2-471B-A70F-D4AB1A77E2DA}"/>
    <cellStyle name="40% - Accent6 3 2 5 4" xfId="18931" xr:uid="{4F85B4A5-0081-4C9A-AE67-888351C47020}"/>
    <cellStyle name="40% - Accent6 3 2 5 5" xfId="10483" xr:uid="{4F338964-E258-4E19-A3D7-C3301ABEC471}"/>
    <cellStyle name="40% - Accent6 3 2 6" xfId="2358" xr:uid="{00000000-0005-0000-0000-000044070000}"/>
    <cellStyle name="40% - Accent6 3 2 6 2" xfId="6664" xr:uid="{00000000-0005-0000-0000-000045070000}"/>
    <cellStyle name="40% - Accent6 3 2 6 2 2" xfId="23562" xr:uid="{5BC53B9B-FFAD-4722-9AB5-E7F19417181A}"/>
    <cellStyle name="40% - Accent6 3 2 6 2 3" xfId="15114" xr:uid="{CCAC0A01-DD45-4DCE-9200-DE257E04D47E}"/>
    <cellStyle name="40% - Accent6 3 2 6 3" xfId="19344" xr:uid="{9A6B6488-CCE4-4FAE-8C43-F75D25342DE0}"/>
    <cellStyle name="40% - Accent6 3 2 6 4" xfId="10896" xr:uid="{EFFB0BCE-B781-4810-BC47-FEAB9DCD3C7B}"/>
    <cellStyle name="40% - Accent6 3 2 7" xfId="4598" xr:uid="{00000000-0005-0000-0000-000046070000}"/>
    <cellStyle name="40% - Accent6 3 2 7 2" xfId="21496" xr:uid="{9E27F95A-25A3-413A-89FE-CB513EE9A5C6}"/>
    <cellStyle name="40% - Accent6 3 2 7 3" xfId="13048" xr:uid="{360DEB0B-D3D9-48E2-BB0A-52BEEA56CB33}"/>
    <cellStyle name="40% - Accent6 3 2 8" xfId="17278" xr:uid="{70C5DBB1-D98E-4074-AE05-DA571D730E3F}"/>
    <cellStyle name="40% - Accent6 3 2 9" xfId="8830" xr:uid="{70AE6F42-43CE-459F-92B0-A02C73A88E85}"/>
    <cellStyle name="40% - Accent6 3 3" xfId="663" xr:uid="{00000000-0005-0000-0000-000047070000}"/>
    <cellStyle name="40% - Accent6 3 3 2" xfId="2934" xr:uid="{00000000-0005-0000-0000-000048070000}"/>
    <cellStyle name="40% - Accent6 3 3 2 2" xfId="7156" xr:uid="{00000000-0005-0000-0000-000049070000}"/>
    <cellStyle name="40% - Accent6 3 3 2 2 2" xfId="24054" xr:uid="{1AD4F293-7B5D-404F-B130-669359F97A7A}"/>
    <cellStyle name="40% - Accent6 3 3 2 2 3" xfId="15606" xr:uid="{EA4DE81D-5B58-41C2-A1F1-26C5934B6B49}"/>
    <cellStyle name="40% - Accent6 3 3 2 3" xfId="19836" xr:uid="{7591B690-6087-4266-88EA-C94B3EB7C8F1}"/>
    <cellStyle name="40% - Accent6 3 3 2 4" xfId="11388" xr:uid="{0EBB6347-9FFD-44A0-B661-D5836FEC0F3C}"/>
    <cellStyle name="40% - Accent6 3 3 3" xfId="5011" xr:uid="{00000000-0005-0000-0000-00004A070000}"/>
    <cellStyle name="40% - Accent6 3 3 3 2" xfId="21909" xr:uid="{8888BFDC-B7AD-4629-B633-2F79CE4A11B3}"/>
    <cellStyle name="40% - Accent6 3 3 3 3" xfId="13461" xr:uid="{D576CE1B-C239-407F-BC6B-0BD877106912}"/>
    <cellStyle name="40% - Accent6 3 3 4" xfId="17691" xr:uid="{0C4012D7-0462-4868-BDF2-DEB3D705A2F9}"/>
    <cellStyle name="40% - Accent6 3 3 5" xfId="9243" xr:uid="{C7F15A53-EE10-4497-A525-0CAD1F94AA32}"/>
    <cellStyle name="40% - Accent6 3 4" xfId="1116" xr:uid="{00000000-0005-0000-0000-00004B070000}"/>
    <cellStyle name="40% - Accent6 3 4 2" xfId="3347" xr:uid="{00000000-0005-0000-0000-00004C070000}"/>
    <cellStyle name="40% - Accent6 3 4 2 2" xfId="7569" xr:uid="{00000000-0005-0000-0000-00004D070000}"/>
    <cellStyle name="40% - Accent6 3 4 2 2 2" xfId="24467" xr:uid="{7B5436FD-B962-49E8-BF19-42F5F8B92060}"/>
    <cellStyle name="40% - Accent6 3 4 2 2 3" xfId="16019" xr:uid="{53A26D6F-917D-4F96-A657-ACD652D9A4FA}"/>
    <cellStyle name="40% - Accent6 3 4 2 3" xfId="20249" xr:uid="{8AD63C71-B6CC-4BC7-B74E-ED4E972377F8}"/>
    <cellStyle name="40% - Accent6 3 4 2 4" xfId="11801" xr:uid="{15BC9670-4027-41BE-92F9-B1F38821B308}"/>
    <cellStyle name="40% - Accent6 3 4 3" xfId="5424" xr:uid="{00000000-0005-0000-0000-00004E070000}"/>
    <cellStyle name="40% - Accent6 3 4 3 2" xfId="22322" xr:uid="{262D8CBB-46A8-42FE-B129-A5B5AB2D2EC0}"/>
    <cellStyle name="40% - Accent6 3 4 3 3" xfId="13874" xr:uid="{022C0ED7-3477-4FAA-8DD7-4286CDA05930}"/>
    <cellStyle name="40% - Accent6 3 4 4" xfId="18104" xr:uid="{A6CA6A85-774E-4C41-93FD-6A1485EE9F4F}"/>
    <cellStyle name="40% - Accent6 3 4 5" xfId="9656" xr:uid="{1A5C3566-32A0-4E5F-A322-0DE4E56F813F}"/>
    <cellStyle name="40% - Accent6 3 5" xfId="1530" xr:uid="{00000000-0005-0000-0000-00004F070000}"/>
    <cellStyle name="40% - Accent6 3 5 2" xfId="3760" xr:uid="{00000000-0005-0000-0000-000050070000}"/>
    <cellStyle name="40% - Accent6 3 5 2 2" xfId="7982" xr:uid="{00000000-0005-0000-0000-000051070000}"/>
    <cellStyle name="40% - Accent6 3 5 2 2 2" xfId="24880" xr:uid="{8D1D1CA7-379D-4BB7-9C19-BCE83B7EF352}"/>
    <cellStyle name="40% - Accent6 3 5 2 2 3" xfId="16432" xr:uid="{F13582F2-7522-4FF4-A694-3358D65C7C24}"/>
    <cellStyle name="40% - Accent6 3 5 2 3" xfId="20662" xr:uid="{65864D1C-C034-4023-A544-43D5CC6BDC1E}"/>
    <cellStyle name="40% - Accent6 3 5 2 4" xfId="12214" xr:uid="{F308F9C1-EB77-4FE6-94CA-90D9AD631F65}"/>
    <cellStyle name="40% - Accent6 3 5 3" xfId="5837" xr:uid="{00000000-0005-0000-0000-000052070000}"/>
    <cellStyle name="40% - Accent6 3 5 3 2" xfId="22735" xr:uid="{F998E345-F5CA-4068-A6F3-C9299712C1AD}"/>
    <cellStyle name="40% - Accent6 3 5 3 3" xfId="14287" xr:uid="{F391FD9C-7518-4456-95D2-4A7E027F427E}"/>
    <cellStyle name="40% - Accent6 3 5 4" xfId="18517" xr:uid="{2F6021F0-9989-4D80-ADA0-3BDB9EB2F2FA}"/>
    <cellStyle name="40% - Accent6 3 5 5" xfId="10069" xr:uid="{A2422D30-9FE3-4371-AEFE-88C9A3E0A7F8}"/>
    <cellStyle name="40% - Accent6 3 6" xfId="1944" xr:uid="{00000000-0005-0000-0000-000053070000}"/>
    <cellStyle name="40% - Accent6 3 6 2" xfId="4173" xr:uid="{00000000-0005-0000-0000-000054070000}"/>
    <cellStyle name="40% - Accent6 3 6 2 2" xfId="8395" xr:uid="{00000000-0005-0000-0000-000055070000}"/>
    <cellStyle name="40% - Accent6 3 6 2 2 2" xfId="25293" xr:uid="{DD7C9DD4-D5EE-48C1-B4B2-37612EBD36FB}"/>
    <cellStyle name="40% - Accent6 3 6 2 2 3" xfId="16845" xr:uid="{4524AE03-1E32-4C92-A0E5-322D55D57D92}"/>
    <cellStyle name="40% - Accent6 3 6 2 3" xfId="21075" xr:uid="{E692E4F1-A549-4B47-8085-CC3FB3EEF620}"/>
    <cellStyle name="40% - Accent6 3 6 2 4" xfId="12627" xr:uid="{28A88C8F-FC6A-4337-9A62-ACA172804B47}"/>
    <cellStyle name="40% - Accent6 3 6 3" xfId="6250" xr:uid="{00000000-0005-0000-0000-000056070000}"/>
    <cellStyle name="40% - Accent6 3 6 3 2" xfId="23148" xr:uid="{6DA4D12A-1034-40B3-9161-B05D1AB71232}"/>
    <cellStyle name="40% - Accent6 3 6 3 3" xfId="14700" xr:uid="{0119FDD0-8A32-46D1-A682-8433EF93A6E8}"/>
    <cellStyle name="40% - Accent6 3 6 4" xfId="18930" xr:uid="{B1E37A97-C47F-44D9-9D02-7A552B9AB042}"/>
    <cellStyle name="40% - Accent6 3 6 5" xfId="10482" xr:uid="{E470ED78-3AA7-4264-ADDD-EEEF021071CA}"/>
    <cellStyle name="40% - Accent6 3 7" xfId="2357" xr:uid="{00000000-0005-0000-0000-000057070000}"/>
    <cellStyle name="40% - Accent6 3 7 2" xfId="6663" xr:uid="{00000000-0005-0000-0000-000058070000}"/>
    <cellStyle name="40% - Accent6 3 7 2 2" xfId="23561" xr:uid="{ECB9BF0D-EE40-4012-8AD7-BF4CB63F6056}"/>
    <cellStyle name="40% - Accent6 3 7 2 3" xfId="15113" xr:uid="{F5818C66-E2F0-4DE2-AC84-D2E54C3C78B9}"/>
    <cellStyle name="40% - Accent6 3 7 3" xfId="19343" xr:uid="{09442FC9-405F-4E8B-8637-AE22259C77E7}"/>
    <cellStyle name="40% - Accent6 3 7 4" xfId="10895" xr:uid="{95B290B8-5871-4D64-ABAD-C73309288A6A}"/>
    <cellStyle name="40% - Accent6 3 8" xfId="4597" xr:uid="{00000000-0005-0000-0000-000059070000}"/>
    <cellStyle name="40% - Accent6 3 8 2" xfId="21495" xr:uid="{8CE0C93C-803E-4203-A98D-8E00C829B3F4}"/>
    <cellStyle name="40% - Accent6 3 8 3" xfId="13047" xr:uid="{3C90CDDD-81A1-48F7-AB23-5C1700804DA7}"/>
    <cellStyle name="40% - Accent6 3 9" xfId="17277" xr:uid="{38419856-B710-4E3F-99C4-6A9E38F78808}"/>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2 2 2" xfId="24056" xr:uid="{538B1133-072F-402B-A39C-3280ADC891A2}"/>
    <cellStyle name="40% - Accent6 4 2 2 2 3" xfId="15608" xr:uid="{A08E3CB0-0B15-44E6-9FD9-51A7C6FA4A3D}"/>
    <cellStyle name="40% - Accent6 4 2 2 3" xfId="19838" xr:uid="{6DEFBF92-C1D2-4285-9077-05979B243C99}"/>
    <cellStyle name="40% - Accent6 4 2 2 4" xfId="11390" xr:uid="{A40A1B68-ED42-4EA5-84F7-5CD1A36B21F0}"/>
    <cellStyle name="40% - Accent6 4 2 3" xfId="5013" xr:uid="{00000000-0005-0000-0000-00005E070000}"/>
    <cellStyle name="40% - Accent6 4 2 3 2" xfId="21911" xr:uid="{4F5CFE04-3262-45D2-B544-8C052E51F615}"/>
    <cellStyle name="40% - Accent6 4 2 3 3" xfId="13463" xr:uid="{B3E6F2C0-3576-481D-A5E2-BDFFA15C4DC3}"/>
    <cellStyle name="40% - Accent6 4 2 4" xfId="17693" xr:uid="{F4F3B1F8-8289-4F69-A8B0-E85F4D6ED174}"/>
    <cellStyle name="40% - Accent6 4 2 5" xfId="9245" xr:uid="{833BFF09-F968-48B5-90E0-F017C6B2F044}"/>
    <cellStyle name="40% - Accent6 4 3" xfId="1118" xr:uid="{00000000-0005-0000-0000-00005F070000}"/>
    <cellStyle name="40% - Accent6 4 3 2" xfId="3349" xr:uid="{00000000-0005-0000-0000-000060070000}"/>
    <cellStyle name="40% - Accent6 4 3 2 2" xfId="7571" xr:uid="{00000000-0005-0000-0000-000061070000}"/>
    <cellStyle name="40% - Accent6 4 3 2 2 2" xfId="24469" xr:uid="{CAEF7B60-842D-4E66-AB77-3A09CAE20300}"/>
    <cellStyle name="40% - Accent6 4 3 2 2 3" xfId="16021" xr:uid="{F11C3C39-23B4-4159-9E12-E58C143C7BDD}"/>
    <cellStyle name="40% - Accent6 4 3 2 3" xfId="20251" xr:uid="{F5A74501-67CB-4C26-9876-63897C2FDD73}"/>
    <cellStyle name="40% - Accent6 4 3 2 4" xfId="11803" xr:uid="{6B89859E-FD44-434D-9DC2-8F9893A068FD}"/>
    <cellStyle name="40% - Accent6 4 3 3" xfId="5426" xr:uid="{00000000-0005-0000-0000-000062070000}"/>
    <cellStyle name="40% - Accent6 4 3 3 2" xfId="22324" xr:uid="{81F1E901-EC3B-49DA-9022-5CBF016885C2}"/>
    <cellStyle name="40% - Accent6 4 3 3 3" xfId="13876" xr:uid="{0DC5F2BF-D5D9-4F70-90EF-4270858BA18B}"/>
    <cellStyle name="40% - Accent6 4 3 4" xfId="18106" xr:uid="{E5658D5C-E746-4F64-82F7-2A4EC2ADBA2C}"/>
    <cellStyle name="40% - Accent6 4 3 5" xfId="9658" xr:uid="{27AE8E8C-05AA-4A04-9E56-DA1FCB9F4F2E}"/>
    <cellStyle name="40% - Accent6 4 4" xfId="1532" xr:uid="{00000000-0005-0000-0000-000063070000}"/>
    <cellStyle name="40% - Accent6 4 4 2" xfId="3762" xr:uid="{00000000-0005-0000-0000-000064070000}"/>
    <cellStyle name="40% - Accent6 4 4 2 2" xfId="7984" xr:uid="{00000000-0005-0000-0000-000065070000}"/>
    <cellStyle name="40% - Accent6 4 4 2 2 2" xfId="24882" xr:uid="{A646657F-882A-44F5-A823-DED5485824BE}"/>
    <cellStyle name="40% - Accent6 4 4 2 2 3" xfId="16434" xr:uid="{B5D1E511-8620-4FEF-9971-68A39B2CE783}"/>
    <cellStyle name="40% - Accent6 4 4 2 3" xfId="20664" xr:uid="{BE23043F-E768-47F9-84DD-C73CDA08A094}"/>
    <cellStyle name="40% - Accent6 4 4 2 4" xfId="12216" xr:uid="{DB0DAEBE-7332-41E2-BF8E-B5501CD10300}"/>
    <cellStyle name="40% - Accent6 4 4 3" xfId="5839" xr:uid="{00000000-0005-0000-0000-000066070000}"/>
    <cellStyle name="40% - Accent6 4 4 3 2" xfId="22737" xr:uid="{95771192-2938-4FBA-A7C3-DDD95A1AA452}"/>
    <cellStyle name="40% - Accent6 4 4 3 3" xfId="14289" xr:uid="{0DB3D79C-998B-4817-ADA0-3F7D1858EE58}"/>
    <cellStyle name="40% - Accent6 4 4 4" xfId="18519" xr:uid="{A94ACA4B-EE11-4DA0-A12C-0A354D9ABB43}"/>
    <cellStyle name="40% - Accent6 4 4 5" xfId="10071" xr:uid="{5EEA632B-C124-4A5A-93F5-2E7815DAB9CD}"/>
    <cellStyle name="40% - Accent6 4 5" xfId="1946" xr:uid="{00000000-0005-0000-0000-000067070000}"/>
    <cellStyle name="40% - Accent6 4 5 2" xfId="4175" xr:uid="{00000000-0005-0000-0000-000068070000}"/>
    <cellStyle name="40% - Accent6 4 5 2 2" xfId="8397" xr:uid="{00000000-0005-0000-0000-000069070000}"/>
    <cellStyle name="40% - Accent6 4 5 2 2 2" xfId="25295" xr:uid="{F08065A5-254B-47BF-A64C-64656EBBDEFC}"/>
    <cellStyle name="40% - Accent6 4 5 2 2 3" xfId="16847" xr:uid="{7B27187E-45FE-4E8D-8B52-9377F6F71804}"/>
    <cellStyle name="40% - Accent6 4 5 2 3" xfId="21077" xr:uid="{C429CBF9-F46E-487F-920F-7D461AAC3C5E}"/>
    <cellStyle name="40% - Accent6 4 5 2 4" xfId="12629" xr:uid="{9AED4136-0088-418A-8C49-316B43E29D84}"/>
    <cellStyle name="40% - Accent6 4 5 3" xfId="6252" xr:uid="{00000000-0005-0000-0000-00006A070000}"/>
    <cellStyle name="40% - Accent6 4 5 3 2" xfId="23150" xr:uid="{8E9886D3-9411-44EB-8BCC-867836D6D737}"/>
    <cellStyle name="40% - Accent6 4 5 3 3" xfId="14702" xr:uid="{4CF61C57-903C-4AD9-B068-100FE4D99313}"/>
    <cellStyle name="40% - Accent6 4 5 4" xfId="18932" xr:uid="{B60110C9-31EB-4871-BCB6-7BC080FD5253}"/>
    <cellStyle name="40% - Accent6 4 5 5" xfId="10484" xr:uid="{260FE131-2D85-48E6-8BB1-154EE11CB417}"/>
    <cellStyle name="40% - Accent6 4 6" xfId="2359" xr:uid="{00000000-0005-0000-0000-00006B070000}"/>
    <cellStyle name="40% - Accent6 4 6 2" xfId="6665" xr:uid="{00000000-0005-0000-0000-00006C070000}"/>
    <cellStyle name="40% - Accent6 4 6 2 2" xfId="23563" xr:uid="{D3A80792-1D3A-448E-BE66-2AA84FAFE0A4}"/>
    <cellStyle name="40% - Accent6 4 6 2 3" xfId="15115" xr:uid="{3D7B5180-0C2F-4D91-B7FC-9D9772B21175}"/>
    <cellStyle name="40% - Accent6 4 6 3" xfId="19345" xr:uid="{9E637C2E-9FC5-4923-9A01-F074CB43CC56}"/>
    <cellStyle name="40% - Accent6 4 6 4" xfId="10897" xr:uid="{6A7331CF-291C-4063-ADCB-239A07EF32BE}"/>
    <cellStyle name="40% - Accent6 4 7" xfId="4599" xr:uid="{00000000-0005-0000-0000-00006D070000}"/>
    <cellStyle name="40% - Accent6 4 7 2" xfId="21497" xr:uid="{0B9AF70B-2A91-4622-8E98-0653C5710CB8}"/>
    <cellStyle name="40% - Accent6 4 7 3" xfId="13049" xr:uid="{5BC7FB29-4223-45FA-9AE5-9836186D7C52}"/>
    <cellStyle name="40% - Accent6 4 8" xfId="17279" xr:uid="{60803439-D3CE-4513-9333-75146342104A}"/>
    <cellStyle name="40% - Accent6 4 9" xfId="8831" xr:uid="{7B1002F6-85C5-48B6-A74D-A5BB942EDC67}"/>
    <cellStyle name="40% - Accent6 5" xfId="658" xr:uid="{00000000-0005-0000-0000-00006E070000}"/>
    <cellStyle name="40% - Accent6 5 2" xfId="2929" xr:uid="{00000000-0005-0000-0000-00006F070000}"/>
    <cellStyle name="40% - Accent6 5 2 2" xfId="7151" xr:uid="{00000000-0005-0000-0000-000070070000}"/>
    <cellStyle name="40% - Accent6 5 2 2 2" xfId="24049" xr:uid="{277BA2DA-476A-420B-8F6E-022AAA63515D}"/>
    <cellStyle name="40% - Accent6 5 2 2 3" xfId="15601" xr:uid="{F0EA943F-558F-4E51-B6D0-37A1C5919598}"/>
    <cellStyle name="40% - Accent6 5 2 3" xfId="19831" xr:uid="{06C6EE24-D284-4FE2-847B-1C8282DFEF97}"/>
    <cellStyle name="40% - Accent6 5 2 4" xfId="11383" xr:uid="{42994F6D-86CA-416E-A810-8F640B14232B}"/>
    <cellStyle name="40% - Accent6 5 3" xfId="5006" xr:uid="{00000000-0005-0000-0000-000071070000}"/>
    <cellStyle name="40% - Accent6 5 3 2" xfId="21904" xr:uid="{EF86BEB0-6AC8-43C2-844A-C09CE55AEC3E}"/>
    <cellStyle name="40% - Accent6 5 3 3" xfId="13456" xr:uid="{9B2543C7-0E8C-41ED-A67B-F0581E60F48F}"/>
    <cellStyle name="40% - Accent6 5 4" xfId="17686" xr:uid="{69EABF6E-E8B4-43D3-9625-760418FBA8BD}"/>
    <cellStyle name="40% - Accent6 5 5" xfId="9238" xr:uid="{D049170E-EBC0-4EC3-A460-D3568BB1EAC9}"/>
    <cellStyle name="40% - Accent6 6" xfId="1111" xr:uid="{00000000-0005-0000-0000-000072070000}"/>
    <cellStyle name="40% - Accent6 6 2" xfId="3342" xr:uid="{00000000-0005-0000-0000-000073070000}"/>
    <cellStyle name="40% - Accent6 6 2 2" xfId="7564" xr:uid="{00000000-0005-0000-0000-000074070000}"/>
    <cellStyle name="40% - Accent6 6 2 2 2" xfId="24462" xr:uid="{43E65DCC-162D-43B6-ADF2-BDAE211D9063}"/>
    <cellStyle name="40% - Accent6 6 2 2 3" xfId="16014" xr:uid="{4C9840A4-2D1D-4465-BE46-17C6A86E23CB}"/>
    <cellStyle name="40% - Accent6 6 2 3" xfId="20244" xr:uid="{07ADCF35-9C62-4314-9740-8E3D6C200DAA}"/>
    <cellStyle name="40% - Accent6 6 2 4" xfId="11796" xr:uid="{36F21839-90B9-452B-8F4E-B1D916A251F3}"/>
    <cellStyle name="40% - Accent6 6 3" xfId="5419" xr:uid="{00000000-0005-0000-0000-000075070000}"/>
    <cellStyle name="40% - Accent6 6 3 2" xfId="22317" xr:uid="{F97A27C6-D72B-4C92-91A3-BCB959E7A8AA}"/>
    <cellStyle name="40% - Accent6 6 3 3" xfId="13869" xr:uid="{A30CC5C3-3084-4326-B319-BCED33B75BE0}"/>
    <cellStyle name="40% - Accent6 6 4" xfId="18099" xr:uid="{9762EF28-5DC6-4663-A063-04A1546E231D}"/>
    <cellStyle name="40% - Accent6 6 5" xfId="9651" xr:uid="{9E2BEF26-6A69-4D5C-AC27-F52CE28D8FAC}"/>
    <cellStyle name="40% - Accent6 7" xfId="1525" xr:uid="{00000000-0005-0000-0000-000076070000}"/>
    <cellStyle name="40% - Accent6 7 2" xfId="3755" xr:uid="{00000000-0005-0000-0000-000077070000}"/>
    <cellStyle name="40% - Accent6 7 2 2" xfId="7977" xr:uid="{00000000-0005-0000-0000-000078070000}"/>
    <cellStyle name="40% - Accent6 7 2 2 2" xfId="24875" xr:uid="{3C02B20E-A091-4A09-A454-7DC2AAE6916D}"/>
    <cellStyle name="40% - Accent6 7 2 2 3" xfId="16427" xr:uid="{2EBC7711-4AC9-4689-9287-E7428F0D250D}"/>
    <cellStyle name="40% - Accent6 7 2 3" xfId="20657" xr:uid="{D8705052-FC37-4CC4-AB41-0A2642C9A673}"/>
    <cellStyle name="40% - Accent6 7 2 4" xfId="12209" xr:uid="{30035E2C-A512-43B2-88FC-F298D2875BC8}"/>
    <cellStyle name="40% - Accent6 7 3" xfId="5832" xr:uid="{00000000-0005-0000-0000-000079070000}"/>
    <cellStyle name="40% - Accent6 7 3 2" xfId="22730" xr:uid="{C3D89007-3FF2-4B07-8ADD-2192391866A8}"/>
    <cellStyle name="40% - Accent6 7 3 3" xfId="14282" xr:uid="{6AE24D94-1E3C-4CD0-AC3E-C79264371AF4}"/>
    <cellStyle name="40% - Accent6 7 4" xfId="18512" xr:uid="{DFC7EB7C-93A0-4606-9CCB-F9C3BAD84274}"/>
    <cellStyle name="40% - Accent6 7 5" xfId="10064" xr:uid="{AA05807E-F515-4F78-A59D-D8EF5C109933}"/>
    <cellStyle name="40% - Accent6 8" xfId="1939" xr:uid="{00000000-0005-0000-0000-00007A070000}"/>
    <cellStyle name="40% - Accent6 8 2" xfId="4168" xr:uid="{00000000-0005-0000-0000-00007B070000}"/>
    <cellStyle name="40% - Accent6 8 2 2" xfId="8390" xr:uid="{00000000-0005-0000-0000-00007C070000}"/>
    <cellStyle name="40% - Accent6 8 2 2 2" xfId="25288" xr:uid="{AD359776-8B17-4837-9291-BFA8CCA0A29F}"/>
    <cellStyle name="40% - Accent6 8 2 2 3" xfId="16840" xr:uid="{B11A56C3-D474-420F-9193-F3EC2AFFD5FB}"/>
    <cellStyle name="40% - Accent6 8 2 3" xfId="21070" xr:uid="{1A819F2B-685D-4ADC-8640-5BDCBF0B75B4}"/>
    <cellStyle name="40% - Accent6 8 2 4" xfId="12622" xr:uid="{F23B3D95-2ED7-489B-8029-F059D9E61862}"/>
    <cellStyle name="40% - Accent6 8 3" xfId="6245" xr:uid="{00000000-0005-0000-0000-00007D070000}"/>
    <cellStyle name="40% - Accent6 8 3 2" xfId="23143" xr:uid="{0786261B-1F49-45D0-9B9E-3737E63806CB}"/>
    <cellStyle name="40% - Accent6 8 3 3" xfId="14695" xr:uid="{E8AF0D18-078D-4594-8D3D-310DD2483869}"/>
    <cellStyle name="40% - Accent6 8 4" xfId="18925" xr:uid="{04E82826-952F-42AA-B5F5-C806BCD6F12A}"/>
    <cellStyle name="40% - Accent6 8 5" xfId="10477" xr:uid="{5A228B89-D26C-4070-B4B5-E80359E8241F}"/>
    <cellStyle name="40% - Accent6 9" xfId="2352" xr:uid="{00000000-0005-0000-0000-00007E070000}"/>
    <cellStyle name="40% - Accent6 9 2" xfId="6658" xr:uid="{00000000-0005-0000-0000-00007F070000}"/>
    <cellStyle name="40% - Accent6 9 2 2" xfId="23556" xr:uid="{35DF2FB2-1846-459F-8775-7B6EBA28CDCB}"/>
    <cellStyle name="40% - Accent6 9 2 3" xfId="15108" xr:uid="{208312B1-ED40-4648-8DA8-6B200CEB62F5}"/>
    <cellStyle name="40% - Accent6 9 3" xfId="19338" xr:uid="{5C948C9F-8187-49E2-A678-8FEA68F0CEFA}"/>
    <cellStyle name="40% - Accent6 9 4" xfId="10890" xr:uid="{1ACA72D3-4E4D-40ED-9FD9-6F97D02BCBA3}"/>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23881" xr:uid="{6E81CAF7-EDFA-44C3-83BF-2DC932A0799A}"/>
    <cellStyle name="Comma 4 2 2 2 10 2 3" xfId="15433" xr:uid="{0300FFBD-50ED-4B0B-AFD9-113040E4547D}"/>
    <cellStyle name="Comma 4 2 2 2 10 3" xfId="19663" xr:uid="{363277AB-C306-4F75-AD17-1440DBD09032}"/>
    <cellStyle name="Comma 4 2 2 2 10 4" xfId="11215" xr:uid="{1F446360-53D8-4244-B21C-B1F39E3D92C3}"/>
    <cellStyle name="Comma 4 2 2 2 11" xfId="4600" xr:uid="{00000000-0005-0000-0000-0000A3070000}"/>
    <cellStyle name="Comma 4 2 2 2 11 2" xfId="21498" xr:uid="{89533E04-07B2-4B3F-8EA8-30F5AFA94754}"/>
    <cellStyle name="Comma 4 2 2 2 11 3" xfId="13050" xr:uid="{31BBAAB4-6844-4BD7-992D-989739F7AC09}"/>
    <cellStyle name="Comma 4 2 2 2 12" xfId="17280" xr:uid="{9DED0382-23B1-47CD-A6E7-CA667D12FCAC}"/>
    <cellStyle name="Comma 4 2 2 2 13" xfId="8832" xr:uid="{69817D30-0AE0-4CCF-839F-73969C63972E}"/>
    <cellStyle name="Comma 4 2 2 2 2" xfId="129" xr:uid="{00000000-0005-0000-0000-0000A4070000}"/>
    <cellStyle name="Comma 4 2 2 2 2 10" xfId="4601" xr:uid="{00000000-0005-0000-0000-0000A5070000}"/>
    <cellStyle name="Comma 4 2 2 2 2 10 2" xfId="21499" xr:uid="{BCCAF482-2FC9-4D73-8A52-EEF5D68DAD11}"/>
    <cellStyle name="Comma 4 2 2 2 2 10 3" xfId="13051" xr:uid="{9E3494CB-81A2-4EC6-850F-00D83D6DD647}"/>
    <cellStyle name="Comma 4 2 2 2 2 11" xfId="17281" xr:uid="{52B4F7E0-8C63-451C-8B6B-E1185527E0C8}"/>
    <cellStyle name="Comma 4 2 2 2 2 12" xfId="8833" xr:uid="{F1D892FE-76A9-43C9-8AAE-7ED7355EED2C}"/>
    <cellStyle name="Comma 4 2 2 2 2 2" xfId="130" xr:uid="{00000000-0005-0000-0000-0000A6070000}"/>
    <cellStyle name="Comma 4 2 2 2 2 2 10" xfId="17282" xr:uid="{1D33122A-606C-4DE8-BBCC-98DF24EC2D58}"/>
    <cellStyle name="Comma 4 2 2 2 2 2 11" xfId="8834" xr:uid="{A2CF1902-356E-4ED3-B49A-A3B692A49F8C}"/>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24059" xr:uid="{1C688600-BBE6-4887-B9CB-6A51A79BDB8F}"/>
    <cellStyle name="Comma 4 2 2 2 2 2 2 2 2 3" xfId="15611" xr:uid="{727C1DD6-E816-48CE-9A9B-4812ACB1715E}"/>
    <cellStyle name="Comma 4 2 2 2 2 2 2 2 3" xfId="19841" xr:uid="{DA17E445-21C3-4FF6-BDE7-B3009BD2FE2B}"/>
    <cellStyle name="Comma 4 2 2 2 2 2 2 2 4" xfId="11393" xr:uid="{792E1853-2346-4EEE-AED4-CBB204AD9A3C}"/>
    <cellStyle name="Comma 4 2 2 2 2 2 2 3" xfId="5016" xr:uid="{00000000-0005-0000-0000-0000AA070000}"/>
    <cellStyle name="Comma 4 2 2 2 2 2 2 3 2" xfId="21914" xr:uid="{3E0E776C-889E-4C8F-A3CC-C16582277A74}"/>
    <cellStyle name="Comma 4 2 2 2 2 2 2 3 3" xfId="13466" xr:uid="{1ABD17EF-1DC9-48ED-80EF-5C12B95DF6ED}"/>
    <cellStyle name="Comma 4 2 2 2 2 2 2 4" xfId="17696" xr:uid="{FCC3B89B-626C-4C31-AACB-2664FE8A5D2B}"/>
    <cellStyle name="Comma 4 2 2 2 2 2 2 5" xfId="9248" xr:uid="{BE65D174-1E7C-4BD3-B9B7-5057BBAD6331}"/>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24472" xr:uid="{89133D05-D7A9-4757-93D5-74AE03C88AEB}"/>
    <cellStyle name="Comma 4 2 2 2 2 2 3 2 2 3" xfId="16024" xr:uid="{53B99492-1186-47F9-9C10-A4488A38937C}"/>
    <cellStyle name="Comma 4 2 2 2 2 2 3 2 3" xfId="20254" xr:uid="{CA5F27A8-BCCD-472E-BB45-E83FA2DD0752}"/>
    <cellStyle name="Comma 4 2 2 2 2 2 3 2 4" xfId="11806" xr:uid="{17A3BBF7-F804-4D18-93F6-8009B9D35843}"/>
    <cellStyle name="Comma 4 2 2 2 2 2 3 3" xfId="5429" xr:uid="{00000000-0005-0000-0000-0000AE070000}"/>
    <cellStyle name="Comma 4 2 2 2 2 2 3 3 2" xfId="22327" xr:uid="{8EA4790D-3425-4AC9-A9EB-48EE5902B346}"/>
    <cellStyle name="Comma 4 2 2 2 2 2 3 3 3" xfId="13879" xr:uid="{14C375A9-D34F-4C8C-B471-94437741DADF}"/>
    <cellStyle name="Comma 4 2 2 2 2 2 3 4" xfId="18109" xr:uid="{E7493FF5-9682-4C8B-AAE9-651DADD13E55}"/>
    <cellStyle name="Comma 4 2 2 2 2 2 3 5" xfId="9661" xr:uid="{6E1B40D3-9D34-44FF-ABAD-6B5F8832E5B5}"/>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24885" xr:uid="{58151550-5FCB-469F-8C70-3A2E10991CFD}"/>
    <cellStyle name="Comma 4 2 2 2 2 2 4 2 2 3" xfId="16437" xr:uid="{1AF2BD2E-AFD5-492D-A87A-00AD26669863}"/>
    <cellStyle name="Comma 4 2 2 2 2 2 4 2 3" xfId="20667" xr:uid="{44BC8113-2B60-4D34-97D8-E96CF205C69E}"/>
    <cellStyle name="Comma 4 2 2 2 2 2 4 2 4" xfId="12219" xr:uid="{8E6E4B30-22C8-4D41-A657-72A5899B90D6}"/>
    <cellStyle name="Comma 4 2 2 2 2 2 4 3" xfId="5842" xr:uid="{00000000-0005-0000-0000-0000B2070000}"/>
    <cellStyle name="Comma 4 2 2 2 2 2 4 3 2" xfId="22740" xr:uid="{E51A1C89-552A-4534-84CD-7E151C3BE19D}"/>
    <cellStyle name="Comma 4 2 2 2 2 2 4 3 3" xfId="14292" xr:uid="{4C76274E-0EF8-4BE6-9910-957FDA4253C2}"/>
    <cellStyle name="Comma 4 2 2 2 2 2 4 4" xfId="18522" xr:uid="{0258AAC2-0878-4327-9B09-99BF887DE289}"/>
    <cellStyle name="Comma 4 2 2 2 2 2 4 5" xfId="10074" xr:uid="{97CA5785-2825-4AFF-BA7A-EAF35A0B2268}"/>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25298" xr:uid="{8BBE2312-8A51-4ED8-90BF-BF148E776CA1}"/>
    <cellStyle name="Comma 4 2 2 2 2 2 5 2 2 3" xfId="16850" xr:uid="{79445D6B-3FA9-44E8-8A67-8035D50640D9}"/>
    <cellStyle name="Comma 4 2 2 2 2 2 5 2 3" xfId="21080" xr:uid="{FD926D3F-D52B-4B1F-AF84-87E36216CE9B}"/>
    <cellStyle name="Comma 4 2 2 2 2 2 5 2 4" xfId="12632" xr:uid="{DBDCE82F-2D75-41DB-8121-301B844F7DD6}"/>
    <cellStyle name="Comma 4 2 2 2 2 2 5 3" xfId="6255" xr:uid="{00000000-0005-0000-0000-0000B6070000}"/>
    <cellStyle name="Comma 4 2 2 2 2 2 5 3 2" xfId="23153" xr:uid="{C7BAE59F-C230-47CC-9123-7DBFC27496CE}"/>
    <cellStyle name="Comma 4 2 2 2 2 2 5 3 3" xfId="14705" xr:uid="{211FDE87-1C95-4CA0-BB21-0C58B5F09A46}"/>
    <cellStyle name="Comma 4 2 2 2 2 2 5 4" xfId="18935" xr:uid="{A7C9B4F2-305B-4991-A12B-0D7443D71731}"/>
    <cellStyle name="Comma 4 2 2 2 2 2 5 5" xfId="10487" xr:uid="{D350CEAE-280B-420C-AB49-6E687EC31FC4}"/>
    <cellStyle name="Comma 4 2 2 2 2 2 6" xfId="2384" xr:uid="{00000000-0005-0000-0000-0000B7070000}"/>
    <cellStyle name="Comma 4 2 2 2 2 2 6 2" xfId="6668" xr:uid="{00000000-0005-0000-0000-0000B8070000}"/>
    <cellStyle name="Comma 4 2 2 2 2 2 6 2 2" xfId="23566" xr:uid="{00D1C7B2-766D-4717-B990-56D1BEF772E8}"/>
    <cellStyle name="Comma 4 2 2 2 2 2 6 2 3" xfId="15118" xr:uid="{CA19401E-8D5A-4EA4-937A-1814C458B2F4}"/>
    <cellStyle name="Comma 4 2 2 2 2 2 6 3" xfId="19348" xr:uid="{F093B712-42FB-4A12-AE82-A066F4A0CF0A}"/>
    <cellStyle name="Comma 4 2 2 2 2 2 6 4" xfId="10900" xr:uid="{DB103FAD-0766-48A0-8FD9-F8790A1390FB}"/>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23883" xr:uid="{400B8290-E2C1-4646-8D70-169186F35A37}"/>
    <cellStyle name="Comma 4 2 2 2 2 2 8 2 3" xfId="15435" xr:uid="{5DB9198F-1CFD-484F-8D68-B43196D0FA5A}"/>
    <cellStyle name="Comma 4 2 2 2 2 2 8 3" xfId="19665" xr:uid="{9FF879D9-18AB-4038-AA49-CD5659438ED9}"/>
    <cellStyle name="Comma 4 2 2 2 2 2 8 4" xfId="11217" xr:uid="{752309BB-57B1-4069-B513-D0C62BAC33BD}"/>
    <cellStyle name="Comma 4 2 2 2 2 2 9" xfId="4602" xr:uid="{00000000-0005-0000-0000-0000BC070000}"/>
    <cellStyle name="Comma 4 2 2 2 2 2 9 2" xfId="21500" xr:uid="{5A879EB7-5A93-464D-9446-12A7F58252D3}"/>
    <cellStyle name="Comma 4 2 2 2 2 2 9 3" xfId="13052" xr:uid="{969F3B1F-2EBB-4935-A150-822A573105F3}"/>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24058" xr:uid="{4906068B-4E28-4074-B6B0-B2E76F374A5B}"/>
    <cellStyle name="Comma 4 2 2 2 2 3 2 2 3" xfId="15610" xr:uid="{85D5F3F0-DDD1-4EF2-9D2E-0D6B471B06E4}"/>
    <cellStyle name="Comma 4 2 2 2 2 3 2 3" xfId="19840" xr:uid="{9A3010EB-4908-4903-9268-0B98F71FF93F}"/>
    <cellStyle name="Comma 4 2 2 2 2 3 2 4" xfId="11392" xr:uid="{58954AC4-989C-4261-8849-4188B7BB185A}"/>
    <cellStyle name="Comma 4 2 2 2 2 3 3" xfId="5015" xr:uid="{00000000-0005-0000-0000-0000C0070000}"/>
    <cellStyle name="Comma 4 2 2 2 2 3 3 2" xfId="21913" xr:uid="{AA1A6286-AE44-4CC0-B962-2DC8F9FC7EC7}"/>
    <cellStyle name="Comma 4 2 2 2 2 3 3 3" xfId="13465" xr:uid="{72E971B4-4BDF-4CE8-904F-1A1AA16A6EFA}"/>
    <cellStyle name="Comma 4 2 2 2 2 3 4" xfId="17695" xr:uid="{B3F564C4-0806-4D8A-B080-E6D4A556F2A4}"/>
    <cellStyle name="Comma 4 2 2 2 2 3 5" xfId="9247" xr:uid="{BF3660C1-61CC-4CF5-8877-11543F1A863B}"/>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24471" xr:uid="{3E7170DC-61F0-4A05-A217-3B5963D7452E}"/>
    <cellStyle name="Comma 4 2 2 2 2 4 2 2 3" xfId="16023" xr:uid="{F9C9930C-E202-4F54-BAFF-66F221647261}"/>
    <cellStyle name="Comma 4 2 2 2 2 4 2 3" xfId="20253" xr:uid="{5797E2A9-E1B4-47FE-B146-DE36F95CDB69}"/>
    <cellStyle name="Comma 4 2 2 2 2 4 2 4" xfId="11805" xr:uid="{4FD366B5-DD17-4FE6-9C9A-AEA09082A9B5}"/>
    <cellStyle name="Comma 4 2 2 2 2 4 3" xfId="5428" xr:uid="{00000000-0005-0000-0000-0000C4070000}"/>
    <cellStyle name="Comma 4 2 2 2 2 4 3 2" xfId="22326" xr:uid="{FA4FF6C6-552C-435D-9CF3-29B0491C8268}"/>
    <cellStyle name="Comma 4 2 2 2 2 4 3 3" xfId="13878" xr:uid="{32A6EB7D-6426-4847-8079-FF85DB57B4FC}"/>
    <cellStyle name="Comma 4 2 2 2 2 4 4" xfId="18108" xr:uid="{942C4A71-10F0-4622-AF1A-B9E1C0D3D169}"/>
    <cellStyle name="Comma 4 2 2 2 2 4 5" xfId="9660" xr:uid="{43F710B8-BDF6-4E7E-A9AC-9557A9D8A63C}"/>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24884" xr:uid="{B7C9723D-B8C3-44CC-A30E-FF7497A3FB1E}"/>
    <cellStyle name="Comma 4 2 2 2 2 5 2 2 3" xfId="16436" xr:uid="{5846479C-0F22-4C29-9203-79DB459F7493}"/>
    <cellStyle name="Comma 4 2 2 2 2 5 2 3" xfId="20666" xr:uid="{9871E9B0-8089-4919-A6BE-9C7C2BEF20AC}"/>
    <cellStyle name="Comma 4 2 2 2 2 5 2 4" xfId="12218" xr:uid="{27BE70BB-5D90-4A3C-A64B-67B3D61D8109}"/>
    <cellStyle name="Comma 4 2 2 2 2 5 3" xfId="5841" xr:uid="{00000000-0005-0000-0000-0000C8070000}"/>
    <cellStyle name="Comma 4 2 2 2 2 5 3 2" xfId="22739" xr:uid="{F4CBF4F1-1E34-4F49-8335-0A01523D9EA6}"/>
    <cellStyle name="Comma 4 2 2 2 2 5 3 3" xfId="14291" xr:uid="{01DAD7F5-9048-4AFA-8EAA-F0AB3646F357}"/>
    <cellStyle name="Comma 4 2 2 2 2 5 4" xfId="18521" xr:uid="{48BB3CC2-82AB-4E15-9E74-04DFCEA2945D}"/>
    <cellStyle name="Comma 4 2 2 2 2 5 5" xfId="10073" xr:uid="{71500E44-B60A-4631-B22A-A846D644A0A1}"/>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25297" xr:uid="{89CC9F2C-4AA7-47E3-9F2F-3E3D38BB7D2F}"/>
    <cellStyle name="Comma 4 2 2 2 2 6 2 2 3" xfId="16849" xr:uid="{5A7BA688-DB93-4119-B08F-4142143AD1ED}"/>
    <cellStyle name="Comma 4 2 2 2 2 6 2 3" xfId="21079" xr:uid="{A1507396-0A9D-4BD4-BEA3-BB4020992641}"/>
    <cellStyle name="Comma 4 2 2 2 2 6 2 4" xfId="12631" xr:uid="{F93E9D26-4883-4912-8FC8-85DBAF609A75}"/>
    <cellStyle name="Comma 4 2 2 2 2 6 3" xfId="6254" xr:uid="{00000000-0005-0000-0000-0000CC070000}"/>
    <cellStyle name="Comma 4 2 2 2 2 6 3 2" xfId="23152" xr:uid="{776CAC27-2AAF-4376-9DAD-DA6A8BDFAB8F}"/>
    <cellStyle name="Comma 4 2 2 2 2 6 3 3" xfId="14704" xr:uid="{A7CB5EE0-38BE-4797-BD01-DD84EB5BE25B}"/>
    <cellStyle name="Comma 4 2 2 2 2 6 4" xfId="18934" xr:uid="{90634473-C635-4D53-9A0D-FCDC1359C3C8}"/>
    <cellStyle name="Comma 4 2 2 2 2 6 5" xfId="10486" xr:uid="{C8C750D7-4859-45CA-BE28-41DD38C4F3E6}"/>
    <cellStyle name="Comma 4 2 2 2 2 7" xfId="2383" xr:uid="{00000000-0005-0000-0000-0000CD070000}"/>
    <cellStyle name="Comma 4 2 2 2 2 7 2" xfId="6667" xr:uid="{00000000-0005-0000-0000-0000CE070000}"/>
    <cellStyle name="Comma 4 2 2 2 2 7 2 2" xfId="23565" xr:uid="{B50C795A-080E-4ADB-A914-6E5C894A0E90}"/>
    <cellStyle name="Comma 4 2 2 2 2 7 2 3" xfId="15117" xr:uid="{C497F268-93A9-4C12-9554-41A0DE530284}"/>
    <cellStyle name="Comma 4 2 2 2 2 7 3" xfId="19347" xr:uid="{E1805671-D2D6-4D96-9145-F49071A46478}"/>
    <cellStyle name="Comma 4 2 2 2 2 7 4" xfId="10899" xr:uid="{75503CA0-0FF7-4132-A5ED-AACECEAF076D}"/>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23882" xr:uid="{D7BB637A-B2B9-4767-9D54-F7D9022B9F38}"/>
    <cellStyle name="Comma 4 2 2 2 2 9 2 3" xfId="15434" xr:uid="{789EBBF1-DE64-481C-A0AE-EA91912DAF14}"/>
    <cellStyle name="Comma 4 2 2 2 2 9 3" xfId="19664" xr:uid="{7049AAE9-3052-4F5C-B4D2-8351030A5F3B}"/>
    <cellStyle name="Comma 4 2 2 2 2 9 4" xfId="11216" xr:uid="{2ADE6605-4E3A-4157-86B3-00F57FBC9A0A}"/>
    <cellStyle name="Comma 4 2 2 2 3" xfId="131" xr:uid="{00000000-0005-0000-0000-0000D2070000}"/>
    <cellStyle name="Comma 4 2 2 2 3 10" xfId="17283" xr:uid="{84AD141D-E8B3-4559-9978-3F45E9183928}"/>
    <cellStyle name="Comma 4 2 2 2 3 11" xfId="8835" xr:uid="{6FB805DA-F8D3-43BE-81AB-40D282304CF8}"/>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24060" xr:uid="{FEAECC95-E06F-4B1C-8F31-6E57A17C1B5E}"/>
    <cellStyle name="Comma 4 2 2 2 3 2 2 2 3" xfId="15612" xr:uid="{03F445A9-AF71-4EB7-97D2-C9FE17839E25}"/>
    <cellStyle name="Comma 4 2 2 2 3 2 2 3" xfId="19842" xr:uid="{E54D2D8E-A4A3-41FB-929C-30A551A8EB7D}"/>
    <cellStyle name="Comma 4 2 2 2 3 2 2 4" xfId="11394" xr:uid="{2186F62C-BC35-4692-B300-52260139532B}"/>
    <cellStyle name="Comma 4 2 2 2 3 2 3" xfId="5017" xr:uid="{00000000-0005-0000-0000-0000D6070000}"/>
    <cellStyle name="Comma 4 2 2 2 3 2 3 2" xfId="21915" xr:uid="{08CA5A86-4F0E-4BCF-B8D3-FCCA084C1429}"/>
    <cellStyle name="Comma 4 2 2 2 3 2 3 3" xfId="13467" xr:uid="{3A14C252-D43C-4FDE-85A8-EC8511FBB105}"/>
    <cellStyle name="Comma 4 2 2 2 3 2 4" xfId="17697" xr:uid="{60C600DD-1E90-4796-9A99-08D975C61D73}"/>
    <cellStyle name="Comma 4 2 2 2 3 2 5" xfId="9249" xr:uid="{23807C1C-32EF-44E2-B946-D28BD175142E}"/>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24473" xr:uid="{B04124D4-AABA-47CC-8A3E-DA7F8C378126}"/>
    <cellStyle name="Comma 4 2 2 2 3 3 2 2 3" xfId="16025" xr:uid="{82661F54-9309-4BF0-948C-217FEAA58B46}"/>
    <cellStyle name="Comma 4 2 2 2 3 3 2 3" xfId="20255" xr:uid="{7F191E79-27A9-411F-A42A-06FDF15F765D}"/>
    <cellStyle name="Comma 4 2 2 2 3 3 2 4" xfId="11807" xr:uid="{6B99EA93-E5A3-4E13-8F07-2C0EA725BEAD}"/>
    <cellStyle name="Comma 4 2 2 2 3 3 3" xfId="5430" xr:uid="{00000000-0005-0000-0000-0000DA070000}"/>
    <cellStyle name="Comma 4 2 2 2 3 3 3 2" xfId="22328" xr:uid="{145BD2F5-4AAE-4695-8F0C-EA750F49A4C8}"/>
    <cellStyle name="Comma 4 2 2 2 3 3 3 3" xfId="13880" xr:uid="{C2127F4F-C6B3-44AD-953A-5FEA17A335AF}"/>
    <cellStyle name="Comma 4 2 2 2 3 3 4" xfId="18110" xr:uid="{43A80C86-063C-4ECA-96FD-3CF0A1EECF69}"/>
    <cellStyle name="Comma 4 2 2 2 3 3 5" xfId="9662" xr:uid="{EB18B07D-6A5A-4AB3-954B-1057C7703A1B}"/>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24886" xr:uid="{72181C23-A9E1-4565-9F7C-36A6839AAA94}"/>
    <cellStyle name="Comma 4 2 2 2 3 4 2 2 3" xfId="16438" xr:uid="{FA605045-DD5E-432F-B0A6-7E6366C07300}"/>
    <cellStyle name="Comma 4 2 2 2 3 4 2 3" xfId="20668" xr:uid="{FC09B289-BCC8-4CC1-BC39-FBA5830B5DF8}"/>
    <cellStyle name="Comma 4 2 2 2 3 4 2 4" xfId="12220" xr:uid="{B893E2E5-CE09-42BE-9519-84D2D23D8ACC}"/>
    <cellStyle name="Comma 4 2 2 2 3 4 3" xfId="5843" xr:uid="{00000000-0005-0000-0000-0000DE070000}"/>
    <cellStyle name="Comma 4 2 2 2 3 4 3 2" xfId="22741" xr:uid="{D6EF8E71-49BB-4E00-BAE4-14D2ABE71700}"/>
    <cellStyle name="Comma 4 2 2 2 3 4 3 3" xfId="14293" xr:uid="{3C833E57-B9A0-488D-8225-5BCDBC33DD33}"/>
    <cellStyle name="Comma 4 2 2 2 3 4 4" xfId="18523" xr:uid="{4A1D9DDB-10C4-48AC-B702-480648F4CB32}"/>
    <cellStyle name="Comma 4 2 2 2 3 4 5" xfId="10075" xr:uid="{8C1318A7-3B5F-48C8-B087-589DB4116F4E}"/>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25299" xr:uid="{355856AE-E7F0-4FD0-99EF-A3F628D638E6}"/>
    <cellStyle name="Comma 4 2 2 2 3 5 2 2 3" xfId="16851" xr:uid="{1F3A8989-F495-413E-9AC6-6983247C9E7C}"/>
    <cellStyle name="Comma 4 2 2 2 3 5 2 3" xfId="21081" xr:uid="{BB26B947-A5E2-4BF1-9529-A134783B43E6}"/>
    <cellStyle name="Comma 4 2 2 2 3 5 2 4" xfId="12633" xr:uid="{73E1C229-8FA1-494E-8662-2B498BB57FEA}"/>
    <cellStyle name="Comma 4 2 2 2 3 5 3" xfId="6256" xr:uid="{00000000-0005-0000-0000-0000E2070000}"/>
    <cellStyle name="Comma 4 2 2 2 3 5 3 2" xfId="23154" xr:uid="{C6DFED8B-7D03-475C-BB2E-0DFB557291B6}"/>
    <cellStyle name="Comma 4 2 2 2 3 5 3 3" xfId="14706" xr:uid="{26067464-7330-456C-AFC5-19D9AB32E4D0}"/>
    <cellStyle name="Comma 4 2 2 2 3 5 4" xfId="18936" xr:uid="{6E3686B9-C1B8-41B8-9593-8CCF7FC87FF2}"/>
    <cellStyle name="Comma 4 2 2 2 3 5 5" xfId="10488" xr:uid="{2C315774-85C1-4BD2-9CED-140979997E84}"/>
    <cellStyle name="Comma 4 2 2 2 3 6" xfId="2385" xr:uid="{00000000-0005-0000-0000-0000E3070000}"/>
    <cellStyle name="Comma 4 2 2 2 3 6 2" xfId="6669" xr:uid="{00000000-0005-0000-0000-0000E4070000}"/>
    <cellStyle name="Comma 4 2 2 2 3 6 2 2" xfId="23567" xr:uid="{D4624CEA-DDE2-4B50-A0F7-77BD3BE16662}"/>
    <cellStyle name="Comma 4 2 2 2 3 6 2 3" xfId="15119" xr:uid="{C4CB1434-BC68-4CAD-97FC-5B81016AEE3C}"/>
    <cellStyle name="Comma 4 2 2 2 3 6 3" xfId="19349" xr:uid="{DEF5432E-8CD6-48E6-B1C5-E3CB29B4CF9B}"/>
    <cellStyle name="Comma 4 2 2 2 3 6 4" xfId="10901" xr:uid="{70B95864-8E10-4349-B27E-368DDD459A41}"/>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23884" xr:uid="{EDC94717-5443-4560-8CBB-0A23C26F6D40}"/>
    <cellStyle name="Comma 4 2 2 2 3 8 2 3" xfId="15436" xr:uid="{3B392B44-69C8-4837-8A5A-8E1D0CAF1263}"/>
    <cellStyle name="Comma 4 2 2 2 3 8 3" xfId="19666" xr:uid="{84C2B467-88C4-41CF-AF37-0CDB5C5130FE}"/>
    <cellStyle name="Comma 4 2 2 2 3 8 4" xfId="11218" xr:uid="{B7DFB4D1-4CA6-4175-84E0-3B26A03DBF71}"/>
    <cellStyle name="Comma 4 2 2 2 3 9" xfId="4603" xr:uid="{00000000-0005-0000-0000-0000E8070000}"/>
    <cellStyle name="Comma 4 2 2 2 3 9 2" xfId="21501" xr:uid="{378DEFCA-31B5-413B-B517-AAA1BEAB5105}"/>
    <cellStyle name="Comma 4 2 2 2 3 9 3" xfId="13053" xr:uid="{D99EBF29-DCF0-415E-BDBB-CD561B84E5EC}"/>
    <cellStyle name="Comma 4 2 2 2 4" xfId="666" xr:uid="{00000000-0005-0000-0000-0000E9070000}"/>
    <cellStyle name="Comma 4 2 2 2 4 2" xfId="2937" xr:uid="{00000000-0005-0000-0000-0000EA070000}"/>
    <cellStyle name="Comma 4 2 2 2 4 2 2" xfId="7159" xr:uid="{00000000-0005-0000-0000-0000EB070000}"/>
    <cellStyle name="Comma 4 2 2 2 4 2 2 2" xfId="24057" xr:uid="{74FB18E2-336E-484C-A88C-88976D4CDC2E}"/>
    <cellStyle name="Comma 4 2 2 2 4 2 2 3" xfId="15609" xr:uid="{1E132F5C-0D3F-48CE-BE8E-954F95900C9E}"/>
    <cellStyle name="Comma 4 2 2 2 4 2 3" xfId="19839" xr:uid="{8230172F-EE94-4184-BC1F-85FC0D37C589}"/>
    <cellStyle name="Comma 4 2 2 2 4 2 4" xfId="11391" xr:uid="{6E41EF81-DBFA-44F2-9696-97847FD7DAE8}"/>
    <cellStyle name="Comma 4 2 2 2 4 3" xfId="5014" xr:uid="{00000000-0005-0000-0000-0000EC070000}"/>
    <cellStyle name="Comma 4 2 2 2 4 3 2" xfId="21912" xr:uid="{04095D61-E1A6-49CC-9815-573CD6680961}"/>
    <cellStyle name="Comma 4 2 2 2 4 3 3" xfId="13464" xr:uid="{F7AB2041-09D0-4A7A-8588-ABF2BB4A7A6B}"/>
    <cellStyle name="Comma 4 2 2 2 4 4" xfId="17694" xr:uid="{7C9DF848-DEF8-4C03-A0CE-0F128B0C77DD}"/>
    <cellStyle name="Comma 4 2 2 2 4 5" xfId="9246" xr:uid="{777036FC-C6FA-4B3C-BDA1-F6FC9FAB61B8}"/>
    <cellStyle name="Comma 4 2 2 2 5" xfId="1119" xr:uid="{00000000-0005-0000-0000-0000ED070000}"/>
    <cellStyle name="Comma 4 2 2 2 5 2" xfId="3350" xr:uid="{00000000-0005-0000-0000-0000EE070000}"/>
    <cellStyle name="Comma 4 2 2 2 5 2 2" xfId="7572" xr:uid="{00000000-0005-0000-0000-0000EF070000}"/>
    <cellStyle name="Comma 4 2 2 2 5 2 2 2" xfId="24470" xr:uid="{38B1693C-8003-47C6-B983-8DFC0BFB9A82}"/>
    <cellStyle name="Comma 4 2 2 2 5 2 2 3" xfId="16022" xr:uid="{99C4852C-5E28-422B-B0FF-134B780A2871}"/>
    <cellStyle name="Comma 4 2 2 2 5 2 3" xfId="20252" xr:uid="{83B296E9-1C09-43D5-A4C4-EFE2B19EFDC8}"/>
    <cellStyle name="Comma 4 2 2 2 5 2 4" xfId="11804" xr:uid="{42E9E6BE-A7CB-4658-A178-6A99A374C013}"/>
    <cellStyle name="Comma 4 2 2 2 5 3" xfId="5427" xr:uid="{00000000-0005-0000-0000-0000F0070000}"/>
    <cellStyle name="Comma 4 2 2 2 5 3 2" xfId="22325" xr:uid="{3195052F-4B80-4326-AA86-025248EDE752}"/>
    <cellStyle name="Comma 4 2 2 2 5 3 3" xfId="13877" xr:uid="{03947E24-B556-4044-B1B2-4035428CD625}"/>
    <cellStyle name="Comma 4 2 2 2 5 4" xfId="18107" xr:uid="{1145494E-6D54-49CC-BC26-DDE8AF7B7D77}"/>
    <cellStyle name="Comma 4 2 2 2 5 5" xfId="9659" xr:uid="{CA462421-2BDA-452A-BFFE-50CDF7CCC99B}"/>
    <cellStyle name="Comma 4 2 2 2 6" xfId="1533" xr:uid="{00000000-0005-0000-0000-0000F1070000}"/>
    <cellStyle name="Comma 4 2 2 2 6 2" xfId="3763" xr:uid="{00000000-0005-0000-0000-0000F2070000}"/>
    <cellStyle name="Comma 4 2 2 2 6 2 2" xfId="7985" xr:uid="{00000000-0005-0000-0000-0000F3070000}"/>
    <cellStyle name="Comma 4 2 2 2 6 2 2 2" xfId="24883" xr:uid="{452F3AF8-91FF-43CF-9151-E640C7E099E4}"/>
    <cellStyle name="Comma 4 2 2 2 6 2 2 3" xfId="16435" xr:uid="{4CB47A78-9A64-4E1C-AE6A-7D0F9D09AA54}"/>
    <cellStyle name="Comma 4 2 2 2 6 2 3" xfId="20665" xr:uid="{D61D0B98-11E1-4556-BFCF-6CF794672901}"/>
    <cellStyle name="Comma 4 2 2 2 6 2 4" xfId="12217" xr:uid="{59969350-72BB-4006-B1B0-64C04E5D95C4}"/>
    <cellStyle name="Comma 4 2 2 2 6 3" xfId="5840" xr:uid="{00000000-0005-0000-0000-0000F4070000}"/>
    <cellStyle name="Comma 4 2 2 2 6 3 2" xfId="22738" xr:uid="{A14C6F49-8213-456E-B99B-FCFF7ECD2074}"/>
    <cellStyle name="Comma 4 2 2 2 6 3 3" xfId="14290" xr:uid="{27682BDB-2610-4653-8BC6-193C85BD9E4A}"/>
    <cellStyle name="Comma 4 2 2 2 6 4" xfId="18520" xr:uid="{9B5ED699-1D85-4C05-979D-8CEE060EF836}"/>
    <cellStyle name="Comma 4 2 2 2 6 5" xfId="10072" xr:uid="{B07AE7B0-5FFC-4242-B379-3441EDC14C8B}"/>
    <cellStyle name="Comma 4 2 2 2 7" xfId="1947" xr:uid="{00000000-0005-0000-0000-0000F5070000}"/>
    <cellStyle name="Comma 4 2 2 2 7 2" xfId="4176" xr:uid="{00000000-0005-0000-0000-0000F6070000}"/>
    <cellStyle name="Comma 4 2 2 2 7 2 2" xfId="8398" xr:uid="{00000000-0005-0000-0000-0000F7070000}"/>
    <cellStyle name="Comma 4 2 2 2 7 2 2 2" xfId="25296" xr:uid="{3E0389D1-52F9-4456-8B0E-E800C531DF67}"/>
    <cellStyle name="Comma 4 2 2 2 7 2 2 3" xfId="16848" xr:uid="{ED13ABCC-CFF0-4E07-B0F9-24970E31132C}"/>
    <cellStyle name="Comma 4 2 2 2 7 2 3" xfId="21078" xr:uid="{2C3110C0-B00A-4D63-9078-A61422CD7182}"/>
    <cellStyle name="Comma 4 2 2 2 7 2 4" xfId="12630" xr:uid="{B6152460-C778-4A9E-BD01-63D88C943E3D}"/>
    <cellStyle name="Comma 4 2 2 2 7 3" xfId="6253" xr:uid="{00000000-0005-0000-0000-0000F8070000}"/>
    <cellStyle name="Comma 4 2 2 2 7 3 2" xfId="23151" xr:uid="{88C85FB7-DDD3-47E2-8884-8B88B71BBCC2}"/>
    <cellStyle name="Comma 4 2 2 2 7 3 3" xfId="14703" xr:uid="{92CE9483-3B24-445E-B94A-DCE08EC6CAF4}"/>
    <cellStyle name="Comma 4 2 2 2 7 4" xfId="18933" xr:uid="{856D511B-4B19-43F7-8928-ADC875FEEBD8}"/>
    <cellStyle name="Comma 4 2 2 2 7 5" xfId="10485" xr:uid="{A88B567E-4BD3-4662-BA56-4B8E99E60A20}"/>
    <cellStyle name="Comma 4 2 2 2 8" xfId="2382" xr:uid="{00000000-0005-0000-0000-0000F9070000}"/>
    <cellStyle name="Comma 4 2 2 2 8 2" xfId="6666" xr:uid="{00000000-0005-0000-0000-0000FA070000}"/>
    <cellStyle name="Comma 4 2 2 2 8 2 2" xfId="23564" xr:uid="{597DCEE3-54D9-4FCB-8F68-A4914AF28193}"/>
    <cellStyle name="Comma 4 2 2 2 8 2 3" xfId="15116" xr:uid="{1C0F17E8-6B2D-41EE-9822-F18901F4ECF7}"/>
    <cellStyle name="Comma 4 2 2 2 8 3" xfId="19346" xr:uid="{F46A035F-2EF2-4E77-8D26-CF1AA73D69F9}"/>
    <cellStyle name="Comma 4 2 2 2 8 4" xfId="10898" xr:uid="{09506F4D-A73D-4AF9-8F2E-15074E7842E6}"/>
    <cellStyle name="Comma 4 2 2 2 9" xfId="2381" xr:uid="{00000000-0005-0000-0000-0000FB070000}"/>
    <cellStyle name="Comma 4 2 2 3" xfId="132" xr:uid="{00000000-0005-0000-0000-0000FC070000}"/>
    <cellStyle name="Comma 4 2 2 3 10" xfId="4604" xr:uid="{00000000-0005-0000-0000-0000FD070000}"/>
    <cellStyle name="Comma 4 2 2 3 10 2" xfId="21502" xr:uid="{186EA84D-BDDB-42C7-A348-A28CBC5DE418}"/>
    <cellStyle name="Comma 4 2 2 3 10 3" xfId="13054" xr:uid="{9D83A2B0-C6C3-40D3-83A1-8E206FE17F87}"/>
    <cellStyle name="Comma 4 2 2 3 11" xfId="17284" xr:uid="{0C45D93F-331E-4755-BE9E-8BC32967D99A}"/>
    <cellStyle name="Comma 4 2 2 3 12" xfId="8836" xr:uid="{39A27274-C501-4EC9-9A94-FC06BE5D8B37}"/>
    <cellStyle name="Comma 4 2 2 3 2" xfId="133" xr:uid="{00000000-0005-0000-0000-0000FE070000}"/>
    <cellStyle name="Comma 4 2 2 3 2 10" xfId="17285" xr:uid="{A0CE8BCB-F170-4415-BD88-65D9E022CFE4}"/>
    <cellStyle name="Comma 4 2 2 3 2 11" xfId="8837" xr:uid="{49972171-480F-48AC-B934-C37E81E7FE81}"/>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24062" xr:uid="{82EC83B1-B9F8-4CF0-BD95-F3AB01FD40D5}"/>
    <cellStyle name="Comma 4 2 2 3 2 2 2 2 3" xfId="15614" xr:uid="{9931AE1E-BC43-4A5F-8685-BA94D501D21C}"/>
    <cellStyle name="Comma 4 2 2 3 2 2 2 3" xfId="19844" xr:uid="{921838C2-9A33-4C5A-945E-72B80D02F8AA}"/>
    <cellStyle name="Comma 4 2 2 3 2 2 2 4" xfId="11396" xr:uid="{21F963C0-B41D-46F2-B88D-AEBE9E639C6A}"/>
    <cellStyle name="Comma 4 2 2 3 2 2 3" xfId="5019" xr:uid="{00000000-0005-0000-0000-000002080000}"/>
    <cellStyle name="Comma 4 2 2 3 2 2 3 2" xfId="21917" xr:uid="{0BEFEB90-E037-46DF-B7F3-79F0795169B3}"/>
    <cellStyle name="Comma 4 2 2 3 2 2 3 3" xfId="13469" xr:uid="{3EEA7BB8-B40B-48FC-BBC1-E9670EBA3FB0}"/>
    <cellStyle name="Comma 4 2 2 3 2 2 4" xfId="17699" xr:uid="{3B0B86FC-6BE2-4E20-90ED-24D637EB5FF9}"/>
    <cellStyle name="Comma 4 2 2 3 2 2 5" xfId="9251" xr:uid="{7FD779BB-CEB1-4406-B1C4-656856E86BEE}"/>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24475" xr:uid="{03408116-6F62-4B76-9A82-DBDE39DFF3B7}"/>
    <cellStyle name="Comma 4 2 2 3 2 3 2 2 3" xfId="16027" xr:uid="{07305289-C324-486B-87B6-0C13AD9A62AB}"/>
    <cellStyle name="Comma 4 2 2 3 2 3 2 3" xfId="20257" xr:uid="{E45C4513-FE40-4C82-808F-FF85CD64A9C5}"/>
    <cellStyle name="Comma 4 2 2 3 2 3 2 4" xfId="11809" xr:uid="{58775E46-4664-4114-987D-5845B9FE079F}"/>
    <cellStyle name="Comma 4 2 2 3 2 3 3" xfId="5432" xr:uid="{00000000-0005-0000-0000-000006080000}"/>
    <cellStyle name="Comma 4 2 2 3 2 3 3 2" xfId="22330" xr:uid="{F981C1F3-5C34-405B-B843-C3FF896716B6}"/>
    <cellStyle name="Comma 4 2 2 3 2 3 3 3" xfId="13882" xr:uid="{472F89BB-7C5F-492E-B196-BD057A7C8B68}"/>
    <cellStyle name="Comma 4 2 2 3 2 3 4" xfId="18112" xr:uid="{446327EE-4AD1-4B14-8ECD-6E49D99FD353}"/>
    <cellStyle name="Comma 4 2 2 3 2 3 5" xfId="9664" xr:uid="{82A2539D-D9A3-4225-A2A1-C2BA25133B22}"/>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24888" xr:uid="{967B1B08-036F-4AC2-AD97-72C137B20670}"/>
    <cellStyle name="Comma 4 2 2 3 2 4 2 2 3" xfId="16440" xr:uid="{A16C99A5-2314-49F6-A740-762184C8FAC8}"/>
    <cellStyle name="Comma 4 2 2 3 2 4 2 3" xfId="20670" xr:uid="{49CA03B9-7159-4697-A062-792C4562EFE3}"/>
    <cellStyle name="Comma 4 2 2 3 2 4 2 4" xfId="12222" xr:uid="{A8B002AF-77E6-4966-AC71-948D0224E67F}"/>
    <cellStyle name="Comma 4 2 2 3 2 4 3" xfId="5845" xr:uid="{00000000-0005-0000-0000-00000A080000}"/>
    <cellStyle name="Comma 4 2 2 3 2 4 3 2" xfId="22743" xr:uid="{527D7F5B-554B-455E-B415-D13504216AE8}"/>
    <cellStyle name="Comma 4 2 2 3 2 4 3 3" xfId="14295" xr:uid="{93109F74-3C18-4C58-BE1A-E8E468E5BDB0}"/>
    <cellStyle name="Comma 4 2 2 3 2 4 4" xfId="18525" xr:uid="{55BDF413-0ED7-4B34-9ACC-9B5245DF7466}"/>
    <cellStyle name="Comma 4 2 2 3 2 4 5" xfId="10077" xr:uid="{D101899E-F083-4627-A02F-6123A8E931FF}"/>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25301" xr:uid="{774D9DE6-92C3-452E-977C-AC6F0A9F0CAA}"/>
    <cellStyle name="Comma 4 2 2 3 2 5 2 2 3" xfId="16853" xr:uid="{A1060973-05B5-40E8-82A1-2E2FFA7CED2F}"/>
    <cellStyle name="Comma 4 2 2 3 2 5 2 3" xfId="21083" xr:uid="{AC8C8534-2057-40AD-8526-349958191DDF}"/>
    <cellStyle name="Comma 4 2 2 3 2 5 2 4" xfId="12635" xr:uid="{7DBA9E84-2E14-45DE-BBBC-8F2A1F45D0E9}"/>
    <cellStyle name="Comma 4 2 2 3 2 5 3" xfId="6258" xr:uid="{00000000-0005-0000-0000-00000E080000}"/>
    <cellStyle name="Comma 4 2 2 3 2 5 3 2" xfId="23156" xr:uid="{23B3C55A-E85C-4AD1-9FD6-ABE62D5B8FB2}"/>
    <cellStyle name="Comma 4 2 2 3 2 5 3 3" xfId="14708" xr:uid="{1E6C56AF-5BDF-45E9-B957-9880FCCB1569}"/>
    <cellStyle name="Comma 4 2 2 3 2 5 4" xfId="18938" xr:uid="{3CAABC51-B48C-4923-9598-B0BA2280FB4C}"/>
    <cellStyle name="Comma 4 2 2 3 2 5 5" xfId="10490" xr:uid="{D3E80569-901E-439F-8FCE-A255458EDD06}"/>
    <cellStyle name="Comma 4 2 2 3 2 6" xfId="2387" xr:uid="{00000000-0005-0000-0000-00000F080000}"/>
    <cellStyle name="Comma 4 2 2 3 2 6 2" xfId="6671" xr:uid="{00000000-0005-0000-0000-000010080000}"/>
    <cellStyle name="Comma 4 2 2 3 2 6 2 2" xfId="23569" xr:uid="{3E400BBA-09BF-4FD9-8AB9-75F2F53777ED}"/>
    <cellStyle name="Comma 4 2 2 3 2 6 2 3" xfId="15121" xr:uid="{8D811C7E-0869-4D32-84B0-B060989915F8}"/>
    <cellStyle name="Comma 4 2 2 3 2 6 3" xfId="19351" xr:uid="{CD968C1E-1C2A-4FC6-8C2E-EAE2CA1BC86A}"/>
    <cellStyle name="Comma 4 2 2 3 2 6 4" xfId="10903" xr:uid="{3A6B424C-E096-4D5C-8A9F-2996B482E63C}"/>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23886" xr:uid="{07C63659-EB3A-4F87-BE5B-93560AE363A6}"/>
    <cellStyle name="Comma 4 2 2 3 2 8 2 3" xfId="15438" xr:uid="{8080C056-7840-458D-BEA3-00BEC82DBAB3}"/>
    <cellStyle name="Comma 4 2 2 3 2 8 3" xfId="19668" xr:uid="{782D4BB3-F855-4158-ABA2-9A02628F166A}"/>
    <cellStyle name="Comma 4 2 2 3 2 8 4" xfId="11220" xr:uid="{586D1D65-D23D-41DD-B0C3-FE1AA2AEBE55}"/>
    <cellStyle name="Comma 4 2 2 3 2 9" xfId="4605" xr:uid="{00000000-0005-0000-0000-000014080000}"/>
    <cellStyle name="Comma 4 2 2 3 2 9 2" xfId="21503" xr:uid="{0973BE29-9DB1-40EC-BF1F-5C10870DF80E}"/>
    <cellStyle name="Comma 4 2 2 3 2 9 3" xfId="13055" xr:uid="{19DEAF1F-AE71-4B99-9548-72E432B5B4AB}"/>
    <cellStyle name="Comma 4 2 2 3 3" xfId="670" xr:uid="{00000000-0005-0000-0000-000015080000}"/>
    <cellStyle name="Comma 4 2 2 3 3 2" xfId="2941" xr:uid="{00000000-0005-0000-0000-000016080000}"/>
    <cellStyle name="Comma 4 2 2 3 3 2 2" xfId="7163" xr:uid="{00000000-0005-0000-0000-000017080000}"/>
    <cellStyle name="Comma 4 2 2 3 3 2 2 2" xfId="24061" xr:uid="{B47F4F07-14D6-404F-96BB-FEF6C7A71731}"/>
    <cellStyle name="Comma 4 2 2 3 3 2 2 3" xfId="15613" xr:uid="{98060084-8AEB-47DF-9440-F6284D113D51}"/>
    <cellStyle name="Comma 4 2 2 3 3 2 3" xfId="19843" xr:uid="{0092B818-5601-4D12-9529-D3C4D6413D7E}"/>
    <cellStyle name="Comma 4 2 2 3 3 2 4" xfId="11395" xr:uid="{0ACB3C9E-B903-4BE2-9366-4A99F8370294}"/>
    <cellStyle name="Comma 4 2 2 3 3 3" xfId="5018" xr:uid="{00000000-0005-0000-0000-000018080000}"/>
    <cellStyle name="Comma 4 2 2 3 3 3 2" xfId="21916" xr:uid="{193939EA-FAAD-41D1-94D6-4D437591BD12}"/>
    <cellStyle name="Comma 4 2 2 3 3 3 3" xfId="13468" xr:uid="{321C085C-7AF9-4A38-9C8E-0B2EDEC679D3}"/>
    <cellStyle name="Comma 4 2 2 3 3 4" xfId="17698" xr:uid="{6A2CF7EC-19D4-4FA5-A101-40025F473606}"/>
    <cellStyle name="Comma 4 2 2 3 3 5" xfId="9250" xr:uid="{ACCBC451-E143-4FE7-B700-6079ED50D2CE}"/>
    <cellStyle name="Comma 4 2 2 3 4" xfId="1123" xr:uid="{00000000-0005-0000-0000-000019080000}"/>
    <cellStyle name="Comma 4 2 2 3 4 2" xfId="3354" xr:uid="{00000000-0005-0000-0000-00001A080000}"/>
    <cellStyle name="Comma 4 2 2 3 4 2 2" xfId="7576" xr:uid="{00000000-0005-0000-0000-00001B080000}"/>
    <cellStyle name="Comma 4 2 2 3 4 2 2 2" xfId="24474" xr:uid="{40279585-81F0-4E41-B627-A8A681DC4269}"/>
    <cellStyle name="Comma 4 2 2 3 4 2 2 3" xfId="16026" xr:uid="{7F39B716-22D5-471B-BD91-242FF83F32A3}"/>
    <cellStyle name="Comma 4 2 2 3 4 2 3" xfId="20256" xr:uid="{9A0845E8-BFE9-4464-9AD5-E5E64EC0B226}"/>
    <cellStyle name="Comma 4 2 2 3 4 2 4" xfId="11808" xr:uid="{144B8AE9-608F-4111-AEE9-1621DEC165B1}"/>
    <cellStyle name="Comma 4 2 2 3 4 3" xfId="5431" xr:uid="{00000000-0005-0000-0000-00001C080000}"/>
    <cellStyle name="Comma 4 2 2 3 4 3 2" xfId="22329" xr:uid="{60AF7D57-B0CD-42D2-A83C-6CA76EE71ED2}"/>
    <cellStyle name="Comma 4 2 2 3 4 3 3" xfId="13881" xr:uid="{AA3FE9AA-61E4-486E-B4B2-5832758A6B6D}"/>
    <cellStyle name="Comma 4 2 2 3 4 4" xfId="18111" xr:uid="{C6600373-6F05-47EE-A525-018D7F528305}"/>
    <cellStyle name="Comma 4 2 2 3 4 5" xfId="9663" xr:uid="{3EEB7C8A-69AD-4639-BB6C-A74A7FE67B59}"/>
    <cellStyle name="Comma 4 2 2 3 5" xfId="1537" xr:uid="{00000000-0005-0000-0000-00001D080000}"/>
    <cellStyle name="Comma 4 2 2 3 5 2" xfId="3767" xr:uid="{00000000-0005-0000-0000-00001E080000}"/>
    <cellStyle name="Comma 4 2 2 3 5 2 2" xfId="7989" xr:uid="{00000000-0005-0000-0000-00001F080000}"/>
    <cellStyle name="Comma 4 2 2 3 5 2 2 2" xfId="24887" xr:uid="{267A66BB-1C77-45CE-95B7-B002A7B9B5B6}"/>
    <cellStyle name="Comma 4 2 2 3 5 2 2 3" xfId="16439" xr:uid="{4D4748A9-FFA5-482E-88ED-7F8A2574AC83}"/>
    <cellStyle name="Comma 4 2 2 3 5 2 3" xfId="20669" xr:uid="{60AE23EC-8543-41FE-97CA-53E118E88978}"/>
    <cellStyle name="Comma 4 2 2 3 5 2 4" xfId="12221" xr:uid="{D5479F6C-D068-4044-9120-45FE7236333F}"/>
    <cellStyle name="Comma 4 2 2 3 5 3" xfId="5844" xr:uid="{00000000-0005-0000-0000-000020080000}"/>
    <cellStyle name="Comma 4 2 2 3 5 3 2" xfId="22742" xr:uid="{D6300CD1-1579-4EE3-A61C-7A59389512FF}"/>
    <cellStyle name="Comma 4 2 2 3 5 3 3" xfId="14294" xr:uid="{F1AF6B62-998A-4781-B186-B9F197836CDC}"/>
    <cellStyle name="Comma 4 2 2 3 5 4" xfId="18524" xr:uid="{B550F6E4-C9C0-49EE-BE56-E73BD48B8F0E}"/>
    <cellStyle name="Comma 4 2 2 3 5 5" xfId="10076" xr:uid="{5FCEFD37-E086-40D4-B7F0-EA4AF6707146}"/>
    <cellStyle name="Comma 4 2 2 3 6" xfId="1951" xr:uid="{00000000-0005-0000-0000-000021080000}"/>
    <cellStyle name="Comma 4 2 2 3 6 2" xfId="4180" xr:uid="{00000000-0005-0000-0000-000022080000}"/>
    <cellStyle name="Comma 4 2 2 3 6 2 2" xfId="8402" xr:uid="{00000000-0005-0000-0000-000023080000}"/>
    <cellStyle name="Comma 4 2 2 3 6 2 2 2" xfId="25300" xr:uid="{AF342331-8876-4402-8975-6C810606E259}"/>
    <cellStyle name="Comma 4 2 2 3 6 2 2 3" xfId="16852" xr:uid="{2EBD1092-7B5F-4E96-9B8C-E5A90250FD7F}"/>
    <cellStyle name="Comma 4 2 2 3 6 2 3" xfId="21082" xr:uid="{B07F2885-E7CD-4BD0-BC79-69CD52C821A4}"/>
    <cellStyle name="Comma 4 2 2 3 6 2 4" xfId="12634" xr:uid="{970573FB-3DC7-4C96-BA6F-0B3655BCBFC7}"/>
    <cellStyle name="Comma 4 2 2 3 6 3" xfId="6257" xr:uid="{00000000-0005-0000-0000-000024080000}"/>
    <cellStyle name="Comma 4 2 2 3 6 3 2" xfId="23155" xr:uid="{A0AB9B42-73AC-4445-B1AA-A2EBD6E00386}"/>
    <cellStyle name="Comma 4 2 2 3 6 3 3" xfId="14707" xr:uid="{B2FDC2E6-EA0C-4198-911B-5EBA12CD85CB}"/>
    <cellStyle name="Comma 4 2 2 3 6 4" xfId="18937" xr:uid="{53C42C86-CF00-4740-9E5F-B0756F624B0B}"/>
    <cellStyle name="Comma 4 2 2 3 6 5" xfId="10489" xr:uid="{5B393728-B2B4-4C0B-B201-B54E9D09B36D}"/>
    <cellStyle name="Comma 4 2 2 3 7" xfId="2386" xr:uid="{00000000-0005-0000-0000-000025080000}"/>
    <cellStyle name="Comma 4 2 2 3 7 2" xfId="6670" xr:uid="{00000000-0005-0000-0000-000026080000}"/>
    <cellStyle name="Comma 4 2 2 3 7 2 2" xfId="23568" xr:uid="{624464EC-1023-45CD-BC17-D61964E058F0}"/>
    <cellStyle name="Comma 4 2 2 3 7 2 3" xfId="15120" xr:uid="{A524D574-C2BF-4631-90BF-C1187EDF36FA}"/>
    <cellStyle name="Comma 4 2 2 3 7 3" xfId="19350" xr:uid="{081B5BB2-97DC-46F8-9F84-0900D9A82E15}"/>
    <cellStyle name="Comma 4 2 2 3 7 4" xfId="10902" xr:uid="{E15A3B77-F11E-4119-8C84-8543E2AE9CEF}"/>
    <cellStyle name="Comma 4 2 2 3 8" xfId="2377" xr:uid="{00000000-0005-0000-0000-000027080000}"/>
    <cellStyle name="Comma 4 2 2 3 9" xfId="2764" xr:uid="{00000000-0005-0000-0000-000028080000}"/>
    <cellStyle name="Comma 4 2 2 3 9 2" xfId="6987" xr:uid="{00000000-0005-0000-0000-000029080000}"/>
    <cellStyle name="Comma 4 2 2 3 9 2 2" xfId="23885" xr:uid="{91FD36BD-4877-4C3A-8E76-C03259F477C7}"/>
    <cellStyle name="Comma 4 2 2 3 9 2 3" xfId="15437" xr:uid="{130934E2-AB30-49A1-80A9-5DC92C21C2D1}"/>
    <cellStyle name="Comma 4 2 2 3 9 3" xfId="19667" xr:uid="{0B19FB4D-3C7B-45FA-9511-0F6C9A3CDE92}"/>
    <cellStyle name="Comma 4 2 2 3 9 4" xfId="11219" xr:uid="{1B70F697-CAA2-407C-A1EF-1339E83D4B34}"/>
    <cellStyle name="Comma 4 2 2 4" xfId="134" xr:uid="{00000000-0005-0000-0000-00002A080000}"/>
    <cellStyle name="Comma 4 2 2 4 10" xfId="17286" xr:uid="{BA3FF81D-0BA9-4DC3-BE60-488F8585CE1C}"/>
    <cellStyle name="Comma 4 2 2 4 11" xfId="8838" xr:uid="{5B4324C3-58DD-4092-B416-DF1703FCE175}"/>
    <cellStyle name="Comma 4 2 2 4 2" xfId="672" xr:uid="{00000000-0005-0000-0000-00002B080000}"/>
    <cellStyle name="Comma 4 2 2 4 2 2" xfId="2943" xr:uid="{00000000-0005-0000-0000-00002C080000}"/>
    <cellStyle name="Comma 4 2 2 4 2 2 2" xfId="7165" xr:uid="{00000000-0005-0000-0000-00002D080000}"/>
    <cellStyle name="Comma 4 2 2 4 2 2 2 2" xfId="24063" xr:uid="{2F09CCC7-3820-4F41-A82C-9B35E9E853BB}"/>
    <cellStyle name="Comma 4 2 2 4 2 2 2 3" xfId="15615" xr:uid="{C059CE70-2D56-4506-A4A5-07241B86C97A}"/>
    <cellStyle name="Comma 4 2 2 4 2 2 3" xfId="19845" xr:uid="{490FADE3-F978-4FCF-9572-BA18D5E4D6E0}"/>
    <cellStyle name="Comma 4 2 2 4 2 2 4" xfId="11397" xr:uid="{9DAB58CB-21E4-4D88-886E-B1EE6906D41E}"/>
    <cellStyle name="Comma 4 2 2 4 2 3" xfId="5020" xr:uid="{00000000-0005-0000-0000-00002E080000}"/>
    <cellStyle name="Comma 4 2 2 4 2 3 2" xfId="21918" xr:uid="{921B0E47-45EE-473E-824C-1E8A12D774CE}"/>
    <cellStyle name="Comma 4 2 2 4 2 3 3" xfId="13470" xr:uid="{481D8B11-2237-4B6B-A62E-C4BB8B44D63E}"/>
    <cellStyle name="Comma 4 2 2 4 2 4" xfId="17700" xr:uid="{5C568237-278D-4834-871C-451A8EE9737E}"/>
    <cellStyle name="Comma 4 2 2 4 2 5" xfId="9252" xr:uid="{B8A393D6-7628-4044-A156-DB649D091041}"/>
    <cellStyle name="Comma 4 2 2 4 3" xfId="1125" xr:uid="{00000000-0005-0000-0000-00002F080000}"/>
    <cellStyle name="Comma 4 2 2 4 3 2" xfId="3356" xr:uid="{00000000-0005-0000-0000-000030080000}"/>
    <cellStyle name="Comma 4 2 2 4 3 2 2" xfId="7578" xr:uid="{00000000-0005-0000-0000-000031080000}"/>
    <cellStyle name="Comma 4 2 2 4 3 2 2 2" xfId="24476" xr:uid="{F1361A6C-3360-4436-B0BB-C8F1180A8C54}"/>
    <cellStyle name="Comma 4 2 2 4 3 2 2 3" xfId="16028" xr:uid="{EC3AE99F-7B92-4933-B3F3-3B698B04B984}"/>
    <cellStyle name="Comma 4 2 2 4 3 2 3" xfId="20258" xr:uid="{440E0B9B-3E4B-402E-B7B3-CDF6E69E258F}"/>
    <cellStyle name="Comma 4 2 2 4 3 2 4" xfId="11810" xr:uid="{F8B6DE90-A69A-45CA-A684-122B4D33FE4B}"/>
    <cellStyle name="Comma 4 2 2 4 3 3" xfId="5433" xr:uid="{00000000-0005-0000-0000-000032080000}"/>
    <cellStyle name="Comma 4 2 2 4 3 3 2" xfId="22331" xr:uid="{67679378-E9CE-4487-BCAF-E1EB8B4D8FD1}"/>
    <cellStyle name="Comma 4 2 2 4 3 3 3" xfId="13883" xr:uid="{596F1A5A-5BB2-4307-BAED-9383FBF1B164}"/>
    <cellStyle name="Comma 4 2 2 4 3 4" xfId="18113" xr:uid="{2C679E03-A82A-4B27-85AE-090FED94ED27}"/>
    <cellStyle name="Comma 4 2 2 4 3 5" xfId="9665" xr:uid="{926D9481-F922-4AAC-9942-D94EDDD70B05}"/>
    <cellStyle name="Comma 4 2 2 4 4" xfId="1539" xr:uid="{00000000-0005-0000-0000-000033080000}"/>
    <cellStyle name="Comma 4 2 2 4 4 2" xfId="3769" xr:uid="{00000000-0005-0000-0000-000034080000}"/>
    <cellStyle name="Comma 4 2 2 4 4 2 2" xfId="7991" xr:uid="{00000000-0005-0000-0000-000035080000}"/>
    <cellStyle name="Comma 4 2 2 4 4 2 2 2" xfId="24889" xr:uid="{F6D0F1E6-F8B0-4A2F-AA1D-114B51A46023}"/>
    <cellStyle name="Comma 4 2 2 4 4 2 2 3" xfId="16441" xr:uid="{BEA2FC77-BBDA-4C50-A934-D8CD52A3C930}"/>
    <cellStyle name="Comma 4 2 2 4 4 2 3" xfId="20671" xr:uid="{F652C604-B1CB-4864-B712-E0F8FAC5F743}"/>
    <cellStyle name="Comma 4 2 2 4 4 2 4" xfId="12223" xr:uid="{8E961441-24F0-46E6-AABA-FFF2F96DEAEF}"/>
    <cellStyle name="Comma 4 2 2 4 4 3" xfId="5846" xr:uid="{00000000-0005-0000-0000-000036080000}"/>
    <cellStyle name="Comma 4 2 2 4 4 3 2" xfId="22744" xr:uid="{14011A45-7D31-4A46-B42E-208B4AAA21B5}"/>
    <cellStyle name="Comma 4 2 2 4 4 3 3" xfId="14296" xr:uid="{E803DD39-BC9D-4ED7-B607-63ACA9AEBE4D}"/>
    <cellStyle name="Comma 4 2 2 4 4 4" xfId="18526" xr:uid="{F2E44161-CE8C-4A12-A334-2E2CC8CAB711}"/>
    <cellStyle name="Comma 4 2 2 4 4 5" xfId="10078" xr:uid="{467654AF-97C3-4425-A168-9FB02DA501C2}"/>
    <cellStyle name="Comma 4 2 2 4 5" xfId="1953" xr:uid="{00000000-0005-0000-0000-000037080000}"/>
    <cellStyle name="Comma 4 2 2 4 5 2" xfId="4182" xr:uid="{00000000-0005-0000-0000-000038080000}"/>
    <cellStyle name="Comma 4 2 2 4 5 2 2" xfId="8404" xr:uid="{00000000-0005-0000-0000-000039080000}"/>
    <cellStyle name="Comma 4 2 2 4 5 2 2 2" xfId="25302" xr:uid="{1097E0E8-3273-4BC6-9E1D-CD9C4D63405A}"/>
    <cellStyle name="Comma 4 2 2 4 5 2 2 3" xfId="16854" xr:uid="{368EA572-78A2-49EC-B636-EA53F10186EB}"/>
    <cellStyle name="Comma 4 2 2 4 5 2 3" xfId="21084" xr:uid="{CC089B93-CE27-4C1F-BC0B-EE2F5EB39A5B}"/>
    <cellStyle name="Comma 4 2 2 4 5 2 4" xfId="12636" xr:uid="{35FD1719-BDE1-461B-AB63-B245032CF4B8}"/>
    <cellStyle name="Comma 4 2 2 4 5 3" xfId="6259" xr:uid="{00000000-0005-0000-0000-00003A080000}"/>
    <cellStyle name="Comma 4 2 2 4 5 3 2" xfId="23157" xr:uid="{EF774A6D-760E-4D38-B98F-7D4913B05648}"/>
    <cellStyle name="Comma 4 2 2 4 5 3 3" xfId="14709" xr:uid="{F473DDC9-FAF4-45FE-B2F3-DD89DBFDF1FB}"/>
    <cellStyle name="Comma 4 2 2 4 5 4" xfId="18939" xr:uid="{1A403062-FAF0-4740-9903-43B5FDA7F068}"/>
    <cellStyle name="Comma 4 2 2 4 5 5" xfId="10491" xr:uid="{3A8FEFC0-5415-40FF-9AA3-7AE33E91B542}"/>
    <cellStyle name="Comma 4 2 2 4 6" xfId="2388" xr:uid="{00000000-0005-0000-0000-00003B080000}"/>
    <cellStyle name="Comma 4 2 2 4 6 2" xfId="6672" xr:uid="{00000000-0005-0000-0000-00003C080000}"/>
    <cellStyle name="Comma 4 2 2 4 6 2 2" xfId="23570" xr:uid="{B64100E0-D143-4B93-B687-D82699C03036}"/>
    <cellStyle name="Comma 4 2 2 4 6 2 3" xfId="15122" xr:uid="{9AA5F980-BE3E-46A7-B7F8-2F61AB8F9F9E}"/>
    <cellStyle name="Comma 4 2 2 4 6 3" xfId="19352" xr:uid="{12B48A17-D822-41A2-9664-53C9A8C1FA1F}"/>
    <cellStyle name="Comma 4 2 2 4 6 4" xfId="10904" xr:uid="{E4B4F193-0400-4F6E-AF49-10D6162696BF}"/>
    <cellStyle name="Comma 4 2 2 4 7" xfId="2375" xr:uid="{00000000-0005-0000-0000-00003D080000}"/>
    <cellStyle name="Comma 4 2 2 4 8" xfId="2766" xr:uid="{00000000-0005-0000-0000-00003E080000}"/>
    <cellStyle name="Comma 4 2 2 4 8 2" xfId="6989" xr:uid="{00000000-0005-0000-0000-00003F080000}"/>
    <cellStyle name="Comma 4 2 2 4 8 2 2" xfId="23887" xr:uid="{7CF09CE5-1D07-4C17-A679-7275D477EE68}"/>
    <cellStyle name="Comma 4 2 2 4 8 2 3" xfId="15439" xr:uid="{EA4D98A0-3347-43D3-8D44-8E1EF32FF8B1}"/>
    <cellStyle name="Comma 4 2 2 4 8 3" xfId="19669" xr:uid="{560A23AC-46DB-40C1-BFEF-B72845A6235E}"/>
    <cellStyle name="Comma 4 2 2 4 8 4" xfId="11221" xr:uid="{00AF93ED-E314-4E64-B3C4-01C719597428}"/>
    <cellStyle name="Comma 4 2 2 4 9" xfId="4606" xr:uid="{00000000-0005-0000-0000-000040080000}"/>
    <cellStyle name="Comma 4 2 2 4 9 2" xfId="21504" xr:uid="{3325A501-9047-4480-89F3-1731892EB71E}"/>
    <cellStyle name="Comma 4 2 2 4 9 3" xfId="13056" xr:uid="{51FF8E17-8AF1-488E-8831-C870EF92195D}"/>
    <cellStyle name="Comma 4 2 2 5" xfId="135" xr:uid="{00000000-0005-0000-0000-000041080000}"/>
    <cellStyle name="Comma 4 2 2 5 10" xfId="17287" xr:uid="{D58DE3DE-5B47-47F8-A4D1-045E445CFF2E}"/>
    <cellStyle name="Comma 4 2 2 5 11" xfId="8839" xr:uid="{7FC0B3AD-96AB-4B8C-A422-61E1743EDC83}"/>
    <cellStyle name="Comma 4 2 2 5 2" xfId="673" xr:uid="{00000000-0005-0000-0000-000042080000}"/>
    <cellStyle name="Comma 4 2 2 5 2 2" xfId="2944" xr:uid="{00000000-0005-0000-0000-000043080000}"/>
    <cellStyle name="Comma 4 2 2 5 2 2 2" xfId="7166" xr:uid="{00000000-0005-0000-0000-000044080000}"/>
    <cellStyle name="Comma 4 2 2 5 2 2 2 2" xfId="24064" xr:uid="{5D7E14C9-A878-407E-9512-E5C9D75EFB14}"/>
    <cellStyle name="Comma 4 2 2 5 2 2 2 3" xfId="15616" xr:uid="{4C65B1E8-9C20-4DBD-A788-59229BEDE6E4}"/>
    <cellStyle name="Comma 4 2 2 5 2 2 3" xfId="19846" xr:uid="{8CD10B95-1291-4EB8-A356-865F9FB5806D}"/>
    <cellStyle name="Comma 4 2 2 5 2 2 4" xfId="11398" xr:uid="{C5D0DA1B-4E55-4291-B919-978608EAE6B1}"/>
    <cellStyle name="Comma 4 2 2 5 2 3" xfId="5021" xr:uid="{00000000-0005-0000-0000-000045080000}"/>
    <cellStyle name="Comma 4 2 2 5 2 3 2" xfId="21919" xr:uid="{5865A784-530D-4C00-BE7D-FFEB3EDB2770}"/>
    <cellStyle name="Comma 4 2 2 5 2 3 3" xfId="13471" xr:uid="{08D7618B-42A0-4B92-A15D-00EA45E97ED1}"/>
    <cellStyle name="Comma 4 2 2 5 2 4" xfId="17701" xr:uid="{7D5BB0CF-ADB9-487B-93B9-792B9082AB01}"/>
    <cellStyle name="Comma 4 2 2 5 2 5" xfId="9253" xr:uid="{734772AD-D049-4E17-92DE-AC12B97D8594}"/>
    <cellStyle name="Comma 4 2 2 5 3" xfId="1126" xr:uid="{00000000-0005-0000-0000-000046080000}"/>
    <cellStyle name="Comma 4 2 2 5 3 2" xfId="3357" xr:uid="{00000000-0005-0000-0000-000047080000}"/>
    <cellStyle name="Comma 4 2 2 5 3 2 2" xfId="7579" xr:uid="{00000000-0005-0000-0000-000048080000}"/>
    <cellStyle name="Comma 4 2 2 5 3 2 2 2" xfId="24477" xr:uid="{5DC11984-5323-427E-9AE8-1F07EC369147}"/>
    <cellStyle name="Comma 4 2 2 5 3 2 2 3" xfId="16029" xr:uid="{AA77E4C8-AC40-4789-9E5A-C59B445D9A2E}"/>
    <cellStyle name="Comma 4 2 2 5 3 2 3" xfId="20259" xr:uid="{A704592F-DB19-4E4E-9230-989C2EEE08B3}"/>
    <cellStyle name="Comma 4 2 2 5 3 2 4" xfId="11811" xr:uid="{0AA514DF-4CA7-42A5-B15C-E21DEAA71D3A}"/>
    <cellStyle name="Comma 4 2 2 5 3 3" xfId="5434" xr:uid="{00000000-0005-0000-0000-000049080000}"/>
    <cellStyle name="Comma 4 2 2 5 3 3 2" xfId="22332" xr:uid="{FF35FFC2-58DD-44D3-96E1-9A1062CF19C9}"/>
    <cellStyle name="Comma 4 2 2 5 3 3 3" xfId="13884" xr:uid="{9A84B692-8F73-4F61-A737-667C89D5EC93}"/>
    <cellStyle name="Comma 4 2 2 5 3 4" xfId="18114" xr:uid="{577BFA07-0846-4931-827C-A6EB55C94244}"/>
    <cellStyle name="Comma 4 2 2 5 3 5" xfId="9666" xr:uid="{DBD4EF3F-2371-4E6C-BCBD-13AA3CC8F311}"/>
    <cellStyle name="Comma 4 2 2 5 4" xfId="1540" xr:uid="{00000000-0005-0000-0000-00004A080000}"/>
    <cellStyle name="Comma 4 2 2 5 4 2" xfId="3770" xr:uid="{00000000-0005-0000-0000-00004B080000}"/>
    <cellStyle name="Comma 4 2 2 5 4 2 2" xfId="7992" xr:uid="{00000000-0005-0000-0000-00004C080000}"/>
    <cellStyle name="Comma 4 2 2 5 4 2 2 2" xfId="24890" xr:uid="{9981FAD3-45D2-402B-B6BA-32DB1CE9841F}"/>
    <cellStyle name="Comma 4 2 2 5 4 2 2 3" xfId="16442" xr:uid="{94033701-6AB3-4DEF-AF00-31499FDC1AE1}"/>
    <cellStyle name="Comma 4 2 2 5 4 2 3" xfId="20672" xr:uid="{DAAF5B63-4593-414C-8354-A405E80E6CF7}"/>
    <cellStyle name="Comma 4 2 2 5 4 2 4" xfId="12224" xr:uid="{176E79CD-2604-4C60-AEEC-E8781F5552B7}"/>
    <cellStyle name="Comma 4 2 2 5 4 3" xfId="5847" xr:uid="{00000000-0005-0000-0000-00004D080000}"/>
    <cellStyle name="Comma 4 2 2 5 4 3 2" xfId="22745" xr:uid="{B9B37472-1876-41A2-8BBB-BE40B7EC872C}"/>
    <cellStyle name="Comma 4 2 2 5 4 3 3" xfId="14297" xr:uid="{8C12F036-D44B-4621-8FA0-5FD014A44DA9}"/>
    <cellStyle name="Comma 4 2 2 5 4 4" xfId="18527" xr:uid="{100203CB-CA3A-4984-819D-8A07D3E01F9B}"/>
    <cellStyle name="Comma 4 2 2 5 4 5" xfId="10079" xr:uid="{EA45218F-1ED6-472C-A919-8F7EDC88334C}"/>
    <cellStyle name="Comma 4 2 2 5 5" xfId="1954" xr:uid="{00000000-0005-0000-0000-00004E080000}"/>
    <cellStyle name="Comma 4 2 2 5 5 2" xfId="4183" xr:uid="{00000000-0005-0000-0000-00004F080000}"/>
    <cellStyle name="Comma 4 2 2 5 5 2 2" xfId="8405" xr:uid="{00000000-0005-0000-0000-000050080000}"/>
    <cellStyle name="Comma 4 2 2 5 5 2 2 2" xfId="25303" xr:uid="{AEE546D4-CFB8-4DEE-9E77-8C3C9B50F5A1}"/>
    <cellStyle name="Comma 4 2 2 5 5 2 2 3" xfId="16855" xr:uid="{6E13CB9E-E54F-405F-8321-2B1EB7498AB0}"/>
    <cellStyle name="Comma 4 2 2 5 5 2 3" xfId="21085" xr:uid="{6ED6ED5C-4021-4237-BE02-23857F10C771}"/>
    <cellStyle name="Comma 4 2 2 5 5 2 4" xfId="12637" xr:uid="{EE116768-13C3-4267-95F1-E03C5C012934}"/>
    <cellStyle name="Comma 4 2 2 5 5 3" xfId="6260" xr:uid="{00000000-0005-0000-0000-000051080000}"/>
    <cellStyle name="Comma 4 2 2 5 5 3 2" xfId="23158" xr:uid="{9430656F-81D0-4497-843C-09C012005EB9}"/>
    <cellStyle name="Comma 4 2 2 5 5 3 3" xfId="14710" xr:uid="{CB7783B1-25E4-4171-BAC3-07D5DDA2E7F9}"/>
    <cellStyle name="Comma 4 2 2 5 5 4" xfId="18940" xr:uid="{77AC4E56-6B67-41BA-AD1B-02652F1A6D66}"/>
    <cellStyle name="Comma 4 2 2 5 5 5" xfId="10492" xr:uid="{072AAEA5-8437-4025-8232-17105057EDA4}"/>
    <cellStyle name="Comma 4 2 2 5 6" xfId="2389" xr:uid="{00000000-0005-0000-0000-000052080000}"/>
    <cellStyle name="Comma 4 2 2 5 6 2" xfId="6673" xr:uid="{00000000-0005-0000-0000-000053080000}"/>
    <cellStyle name="Comma 4 2 2 5 6 2 2" xfId="23571" xr:uid="{F33755B9-3E09-422A-B126-A014FDA19B6B}"/>
    <cellStyle name="Comma 4 2 2 5 6 2 3" xfId="15123" xr:uid="{CD207287-ECB6-46EF-953B-331C0BD9AD6A}"/>
    <cellStyle name="Comma 4 2 2 5 6 3" xfId="19353" xr:uid="{32F4411B-2F57-480B-8C72-691D96C5568D}"/>
    <cellStyle name="Comma 4 2 2 5 6 4" xfId="10905" xr:uid="{77C42F7B-56E6-43FF-BB9F-FE70B64101A7}"/>
    <cellStyle name="Comma 4 2 2 5 7" xfId="2374" xr:uid="{00000000-0005-0000-0000-000054080000}"/>
    <cellStyle name="Comma 4 2 2 5 8" xfId="2767" xr:uid="{00000000-0005-0000-0000-000055080000}"/>
    <cellStyle name="Comma 4 2 2 5 8 2" xfId="6990" xr:uid="{00000000-0005-0000-0000-000056080000}"/>
    <cellStyle name="Comma 4 2 2 5 8 2 2" xfId="23888" xr:uid="{BEA1489F-F1AD-4104-AB72-578ED3D608EC}"/>
    <cellStyle name="Comma 4 2 2 5 8 2 3" xfId="15440" xr:uid="{DC8F0751-A6E1-4CC1-A4A5-460E82C95322}"/>
    <cellStyle name="Comma 4 2 2 5 8 3" xfId="19670" xr:uid="{C8484B0B-3B5F-46A6-824C-5A272BB108F2}"/>
    <cellStyle name="Comma 4 2 2 5 8 4" xfId="11222" xr:uid="{F37D1F06-D441-4DD5-B03B-11C8CBC9958D}"/>
    <cellStyle name="Comma 4 2 2 5 9" xfId="4607" xr:uid="{00000000-0005-0000-0000-000057080000}"/>
    <cellStyle name="Comma 4 2 2 5 9 2" xfId="21505" xr:uid="{9C2E60F2-4696-4F46-825E-299A4860F261}"/>
    <cellStyle name="Comma 4 2 2 5 9 3" xfId="13057" xr:uid="{266B5D75-FA23-4238-9D42-A12B9C688C26}"/>
    <cellStyle name="Comma 4 2 3" xfId="136" xr:uid="{00000000-0005-0000-0000-000058080000}"/>
    <cellStyle name="Comma 4 2 3 10" xfId="2768" xr:uid="{00000000-0005-0000-0000-000059080000}"/>
    <cellStyle name="Comma 4 2 3 10 2" xfId="6991" xr:uid="{00000000-0005-0000-0000-00005A080000}"/>
    <cellStyle name="Comma 4 2 3 10 2 2" xfId="23889" xr:uid="{B8980842-86B2-428C-958E-F113002D36FE}"/>
    <cellStyle name="Comma 4 2 3 10 2 3" xfId="15441" xr:uid="{2DF1F4B0-D8F9-4D5A-ABF3-FEED58CA114F}"/>
    <cellStyle name="Comma 4 2 3 10 3" xfId="19671" xr:uid="{EEB4A639-F5A4-43CB-8705-BC9A277254E1}"/>
    <cellStyle name="Comma 4 2 3 10 4" xfId="11223" xr:uid="{8CE57243-A84A-4D55-B8B7-DA8BF400FEC1}"/>
    <cellStyle name="Comma 4 2 3 11" xfId="4608" xr:uid="{00000000-0005-0000-0000-00005B080000}"/>
    <cellStyle name="Comma 4 2 3 11 2" xfId="21506" xr:uid="{6017317D-EC2E-451E-B214-77E23D03973A}"/>
    <cellStyle name="Comma 4 2 3 11 3" xfId="13058" xr:uid="{E6A287D3-0B49-414B-8C3D-EA692AF2FDC6}"/>
    <cellStyle name="Comma 4 2 3 12" xfId="17288" xr:uid="{1E6E323F-3F13-485E-A253-114F993091E1}"/>
    <cellStyle name="Comma 4 2 3 13" xfId="8840" xr:uid="{B432452C-E853-4A7F-A179-15ACAA24ED55}"/>
    <cellStyle name="Comma 4 2 3 2" xfId="137" xr:uid="{00000000-0005-0000-0000-00005C080000}"/>
    <cellStyle name="Comma 4 2 3 2 10" xfId="4609" xr:uid="{00000000-0005-0000-0000-00005D080000}"/>
    <cellStyle name="Comma 4 2 3 2 10 2" xfId="21507" xr:uid="{C7411E2C-7E54-46CB-866F-9A3D0A87D931}"/>
    <cellStyle name="Comma 4 2 3 2 10 3" xfId="13059" xr:uid="{BB14C271-B126-4363-BEAA-3A0EFAB97617}"/>
    <cellStyle name="Comma 4 2 3 2 11" xfId="17289" xr:uid="{3FE5E8BF-630E-4E8E-ADB1-22CF9FE798C6}"/>
    <cellStyle name="Comma 4 2 3 2 12" xfId="8841" xr:uid="{9912F344-4D97-46DE-A155-CEAB403EC357}"/>
    <cellStyle name="Comma 4 2 3 2 2" xfId="138" xr:uid="{00000000-0005-0000-0000-00005E080000}"/>
    <cellStyle name="Comma 4 2 3 2 2 10" xfId="17290" xr:uid="{07BCF056-4394-42D1-8040-6AABA750599E}"/>
    <cellStyle name="Comma 4 2 3 2 2 11" xfId="8842" xr:uid="{7A9392B7-641E-4292-A21A-701D4926F5B1}"/>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24067" xr:uid="{8B335675-843F-4BBF-B320-DF095042B56D}"/>
    <cellStyle name="Comma 4 2 3 2 2 2 2 2 3" xfId="15619" xr:uid="{7E6DE62D-D6CD-4A88-91FE-9984CDCBCB1C}"/>
    <cellStyle name="Comma 4 2 3 2 2 2 2 3" xfId="19849" xr:uid="{670BE639-5C59-4620-9934-36A9549FB5BB}"/>
    <cellStyle name="Comma 4 2 3 2 2 2 2 4" xfId="11401" xr:uid="{02946E24-236A-4A3B-86C8-2D2F9C770589}"/>
    <cellStyle name="Comma 4 2 3 2 2 2 3" xfId="5024" xr:uid="{00000000-0005-0000-0000-000062080000}"/>
    <cellStyle name="Comma 4 2 3 2 2 2 3 2" xfId="21922" xr:uid="{0CFE01BE-B6CF-482D-A6F5-1857CB53AE95}"/>
    <cellStyle name="Comma 4 2 3 2 2 2 3 3" xfId="13474" xr:uid="{18B9A33F-D6D6-421A-A134-2EC4C03E5B2A}"/>
    <cellStyle name="Comma 4 2 3 2 2 2 4" xfId="17704" xr:uid="{A329634B-1120-491B-B011-284DBA72CEEB}"/>
    <cellStyle name="Comma 4 2 3 2 2 2 5" xfId="9256" xr:uid="{86F37E93-F6E1-4D55-965F-A8681B9A2086}"/>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24480" xr:uid="{57E207C6-851E-475D-B4A3-BB3496A555B2}"/>
    <cellStyle name="Comma 4 2 3 2 2 3 2 2 3" xfId="16032" xr:uid="{10F15F70-E22F-4E29-9406-73B5A1274D4F}"/>
    <cellStyle name="Comma 4 2 3 2 2 3 2 3" xfId="20262" xr:uid="{C4C4D1EC-D1C2-4A9E-9B9D-D3871F0F929F}"/>
    <cellStyle name="Comma 4 2 3 2 2 3 2 4" xfId="11814" xr:uid="{8A14ABCB-1401-4813-BB0C-D8D53B8626B8}"/>
    <cellStyle name="Comma 4 2 3 2 2 3 3" xfId="5437" xr:uid="{00000000-0005-0000-0000-000066080000}"/>
    <cellStyle name="Comma 4 2 3 2 2 3 3 2" xfId="22335" xr:uid="{328674E8-DB60-4B6D-8592-7E0905030A34}"/>
    <cellStyle name="Comma 4 2 3 2 2 3 3 3" xfId="13887" xr:uid="{6ADE4F11-1CA1-45C2-8EE6-49C946AE7687}"/>
    <cellStyle name="Comma 4 2 3 2 2 3 4" xfId="18117" xr:uid="{FEE2F38B-7786-4260-B6E7-CB212484A366}"/>
    <cellStyle name="Comma 4 2 3 2 2 3 5" xfId="9669" xr:uid="{9684AEAD-DCD9-4244-AFBF-F98F989643BC}"/>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24893" xr:uid="{A36CC948-9A3D-4CE8-B6E4-BD221041C8F4}"/>
    <cellStyle name="Comma 4 2 3 2 2 4 2 2 3" xfId="16445" xr:uid="{36353595-C75C-4552-BDF3-A5FA76A46DD8}"/>
    <cellStyle name="Comma 4 2 3 2 2 4 2 3" xfId="20675" xr:uid="{8796B277-7CFF-46BC-9E1C-0454FA0B735E}"/>
    <cellStyle name="Comma 4 2 3 2 2 4 2 4" xfId="12227" xr:uid="{5240D5DD-3872-416D-9836-1F94F89AECB7}"/>
    <cellStyle name="Comma 4 2 3 2 2 4 3" xfId="5850" xr:uid="{00000000-0005-0000-0000-00006A080000}"/>
    <cellStyle name="Comma 4 2 3 2 2 4 3 2" xfId="22748" xr:uid="{690FE8E9-AA8B-4F59-82F4-7F841E9F770B}"/>
    <cellStyle name="Comma 4 2 3 2 2 4 3 3" xfId="14300" xr:uid="{D3E22B42-C5AF-4A46-997F-0404C3CBD03D}"/>
    <cellStyle name="Comma 4 2 3 2 2 4 4" xfId="18530" xr:uid="{54FEC9AA-E6E8-42F0-93C9-14ACE30C0201}"/>
    <cellStyle name="Comma 4 2 3 2 2 4 5" xfId="10082" xr:uid="{3A215920-778F-470E-B230-A2A27681E67A}"/>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25306" xr:uid="{299EC6E3-99EB-4680-995C-1EACE6F7C7EB}"/>
    <cellStyle name="Comma 4 2 3 2 2 5 2 2 3" xfId="16858" xr:uid="{E6C1F290-1FC4-4272-8625-F3D1E91F937A}"/>
    <cellStyle name="Comma 4 2 3 2 2 5 2 3" xfId="21088" xr:uid="{EF4C5E65-E6ED-40AC-8745-B624A440A960}"/>
    <cellStyle name="Comma 4 2 3 2 2 5 2 4" xfId="12640" xr:uid="{467826D4-955F-47E1-99DF-2E806CC5B41A}"/>
    <cellStyle name="Comma 4 2 3 2 2 5 3" xfId="6263" xr:uid="{00000000-0005-0000-0000-00006E080000}"/>
    <cellStyle name="Comma 4 2 3 2 2 5 3 2" xfId="23161" xr:uid="{AC3914A1-7B0F-4700-AEC5-89970A50E8A6}"/>
    <cellStyle name="Comma 4 2 3 2 2 5 3 3" xfId="14713" xr:uid="{49984748-B85A-48AE-8399-C37A010ED660}"/>
    <cellStyle name="Comma 4 2 3 2 2 5 4" xfId="18943" xr:uid="{9D78C98B-014E-4FEB-BA5F-5E98CFCB7E3A}"/>
    <cellStyle name="Comma 4 2 3 2 2 5 5" xfId="10495" xr:uid="{62FF5CB8-FFAC-4DBD-80FC-B4C78E0BBABE}"/>
    <cellStyle name="Comma 4 2 3 2 2 6" xfId="2392" xr:uid="{00000000-0005-0000-0000-00006F080000}"/>
    <cellStyle name="Comma 4 2 3 2 2 6 2" xfId="6676" xr:uid="{00000000-0005-0000-0000-000070080000}"/>
    <cellStyle name="Comma 4 2 3 2 2 6 2 2" xfId="23574" xr:uid="{D239D3C5-6BFD-4406-82DB-F97A479ACC4F}"/>
    <cellStyle name="Comma 4 2 3 2 2 6 2 3" xfId="15126" xr:uid="{BD28297F-7579-4442-A1B0-42B22A0F4870}"/>
    <cellStyle name="Comma 4 2 3 2 2 6 3" xfId="19356" xr:uid="{41F3BC9E-6E09-478D-A7F7-0A2AC8164D47}"/>
    <cellStyle name="Comma 4 2 3 2 2 6 4" xfId="10908" xr:uid="{D416DF67-8939-40AB-A7BF-3F50D8C1DB19}"/>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23891" xr:uid="{79529E42-0F1D-4470-A50C-4E512E3D3B54}"/>
    <cellStyle name="Comma 4 2 3 2 2 8 2 3" xfId="15443" xr:uid="{0780AF3C-40C2-43DF-91D3-89F1ECB9151C}"/>
    <cellStyle name="Comma 4 2 3 2 2 8 3" xfId="19673" xr:uid="{0511FBCD-B91A-42D3-AF53-59623615DD99}"/>
    <cellStyle name="Comma 4 2 3 2 2 8 4" xfId="11225" xr:uid="{339FB509-28F6-4BC3-B4E8-052B9665B176}"/>
    <cellStyle name="Comma 4 2 3 2 2 9" xfId="4610" xr:uid="{00000000-0005-0000-0000-000074080000}"/>
    <cellStyle name="Comma 4 2 3 2 2 9 2" xfId="21508" xr:uid="{C9528E2A-8B12-4965-9FC0-1864956FC897}"/>
    <cellStyle name="Comma 4 2 3 2 2 9 3" xfId="13060" xr:uid="{5F08A56D-48E6-4012-97D4-255D9D7292AF}"/>
    <cellStyle name="Comma 4 2 3 2 3" xfId="675" xr:uid="{00000000-0005-0000-0000-000075080000}"/>
    <cellStyle name="Comma 4 2 3 2 3 2" xfId="2946" xr:uid="{00000000-0005-0000-0000-000076080000}"/>
    <cellStyle name="Comma 4 2 3 2 3 2 2" xfId="7168" xr:uid="{00000000-0005-0000-0000-000077080000}"/>
    <cellStyle name="Comma 4 2 3 2 3 2 2 2" xfId="24066" xr:uid="{3A43A549-A235-4E2A-BE9C-3F12B0E11BF3}"/>
    <cellStyle name="Comma 4 2 3 2 3 2 2 3" xfId="15618" xr:uid="{0B83FC85-B4FD-4273-A563-2EED66CE6CF2}"/>
    <cellStyle name="Comma 4 2 3 2 3 2 3" xfId="19848" xr:uid="{D2FE7D59-FEC5-481B-90B7-35DFA4A8D45E}"/>
    <cellStyle name="Comma 4 2 3 2 3 2 4" xfId="11400" xr:uid="{45E12DE4-1BF3-47E6-9F75-325AE3DC7732}"/>
    <cellStyle name="Comma 4 2 3 2 3 3" xfId="5023" xr:uid="{00000000-0005-0000-0000-000078080000}"/>
    <cellStyle name="Comma 4 2 3 2 3 3 2" xfId="21921" xr:uid="{C1AFF0EE-506F-4877-8459-8863E7EB18BF}"/>
    <cellStyle name="Comma 4 2 3 2 3 3 3" xfId="13473" xr:uid="{C0C61602-6148-43DF-B316-4A6D90D91656}"/>
    <cellStyle name="Comma 4 2 3 2 3 4" xfId="17703" xr:uid="{C346AAED-F2B5-4CC8-BAF5-DE111B9E0553}"/>
    <cellStyle name="Comma 4 2 3 2 3 5" xfId="9255" xr:uid="{32A1B212-A146-4B56-9744-926535DE0109}"/>
    <cellStyle name="Comma 4 2 3 2 4" xfId="1128" xr:uid="{00000000-0005-0000-0000-000079080000}"/>
    <cellStyle name="Comma 4 2 3 2 4 2" xfId="3359" xr:uid="{00000000-0005-0000-0000-00007A080000}"/>
    <cellStyle name="Comma 4 2 3 2 4 2 2" xfId="7581" xr:uid="{00000000-0005-0000-0000-00007B080000}"/>
    <cellStyle name="Comma 4 2 3 2 4 2 2 2" xfId="24479" xr:uid="{56FEAD85-00D4-4B63-AB3B-F4D706A8CD8F}"/>
    <cellStyle name="Comma 4 2 3 2 4 2 2 3" xfId="16031" xr:uid="{77C4899A-F966-40EC-9988-13EEF4BC8D6C}"/>
    <cellStyle name="Comma 4 2 3 2 4 2 3" xfId="20261" xr:uid="{32DF2317-2F78-444E-B654-51BBB0DE1EED}"/>
    <cellStyle name="Comma 4 2 3 2 4 2 4" xfId="11813" xr:uid="{82C2FF46-5E18-4C2C-8A80-569300E4BE00}"/>
    <cellStyle name="Comma 4 2 3 2 4 3" xfId="5436" xr:uid="{00000000-0005-0000-0000-00007C080000}"/>
    <cellStyle name="Comma 4 2 3 2 4 3 2" xfId="22334" xr:uid="{0AD8BE33-753A-4AAB-B216-9E7FAF314528}"/>
    <cellStyle name="Comma 4 2 3 2 4 3 3" xfId="13886" xr:uid="{988C0184-EC20-49CA-96B5-094B1304A83D}"/>
    <cellStyle name="Comma 4 2 3 2 4 4" xfId="18116" xr:uid="{AB81E1D0-5E5B-468A-9E7B-9D3E80062A14}"/>
    <cellStyle name="Comma 4 2 3 2 4 5" xfId="9668" xr:uid="{3E793174-AFD6-41CF-8DCD-81BB0C4CBDED}"/>
    <cellStyle name="Comma 4 2 3 2 5" xfId="1542" xr:uid="{00000000-0005-0000-0000-00007D080000}"/>
    <cellStyle name="Comma 4 2 3 2 5 2" xfId="3772" xr:uid="{00000000-0005-0000-0000-00007E080000}"/>
    <cellStyle name="Comma 4 2 3 2 5 2 2" xfId="7994" xr:uid="{00000000-0005-0000-0000-00007F080000}"/>
    <cellStyle name="Comma 4 2 3 2 5 2 2 2" xfId="24892" xr:uid="{83FD2567-A734-44C0-9666-3B3F869C8BFB}"/>
    <cellStyle name="Comma 4 2 3 2 5 2 2 3" xfId="16444" xr:uid="{435E114D-67E7-4C68-88F2-AF076F05AB78}"/>
    <cellStyle name="Comma 4 2 3 2 5 2 3" xfId="20674" xr:uid="{AB78F304-10CE-496C-B173-3DA650DF4CC7}"/>
    <cellStyle name="Comma 4 2 3 2 5 2 4" xfId="12226" xr:uid="{EF02C8AE-E731-4013-97CA-1B39290284A2}"/>
    <cellStyle name="Comma 4 2 3 2 5 3" xfId="5849" xr:uid="{00000000-0005-0000-0000-000080080000}"/>
    <cellStyle name="Comma 4 2 3 2 5 3 2" xfId="22747" xr:uid="{D4010E43-C0CD-46B9-B028-4C7EE9CDCBDF}"/>
    <cellStyle name="Comma 4 2 3 2 5 3 3" xfId="14299" xr:uid="{DA90D23B-535F-4DEF-B5A3-038BA2EAA5E8}"/>
    <cellStyle name="Comma 4 2 3 2 5 4" xfId="18529" xr:uid="{4864ECEB-F473-4408-B98C-924A4876207A}"/>
    <cellStyle name="Comma 4 2 3 2 5 5" xfId="10081" xr:uid="{900C7E4A-689E-4BFE-A8F6-3FD92D57912A}"/>
    <cellStyle name="Comma 4 2 3 2 6" xfId="1956" xr:uid="{00000000-0005-0000-0000-000081080000}"/>
    <cellStyle name="Comma 4 2 3 2 6 2" xfId="4185" xr:uid="{00000000-0005-0000-0000-000082080000}"/>
    <cellStyle name="Comma 4 2 3 2 6 2 2" xfId="8407" xr:uid="{00000000-0005-0000-0000-000083080000}"/>
    <cellStyle name="Comma 4 2 3 2 6 2 2 2" xfId="25305" xr:uid="{5484036F-10F5-4B76-9474-7A32451B1165}"/>
    <cellStyle name="Comma 4 2 3 2 6 2 2 3" xfId="16857" xr:uid="{B875BC10-8760-41B4-A555-08F1B62F2B88}"/>
    <cellStyle name="Comma 4 2 3 2 6 2 3" xfId="21087" xr:uid="{0C9CA7E7-346E-43C2-9C38-D96C3E940774}"/>
    <cellStyle name="Comma 4 2 3 2 6 2 4" xfId="12639" xr:uid="{638486FD-919A-4AF1-8D59-F94E007D07E9}"/>
    <cellStyle name="Comma 4 2 3 2 6 3" xfId="6262" xr:uid="{00000000-0005-0000-0000-000084080000}"/>
    <cellStyle name="Comma 4 2 3 2 6 3 2" xfId="23160" xr:uid="{07018096-08DB-47D5-8126-1C5DE268D2CD}"/>
    <cellStyle name="Comma 4 2 3 2 6 3 3" xfId="14712" xr:uid="{E59A1B87-BD11-401E-A3AE-9AF5ABE3E6F0}"/>
    <cellStyle name="Comma 4 2 3 2 6 4" xfId="18942" xr:uid="{D5B5D9A4-FF9B-4236-AC3F-212334E2BEE1}"/>
    <cellStyle name="Comma 4 2 3 2 6 5" xfId="10494" xr:uid="{AE2A292B-E788-4F57-8BEE-BEDC74BDCC3B}"/>
    <cellStyle name="Comma 4 2 3 2 7" xfId="2391" xr:uid="{00000000-0005-0000-0000-000085080000}"/>
    <cellStyle name="Comma 4 2 3 2 7 2" xfId="6675" xr:uid="{00000000-0005-0000-0000-000086080000}"/>
    <cellStyle name="Comma 4 2 3 2 7 2 2" xfId="23573" xr:uid="{8E974389-0324-4A26-8619-6DB637840E17}"/>
    <cellStyle name="Comma 4 2 3 2 7 2 3" xfId="15125" xr:uid="{4DB12566-120A-43DD-827C-8F0A7686EFE2}"/>
    <cellStyle name="Comma 4 2 3 2 7 3" xfId="19355" xr:uid="{B74D9ED4-5B74-4F00-A02B-F652CB569E02}"/>
    <cellStyle name="Comma 4 2 3 2 7 4" xfId="10907" xr:uid="{5176EDC7-2ED2-4A7B-B24E-A41B99B23115}"/>
    <cellStyle name="Comma 4 2 3 2 8" xfId="2372" xr:uid="{00000000-0005-0000-0000-000087080000}"/>
    <cellStyle name="Comma 4 2 3 2 9" xfId="2769" xr:uid="{00000000-0005-0000-0000-000088080000}"/>
    <cellStyle name="Comma 4 2 3 2 9 2" xfId="6992" xr:uid="{00000000-0005-0000-0000-000089080000}"/>
    <cellStyle name="Comma 4 2 3 2 9 2 2" xfId="23890" xr:uid="{2B12A60D-445A-4CF3-93B1-27E04D38A15A}"/>
    <cellStyle name="Comma 4 2 3 2 9 2 3" xfId="15442" xr:uid="{F228A589-EE80-42E3-AEBF-F065295FB24A}"/>
    <cellStyle name="Comma 4 2 3 2 9 3" xfId="19672" xr:uid="{FD1A3A53-F134-44EB-AF35-BCB248306C89}"/>
    <cellStyle name="Comma 4 2 3 2 9 4" xfId="11224" xr:uid="{C4E6FA95-4C6D-4C9C-AACD-EE7F69D0462E}"/>
    <cellStyle name="Comma 4 2 3 3" xfId="139" xr:uid="{00000000-0005-0000-0000-00008A080000}"/>
    <cellStyle name="Comma 4 2 3 3 10" xfId="17291" xr:uid="{CCBC9F62-0F02-4492-943A-1EF7C8CACCA8}"/>
    <cellStyle name="Comma 4 2 3 3 11" xfId="8843" xr:uid="{30C99C7C-E206-42E7-BFFA-A1A8E719F7FB}"/>
    <cellStyle name="Comma 4 2 3 3 2" xfId="677" xr:uid="{00000000-0005-0000-0000-00008B080000}"/>
    <cellStyle name="Comma 4 2 3 3 2 2" xfId="2948" xr:uid="{00000000-0005-0000-0000-00008C080000}"/>
    <cellStyle name="Comma 4 2 3 3 2 2 2" xfId="7170" xr:uid="{00000000-0005-0000-0000-00008D080000}"/>
    <cellStyle name="Comma 4 2 3 3 2 2 2 2" xfId="24068" xr:uid="{55DFFEDE-016B-4151-B215-08277F8A43FE}"/>
    <cellStyle name="Comma 4 2 3 3 2 2 2 3" xfId="15620" xr:uid="{2D760544-09F4-4A2C-A02A-DFED3682A55F}"/>
    <cellStyle name="Comma 4 2 3 3 2 2 3" xfId="19850" xr:uid="{5DBB03EC-4A8F-42D4-AFF1-CBDD747891F6}"/>
    <cellStyle name="Comma 4 2 3 3 2 2 4" xfId="11402" xr:uid="{5A26D8CD-2A9F-4A79-94C3-646D5B76B3DF}"/>
    <cellStyle name="Comma 4 2 3 3 2 3" xfId="5025" xr:uid="{00000000-0005-0000-0000-00008E080000}"/>
    <cellStyle name="Comma 4 2 3 3 2 3 2" xfId="21923" xr:uid="{6AE2AF23-A220-4AF1-A0BC-346E127E4B04}"/>
    <cellStyle name="Comma 4 2 3 3 2 3 3" xfId="13475" xr:uid="{A827572D-47B6-4023-ABDA-867707856BEC}"/>
    <cellStyle name="Comma 4 2 3 3 2 4" xfId="17705" xr:uid="{6F3653BD-E9F1-453C-9896-F9B910213080}"/>
    <cellStyle name="Comma 4 2 3 3 2 5" xfId="9257" xr:uid="{9A42FD80-02C1-4D6D-ABFC-AB168FF274E7}"/>
    <cellStyle name="Comma 4 2 3 3 3" xfId="1130" xr:uid="{00000000-0005-0000-0000-00008F080000}"/>
    <cellStyle name="Comma 4 2 3 3 3 2" xfId="3361" xr:uid="{00000000-0005-0000-0000-000090080000}"/>
    <cellStyle name="Comma 4 2 3 3 3 2 2" xfId="7583" xr:uid="{00000000-0005-0000-0000-000091080000}"/>
    <cellStyle name="Comma 4 2 3 3 3 2 2 2" xfId="24481" xr:uid="{0D830B8C-C7C3-48F6-92C8-E22CB665F48A}"/>
    <cellStyle name="Comma 4 2 3 3 3 2 2 3" xfId="16033" xr:uid="{D2AB9B84-2719-45CE-990B-1550E21E9B03}"/>
    <cellStyle name="Comma 4 2 3 3 3 2 3" xfId="20263" xr:uid="{AB534035-F30A-4214-9DA5-20ADDDB50799}"/>
    <cellStyle name="Comma 4 2 3 3 3 2 4" xfId="11815" xr:uid="{3F57E144-BEBE-403F-B7D3-3EE39D518C34}"/>
    <cellStyle name="Comma 4 2 3 3 3 3" xfId="5438" xr:uid="{00000000-0005-0000-0000-000092080000}"/>
    <cellStyle name="Comma 4 2 3 3 3 3 2" xfId="22336" xr:uid="{B9F6EAAE-C971-4FC9-ACAE-271962A779E0}"/>
    <cellStyle name="Comma 4 2 3 3 3 3 3" xfId="13888" xr:uid="{33349DCD-F3F9-4E75-8BAD-EAF089CDC46D}"/>
    <cellStyle name="Comma 4 2 3 3 3 4" xfId="18118" xr:uid="{55A991F6-B710-436E-A3CE-EC0CEA8DDE00}"/>
    <cellStyle name="Comma 4 2 3 3 3 5" xfId="9670" xr:uid="{75EC3E5D-AF9C-4A6B-B510-C9CA03ACA3C8}"/>
    <cellStyle name="Comma 4 2 3 3 4" xfId="1544" xr:uid="{00000000-0005-0000-0000-000093080000}"/>
    <cellStyle name="Comma 4 2 3 3 4 2" xfId="3774" xr:uid="{00000000-0005-0000-0000-000094080000}"/>
    <cellStyle name="Comma 4 2 3 3 4 2 2" xfId="7996" xr:uid="{00000000-0005-0000-0000-000095080000}"/>
    <cellStyle name="Comma 4 2 3 3 4 2 2 2" xfId="24894" xr:uid="{376AB432-9A8E-4214-AA36-722E92A5411C}"/>
    <cellStyle name="Comma 4 2 3 3 4 2 2 3" xfId="16446" xr:uid="{E0B07B70-3038-40B9-A5E1-0E38D477D043}"/>
    <cellStyle name="Comma 4 2 3 3 4 2 3" xfId="20676" xr:uid="{A666F121-844D-472A-8904-53F676DD2405}"/>
    <cellStyle name="Comma 4 2 3 3 4 2 4" xfId="12228" xr:uid="{28F39299-D088-461F-899A-1E8C8E0D5709}"/>
    <cellStyle name="Comma 4 2 3 3 4 3" xfId="5851" xr:uid="{00000000-0005-0000-0000-000096080000}"/>
    <cellStyle name="Comma 4 2 3 3 4 3 2" xfId="22749" xr:uid="{E457E1BB-22F9-4429-8E19-185108FA74EA}"/>
    <cellStyle name="Comma 4 2 3 3 4 3 3" xfId="14301" xr:uid="{2799E61A-6151-42B1-9906-0D4477DBD974}"/>
    <cellStyle name="Comma 4 2 3 3 4 4" xfId="18531" xr:uid="{5D09D309-005C-4088-B54E-937C7E37753F}"/>
    <cellStyle name="Comma 4 2 3 3 4 5" xfId="10083" xr:uid="{2450A900-9A6D-4B26-9C70-A77C7E9CD39E}"/>
    <cellStyle name="Comma 4 2 3 3 5" xfId="1958" xr:uid="{00000000-0005-0000-0000-000097080000}"/>
    <cellStyle name="Comma 4 2 3 3 5 2" xfId="4187" xr:uid="{00000000-0005-0000-0000-000098080000}"/>
    <cellStyle name="Comma 4 2 3 3 5 2 2" xfId="8409" xr:uid="{00000000-0005-0000-0000-000099080000}"/>
    <cellStyle name="Comma 4 2 3 3 5 2 2 2" xfId="25307" xr:uid="{216D1F5F-8273-4020-9CC9-2E84E6AC4029}"/>
    <cellStyle name="Comma 4 2 3 3 5 2 2 3" xfId="16859" xr:uid="{6CE5CBE5-C21A-439D-889B-326350841CE0}"/>
    <cellStyle name="Comma 4 2 3 3 5 2 3" xfId="21089" xr:uid="{7A855BBD-5F7E-4F07-BE3E-3AB7CE4BE393}"/>
    <cellStyle name="Comma 4 2 3 3 5 2 4" xfId="12641" xr:uid="{0BC0508A-6C53-4433-A344-35EF567BE05C}"/>
    <cellStyle name="Comma 4 2 3 3 5 3" xfId="6264" xr:uid="{00000000-0005-0000-0000-00009A080000}"/>
    <cellStyle name="Comma 4 2 3 3 5 3 2" xfId="23162" xr:uid="{C881F18F-700E-4E5E-8058-D583BD366F6F}"/>
    <cellStyle name="Comma 4 2 3 3 5 3 3" xfId="14714" xr:uid="{8E61BF14-425F-4275-880A-2EC476E1A15D}"/>
    <cellStyle name="Comma 4 2 3 3 5 4" xfId="18944" xr:uid="{A324BF30-30E1-40D7-845E-F42123432E70}"/>
    <cellStyle name="Comma 4 2 3 3 5 5" xfId="10496" xr:uid="{F160089E-E933-462C-91A9-C0116CD20B7A}"/>
    <cellStyle name="Comma 4 2 3 3 6" xfId="2393" xr:uid="{00000000-0005-0000-0000-00009B080000}"/>
    <cellStyle name="Comma 4 2 3 3 6 2" xfId="6677" xr:uid="{00000000-0005-0000-0000-00009C080000}"/>
    <cellStyle name="Comma 4 2 3 3 6 2 2" xfId="23575" xr:uid="{6D316F55-8D6F-4163-BC08-23C01C19FE01}"/>
    <cellStyle name="Comma 4 2 3 3 6 2 3" xfId="15127" xr:uid="{5D1C8A19-5091-42E7-B3CC-CA12AAD46FB5}"/>
    <cellStyle name="Comma 4 2 3 3 6 3" xfId="19357" xr:uid="{0DEBCD2A-984E-4D70-8149-FE024F391FB5}"/>
    <cellStyle name="Comma 4 2 3 3 6 4" xfId="10909" xr:uid="{EA1BAC0C-39CE-4238-A051-EE1733C7A9E1}"/>
    <cellStyle name="Comma 4 2 3 3 7" xfId="2370" xr:uid="{00000000-0005-0000-0000-00009D080000}"/>
    <cellStyle name="Comma 4 2 3 3 8" xfId="2771" xr:uid="{00000000-0005-0000-0000-00009E080000}"/>
    <cellStyle name="Comma 4 2 3 3 8 2" xfId="6994" xr:uid="{00000000-0005-0000-0000-00009F080000}"/>
    <cellStyle name="Comma 4 2 3 3 8 2 2" xfId="23892" xr:uid="{F4D5D3D8-F247-4DF7-9E70-2113A53BC59B}"/>
    <cellStyle name="Comma 4 2 3 3 8 2 3" xfId="15444" xr:uid="{2532D340-72C3-4DBD-9F5A-DB8035341CC6}"/>
    <cellStyle name="Comma 4 2 3 3 8 3" xfId="19674" xr:uid="{51BD0B43-7E6A-4352-866F-E61EDF549EAB}"/>
    <cellStyle name="Comma 4 2 3 3 8 4" xfId="11226" xr:uid="{35BC1416-F1CB-4CD4-821A-26C88BCA557F}"/>
    <cellStyle name="Comma 4 2 3 3 9" xfId="4611" xr:uid="{00000000-0005-0000-0000-0000A0080000}"/>
    <cellStyle name="Comma 4 2 3 3 9 2" xfId="21509" xr:uid="{2237638D-94DD-4A3F-A0AD-24934E76F690}"/>
    <cellStyle name="Comma 4 2 3 3 9 3" xfId="13061" xr:uid="{74DAFB0C-E532-4814-9038-50D157A16401}"/>
    <cellStyle name="Comma 4 2 3 4" xfId="674" xr:uid="{00000000-0005-0000-0000-0000A1080000}"/>
    <cellStyle name="Comma 4 2 3 4 2" xfId="2945" xr:uid="{00000000-0005-0000-0000-0000A2080000}"/>
    <cellStyle name="Comma 4 2 3 4 2 2" xfId="7167" xr:uid="{00000000-0005-0000-0000-0000A3080000}"/>
    <cellStyle name="Comma 4 2 3 4 2 2 2" xfId="24065" xr:uid="{6623B698-C424-4045-9A96-810C5D60959F}"/>
    <cellStyle name="Comma 4 2 3 4 2 2 3" xfId="15617" xr:uid="{EB790BB3-7977-4F92-A0A6-A736AD855FA3}"/>
    <cellStyle name="Comma 4 2 3 4 2 3" xfId="19847" xr:uid="{9BF632CE-D029-4AD1-A3B9-D48664C90B3E}"/>
    <cellStyle name="Comma 4 2 3 4 2 4" xfId="11399" xr:uid="{CDED5EEA-A4B8-48D5-A966-C85FFA38C43F}"/>
    <cellStyle name="Comma 4 2 3 4 3" xfId="5022" xr:uid="{00000000-0005-0000-0000-0000A4080000}"/>
    <cellStyle name="Comma 4 2 3 4 3 2" xfId="21920" xr:uid="{92086D9C-D2D3-4BE5-8F13-5F4E2E8BC354}"/>
    <cellStyle name="Comma 4 2 3 4 3 3" xfId="13472" xr:uid="{41B1D946-8C7B-446A-AF94-59117563493E}"/>
    <cellStyle name="Comma 4 2 3 4 4" xfId="17702" xr:uid="{4EFED4F9-91D7-4766-A0C2-112A7E258D49}"/>
    <cellStyle name="Comma 4 2 3 4 5" xfId="9254" xr:uid="{FBF2ACC5-9827-48A5-A5C3-DBCBB7D1CE2D}"/>
    <cellStyle name="Comma 4 2 3 5" xfId="1127" xr:uid="{00000000-0005-0000-0000-0000A5080000}"/>
    <cellStyle name="Comma 4 2 3 5 2" xfId="3358" xr:uid="{00000000-0005-0000-0000-0000A6080000}"/>
    <cellStyle name="Comma 4 2 3 5 2 2" xfId="7580" xr:uid="{00000000-0005-0000-0000-0000A7080000}"/>
    <cellStyle name="Comma 4 2 3 5 2 2 2" xfId="24478" xr:uid="{73223C9F-5337-413F-BAE0-7591F67FE5A7}"/>
    <cellStyle name="Comma 4 2 3 5 2 2 3" xfId="16030" xr:uid="{618A848A-9792-445B-AB09-0D3F7352B34A}"/>
    <cellStyle name="Comma 4 2 3 5 2 3" xfId="20260" xr:uid="{EE664D58-29B1-4708-B8D3-F9FC3CDB54CB}"/>
    <cellStyle name="Comma 4 2 3 5 2 4" xfId="11812" xr:uid="{B0DE6770-3E46-4665-8AE3-6F5F03D71085}"/>
    <cellStyle name="Comma 4 2 3 5 3" xfId="5435" xr:uid="{00000000-0005-0000-0000-0000A8080000}"/>
    <cellStyle name="Comma 4 2 3 5 3 2" xfId="22333" xr:uid="{591444E2-B0FB-4468-BCC8-2C841D4CB6DF}"/>
    <cellStyle name="Comma 4 2 3 5 3 3" xfId="13885" xr:uid="{8CD960D2-1A54-409E-B289-0D2D697CAF58}"/>
    <cellStyle name="Comma 4 2 3 5 4" xfId="18115" xr:uid="{5B1E1E88-2E39-4449-8367-004D614AB41D}"/>
    <cellStyle name="Comma 4 2 3 5 5" xfId="9667" xr:uid="{EAE80C89-A9DF-4ABF-9B8A-7AB9CEC978CD}"/>
    <cellStyle name="Comma 4 2 3 6" xfId="1541" xr:uid="{00000000-0005-0000-0000-0000A9080000}"/>
    <cellStyle name="Comma 4 2 3 6 2" xfId="3771" xr:uid="{00000000-0005-0000-0000-0000AA080000}"/>
    <cellStyle name="Comma 4 2 3 6 2 2" xfId="7993" xr:uid="{00000000-0005-0000-0000-0000AB080000}"/>
    <cellStyle name="Comma 4 2 3 6 2 2 2" xfId="24891" xr:uid="{BFC0F31E-CEAC-415A-8639-116947EE7149}"/>
    <cellStyle name="Comma 4 2 3 6 2 2 3" xfId="16443" xr:uid="{C3E07C69-53A9-4BD8-8E5C-4681CFEDDFFC}"/>
    <cellStyle name="Comma 4 2 3 6 2 3" xfId="20673" xr:uid="{E4BB05E3-BA1B-4063-BA4E-B4E16DFD63A1}"/>
    <cellStyle name="Comma 4 2 3 6 2 4" xfId="12225" xr:uid="{73E7BFF3-AEC1-4715-A3E6-D59F18DFA2C6}"/>
    <cellStyle name="Comma 4 2 3 6 3" xfId="5848" xr:uid="{00000000-0005-0000-0000-0000AC080000}"/>
    <cellStyle name="Comma 4 2 3 6 3 2" xfId="22746" xr:uid="{DC044C99-AE0A-436F-B1DB-19F08519C985}"/>
    <cellStyle name="Comma 4 2 3 6 3 3" xfId="14298" xr:uid="{ECBF778E-806F-41C7-B888-F7143B837F10}"/>
    <cellStyle name="Comma 4 2 3 6 4" xfId="18528" xr:uid="{63050B36-D676-4067-AF69-F39CCD646A5F}"/>
    <cellStyle name="Comma 4 2 3 6 5" xfId="10080" xr:uid="{21F59453-1C44-49A9-B230-EA138E181C5E}"/>
    <cellStyle name="Comma 4 2 3 7" xfId="1955" xr:uid="{00000000-0005-0000-0000-0000AD080000}"/>
    <cellStyle name="Comma 4 2 3 7 2" xfId="4184" xr:uid="{00000000-0005-0000-0000-0000AE080000}"/>
    <cellStyle name="Comma 4 2 3 7 2 2" xfId="8406" xr:uid="{00000000-0005-0000-0000-0000AF080000}"/>
    <cellStyle name="Comma 4 2 3 7 2 2 2" xfId="25304" xr:uid="{E4847C34-2643-4FD9-AFEC-BF7A70C13129}"/>
    <cellStyle name="Comma 4 2 3 7 2 2 3" xfId="16856" xr:uid="{71FD492A-73B3-40FD-BE6E-71C900EB7CE6}"/>
    <cellStyle name="Comma 4 2 3 7 2 3" xfId="21086" xr:uid="{19CB91BE-1BBA-4D97-AC83-23EA19BBF0A9}"/>
    <cellStyle name="Comma 4 2 3 7 2 4" xfId="12638" xr:uid="{5EA45979-3A8F-4071-8FA7-274147B95C18}"/>
    <cellStyle name="Comma 4 2 3 7 3" xfId="6261" xr:uid="{00000000-0005-0000-0000-0000B0080000}"/>
    <cellStyle name="Comma 4 2 3 7 3 2" xfId="23159" xr:uid="{9B94C2BF-418F-4345-8752-53353C24DA42}"/>
    <cellStyle name="Comma 4 2 3 7 3 3" xfId="14711" xr:uid="{08014786-AA65-4C86-AB93-8D517B408D21}"/>
    <cellStyle name="Comma 4 2 3 7 4" xfId="18941" xr:uid="{B0A41FD6-55BF-4A40-A63E-4FCCA40D6AB1}"/>
    <cellStyle name="Comma 4 2 3 7 5" xfId="10493" xr:uid="{E9E0C6CA-53F2-40BA-8735-FDAE473318DC}"/>
    <cellStyle name="Comma 4 2 3 8" xfId="2390" xr:uid="{00000000-0005-0000-0000-0000B1080000}"/>
    <cellStyle name="Comma 4 2 3 8 2" xfId="6674" xr:uid="{00000000-0005-0000-0000-0000B2080000}"/>
    <cellStyle name="Comma 4 2 3 8 2 2" xfId="23572" xr:uid="{FE2C0D0A-A40E-41B9-AEF4-E6197C5EE314}"/>
    <cellStyle name="Comma 4 2 3 8 2 3" xfId="15124" xr:uid="{50E02365-1AFF-43C0-B0FC-8781AF5507DE}"/>
    <cellStyle name="Comma 4 2 3 8 3" xfId="19354" xr:uid="{0D64832D-1929-40A9-B53D-C0E61B8A7FD4}"/>
    <cellStyle name="Comma 4 2 3 8 4" xfId="10906" xr:uid="{B7D1FCE2-098E-47DE-BCD0-E1E8D08274BD}"/>
    <cellStyle name="Comma 4 2 3 9" xfId="2373" xr:uid="{00000000-0005-0000-0000-0000B3080000}"/>
    <cellStyle name="Comma 4 2 4" xfId="140" xr:uid="{00000000-0005-0000-0000-0000B4080000}"/>
    <cellStyle name="Comma 4 2 4 10" xfId="4612" xr:uid="{00000000-0005-0000-0000-0000B5080000}"/>
    <cellStyle name="Comma 4 2 4 10 2" xfId="21510" xr:uid="{1E1C5789-AB07-4C1F-AF23-582E889703ED}"/>
    <cellStyle name="Comma 4 2 4 10 3" xfId="13062" xr:uid="{95DAB897-BDDC-4B6E-B15B-AC187DB09454}"/>
    <cellStyle name="Comma 4 2 4 11" xfId="17292" xr:uid="{6BC345D5-5D7A-4B69-8528-C8139D30338B}"/>
    <cellStyle name="Comma 4 2 4 12" xfId="8844" xr:uid="{8DB8A521-DED7-421E-BB5D-15D51D54FD5E}"/>
    <cellStyle name="Comma 4 2 4 2" xfId="141" xr:uid="{00000000-0005-0000-0000-0000B6080000}"/>
    <cellStyle name="Comma 4 2 4 2 10" xfId="17293" xr:uid="{02EE12EB-D6B6-4898-A35B-AB6BA95B88A8}"/>
    <cellStyle name="Comma 4 2 4 2 11" xfId="8845" xr:uid="{813C589E-B519-45B0-BC98-5B8A82701438}"/>
    <cellStyle name="Comma 4 2 4 2 2" xfId="679" xr:uid="{00000000-0005-0000-0000-0000B7080000}"/>
    <cellStyle name="Comma 4 2 4 2 2 2" xfId="2950" xr:uid="{00000000-0005-0000-0000-0000B8080000}"/>
    <cellStyle name="Comma 4 2 4 2 2 2 2" xfId="7172" xr:uid="{00000000-0005-0000-0000-0000B9080000}"/>
    <cellStyle name="Comma 4 2 4 2 2 2 2 2" xfId="24070" xr:uid="{9C0031EA-1365-425A-9D9E-26B399AD81D9}"/>
    <cellStyle name="Comma 4 2 4 2 2 2 2 3" xfId="15622" xr:uid="{3902E5A0-9FD7-4052-AAB5-4452FABDF009}"/>
    <cellStyle name="Comma 4 2 4 2 2 2 3" xfId="19852" xr:uid="{5EC84570-302E-4D58-81F0-1BC9A80867F0}"/>
    <cellStyle name="Comma 4 2 4 2 2 2 4" xfId="11404" xr:uid="{751C2DB6-9E0D-413B-A97E-FAB4671CC6C4}"/>
    <cellStyle name="Comma 4 2 4 2 2 3" xfId="5027" xr:uid="{00000000-0005-0000-0000-0000BA080000}"/>
    <cellStyle name="Comma 4 2 4 2 2 3 2" xfId="21925" xr:uid="{EBD28CDE-0BBF-45A1-8C06-5B197DCE08B6}"/>
    <cellStyle name="Comma 4 2 4 2 2 3 3" xfId="13477" xr:uid="{B468DF97-4445-4219-A5F6-243BFFB8C335}"/>
    <cellStyle name="Comma 4 2 4 2 2 4" xfId="17707" xr:uid="{3FD2C33B-FF9B-48ED-9511-AA1B0D83C30E}"/>
    <cellStyle name="Comma 4 2 4 2 2 5" xfId="9259" xr:uid="{D3A5BD8F-CB56-4D60-8C72-1009D07F177F}"/>
    <cellStyle name="Comma 4 2 4 2 3" xfId="1132" xr:uid="{00000000-0005-0000-0000-0000BB080000}"/>
    <cellStyle name="Comma 4 2 4 2 3 2" xfId="3363" xr:uid="{00000000-0005-0000-0000-0000BC080000}"/>
    <cellStyle name="Comma 4 2 4 2 3 2 2" xfId="7585" xr:uid="{00000000-0005-0000-0000-0000BD080000}"/>
    <cellStyle name="Comma 4 2 4 2 3 2 2 2" xfId="24483" xr:uid="{6FE6A010-2E3E-4EC5-B2A2-40D862B3C7A1}"/>
    <cellStyle name="Comma 4 2 4 2 3 2 2 3" xfId="16035" xr:uid="{11A6A1BF-C589-4670-B160-6DD3824D3F15}"/>
    <cellStyle name="Comma 4 2 4 2 3 2 3" xfId="20265" xr:uid="{1B017CFF-BE53-4C28-803F-7FC492BBF253}"/>
    <cellStyle name="Comma 4 2 4 2 3 2 4" xfId="11817" xr:uid="{60999E8D-A919-4947-9454-5D1074A9A046}"/>
    <cellStyle name="Comma 4 2 4 2 3 3" xfId="5440" xr:uid="{00000000-0005-0000-0000-0000BE080000}"/>
    <cellStyle name="Comma 4 2 4 2 3 3 2" xfId="22338" xr:uid="{EEC7D174-0351-41B1-B76C-4ADE53BB32BC}"/>
    <cellStyle name="Comma 4 2 4 2 3 3 3" xfId="13890" xr:uid="{10AA5CA2-9ADD-454F-83D7-A86F62D489C4}"/>
    <cellStyle name="Comma 4 2 4 2 3 4" xfId="18120" xr:uid="{97A8E343-7208-443F-A14E-AB38353114FD}"/>
    <cellStyle name="Comma 4 2 4 2 3 5" xfId="9672" xr:uid="{BAB6B428-0BA6-44F4-889D-5D62765F7395}"/>
    <cellStyle name="Comma 4 2 4 2 4" xfId="1546" xr:uid="{00000000-0005-0000-0000-0000BF080000}"/>
    <cellStyle name="Comma 4 2 4 2 4 2" xfId="3776" xr:uid="{00000000-0005-0000-0000-0000C0080000}"/>
    <cellStyle name="Comma 4 2 4 2 4 2 2" xfId="7998" xr:uid="{00000000-0005-0000-0000-0000C1080000}"/>
    <cellStyle name="Comma 4 2 4 2 4 2 2 2" xfId="24896" xr:uid="{2EE5DF5A-4EB2-48C6-9AA2-CC1BD95D4659}"/>
    <cellStyle name="Comma 4 2 4 2 4 2 2 3" xfId="16448" xr:uid="{2E7CBD5D-11F4-41CA-8CF1-B1D08F39F657}"/>
    <cellStyle name="Comma 4 2 4 2 4 2 3" xfId="20678" xr:uid="{8E09491D-2537-4516-8817-E40B6ADA3AD0}"/>
    <cellStyle name="Comma 4 2 4 2 4 2 4" xfId="12230" xr:uid="{F1E489B1-2007-4B9E-950D-7856E764761A}"/>
    <cellStyle name="Comma 4 2 4 2 4 3" xfId="5853" xr:uid="{00000000-0005-0000-0000-0000C2080000}"/>
    <cellStyle name="Comma 4 2 4 2 4 3 2" xfId="22751" xr:uid="{9CE616CB-BD04-4BBB-A9C0-F4D6A5E9AD70}"/>
    <cellStyle name="Comma 4 2 4 2 4 3 3" xfId="14303" xr:uid="{D3CC51C7-1D66-4D4A-B18F-167A997A6115}"/>
    <cellStyle name="Comma 4 2 4 2 4 4" xfId="18533" xr:uid="{DE68E1A1-3D40-4604-8382-8912B69D969A}"/>
    <cellStyle name="Comma 4 2 4 2 4 5" xfId="10085" xr:uid="{15F5122A-0CD7-43FD-8587-339CFBD8FF19}"/>
    <cellStyle name="Comma 4 2 4 2 5" xfId="1960" xr:uid="{00000000-0005-0000-0000-0000C3080000}"/>
    <cellStyle name="Comma 4 2 4 2 5 2" xfId="4189" xr:uid="{00000000-0005-0000-0000-0000C4080000}"/>
    <cellStyle name="Comma 4 2 4 2 5 2 2" xfId="8411" xr:uid="{00000000-0005-0000-0000-0000C5080000}"/>
    <cellStyle name="Comma 4 2 4 2 5 2 2 2" xfId="25309" xr:uid="{E8C432D8-EA95-4304-AA47-A40BDD48E785}"/>
    <cellStyle name="Comma 4 2 4 2 5 2 2 3" xfId="16861" xr:uid="{55E239D3-1B07-4D5B-95ED-120DA642B257}"/>
    <cellStyle name="Comma 4 2 4 2 5 2 3" xfId="21091" xr:uid="{2C78AC7D-24C7-43B9-9FDE-09584D70374F}"/>
    <cellStyle name="Comma 4 2 4 2 5 2 4" xfId="12643" xr:uid="{98C13064-21B3-4C31-AEC0-AFFB5ADA362C}"/>
    <cellStyle name="Comma 4 2 4 2 5 3" xfId="6266" xr:uid="{00000000-0005-0000-0000-0000C6080000}"/>
    <cellStyle name="Comma 4 2 4 2 5 3 2" xfId="23164" xr:uid="{5BC76043-5185-42D5-9BAB-87819582EE40}"/>
    <cellStyle name="Comma 4 2 4 2 5 3 3" xfId="14716" xr:uid="{6A122BB9-3570-42B5-91AA-DBF07C2DADAA}"/>
    <cellStyle name="Comma 4 2 4 2 5 4" xfId="18946" xr:uid="{4FAC821A-BD1F-4E39-8085-B931CB6C5C00}"/>
    <cellStyle name="Comma 4 2 4 2 5 5" xfId="10498" xr:uid="{257FC51F-729A-46F9-850F-91C5103C6CD8}"/>
    <cellStyle name="Comma 4 2 4 2 6" xfId="2395" xr:uid="{00000000-0005-0000-0000-0000C7080000}"/>
    <cellStyle name="Comma 4 2 4 2 6 2" xfId="6679" xr:uid="{00000000-0005-0000-0000-0000C8080000}"/>
    <cellStyle name="Comma 4 2 4 2 6 2 2" xfId="23577" xr:uid="{4C26BC9B-A6A3-42F5-BA0F-3813B398D9A9}"/>
    <cellStyle name="Comma 4 2 4 2 6 2 3" xfId="15129" xr:uid="{ED634578-4816-454A-8DFE-9929BFDD37C6}"/>
    <cellStyle name="Comma 4 2 4 2 6 3" xfId="19359" xr:uid="{EC98F24D-1219-4BE8-8A0D-B1F90970675B}"/>
    <cellStyle name="Comma 4 2 4 2 6 4" xfId="10911" xr:uid="{89979A9A-C62A-4ED1-BA0D-16085AE9F9DF}"/>
    <cellStyle name="Comma 4 2 4 2 7" xfId="2368" xr:uid="{00000000-0005-0000-0000-0000C9080000}"/>
    <cellStyle name="Comma 4 2 4 2 8" xfId="2773" xr:uid="{00000000-0005-0000-0000-0000CA080000}"/>
    <cellStyle name="Comma 4 2 4 2 8 2" xfId="6996" xr:uid="{00000000-0005-0000-0000-0000CB080000}"/>
    <cellStyle name="Comma 4 2 4 2 8 2 2" xfId="23894" xr:uid="{6BFFE449-67B7-46A6-BAFF-B4303F6277FF}"/>
    <cellStyle name="Comma 4 2 4 2 8 2 3" xfId="15446" xr:uid="{F6AFBF7E-9001-421F-9F8A-FD83B6A67594}"/>
    <cellStyle name="Comma 4 2 4 2 8 3" xfId="19676" xr:uid="{96D81124-B35D-4AF6-BFEF-C3B2589A44BA}"/>
    <cellStyle name="Comma 4 2 4 2 8 4" xfId="11228" xr:uid="{0C1AD6C8-4CE5-40E8-9BE3-30AC2520D443}"/>
    <cellStyle name="Comma 4 2 4 2 9" xfId="4613" xr:uid="{00000000-0005-0000-0000-0000CC080000}"/>
    <cellStyle name="Comma 4 2 4 2 9 2" xfId="21511" xr:uid="{61CD48CF-C87B-49DF-8BD5-C0458321A60C}"/>
    <cellStyle name="Comma 4 2 4 2 9 3" xfId="13063" xr:uid="{F66E58EC-B39B-447E-A129-6E79BA7E296D}"/>
    <cellStyle name="Comma 4 2 4 3" xfId="678" xr:uid="{00000000-0005-0000-0000-0000CD080000}"/>
    <cellStyle name="Comma 4 2 4 3 2" xfId="2949" xr:uid="{00000000-0005-0000-0000-0000CE080000}"/>
    <cellStyle name="Comma 4 2 4 3 2 2" xfId="7171" xr:uid="{00000000-0005-0000-0000-0000CF080000}"/>
    <cellStyle name="Comma 4 2 4 3 2 2 2" xfId="24069" xr:uid="{E1D14A2D-223F-4196-9DA6-2A88909AC25F}"/>
    <cellStyle name="Comma 4 2 4 3 2 2 3" xfId="15621" xr:uid="{911BA981-A89A-4C28-B1FE-FC1F4B8A9A64}"/>
    <cellStyle name="Comma 4 2 4 3 2 3" xfId="19851" xr:uid="{92C892CF-947E-414F-80D9-784B74DFAC66}"/>
    <cellStyle name="Comma 4 2 4 3 2 4" xfId="11403" xr:uid="{B99FBA9C-D881-4C5E-81CB-017963E9CA3A}"/>
    <cellStyle name="Comma 4 2 4 3 3" xfId="5026" xr:uid="{00000000-0005-0000-0000-0000D0080000}"/>
    <cellStyle name="Comma 4 2 4 3 3 2" xfId="21924" xr:uid="{4B5B2916-2B2B-4707-9057-F5743513D3C2}"/>
    <cellStyle name="Comma 4 2 4 3 3 3" xfId="13476" xr:uid="{276B7C47-E0B7-4BAF-A970-CCFC26E15474}"/>
    <cellStyle name="Comma 4 2 4 3 4" xfId="17706" xr:uid="{987F5EF3-7F2B-439D-A95D-8B0C01FF1A35}"/>
    <cellStyle name="Comma 4 2 4 3 5" xfId="9258" xr:uid="{10069606-D009-4A2E-9DDA-4C7A69402B3E}"/>
    <cellStyle name="Comma 4 2 4 4" xfId="1131" xr:uid="{00000000-0005-0000-0000-0000D1080000}"/>
    <cellStyle name="Comma 4 2 4 4 2" xfId="3362" xr:uid="{00000000-0005-0000-0000-0000D2080000}"/>
    <cellStyle name="Comma 4 2 4 4 2 2" xfId="7584" xr:uid="{00000000-0005-0000-0000-0000D3080000}"/>
    <cellStyle name="Comma 4 2 4 4 2 2 2" xfId="24482" xr:uid="{A1F3433B-C39B-4683-9AFD-CFEF7B0ED683}"/>
    <cellStyle name="Comma 4 2 4 4 2 2 3" xfId="16034" xr:uid="{5E443D92-7B30-459C-9ACF-5EB4037BDEB3}"/>
    <cellStyle name="Comma 4 2 4 4 2 3" xfId="20264" xr:uid="{98332ED9-D497-48DC-A382-09A307D63DE4}"/>
    <cellStyle name="Comma 4 2 4 4 2 4" xfId="11816" xr:uid="{A3CACF16-690A-46BF-A706-E0ADB9A7B8ED}"/>
    <cellStyle name="Comma 4 2 4 4 3" xfId="5439" xr:uid="{00000000-0005-0000-0000-0000D4080000}"/>
    <cellStyle name="Comma 4 2 4 4 3 2" xfId="22337" xr:uid="{326E7B9A-12FC-4811-8805-B750CDB75817}"/>
    <cellStyle name="Comma 4 2 4 4 3 3" xfId="13889" xr:uid="{4DAA87B8-B5F5-47DB-86C9-10CC310C4590}"/>
    <cellStyle name="Comma 4 2 4 4 4" xfId="18119" xr:uid="{C4B20A59-6DB4-4424-ACC3-A38C05061BE8}"/>
    <cellStyle name="Comma 4 2 4 4 5" xfId="9671" xr:uid="{02D9F9BA-1BA4-42AA-AEBF-843D9B489CDD}"/>
    <cellStyle name="Comma 4 2 4 5" xfId="1545" xr:uid="{00000000-0005-0000-0000-0000D5080000}"/>
    <cellStyle name="Comma 4 2 4 5 2" xfId="3775" xr:uid="{00000000-0005-0000-0000-0000D6080000}"/>
    <cellStyle name="Comma 4 2 4 5 2 2" xfId="7997" xr:uid="{00000000-0005-0000-0000-0000D7080000}"/>
    <cellStyle name="Comma 4 2 4 5 2 2 2" xfId="24895" xr:uid="{359A0B1D-F134-4F15-99DE-288AE9AB346B}"/>
    <cellStyle name="Comma 4 2 4 5 2 2 3" xfId="16447" xr:uid="{4A13CE89-697B-4E23-A29F-D5925C037261}"/>
    <cellStyle name="Comma 4 2 4 5 2 3" xfId="20677" xr:uid="{1CA4E05F-3BBE-4F53-B272-B87307727A84}"/>
    <cellStyle name="Comma 4 2 4 5 2 4" xfId="12229" xr:uid="{AE0D6F25-68AA-4B72-9222-9D6F327FBF6B}"/>
    <cellStyle name="Comma 4 2 4 5 3" xfId="5852" xr:uid="{00000000-0005-0000-0000-0000D8080000}"/>
    <cellStyle name="Comma 4 2 4 5 3 2" xfId="22750" xr:uid="{00A7C3BC-8F7D-4935-B5C1-21B064518754}"/>
    <cellStyle name="Comma 4 2 4 5 3 3" xfId="14302" xr:uid="{E3F3F124-0ECE-4FD2-A96B-C2E72568077F}"/>
    <cellStyle name="Comma 4 2 4 5 4" xfId="18532" xr:uid="{6DE2B847-6B27-4DA3-A9E6-4C13DFB0C218}"/>
    <cellStyle name="Comma 4 2 4 5 5" xfId="10084" xr:uid="{238EB19C-C7C6-48E3-A815-F1E00B5570FB}"/>
    <cellStyle name="Comma 4 2 4 6" xfId="1959" xr:uid="{00000000-0005-0000-0000-0000D9080000}"/>
    <cellStyle name="Comma 4 2 4 6 2" xfId="4188" xr:uid="{00000000-0005-0000-0000-0000DA080000}"/>
    <cellStyle name="Comma 4 2 4 6 2 2" xfId="8410" xr:uid="{00000000-0005-0000-0000-0000DB080000}"/>
    <cellStyle name="Comma 4 2 4 6 2 2 2" xfId="25308" xr:uid="{111A55FC-DD38-4F40-AA7B-733BECCCCF17}"/>
    <cellStyle name="Comma 4 2 4 6 2 2 3" xfId="16860" xr:uid="{49057E0D-791E-42CC-955B-32C09228A033}"/>
    <cellStyle name="Comma 4 2 4 6 2 3" xfId="21090" xr:uid="{095992BD-0277-4673-91A7-0B524C355DFF}"/>
    <cellStyle name="Comma 4 2 4 6 2 4" xfId="12642" xr:uid="{A2382603-CBC6-4704-8E32-48BEC50BCB12}"/>
    <cellStyle name="Comma 4 2 4 6 3" xfId="6265" xr:uid="{00000000-0005-0000-0000-0000DC080000}"/>
    <cellStyle name="Comma 4 2 4 6 3 2" xfId="23163" xr:uid="{44294865-99C1-48FA-8DAA-22E372977F47}"/>
    <cellStyle name="Comma 4 2 4 6 3 3" xfId="14715" xr:uid="{6E2A691D-C022-4CD4-A120-07CD9A993767}"/>
    <cellStyle name="Comma 4 2 4 6 4" xfId="18945" xr:uid="{BBE99F6F-C89C-44F5-979A-735991FD0279}"/>
    <cellStyle name="Comma 4 2 4 6 5" xfId="10497" xr:uid="{7260337F-B284-4346-A95E-07E45FBE350C}"/>
    <cellStyle name="Comma 4 2 4 7" xfId="2394" xr:uid="{00000000-0005-0000-0000-0000DD080000}"/>
    <cellStyle name="Comma 4 2 4 7 2" xfId="6678" xr:uid="{00000000-0005-0000-0000-0000DE080000}"/>
    <cellStyle name="Comma 4 2 4 7 2 2" xfId="23576" xr:uid="{CE301951-141E-4EB8-96CE-6C28064858E7}"/>
    <cellStyle name="Comma 4 2 4 7 2 3" xfId="15128" xr:uid="{2D790677-FA9C-4441-818B-14E6486B7DE1}"/>
    <cellStyle name="Comma 4 2 4 7 3" xfId="19358" xr:uid="{BE95BB12-4D33-486D-9B81-A1A722593C9B}"/>
    <cellStyle name="Comma 4 2 4 7 4" xfId="10910" xr:uid="{14809FE0-C1CA-45F4-BD46-3ED4CB7BFEAD}"/>
    <cellStyle name="Comma 4 2 4 8" xfId="2369" xr:uid="{00000000-0005-0000-0000-0000DF080000}"/>
    <cellStyle name="Comma 4 2 4 9" xfId="2772" xr:uid="{00000000-0005-0000-0000-0000E0080000}"/>
    <cellStyle name="Comma 4 2 4 9 2" xfId="6995" xr:uid="{00000000-0005-0000-0000-0000E1080000}"/>
    <cellStyle name="Comma 4 2 4 9 2 2" xfId="23893" xr:uid="{DCA55810-9D90-4B93-A014-1C701DEA0F7E}"/>
    <cellStyle name="Comma 4 2 4 9 2 3" xfId="15445" xr:uid="{66C96DA0-DB86-473A-88F4-11A21B629E29}"/>
    <cellStyle name="Comma 4 2 4 9 3" xfId="19675" xr:uid="{19C3AD2E-1BC3-4912-9910-FDA36C71CCC7}"/>
    <cellStyle name="Comma 4 2 4 9 4" xfId="11227" xr:uid="{17B8061C-C7EA-4F49-8772-D0F1469BC975}"/>
    <cellStyle name="Comma 4 2 5" xfId="142" xr:uid="{00000000-0005-0000-0000-0000E2080000}"/>
    <cellStyle name="Comma 4 2 5 10" xfId="17294" xr:uid="{F308AFBC-644B-4A1E-85A8-BB2B7EAAA0D0}"/>
    <cellStyle name="Comma 4 2 5 11" xfId="8846" xr:uid="{EA1F1280-7D71-40E2-B5D6-2F9BA851A303}"/>
    <cellStyle name="Comma 4 2 5 2" xfId="680" xr:uid="{00000000-0005-0000-0000-0000E3080000}"/>
    <cellStyle name="Comma 4 2 5 2 2" xfId="2951" xr:uid="{00000000-0005-0000-0000-0000E4080000}"/>
    <cellStyle name="Comma 4 2 5 2 2 2" xfId="7173" xr:uid="{00000000-0005-0000-0000-0000E5080000}"/>
    <cellStyle name="Comma 4 2 5 2 2 2 2" xfId="24071" xr:uid="{BE0A980C-360B-495C-A87D-F4ED59922044}"/>
    <cellStyle name="Comma 4 2 5 2 2 2 3" xfId="15623" xr:uid="{F368C91C-C3C7-446D-817A-08B7AA7FC6EC}"/>
    <cellStyle name="Comma 4 2 5 2 2 3" xfId="19853" xr:uid="{06A554FE-9A9E-4E53-A586-95B903541577}"/>
    <cellStyle name="Comma 4 2 5 2 2 4" xfId="11405" xr:uid="{5E232EAE-6B2D-4912-BFF6-069843EF4DEE}"/>
    <cellStyle name="Comma 4 2 5 2 3" xfId="5028" xr:uid="{00000000-0005-0000-0000-0000E6080000}"/>
    <cellStyle name="Comma 4 2 5 2 3 2" xfId="21926" xr:uid="{5E6087A8-B90F-4833-90F3-FD8A695BCAB1}"/>
    <cellStyle name="Comma 4 2 5 2 3 3" xfId="13478" xr:uid="{A6944C1B-D817-425D-9766-A4670FCAC2DB}"/>
    <cellStyle name="Comma 4 2 5 2 4" xfId="17708" xr:uid="{FEEF76BD-B679-4AF3-BE54-C3889D523429}"/>
    <cellStyle name="Comma 4 2 5 2 5" xfId="9260" xr:uid="{8F23F63A-D6A1-4040-B7CF-659B67B9DD68}"/>
    <cellStyle name="Comma 4 2 5 3" xfId="1133" xr:uid="{00000000-0005-0000-0000-0000E7080000}"/>
    <cellStyle name="Comma 4 2 5 3 2" xfId="3364" xr:uid="{00000000-0005-0000-0000-0000E8080000}"/>
    <cellStyle name="Comma 4 2 5 3 2 2" xfId="7586" xr:uid="{00000000-0005-0000-0000-0000E9080000}"/>
    <cellStyle name="Comma 4 2 5 3 2 2 2" xfId="24484" xr:uid="{8029696C-A3BB-40B4-8A3F-346BA54B1174}"/>
    <cellStyle name="Comma 4 2 5 3 2 2 3" xfId="16036" xr:uid="{7B5E7CE1-BD6C-4C0A-8130-078EBB2DFF93}"/>
    <cellStyle name="Comma 4 2 5 3 2 3" xfId="20266" xr:uid="{E526CF32-D7FC-4A87-A241-1AAFEEFD4E35}"/>
    <cellStyle name="Comma 4 2 5 3 2 4" xfId="11818" xr:uid="{2D43D447-9062-4337-BC1E-FFB77F684D3A}"/>
    <cellStyle name="Comma 4 2 5 3 3" xfId="5441" xr:uid="{00000000-0005-0000-0000-0000EA080000}"/>
    <cellStyle name="Comma 4 2 5 3 3 2" xfId="22339" xr:uid="{EC00099D-57EC-45D6-9E00-F5565A04781A}"/>
    <cellStyle name="Comma 4 2 5 3 3 3" xfId="13891" xr:uid="{6D7DA538-1565-4032-B6C9-220250C6C270}"/>
    <cellStyle name="Comma 4 2 5 3 4" xfId="18121" xr:uid="{7AD9BD19-D842-44BA-A23E-0C81233C7431}"/>
    <cellStyle name="Comma 4 2 5 3 5" xfId="9673" xr:uid="{CB181E8A-A507-478C-923A-8B8C25744232}"/>
    <cellStyle name="Comma 4 2 5 4" xfId="1547" xr:uid="{00000000-0005-0000-0000-0000EB080000}"/>
    <cellStyle name="Comma 4 2 5 4 2" xfId="3777" xr:uid="{00000000-0005-0000-0000-0000EC080000}"/>
    <cellStyle name="Comma 4 2 5 4 2 2" xfId="7999" xr:uid="{00000000-0005-0000-0000-0000ED080000}"/>
    <cellStyle name="Comma 4 2 5 4 2 2 2" xfId="24897" xr:uid="{24CACBDD-40AD-4EE5-9AA9-F9067E0F8E16}"/>
    <cellStyle name="Comma 4 2 5 4 2 2 3" xfId="16449" xr:uid="{C7F6C8FA-EA87-4708-BAEC-6E0DCF5CC8EE}"/>
    <cellStyle name="Comma 4 2 5 4 2 3" xfId="20679" xr:uid="{F9B14F38-ED6A-4FC2-A9A0-F8FE059DD019}"/>
    <cellStyle name="Comma 4 2 5 4 2 4" xfId="12231" xr:uid="{65E2907F-FFA3-4C67-96E8-65A4D513E601}"/>
    <cellStyle name="Comma 4 2 5 4 3" xfId="5854" xr:uid="{00000000-0005-0000-0000-0000EE080000}"/>
    <cellStyle name="Comma 4 2 5 4 3 2" xfId="22752" xr:uid="{77BE84AC-5F48-44A3-BDF4-727BEC39D5CB}"/>
    <cellStyle name="Comma 4 2 5 4 3 3" xfId="14304" xr:uid="{E1F49E8F-3606-4706-83E6-BDA817D03201}"/>
    <cellStyle name="Comma 4 2 5 4 4" xfId="18534" xr:uid="{B484B1BB-56BC-4274-9E2E-49E38C1BD3B1}"/>
    <cellStyle name="Comma 4 2 5 4 5" xfId="10086" xr:uid="{C8D19972-A43A-47AE-ABA7-FFB652DB57DF}"/>
    <cellStyle name="Comma 4 2 5 5" xfId="1961" xr:uid="{00000000-0005-0000-0000-0000EF080000}"/>
    <cellStyle name="Comma 4 2 5 5 2" xfId="4190" xr:uid="{00000000-0005-0000-0000-0000F0080000}"/>
    <cellStyle name="Comma 4 2 5 5 2 2" xfId="8412" xr:uid="{00000000-0005-0000-0000-0000F1080000}"/>
    <cellStyle name="Comma 4 2 5 5 2 2 2" xfId="25310" xr:uid="{8DB8EA88-1012-41FD-B36B-F89BA036B98D}"/>
    <cellStyle name="Comma 4 2 5 5 2 2 3" xfId="16862" xr:uid="{23E2C05B-32CA-4396-81EE-7869C7F1C3A7}"/>
    <cellStyle name="Comma 4 2 5 5 2 3" xfId="21092" xr:uid="{B9A78527-5BCD-4259-8AF3-646B8B96D6C1}"/>
    <cellStyle name="Comma 4 2 5 5 2 4" xfId="12644" xr:uid="{C3014311-C9D5-4F05-B4AE-872BB84BEFE5}"/>
    <cellStyle name="Comma 4 2 5 5 3" xfId="6267" xr:uid="{00000000-0005-0000-0000-0000F2080000}"/>
    <cellStyle name="Comma 4 2 5 5 3 2" xfId="23165" xr:uid="{74CA8B0A-DF1D-4F22-8023-FE8B05C2367C}"/>
    <cellStyle name="Comma 4 2 5 5 3 3" xfId="14717" xr:uid="{D62E98E0-E1C0-464C-92A0-C9C64E60B68B}"/>
    <cellStyle name="Comma 4 2 5 5 4" xfId="18947" xr:uid="{5F8A226E-E5DB-4C47-BE5C-60086903A1DC}"/>
    <cellStyle name="Comma 4 2 5 5 5" xfId="10499" xr:uid="{47F86078-5DF3-40EC-8EC1-B7BD4BE02CB9}"/>
    <cellStyle name="Comma 4 2 5 6" xfId="2396" xr:uid="{00000000-0005-0000-0000-0000F3080000}"/>
    <cellStyle name="Comma 4 2 5 6 2" xfId="6680" xr:uid="{00000000-0005-0000-0000-0000F4080000}"/>
    <cellStyle name="Comma 4 2 5 6 2 2" xfId="23578" xr:uid="{DAA38472-A3D7-4267-A287-10E49666F830}"/>
    <cellStyle name="Comma 4 2 5 6 2 3" xfId="15130" xr:uid="{681C1D0A-8693-44FD-92BB-9E4B3D3DCAAD}"/>
    <cellStyle name="Comma 4 2 5 6 3" xfId="19360" xr:uid="{D4A9C3F5-2FCB-45DC-A20F-8119E7EAB969}"/>
    <cellStyle name="Comma 4 2 5 6 4" xfId="10912" xr:uid="{F25FDAFD-85C9-405F-9188-95B241F985EC}"/>
    <cellStyle name="Comma 4 2 5 7" xfId="2367" xr:uid="{00000000-0005-0000-0000-0000F5080000}"/>
    <cellStyle name="Comma 4 2 5 8" xfId="2774" xr:uid="{00000000-0005-0000-0000-0000F6080000}"/>
    <cellStyle name="Comma 4 2 5 8 2" xfId="6997" xr:uid="{00000000-0005-0000-0000-0000F7080000}"/>
    <cellStyle name="Comma 4 2 5 8 2 2" xfId="23895" xr:uid="{DF13B14D-13B4-4C22-ABDD-48965E9D60F2}"/>
    <cellStyle name="Comma 4 2 5 8 2 3" xfId="15447" xr:uid="{8C1692D5-3643-4378-8EE1-8522E212D3B0}"/>
    <cellStyle name="Comma 4 2 5 8 3" xfId="19677" xr:uid="{016E6BDC-D035-4D98-A4FB-66D539C0FC96}"/>
    <cellStyle name="Comma 4 2 5 8 4" xfId="11229" xr:uid="{85CCF3A5-4484-4E84-AB9E-CAE0ABBC2929}"/>
    <cellStyle name="Comma 4 2 5 9" xfId="4614" xr:uid="{00000000-0005-0000-0000-0000F8080000}"/>
    <cellStyle name="Comma 4 2 5 9 2" xfId="21512" xr:uid="{25E4EBA7-CB5F-485B-A429-929ACA625BA9}"/>
    <cellStyle name="Comma 4 2 5 9 3" xfId="13064" xr:uid="{AFA77D5A-42C3-4C6E-A5D8-B8F0002DEE31}"/>
    <cellStyle name="Comma 4 2 6" xfId="143" xr:uid="{00000000-0005-0000-0000-0000F9080000}"/>
    <cellStyle name="Comma 4 2 6 10" xfId="17295" xr:uid="{5C154761-8054-4C59-88FE-785364A96CB5}"/>
    <cellStyle name="Comma 4 2 6 11" xfId="8847" xr:uid="{1AFFCCEB-A63F-4F93-BF64-5E92EC1C35D4}"/>
    <cellStyle name="Comma 4 2 6 2" xfId="681" xr:uid="{00000000-0005-0000-0000-0000FA080000}"/>
    <cellStyle name="Comma 4 2 6 2 2" xfId="2952" xr:uid="{00000000-0005-0000-0000-0000FB080000}"/>
    <cellStyle name="Comma 4 2 6 2 2 2" xfId="7174" xr:uid="{00000000-0005-0000-0000-0000FC080000}"/>
    <cellStyle name="Comma 4 2 6 2 2 2 2" xfId="24072" xr:uid="{F4C79C5F-8D37-45B6-8104-4BC64895863A}"/>
    <cellStyle name="Comma 4 2 6 2 2 2 3" xfId="15624" xr:uid="{DA4E84CE-69FF-477C-AAF6-C4474ADBADF9}"/>
    <cellStyle name="Comma 4 2 6 2 2 3" xfId="19854" xr:uid="{6E6254AC-FE1E-4B21-AC5E-7920B42A534E}"/>
    <cellStyle name="Comma 4 2 6 2 2 4" xfId="11406" xr:uid="{3F785D91-530D-457E-A2AA-B55B30E116E1}"/>
    <cellStyle name="Comma 4 2 6 2 3" xfId="5029" xr:uid="{00000000-0005-0000-0000-0000FD080000}"/>
    <cellStyle name="Comma 4 2 6 2 3 2" xfId="21927" xr:uid="{52D3C00B-D5C1-4E8F-BD88-9AFD81890CCE}"/>
    <cellStyle name="Comma 4 2 6 2 3 3" xfId="13479" xr:uid="{DD8374FF-F15F-4D63-85D5-961A1B849B23}"/>
    <cellStyle name="Comma 4 2 6 2 4" xfId="17709" xr:uid="{6DBED70D-8854-4BCC-9F94-D9DBAEC32D58}"/>
    <cellStyle name="Comma 4 2 6 2 5" xfId="9261" xr:uid="{0E757352-A228-441D-8047-A0C0B715309D}"/>
    <cellStyle name="Comma 4 2 6 3" xfId="1134" xr:uid="{00000000-0005-0000-0000-0000FE080000}"/>
    <cellStyle name="Comma 4 2 6 3 2" xfId="3365" xr:uid="{00000000-0005-0000-0000-0000FF080000}"/>
    <cellStyle name="Comma 4 2 6 3 2 2" xfId="7587" xr:uid="{00000000-0005-0000-0000-000000090000}"/>
    <cellStyle name="Comma 4 2 6 3 2 2 2" xfId="24485" xr:uid="{4A0BBDB8-F10F-40CA-BBD1-E4DA222A1179}"/>
    <cellStyle name="Comma 4 2 6 3 2 2 3" xfId="16037" xr:uid="{F4790FDB-6148-45FA-9871-9D663675949F}"/>
    <cellStyle name="Comma 4 2 6 3 2 3" xfId="20267" xr:uid="{64BA5CF3-6D88-463D-BA4E-1C000D394E52}"/>
    <cellStyle name="Comma 4 2 6 3 2 4" xfId="11819" xr:uid="{96A9299B-9E7A-442E-A9FD-DDE72E400224}"/>
    <cellStyle name="Comma 4 2 6 3 3" xfId="5442" xr:uid="{00000000-0005-0000-0000-000001090000}"/>
    <cellStyle name="Comma 4 2 6 3 3 2" xfId="22340" xr:uid="{A820BC61-75A3-430C-AB94-48FC816EA67F}"/>
    <cellStyle name="Comma 4 2 6 3 3 3" xfId="13892" xr:uid="{1B8F7F12-806A-41A6-87A0-491313589C34}"/>
    <cellStyle name="Comma 4 2 6 3 4" xfId="18122" xr:uid="{3E2D15E7-9759-4FA3-991E-4646A8493263}"/>
    <cellStyle name="Comma 4 2 6 3 5" xfId="9674" xr:uid="{3795CEAB-07D0-4F28-B545-4A87FC25BB5A}"/>
    <cellStyle name="Comma 4 2 6 4" xfId="1548" xr:uid="{00000000-0005-0000-0000-000002090000}"/>
    <cellStyle name="Comma 4 2 6 4 2" xfId="3778" xr:uid="{00000000-0005-0000-0000-000003090000}"/>
    <cellStyle name="Comma 4 2 6 4 2 2" xfId="8000" xr:uid="{00000000-0005-0000-0000-000004090000}"/>
    <cellStyle name="Comma 4 2 6 4 2 2 2" xfId="24898" xr:uid="{B3391392-5598-42F3-99E5-E4707AD753FC}"/>
    <cellStyle name="Comma 4 2 6 4 2 2 3" xfId="16450" xr:uid="{A5D1A2EA-FD6C-4116-A7DC-D347655BEB34}"/>
    <cellStyle name="Comma 4 2 6 4 2 3" xfId="20680" xr:uid="{38653677-F403-49EB-AAC6-AFECFEC0285D}"/>
    <cellStyle name="Comma 4 2 6 4 2 4" xfId="12232" xr:uid="{2B291F87-C1CD-4558-9A18-617B5E69ECC2}"/>
    <cellStyle name="Comma 4 2 6 4 3" xfId="5855" xr:uid="{00000000-0005-0000-0000-000005090000}"/>
    <cellStyle name="Comma 4 2 6 4 3 2" xfId="22753" xr:uid="{53BA6437-9325-43E5-903F-0415CAF35294}"/>
    <cellStyle name="Comma 4 2 6 4 3 3" xfId="14305" xr:uid="{BFB5819F-03A8-48C1-BB9F-3F9328A9F9C9}"/>
    <cellStyle name="Comma 4 2 6 4 4" xfId="18535" xr:uid="{76328EA8-BCA3-42DA-BE1A-24C1898268A8}"/>
    <cellStyle name="Comma 4 2 6 4 5" xfId="10087" xr:uid="{00DDC5D8-1F19-4477-98C9-ABE03C52DFBF}"/>
    <cellStyle name="Comma 4 2 6 5" xfId="1962" xr:uid="{00000000-0005-0000-0000-000006090000}"/>
    <cellStyle name="Comma 4 2 6 5 2" xfId="4191" xr:uid="{00000000-0005-0000-0000-000007090000}"/>
    <cellStyle name="Comma 4 2 6 5 2 2" xfId="8413" xr:uid="{00000000-0005-0000-0000-000008090000}"/>
    <cellStyle name="Comma 4 2 6 5 2 2 2" xfId="25311" xr:uid="{2F6779FF-56DB-44E0-814D-53AAE5DAA4AC}"/>
    <cellStyle name="Comma 4 2 6 5 2 2 3" xfId="16863" xr:uid="{92468101-735A-4729-A3CF-4BA957043ECA}"/>
    <cellStyle name="Comma 4 2 6 5 2 3" xfId="21093" xr:uid="{D22E71E9-6D25-4BC1-9591-0916E5055E9E}"/>
    <cellStyle name="Comma 4 2 6 5 2 4" xfId="12645" xr:uid="{5C5923DB-6E7C-4797-8027-A1D9BCEDAF90}"/>
    <cellStyle name="Comma 4 2 6 5 3" xfId="6268" xr:uid="{00000000-0005-0000-0000-000009090000}"/>
    <cellStyle name="Comma 4 2 6 5 3 2" xfId="23166" xr:uid="{9356663D-F470-4B4C-8E4B-CA7D110386C1}"/>
    <cellStyle name="Comma 4 2 6 5 3 3" xfId="14718" xr:uid="{A50B7766-FD45-450E-9565-B5016A3ADBA7}"/>
    <cellStyle name="Comma 4 2 6 5 4" xfId="18948" xr:uid="{5DFEEEDD-9A68-496C-9C41-69ED648AB4A2}"/>
    <cellStyle name="Comma 4 2 6 5 5" xfId="10500" xr:uid="{21861714-4E43-4ACA-8877-0202F47F177D}"/>
    <cellStyle name="Comma 4 2 6 6" xfId="2397" xr:uid="{00000000-0005-0000-0000-00000A090000}"/>
    <cellStyle name="Comma 4 2 6 6 2" xfId="6681" xr:uid="{00000000-0005-0000-0000-00000B090000}"/>
    <cellStyle name="Comma 4 2 6 6 2 2" xfId="23579" xr:uid="{14CC39EA-B1B3-425C-9908-954F1D7BACB3}"/>
    <cellStyle name="Comma 4 2 6 6 2 3" xfId="15131" xr:uid="{5D633623-176A-46A7-9839-708BEF90C864}"/>
    <cellStyle name="Comma 4 2 6 6 3" xfId="19361" xr:uid="{4AE90816-21A9-4065-9042-E55FAD8ABDD7}"/>
    <cellStyle name="Comma 4 2 6 6 4" xfId="10913" xr:uid="{594268A4-8F42-47C3-8C34-3675D87AA231}"/>
    <cellStyle name="Comma 4 2 6 7" xfId="2366" xr:uid="{00000000-0005-0000-0000-00000C090000}"/>
    <cellStyle name="Comma 4 2 6 8" xfId="2775" xr:uid="{00000000-0005-0000-0000-00000D090000}"/>
    <cellStyle name="Comma 4 2 6 8 2" xfId="6998" xr:uid="{00000000-0005-0000-0000-00000E090000}"/>
    <cellStyle name="Comma 4 2 6 8 2 2" xfId="23896" xr:uid="{89FBB76B-6F02-4857-9A79-9A98002F0060}"/>
    <cellStyle name="Comma 4 2 6 8 2 3" xfId="15448" xr:uid="{20C77779-058F-4A67-AEEA-5962DFF3F7F0}"/>
    <cellStyle name="Comma 4 2 6 8 3" xfId="19678" xr:uid="{83F04E13-2F24-4E54-9ACE-3B7843156689}"/>
    <cellStyle name="Comma 4 2 6 8 4" xfId="11230" xr:uid="{2A85E0CA-7A35-4CAC-9FCE-ADB1D3B65418}"/>
    <cellStyle name="Comma 4 2 6 9" xfId="4615" xr:uid="{00000000-0005-0000-0000-00000F090000}"/>
    <cellStyle name="Comma 4 2 6 9 2" xfId="21513" xr:uid="{38CAAC15-DCDE-465F-BDF9-C998F5360FE1}"/>
    <cellStyle name="Comma 4 2 6 9 3" xfId="13065" xr:uid="{86340607-2709-49F9-A6A1-02C9CDAAEB22}"/>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23897" xr:uid="{F22B9736-03AD-465D-ACCB-0ABE9FA584F1}"/>
    <cellStyle name="Comma 4 3 2 10 2 3" xfId="15449" xr:uid="{56BE5D3B-1193-4F40-BEE3-9E66C79C72DD}"/>
    <cellStyle name="Comma 4 3 2 10 3" xfId="19679" xr:uid="{1FD27A42-DDFB-42AE-8D6A-E5579219C5CC}"/>
    <cellStyle name="Comma 4 3 2 10 4" xfId="11231" xr:uid="{BB7352C8-556C-4AFA-A8EB-C6BA4E9AB7BC}"/>
    <cellStyle name="Comma 4 3 2 11" xfId="4616" xr:uid="{00000000-0005-0000-0000-000014090000}"/>
    <cellStyle name="Comma 4 3 2 11 2" xfId="21514" xr:uid="{8D021765-E216-448E-8976-5CCC0E222AED}"/>
    <cellStyle name="Comma 4 3 2 11 3" xfId="13066" xr:uid="{F5BB1F08-485B-45CB-8743-D62AC1F08FA0}"/>
    <cellStyle name="Comma 4 3 2 12" xfId="17296" xr:uid="{C75FD109-053A-4699-8A92-595B63B79E68}"/>
    <cellStyle name="Comma 4 3 2 13" xfId="8848" xr:uid="{D9286405-2E39-4B00-B46F-512A331D8209}"/>
    <cellStyle name="Comma 4 3 2 2" xfId="146" xr:uid="{00000000-0005-0000-0000-000015090000}"/>
    <cellStyle name="Comma 4 3 2 2 10" xfId="4617" xr:uid="{00000000-0005-0000-0000-000016090000}"/>
    <cellStyle name="Comma 4 3 2 2 10 2" xfId="21515" xr:uid="{A59BFF06-024A-4F13-8C87-E93D68A9FF7E}"/>
    <cellStyle name="Comma 4 3 2 2 10 3" xfId="13067" xr:uid="{905F0D33-4CD1-4DF5-B64D-CD556624DE29}"/>
    <cellStyle name="Comma 4 3 2 2 11" xfId="17297" xr:uid="{90FE1638-D77C-456E-B10D-E1AF24F22923}"/>
    <cellStyle name="Comma 4 3 2 2 12" xfId="8849" xr:uid="{71806382-2D93-4041-9B3C-AB0B75158DCF}"/>
    <cellStyle name="Comma 4 3 2 2 2" xfId="147" xr:uid="{00000000-0005-0000-0000-000017090000}"/>
    <cellStyle name="Comma 4 3 2 2 2 10" xfId="17298" xr:uid="{A3685C69-6087-49CC-82EB-4B5DAD6F5601}"/>
    <cellStyle name="Comma 4 3 2 2 2 11" xfId="8850" xr:uid="{235B9357-C3CF-4955-9B89-33028E558543}"/>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24075" xr:uid="{CC7807F2-828F-402E-9929-4F2AE69D9CA8}"/>
    <cellStyle name="Comma 4 3 2 2 2 2 2 2 3" xfId="15627" xr:uid="{B31522C7-7789-4A86-BF48-62A07223F8F7}"/>
    <cellStyle name="Comma 4 3 2 2 2 2 2 3" xfId="19857" xr:uid="{4603A19E-209C-44A1-8416-645666131F50}"/>
    <cellStyle name="Comma 4 3 2 2 2 2 2 4" xfId="11409" xr:uid="{7DD9BFD9-FCD3-40B0-8EF8-19E26B9C6EAD}"/>
    <cellStyle name="Comma 4 3 2 2 2 2 3" xfId="5032" xr:uid="{00000000-0005-0000-0000-00001B090000}"/>
    <cellStyle name="Comma 4 3 2 2 2 2 3 2" xfId="21930" xr:uid="{FE1DEDC2-36ED-4156-B516-23EB6D6595D0}"/>
    <cellStyle name="Comma 4 3 2 2 2 2 3 3" xfId="13482" xr:uid="{CB92BFBF-F4DF-4963-96F3-63151DB21A2D}"/>
    <cellStyle name="Comma 4 3 2 2 2 2 4" xfId="17712" xr:uid="{A3C6E153-CA01-4156-96A1-4A77BAA1583A}"/>
    <cellStyle name="Comma 4 3 2 2 2 2 5" xfId="9264" xr:uid="{A5CF9281-E8E3-4E4B-811B-D83B814AAC64}"/>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24488" xr:uid="{8DC9DF4A-164B-4345-8D5F-C97DBD4D789E}"/>
    <cellStyle name="Comma 4 3 2 2 2 3 2 2 3" xfId="16040" xr:uid="{31B7007F-A34B-4D40-9DA7-B6809DF43FC2}"/>
    <cellStyle name="Comma 4 3 2 2 2 3 2 3" xfId="20270" xr:uid="{30BA3309-3231-41B6-B133-B4F61DA4FB94}"/>
    <cellStyle name="Comma 4 3 2 2 2 3 2 4" xfId="11822" xr:uid="{D21597BD-94A5-47A4-993B-B2C22E71DA38}"/>
    <cellStyle name="Comma 4 3 2 2 2 3 3" xfId="5445" xr:uid="{00000000-0005-0000-0000-00001F090000}"/>
    <cellStyle name="Comma 4 3 2 2 2 3 3 2" xfId="22343" xr:uid="{ABA76AA5-1299-4AA2-BA92-D9604F43A494}"/>
    <cellStyle name="Comma 4 3 2 2 2 3 3 3" xfId="13895" xr:uid="{9665CD65-350E-4963-B8AF-4A09E3EB2956}"/>
    <cellStyle name="Comma 4 3 2 2 2 3 4" xfId="18125" xr:uid="{4018CF7A-DB62-499F-B87F-BFB60F94AB1F}"/>
    <cellStyle name="Comma 4 3 2 2 2 3 5" xfId="9677" xr:uid="{987D964E-6665-4CA4-9056-823787148B32}"/>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24901" xr:uid="{05E8F2D9-5CC2-46B1-8E34-A393B42DF92D}"/>
    <cellStyle name="Comma 4 3 2 2 2 4 2 2 3" xfId="16453" xr:uid="{F1770CCB-54E9-4193-939E-54CFE53F509A}"/>
    <cellStyle name="Comma 4 3 2 2 2 4 2 3" xfId="20683" xr:uid="{26A79A90-47D4-428E-B8AB-FE687950C799}"/>
    <cellStyle name="Comma 4 3 2 2 2 4 2 4" xfId="12235" xr:uid="{A0E7DF65-0F16-42F8-BD64-020D84BCE991}"/>
    <cellStyle name="Comma 4 3 2 2 2 4 3" xfId="5858" xr:uid="{00000000-0005-0000-0000-000023090000}"/>
    <cellStyle name="Comma 4 3 2 2 2 4 3 2" xfId="22756" xr:uid="{813FE890-42A9-4AB9-AC1D-C24A10FFA4AA}"/>
    <cellStyle name="Comma 4 3 2 2 2 4 3 3" xfId="14308" xr:uid="{8BC0CEED-66D1-43F0-AEF6-9DEBA7074026}"/>
    <cellStyle name="Comma 4 3 2 2 2 4 4" xfId="18538" xr:uid="{F8DE078C-BFD5-4798-B8AE-238D39F667BD}"/>
    <cellStyle name="Comma 4 3 2 2 2 4 5" xfId="10090" xr:uid="{94CD332C-EEBB-48C8-9E8A-B5331FE2E0D6}"/>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25314" xr:uid="{3261C25F-3230-4129-917D-8EDEA3CDEAB2}"/>
    <cellStyle name="Comma 4 3 2 2 2 5 2 2 3" xfId="16866" xr:uid="{1F1E5A34-711E-49A1-A5E0-1E3523A5643B}"/>
    <cellStyle name="Comma 4 3 2 2 2 5 2 3" xfId="21096" xr:uid="{DD2460FC-40ED-4E12-94F8-5D765E8F924C}"/>
    <cellStyle name="Comma 4 3 2 2 2 5 2 4" xfId="12648" xr:uid="{9AC75AF0-D7BE-4072-9818-D4C9A99A330A}"/>
    <cellStyle name="Comma 4 3 2 2 2 5 3" xfId="6271" xr:uid="{00000000-0005-0000-0000-000027090000}"/>
    <cellStyle name="Comma 4 3 2 2 2 5 3 2" xfId="23169" xr:uid="{02569DAB-6D9F-461C-A591-8E63F86147EE}"/>
    <cellStyle name="Comma 4 3 2 2 2 5 3 3" xfId="14721" xr:uid="{AC5471EB-4EBA-43EC-AFD3-881E3DDD5DC8}"/>
    <cellStyle name="Comma 4 3 2 2 2 5 4" xfId="18951" xr:uid="{90ABA961-1FA4-4DF1-9D4D-15DE40A7BAA3}"/>
    <cellStyle name="Comma 4 3 2 2 2 5 5" xfId="10503" xr:uid="{DD1869F3-3575-4626-BE43-E4895E593DBC}"/>
    <cellStyle name="Comma 4 3 2 2 2 6" xfId="2400" xr:uid="{00000000-0005-0000-0000-000028090000}"/>
    <cellStyle name="Comma 4 3 2 2 2 6 2" xfId="6684" xr:uid="{00000000-0005-0000-0000-000029090000}"/>
    <cellStyle name="Comma 4 3 2 2 2 6 2 2" xfId="23582" xr:uid="{705B1478-70E0-47B6-8317-627EA988A931}"/>
    <cellStyle name="Comma 4 3 2 2 2 6 2 3" xfId="15134" xr:uid="{59CB38AD-8322-48A6-9EEC-FED2DDDB80AB}"/>
    <cellStyle name="Comma 4 3 2 2 2 6 3" xfId="19364" xr:uid="{D28B7F72-BF02-4BF8-8AD0-DAA466B17CF4}"/>
    <cellStyle name="Comma 4 3 2 2 2 6 4" xfId="10916" xr:uid="{929AE45C-3D0B-449E-96CF-4759280D703C}"/>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23899" xr:uid="{34E8FD82-602B-4A29-85BC-4A402735B782}"/>
    <cellStyle name="Comma 4 3 2 2 2 8 2 3" xfId="15451" xr:uid="{FC6D42A2-CA8F-46D5-9DA9-DF50AE817B3D}"/>
    <cellStyle name="Comma 4 3 2 2 2 8 3" xfId="19681" xr:uid="{AD5FC8A3-00EC-4769-85F5-FDB8A5619C8B}"/>
    <cellStyle name="Comma 4 3 2 2 2 8 4" xfId="11233" xr:uid="{0E0D399E-3C03-4977-81EF-399B87BC9657}"/>
    <cellStyle name="Comma 4 3 2 2 2 9" xfId="4618" xr:uid="{00000000-0005-0000-0000-00002D090000}"/>
    <cellStyle name="Comma 4 3 2 2 2 9 2" xfId="21516" xr:uid="{6DED3242-D38C-4CCF-8F25-643B4EF9691F}"/>
    <cellStyle name="Comma 4 3 2 2 2 9 3" xfId="13068" xr:uid="{6CA1FA7B-6B60-4D73-9508-5B3051FBCB64}"/>
    <cellStyle name="Comma 4 3 2 2 3" xfId="683" xr:uid="{00000000-0005-0000-0000-00002E090000}"/>
    <cellStyle name="Comma 4 3 2 2 3 2" xfId="2954" xr:uid="{00000000-0005-0000-0000-00002F090000}"/>
    <cellStyle name="Comma 4 3 2 2 3 2 2" xfId="7176" xr:uid="{00000000-0005-0000-0000-000030090000}"/>
    <cellStyle name="Comma 4 3 2 2 3 2 2 2" xfId="24074" xr:uid="{5DE487DD-6503-45A9-8F21-7897CE02039D}"/>
    <cellStyle name="Comma 4 3 2 2 3 2 2 3" xfId="15626" xr:uid="{3B810FD4-8A9E-440E-8548-DA90B95E8943}"/>
    <cellStyle name="Comma 4 3 2 2 3 2 3" xfId="19856" xr:uid="{1743C64E-001E-47CB-99AA-DF04B6D3C1C0}"/>
    <cellStyle name="Comma 4 3 2 2 3 2 4" xfId="11408" xr:uid="{997E5425-0678-4493-8CB2-C5333EAE2C75}"/>
    <cellStyle name="Comma 4 3 2 2 3 3" xfId="5031" xr:uid="{00000000-0005-0000-0000-000031090000}"/>
    <cellStyle name="Comma 4 3 2 2 3 3 2" xfId="21929" xr:uid="{8301764E-C3EF-462B-A66C-EAEC1B9D570A}"/>
    <cellStyle name="Comma 4 3 2 2 3 3 3" xfId="13481" xr:uid="{49F60E36-F0D8-40F9-A386-170A4E0FFD80}"/>
    <cellStyle name="Comma 4 3 2 2 3 4" xfId="17711" xr:uid="{15A1FB4D-1391-4CEC-A7A7-CA7B9267F319}"/>
    <cellStyle name="Comma 4 3 2 2 3 5" xfId="9263" xr:uid="{669C2252-7CCB-46C2-A6FA-BEB56C254CEE}"/>
    <cellStyle name="Comma 4 3 2 2 4" xfId="1136" xr:uid="{00000000-0005-0000-0000-000032090000}"/>
    <cellStyle name="Comma 4 3 2 2 4 2" xfId="3367" xr:uid="{00000000-0005-0000-0000-000033090000}"/>
    <cellStyle name="Comma 4 3 2 2 4 2 2" xfId="7589" xr:uid="{00000000-0005-0000-0000-000034090000}"/>
    <cellStyle name="Comma 4 3 2 2 4 2 2 2" xfId="24487" xr:uid="{C4BE854B-91F2-4CBA-8B3E-8DE0C1511945}"/>
    <cellStyle name="Comma 4 3 2 2 4 2 2 3" xfId="16039" xr:uid="{8370030B-16D0-447E-8DFD-5BDCD4866DC1}"/>
    <cellStyle name="Comma 4 3 2 2 4 2 3" xfId="20269" xr:uid="{FDD82185-5C34-49D9-B49C-B4B7BC7F6092}"/>
    <cellStyle name="Comma 4 3 2 2 4 2 4" xfId="11821" xr:uid="{4EA53715-1D16-4E24-A7BA-D924BECB03AD}"/>
    <cellStyle name="Comma 4 3 2 2 4 3" xfId="5444" xr:uid="{00000000-0005-0000-0000-000035090000}"/>
    <cellStyle name="Comma 4 3 2 2 4 3 2" xfId="22342" xr:uid="{58E62620-6366-4404-9ABD-AA7642817E34}"/>
    <cellStyle name="Comma 4 3 2 2 4 3 3" xfId="13894" xr:uid="{B4B1DF99-68EF-49F8-87EA-B8F8261E201E}"/>
    <cellStyle name="Comma 4 3 2 2 4 4" xfId="18124" xr:uid="{EAB16387-E0B9-449A-865A-BF2CC1999942}"/>
    <cellStyle name="Comma 4 3 2 2 4 5" xfId="9676" xr:uid="{97FF22EB-1758-48EA-B8BC-6158778D6D9A}"/>
    <cellStyle name="Comma 4 3 2 2 5" xfId="1550" xr:uid="{00000000-0005-0000-0000-000036090000}"/>
    <cellStyle name="Comma 4 3 2 2 5 2" xfId="3780" xr:uid="{00000000-0005-0000-0000-000037090000}"/>
    <cellStyle name="Comma 4 3 2 2 5 2 2" xfId="8002" xr:uid="{00000000-0005-0000-0000-000038090000}"/>
    <cellStyle name="Comma 4 3 2 2 5 2 2 2" xfId="24900" xr:uid="{CB0AAC78-9125-42EB-83E4-3138B7E9560B}"/>
    <cellStyle name="Comma 4 3 2 2 5 2 2 3" xfId="16452" xr:uid="{1A165AF0-4B16-4768-8903-CA1D3A3778DF}"/>
    <cellStyle name="Comma 4 3 2 2 5 2 3" xfId="20682" xr:uid="{E9941C6D-2A58-495F-8995-7DA22A2EDF48}"/>
    <cellStyle name="Comma 4 3 2 2 5 2 4" xfId="12234" xr:uid="{AA6C7DB8-FF9F-448C-8866-AA8873EF63C9}"/>
    <cellStyle name="Comma 4 3 2 2 5 3" xfId="5857" xr:uid="{00000000-0005-0000-0000-000039090000}"/>
    <cellStyle name="Comma 4 3 2 2 5 3 2" xfId="22755" xr:uid="{9C76C4CE-ADA7-4F5C-92E4-0B828F71A961}"/>
    <cellStyle name="Comma 4 3 2 2 5 3 3" xfId="14307" xr:uid="{93B3D241-BF79-4373-8F3E-25028B4B06F1}"/>
    <cellStyle name="Comma 4 3 2 2 5 4" xfId="18537" xr:uid="{19FBC41B-06E8-4FE4-908E-3702CF75F237}"/>
    <cellStyle name="Comma 4 3 2 2 5 5" xfId="10089" xr:uid="{A8E22DBE-DF28-4FBD-BE84-DABB54187F5E}"/>
    <cellStyle name="Comma 4 3 2 2 6" xfId="1964" xr:uid="{00000000-0005-0000-0000-00003A090000}"/>
    <cellStyle name="Comma 4 3 2 2 6 2" xfId="4193" xr:uid="{00000000-0005-0000-0000-00003B090000}"/>
    <cellStyle name="Comma 4 3 2 2 6 2 2" xfId="8415" xr:uid="{00000000-0005-0000-0000-00003C090000}"/>
    <cellStyle name="Comma 4 3 2 2 6 2 2 2" xfId="25313" xr:uid="{8384F051-FDAB-4209-8A84-2C8FB5A53679}"/>
    <cellStyle name="Comma 4 3 2 2 6 2 2 3" xfId="16865" xr:uid="{43884A48-CF9B-417D-8634-B0D0B665DE0E}"/>
    <cellStyle name="Comma 4 3 2 2 6 2 3" xfId="21095" xr:uid="{33C8931D-AB3C-4C95-BF8F-CE6A1C765BAA}"/>
    <cellStyle name="Comma 4 3 2 2 6 2 4" xfId="12647" xr:uid="{D70273D6-82E6-491E-8F69-8A5C14AF5A4C}"/>
    <cellStyle name="Comma 4 3 2 2 6 3" xfId="6270" xr:uid="{00000000-0005-0000-0000-00003D090000}"/>
    <cellStyle name="Comma 4 3 2 2 6 3 2" xfId="23168" xr:uid="{15B86BA0-F31A-4CE3-95EF-F488515B22BE}"/>
    <cellStyle name="Comma 4 3 2 2 6 3 3" xfId="14720" xr:uid="{8697DEB3-8C8A-4498-8E9E-F6588B0B85C3}"/>
    <cellStyle name="Comma 4 3 2 2 6 4" xfId="18950" xr:uid="{78E6F641-B36D-460A-9578-DC7247F82408}"/>
    <cellStyle name="Comma 4 3 2 2 6 5" xfId="10502" xr:uid="{4E21FE19-CCC7-4147-911D-766F287A1A49}"/>
    <cellStyle name="Comma 4 3 2 2 7" xfId="2399" xr:uid="{00000000-0005-0000-0000-00003E090000}"/>
    <cellStyle name="Comma 4 3 2 2 7 2" xfId="6683" xr:uid="{00000000-0005-0000-0000-00003F090000}"/>
    <cellStyle name="Comma 4 3 2 2 7 2 2" xfId="23581" xr:uid="{E889EEF7-BF38-467F-9023-3079D1A87301}"/>
    <cellStyle name="Comma 4 3 2 2 7 2 3" xfId="15133" xr:uid="{4825C9B2-A48D-47AC-B73E-E26E88B0DBB6}"/>
    <cellStyle name="Comma 4 3 2 2 7 3" xfId="19363" xr:uid="{F5DA371E-6ECD-4C30-8B8D-D29EC68C12A4}"/>
    <cellStyle name="Comma 4 3 2 2 7 4" xfId="10915" xr:uid="{84FBDE85-7FC2-44A9-AB45-11BF5ABF58ED}"/>
    <cellStyle name="Comma 4 3 2 2 8" xfId="2364" xr:uid="{00000000-0005-0000-0000-000040090000}"/>
    <cellStyle name="Comma 4 3 2 2 9" xfId="2777" xr:uid="{00000000-0005-0000-0000-000041090000}"/>
    <cellStyle name="Comma 4 3 2 2 9 2" xfId="7000" xr:uid="{00000000-0005-0000-0000-000042090000}"/>
    <cellStyle name="Comma 4 3 2 2 9 2 2" xfId="23898" xr:uid="{256AB00A-59A2-4490-9505-FE940E5A3857}"/>
    <cellStyle name="Comma 4 3 2 2 9 2 3" xfId="15450" xr:uid="{612276B8-8DE7-4B9B-9EB8-A6698AFDC4E7}"/>
    <cellStyle name="Comma 4 3 2 2 9 3" xfId="19680" xr:uid="{E20953F1-498D-44DB-BC95-D76286620968}"/>
    <cellStyle name="Comma 4 3 2 2 9 4" xfId="11232" xr:uid="{2B6FDFC6-E92C-4895-A3EC-E279741AC1CE}"/>
    <cellStyle name="Comma 4 3 2 3" xfId="148" xr:uid="{00000000-0005-0000-0000-000043090000}"/>
    <cellStyle name="Comma 4 3 2 3 10" xfId="17299" xr:uid="{D02482D7-2A56-431A-8B94-EF455A5FC4FF}"/>
    <cellStyle name="Comma 4 3 2 3 11" xfId="8851" xr:uid="{F43C00D1-EAAE-4BCE-A585-545BDE5DA0E0}"/>
    <cellStyle name="Comma 4 3 2 3 2" xfId="685" xr:uid="{00000000-0005-0000-0000-000044090000}"/>
    <cellStyle name="Comma 4 3 2 3 2 2" xfId="2956" xr:uid="{00000000-0005-0000-0000-000045090000}"/>
    <cellStyle name="Comma 4 3 2 3 2 2 2" xfId="7178" xr:uid="{00000000-0005-0000-0000-000046090000}"/>
    <cellStyle name="Comma 4 3 2 3 2 2 2 2" xfId="24076" xr:uid="{5348F86C-82CE-4A82-866F-79F7395D27FA}"/>
    <cellStyle name="Comma 4 3 2 3 2 2 2 3" xfId="15628" xr:uid="{732A52A8-5C52-4F14-AD6B-03A836489296}"/>
    <cellStyle name="Comma 4 3 2 3 2 2 3" xfId="19858" xr:uid="{4F5CD899-8C93-495E-96EF-2D63A0829919}"/>
    <cellStyle name="Comma 4 3 2 3 2 2 4" xfId="11410" xr:uid="{AFE9C8EF-65B5-456C-BD18-834065E766AB}"/>
    <cellStyle name="Comma 4 3 2 3 2 3" xfId="5033" xr:uid="{00000000-0005-0000-0000-000047090000}"/>
    <cellStyle name="Comma 4 3 2 3 2 3 2" xfId="21931" xr:uid="{F4DEBE7F-B39E-40E8-8AB8-764EBED24060}"/>
    <cellStyle name="Comma 4 3 2 3 2 3 3" xfId="13483" xr:uid="{702C45BA-095F-40A0-9E36-C4878CD048E2}"/>
    <cellStyle name="Comma 4 3 2 3 2 4" xfId="17713" xr:uid="{94149DF8-3E17-424F-8078-24A8C5ABA7A4}"/>
    <cellStyle name="Comma 4 3 2 3 2 5" xfId="9265" xr:uid="{B708B36B-F64D-47C7-A01E-45554FFB3065}"/>
    <cellStyle name="Comma 4 3 2 3 3" xfId="1138" xr:uid="{00000000-0005-0000-0000-000048090000}"/>
    <cellStyle name="Comma 4 3 2 3 3 2" xfId="3369" xr:uid="{00000000-0005-0000-0000-000049090000}"/>
    <cellStyle name="Comma 4 3 2 3 3 2 2" xfId="7591" xr:uid="{00000000-0005-0000-0000-00004A090000}"/>
    <cellStyle name="Comma 4 3 2 3 3 2 2 2" xfId="24489" xr:uid="{DB638A39-FAA4-4A96-B9D0-6A924FBF333A}"/>
    <cellStyle name="Comma 4 3 2 3 3 2 2 3" xfId="16041" xr:uid="{483374EA-AA64-4A09-839D-6E0727359CE1}"/>
    <cellStyle name="Comma 4 3 2 3 3 2 3" xfId="20271" xr:uid="{265EA518-4332-4C94-AD0A-CDC7682290C1}"/>
    <cellStyle name="Comma 4 3 2 3 3 2 4" xfId="11823" xr:uid="{358242C5-EBA0-4237-8E2B-614686FC6826}"/>
    <cellStyle name="Comma 4 3 2 3 3 3" xfId="5446" xr:uid="{00000000-0005-0000-0000-00004B090000}"/>
    <cellStyle name="Comma 4 3 2 3 3 3 2" xfId="22344" xr:uid="{7EAE0246-7EE2-45B4-A741-3E19C90B361C}"/>
    <cellStyle name="Comma 4 3 2 3 3 3 3" xfId="13896" xr:uid="{A55AD14B-0C4C-4F2A-8C81-C0590ED7BCBC}"/>
    <cellStyle name="Comma 4 3 2 3 3 4" xfId="18126" xr:uid="{D30A3D9A-8FF4-4183-B8A3-2A1EF1BD631F}"/>
    <cellStyle name="Comma 4 3 2 3 3 5" xfId="9678" xr:uid="{CC10C11A-1C87-4F99-A926-02643000C43E}"/>
    <cellStyle name="Comma 4 3 2 3 4" xfId="1552" xr:uid="{00000000-0005-0000-0000-00004C090000}"/>
    <cellStyle name="Comma 4 3 2 3 4 2" xfId="3782" xr:uid="{00000000-0005-0000-0000-00004D090000}"/>
    <cellStyle name="Comma 4 3 2 3 4 2 2" xfId="8004" xr:uid="{00000000-0005-0000-0000-00004E090000}"/>
    <cellStyle name="Comma 4 3 2 3 4 2 2 2" xfId="24902" xr:uid="{8781AC03-650D-40D7-B862-78DFD9E0CB74}"/>
    <cellStyle name="Comma 4 3 2 3 4 2 2 3" xfId="16454" xr:uid="{676681DB-6209-407C-9F70-C2059C0075D7}"/>
    <cellStyle name="Comma 4 3 2 3 4 2 3" xfId="20684" xr:uid="{1BBB436A-CEC8-491A-B056-63A48D940D74}"/>
    <cellStyle name="Comma 4 3 2 3 4 2 4" xfId="12236" xr:uid="{57E71942-3FEA-401C-9596-5376022E45D6}"/>
    <cellStyle name="Comma 4 3 2 3 4 3" xfId="5859" xr:uid="{00000000-0005-0000-0000-00004F090000}"/>
    <cellStyle name="Comma 4 3 2 3 4 3 2" xfId="22757" xr:uid="{45830129-7026-438D-9818-2BAD2377CF14}"/>
    <cellStyle name="Comma 4 3 2 3 4 3 3" xfId="14309" xr:uid="{3D40878C-1F8C-4AF1-9F21-118F6793E3A3}"/>
    <cellStyle name="Comma 4 3 2 3 4 4" xfId="18539" xr:uid="{9D4AA38B-9EFE-4B98-8CD7-C3327FF8DC94}"/>
    <cellStyle name="Comma 4 3 2 3 4 5" xfId="10091" xr:uid="{35ED428C-0A7B-40B8-BFAB-4CD1B66BA637}"/>
    <cellStyle name="Comma 4 3 2 3 5" xfId="1966" xr:uid="{00000000-0005-0000-0000-000050090000}"/>
    <cellStyle name="Comma 4 3 2 3 5 2" xfId="4195" xr:uid="{00000000-0005-0000-0000-000051090000}"/>
    <cellStyle name="Comma 4 3 2 3 5 2 2" xfId="8417" xr:uid="{00000000-0005-0000-0000-000052090000}"/>
    <cellStyle name="Comma 4 3 2 3 5 2 2 2" xfId="25315" xr:uid="{01444B02-ED8B-423B-94DD-20632F82D498}"/>
    <cellStyle name="Comma 4 3 2 3 5 2 2 3" xfId="16867" xr:uid="{A6CB92E2-EDF7-4A4E-AB4B-46D201ACB5D6}"/>
    <cellStyle name="Comma 4 3 2 3 5 2 3" xfId="21097" xr:uid="{A9727153-82F7-473E-A075-092FC1531083}"/>
    <cellStyle name="Comma 4 3 2 3 5 2 4" xfId="12649" xr:uid="{4BE54F2D-B123-4908-9971-3A50F886B5E1}"/>
    <cellStyle name="Comma 4 3 2 3 5 3" xfId="6272" xr:uid="{00000000-0005-0000-0000-000053090000}"/>
    <cellStyle name="Comma 4 3 2 3 5 3 2" xfId="23170" xr:uid="{B48F6CC3-B771-459A-B861-4522918043E9}"/>
    <cellStyle name="Comma 4 3 2 3 5 3 3" xfId="14722" xr:uid="{38240247-B933-4FAC-B8A3-387579905503}"/>
    <cellStyle name="Comma 4 3 2 3 5 4" xfId="18952" xr:uid="{B6778C93-B902-46CE-9099-8C47F442E7C2}"/>
    <cellStyle name="Comma 4 3 2 3 5 5" xfId="10504" xr:uid="{AA5422B7-13F5-4B0F-B721-07991DCDB844}"/>
    <cellStyle name="Comma 4 3 2 3 6" xfId="2401" xr:uid="{00000000-0005-0000-0000-000054090000}"/>
    <cellStyle name="Comma 4 3 2 3 6 2" xfId="6685" xr:uid="{00000000-0005-0000-0000-000055090000}"/>
    <cellStyle name="Comma 4 3 2 3 6 2 2" xfId="23583" xr:uid="{759B2E48-C493-4C68-BE26-1F3029ACD0DD}"/>
    <cellStyle name="Comma 4 3 2 3 6 2 3" xfId="15135" xr:uid="{801ADFA9-E656-4A39-9EEE-62CFA0B647D8}"/>
    <cellStyle name="Comma 4 3 2 3 6 3" xfId="19365" xr:uid="{BC7F2237-FC9A-4B6F-86CC-5616D47475E2}"/>
    <cellStyle name="Comma 4 3 2 3 6 4" xfId="10917" xr:uid="{6FD40EB1-6C5D-430D-B900-9016A88EB7F9}"/>
    <cellStyle name="Comma 4 3 2 3 7" xfId="2362" xr:uid="{00000000-0005-0000-0000-000056090000}"/>
    <cellStyle name="Comma 4 3 2 3 8" xfId="2779" xr:uid="{00000000-0005-0000-0000-000057090000}"/>
    <cellStyle name="Comma 4 3 2 3 8 2" xfId="7002" xr:uid="{00000000-0005-0000-0000-000058090000}"/>
    <cellStyle name="Comma 4 3 2 3 8 2 2" xfId="23900" xr:uid="{08DE5EB3-7CD4-400A-9FF8-29A2DDB854E8}"/>
    <cellStyle name="Comma 4 3 2 3 8 2 3" xfId="15452" xr:uid="{0B2B13C2-EA9D-4889-8C30-46012498C4A9}"/>
    <cellStyle name="Comma 4 3 2 3 8 3" xfId="19682" xr:uid="{3CE46965-4E3C-400A-BE04-C98A84749DF8}"/>
    <cellStyle name="Comma 4 3 2 3 8 4" xfId="11234" xr:uid="{26DFF767-CCA2-477B-8DC3-4369D50F3C2B}"/>
    <cellStyle name="Comma 4 3 2 3 9" xfId="4619" xr:uid="{00000000-0005-0000-0000-000059090000}"/>
    <cellStyle name="Comma 4 3 2 3 9 2" xfId="21517" xr:uid="{EB8E5AF8-EA7B-40CE-A55E-29D3CEBE8118}"/>
    <cellStyle name="Comma 4 3 2 3 9 3" xfId="13069" xr:uid="{666493BC-6D12-46F7-BE8B-38B91D2B1A11}"/>
    <cellStyle name="Comma 4 3 2 4" xfId="682" xr:uid="{00000000-0005-0000-0000-00005A090000}"/>
    <cellStyle name="Comma 4 3 2 4 2" xfId="2953" xr:uid="{00000000-0005-0000-0000-00005B090000}"/>
    <cellStyle name="Comma 4 3 2 4 2 2" xfId="7175" xr:uid="{00000000-0005-0000-0000-00005C090000}"/>
    <cellStyle name="Comma 4 3 2 4 2 2 2" xfId="24073" xr:uid="{4702DF65-C596-46CC-9B39-56D24F579995}"/>
    <cellStyle name="Comma 4 3 2 4 2 2 3" xfId="15625" xr:uid="{CDED833B-70F6-4015-BDD4-DB1619D8CA8E}"/>
    <cellStyle name="Comma 4 3 2 4 2 3" xfId="19855" xr:uid="{82C92B16-8ADE-441E-8B70-1B80C5F8D761}"/>
    <cellStyle name="Comma 4 3 2 4 2 4" xfId="11407" xr:uid="{D54D0EB6-3708-448C-9996-570CB6D60773}"/>
    <cellStyle name="Comma 4 3 2 4 3" xfId="5030" xr:uid="{00000000-0005-0000-0000-00005D090000}"/>
    <cellStyle name="Comma 4 3 2 4 3 2" xfId="21928" xr:uid="{EC195802-77B7-4F1E-84B3-C38ADA6DB0A9}"/>
    <cellStyle name="Comma 4 3 2 4 3 3" xfId="13480" xr:uid="{295BA6AD-B8DF-41AE-8BE7-41C6DF8327E4}"/>
    <cellStyle name="Comma 4 3 2 4 4" xfId="17710" xr:uid="{F64C530C-E6EE-403B-B01E-7B945852B9C0}"/>
    <cellStyle name="Comma 4 3 2 4 5" xfId="9262" xr:uid="{DE88D396-149A-4FAA-A470-0BE98AA35125}"/>
    <cellStyle name="Comma 4 3 2 5" xfId="1135" xr:uid="{00000000-0005-0000-0000-00005E090000}"/>
    <cellStyle name="Comma 4 3 2 5 2" xfId="3366" xr:uid="{00000000-0005-0000-0000-00005F090000}"/>
    <cellStyle name="Comma 4 3 2 5 2 2" xfId="7588" xr:uid="{00000000-0005-0000-0000-000060090000}"/>
    <cellStyle name="Comma 4 3 2 5 2 2 2" xfId="24486" xr:uid="{8E16F591-A937-46B2-A709-7EB997908E7F}"/>
    <cellStyle name="Comma 4 3 2 5 2 2 3" xfId="16038" xr:uid="{B3B6104C-7A3A-4D7B-9FEE-0C581B3CC69A}"/>
    <cellStyle name="Comma 4 3 2 5 2 3" xfId="20268" xr:uid="{30E029E9-E760-4ECA-8381-094FFEB15D94}"/>
    <cellStyle name="Comma 4 3 2 5 2 4" xfId="11820" xr:uid="{29C9FD83-FEDA-4434-ABAC-E415F411A099}"/>
    <cellStyle name="Comma 4 3 2 5 3" xfId="5443" xr:uid="{00000000-0005-0000-0000-000061090000}"/>
    <cellStyle name="Comma 4 3 2 5 3 2" xfId="22341" xr:uid="{A7FF5AE9-F07B-456D-915E-1BC11B0069EB}"/>
    <cellStyle name="Comma 4 3 2 5 3 3" xfId="13893" xr:uid="{7B73113E-1899-4853-8920-5ED79E324536}"/>
    <cellStyle name="Comma 4 3 2 5 4" xfId="18123" xr:uid="{5A209BEA-CE4B-4E08-90AC-7666F86364C2}"/>
    <cellStyle name="Comma 4 3 2 5 5" xfId="9675" xr:uid="{A6B07082-693A-41D8-8785-9E64C175B6F7}"/>
    <cellStyle name="Comma 4 3 2 6" xfId="1549" xr:uid="{00000000-0005-0000-0000-000062090000}"/>
    <cellStyle name="Comma 4 3 2 6 2" xfId="3779" xr:uid="{00000000-0005-0000-0000-000063090000}"/>
    <cellStyle name="Comma 4 3 2 6 2 2" xfId="8001" xr:uid="{00000000-0005-0000-0000-000064090000}"/>
    <cellStyle name="Comma 4 3 2 6 2 2 2" xfId="24899" xr:uid="{63DC2E24-2A57-495D-A8A5-0CFCD77C67BB}"/>
    <cellStyle name="Comma 4 3 2 6 2 2 3" xfId="16451" xr:uid="{61AA73DA-05B8-449B-B8E0-DF74CB97009B}"/>
    <cellStyle name="Comma 4 3 2 6 2 3" xfId="20681" xr:uid="{44AFE8A8-918F-491E-8BDB-68E455C3504B}"/>
    <cellStyle name="Comma 4 3 2 6 2 4" xfId="12233" xr:uid="{5E2BFCA5-6CF9-42F9-8731-7F7662384BA8}"/>
    <cellStyle name="Comma 4 3 2 6 3" xfId="5856" xr:uid="{00000000-0005-0000-0000-000065090000}"/>
    <cellStyle name="Comma 4 3 2 6 3 2" xfId="22754" xr:uid="{1EB8CC0F-EFB5-4851-973C-59BA5AFAFAC6}"/>
    <cellStyle name="Comma 4 3 2 6 3 3" xfId="14306" xr:uid="{247B7257-26B3-42AA-8DF8-83ECBCEC0C5B}"/>
    <cellStyle name="Comma 4 3 2 6 4" xfId="18536" xr:uid="{B7B606B4-DCD5-45F1-A2DC-B80F7E983D61}"/>
    <cellStyle name="Comma 4 3 2 6 5" xfId="10088" xr:uid="{4B589DEA-789A-42D4-A670-C2F86EBFE9DA}"/>
    <cellStyle name="Comma 4 3 2 7" xfId="1963" xr:uid="{00000000-0005-0000-0000-000066090000}"/>
    <cellStyle name="Comma 4 3 2 7 2" xfId="4192" xr:uid="{00000000-0005-0000-0000-000067090000}"/>
    <cellStyle name="Comma 4 3 2 7 2 2" xfId="8414" xr:uid="{00000000-0005-0000-0000-000068090000}"/>
    <cellStyle name="Comma 4 3 2 7 2 2 2" xfId="25312" xr:uid="{23CF315B-E302-47B4-8D50-DC772F0CC38F}"/>
    <cellStyle name="Comma 4 3 2 7 2 2 3" xfId="16864" xr:uid="{2946D859-D523-43AC-AE80-559C2EE71AFD}"/>
    <cellStyle name="Comma 4 3 2 7 2 3" xfId="21094" xr:uid="{09B53960-2087-48EC-B92E-F9DAC13FEF3D}"/>
    <cellStyle name="Comma 4 3 2 7 2 4" xfId="12646" xr:uid="{5261FE05-2C7C-4EE0-8618-736D682175D3}"/>
    <cellStyle name="Comma 4 3 2 7 3" xfId="6269" xr:uid="{00000000-0005-0000-0000-000069090000}"/>
    <cellStyle name="Comma 4 3 2 7 3 2" xfId="23167" xr:uid="{19BD8FCA-98D1-4361-B1D8-060A3F89DDDB}"/>
    <cellStyle name="Comma 4 3 2 7 3 3" xfId="14719" xr:uid="{2C1AC33F-D870-4BB7-AF86-53FB2F18664C}"/>
    <cellStyle name="Comma 4 3 2 7 4" xfId="18949" xr:uid="{06D4DFC0-016A-4E88-B639-22EEEB2F5AA7}"/>
    <cellStyle name="Comma 4 3 2 7 5" xfId="10501" xr:uid="{479280DF-7BCA-4745-A45F-B6F17F353D0F}"/>
    <cellStyle name="Comma 4 3 2 8" xfId="2398" xr:uid="{00000000-0005-0000-0000-00006A090000}"/>
    <cellStyle name="Comma 4 3 2 8 2" xfId="6682" xr:uid="{00000000-0005-0000-0000-00006B090000}"/>
    <cellStyle name="Comma 4 3 2 8 2 2" xfId="23580" xr:uid="{224FF75E-95BD-4583-BD34-84F1CBA1D8BF}"/>
    <cellStyle name="Comma 4 3 2 8 2 3" xfId="15132" xr:uid="{307F2A7C-C2C6-4838-B93A-34FA02901808}"/>
    <cellStyle name="Comma 4 3 2 8 3" xfId="19362" xr:uid="{AC067F0B-00AF-4E41-A2C7-6AD62FB8F888}"/>
    <cellStyle name="Comma 4 3 2 8 4" xfId="10914" xr:uid="{59DBA2EA-F9CA-413D-9900-5716FD8EA670}"/>
    <cellStyle name="Comma 4 3 2 9" xfId="2365" xr:uid="{00000000-0005-0000-0000-00006C090000}"/>
    <cellStyle name="Comma 4 3 3" xfId="149" xr:uid="{00000000-0005-0000-0000-00006D090000}"/>
    <cellStyle name="Comma 4 3 3 10" xfId="4620" xr:uid="{00000000-0005-0000-0000-00006E090000}"/>
    <cellStyle name="Comma 4 3 3 10 2" xfId="21518" xr:uid="{EC26EAA2-1D76-4F49-8EA9-B42414484DE8}"/>
    <cellStyle name="Comma 4 3 3 10 3" xfId="13070" xr:uid="{59358B62-D3C4-4529-90A8-1A34CDA52035}"/>
    <cellStyle name="Comma 4 3 3 11" xfId="17300" xr:uid="{FCF44B4C-F682-4EEB-A7DA-343F46304178}"/>
    <cellStyle name="Comma 4 3 3 12" xfId="8852" xr:uid="{4E55DBFA-FB15-4F26-9272-2640CF199722}"/>
    <cellStyle name="Comma 4 3 3 2" xfId="150" xr:uid="{00000000-0005-0000-0000-00006F090000}"/>
    <cellStyle name="Comma 4 3 3 2 10" xfId="17301" xr:uid="{B1F727B6-96A4-49BB-A07F-B18E7D49B8DD}"/>
    <cellStyle name="Comma 4 3 3 2 11" xfId="8853" xr:uid="{EFCDC97D-3996-4BED-A7F8-B47170C7C7EB}"/>
    <cellStyle name="Comma 4 3 3 2 2" xfId="687" xr:uid="{00000000-0005-0000-0000-000070090000}"/>
    <cellStyle name="Comma 4 3 3 2 2 2" xfId="2958" xr:uid="{00000000-0005-0000-0000-000071090000}"/>
    <cellStyle name="Comma 4 3 3 2 2 2 2" xfId="7180" xr:uid="{00000000-0005-0000-0000-000072090000}"/>
    <cellStyle name="Comma 4 3 3 2 2 2 2 2" xfId="24078" xr:uid="{8398B890-DD4D-4D16-BFA0-21830A0FC969}"/>
    <cellStyle name="Comma 4 3 3 2 2 2 2 3" xfId="15630" xr:uid="{3271D8F4-DC5D-450D-806F-72F0F1C32304}"/>
    <cellStyle name="Comma 4 3 3 2 2 2 3" xfId="19860" xr:uid="{AF3DEEBD-1619-435C-A48D-509BF9520370}"/>
    <cellStyle name="Comma 4 3 3 2 2 2 4" xfId="11412" xr:uid="{B2185185-6E30-4ACA-984E-4125CFEEC576}"/>
    <cellStyle name="Comma 4 3 3 2 2 3" xfId="5035" xr:uid="{00000000-0005-0000-0000-000073090000}"/>
    <cellStyle name="Comma 4 3 3 2 2 3 2" xfId="21933" xr:uid="{03F67275-F6B3-48D9-9E63-F854F9CBD87E}"/>
    <cellStyle name="Comma 4 3 3 2 2 3 3" xfId="13485" xr:uid="{42691854-7A21-4648-9C1A-E339A43556E5}"/>
    <cellStyle name="Comma 4 3 3 2 2 4" xfId="17715" xr:uid="{D08000B1-EDFB-40A9-B4C3-AA3F838B3416}"/>
    <cellStyle name="Comma 4 3 3 2 2 5" xfId="9267" xr:uid="{C6B4218B-8898-4F9E-8E28-5E5680556FDF}"/>
    <cellStyle name="Comma 4 3 3 2 3" xfId="1140" xr:uid="{00000000-0005-0000-0000-000074090000}"/>
    <cellStyle name="Comma 4 3 3 2 3 2" xfId="3371" xr:uid="{00000000-0005-0000-0000-000075090000}"/>
    <cellStyle name="Comma 4 3 3 2 3 2 2" xfId="7593" xr:uid="{00000000-0005-0000-0000-000076090000}"/>
    <cellStyle name="Comma 4 3 3 2 3 2 2 2" xfId="24491" xr:uid="{EF7CAE39-B7C9-4DD8-B7CC-CDC272539502}"/>
    <cellStyle name="Comma 4 3 3 2 3 2 2 3" xfId="16043" xr:uid="{7D7B93F7-D03C-4D03-BD87-12802AED253B}"/>
    <cellStyle name="Comma 4 3 3 2 3 2 3" xfId="20273" xr:uid="{5959D339-E04A-4A0C-9A97-539CB300E455}"/>
    <cellStyle name="Comma 4 3 3 2 3 2 4" xfId="11825" xr:uid="{00F37F9E-2532-4134-9B96-3F5ADCE93762}"/>
    <cellStyle name="Comma 4 3 3 2 3 3" xfId="5448" xr:uid="{00000000-0005-0000-0000-000077090000}"/>
    <cellStyle name="Comma 4 3 3 2 3 3 2" xfId="22346" xr:uid="{213440A5-9536-46D8-838D-B4C036EA71A1}"/>
    <cellStyle name="Comma 4 3 3 2 3 3 3" xfId="13898" xr:uid="{25D7C488-7ABF-4477-BBDA-A92CE9EF5057}"/>
    <cellStyle name="Comma 4 3 3 2 3 4" xfId="18128" xr:uid="{874D1A05-E2A3-4283-8D15-FFCBF324D22D}"/>
    <cellStyle name="Comma 4 3 3 2 3 5" xfId="9680" xr:uid="{62DFC9B4-D443-4687-9997-BC48AFDCE5B2}"/>
    <cellStyle name="Comma 4 3 3 2 4" xfId="1554" xr:uid="{00000000-0005-0000-0000-000078090000}"/>
    <cellStyle name="Comma 4 3 3 2 4 2" xfId="3784" xr:uid="{00000000-0005-0000-0000-000079090000}"/>
    <cellStyle name="Comma 4 3 3 2 4 2 2" xfId="8006" xr:uid="{00000000-0005-0000-0000-00007A090000}"/>
    <cellStyle name="Comma 4 3 3 2 4 2 2 2" xfId="24904" xr:uid="{9FEB14FC-D994-4206-A353-4F47CC30AE3C}"/>
    <cellStyle name="Comma 4 3 3 2 4 2 2 3" xfId="16456" xr:uid="{BFAF47E3-220E-4D52-B608-7A4B864B5526}"/>
    <cellStyle name="Comma 4 3 3 2 4 2 3" xfId="20686" xr:uid="{492348D6-7899-428D-9947-E6F652EA1222}"/>
    <cellStyle name="Comma 4 3 3 2 4 2 4" xfId="12238" xr:uid="{617D7A65-ACE5-41DA-AD71-665BCC24795F}"/>
    <cellStyle name="Comma 4 3 3 2 4 3" xfId="5861" xr:uid="{00000000-0005-0000-0000-00007B090000}"/>
    <cellStyle name="Comma 4 3 3 2 4 3 2" xfId="22759" xr:uid="{A857971A-66C2-4629-97F2-5BFD438D3357}"/>
    <cellStyle name="Comma 4 3 3 2 4 3 3" xfId="14311" xr:uid="{F257BA90-47AC-44F4-A4C9-7070A050E7AF}"/>
    <cellStyle name="Comma 4 3 3 2 4 4" xfId="18541" xr:uid="{D4DCCCFD-93AA-4C53-916F-3CFAAA594BCB}"/>
    <cellStyle name="Comma 4 3 3 2 4 5" xfId="10093" xr:uid="{E0069BED-9198-4F0B-8B6F-C888C6E54A6C}"/>
    <cellStyle name="Comma 4 3 3 2 5" xfId="1968" xr:uid="{00000000-0005-0000-0000-00007C090000}"/>
    <cellStyle name="Comma 4 3 3 2 5 2" xfId="4197" xr:uid="{00000000-0005-0000-0000-00007D090000}"/>
    <cellStyle name="Comma 4 3 3 2 5 2 2" xfId="8419" xr:uid="{00000000-0005-0000-0000-00007E090000}"/>
    <cellStyle name="Comma 4 3 3 2 5 2 2 2" xfId="25317" xr:uid="{688AB58F-E8C0-4F00-9DF9-9B6F68139E46}"/>
    <cellStyle name="Comma 4 3 3 2 5 2 2 3" xfId="16869" xr:uid="{021D69DF-D597-43D5-BD82-9B803F5D7600}"/>
    <cellStyle name="Comma 4 3 3 2 5 2 3" xfId="21099" xr:uid="{D2FB486D-8AF0-4F1D-815B-EEDF1A5B0ACE}"/>
    <cellStyle name="Comma 4 3 3 2 5 2 4" xfId="12651" xr:uid="{CA589484-E887-4707-BD32-933004DDCA8F}"/>
    <cellStyle name="Comma 4 3 3 2 5 3" xfId="6274" xr:uid="{00000000-0005-0000-0000-00007F090000}"/>
    <cellStyle name="Comma 4 3 3 2 5 3 2" xfId="23172" xr:uid="{2D243B0E-BD46-49D6-B3B7-2FF58B10E3EB}"/>
    <cellStyle name="Comma 4 3 3 2 5 3 3" xfId="14724" xr:uid="{53FFE067-1690-44E7-BFF6-BB91DE486469}"/>
    <cellStyle name="Comma 4 3 3 2 5 4" xfId="18954" xr:uid="{28EF6B76-3BE4-4549-A210-239AD6C640AC}"/>
    <cellStyle name="Comma 4 3 3 2 5 5" xfId="10506" xr:uid="{11B91569-150F-4EEE-B0DE-D0BC05448782}"/>
    <cellStyle name="Comma 4 3 3 2 6" xfId="2403" xr:uid="{00000000-0005-0000-0000-000080090000}"/>
    <cellStyle name="Comma 4 3 3 2 6 2" xfId="6687" xr:uid="{00000000-0005-0000-0000-000081090000}"/>
    <cellStyle name="Comma 4 3 3 2 6 2 2" xfId="23585" xr:uid="{4C00DD5F-4057-48FC-9FDA-4E8306AC6EEF}"/>
    <cellStyle name="Comma 4 3 3 2 6 2 3" xfId="15137" xr:uid="{EB4934A8-646F-4AAA-AFE3-5771ACD64F31}"/>
    <cellStyle name="Comma 4 3 3 2 6 3" xfId="19367" xr:uid="{1E7ED50A-5A69-4938-8439-F62D397DAEF1}"/>
    <cellStyle name="Comma 4 3 3 2 6 4" xfId="10919" xr:uid="{230ECECB-E27F-4C53-91BD-DB477399F732}"/>
    <cellStyle name="Comma 4 3 3 2 7" xfId="2360" xr:uid="{00000000-0005-0000-0000-000082090000}"/>
    <cellStyle name="Comma 4 3 3 2 8" xfId="2781" xr:uid="{00000000-0005-0000-0000-000083090000}"/>
    <cellStyle name="Comma 4 3 3 2 8 2" xfId="7004" xr:uid="{00000000-0005-0000-0000-000084090000}"/>
    <cellStyle name="Comma 4 3 3 2 8 2 2" xfId="23902" xr:uid="{2CFC8E7C-30FE-4684-8EF4-159CC31B42E3}"/>
    <cellStyle name="Comma 4 3 3 2 8 2 3" xfId="15454" xr:uid="{ED520E40-5310-4ABD-A042-28ACCB0010F0}"/>
    <cellStyle name="Comma 4 3 3 2 8 3" xfId="19684" xr:uid="{5A5E4A74-04A1-425B-B410-E6E041B276E2}"/>
    <cellStyle name="Comma 4 3 3 2 8 4" xfId="11236" xr:uid="{BE0163E3-BFC8-4CA6-81B5-135735EA267C}"/>
    <cellStyle name="Comma 4 3 3 2 9" xfId="4621" xr:uid="{00000000-0005-0000-0000-000085090000}"/>
    <cellStyle name="Comma 4 3 3 2 9 2" xfId="21519" xr:uid="{98D3A876-C9F3-4171-ABCC-B896117D8F88}"/>
    <cellStyle name="Comma 4 3 3 2 9 3" xfId="13071" xr:uid="{2DC4BEB3-134E-463E-B40E-91987390E1B6}"/>
    <cellStyle name="Comma 4 3 3 3" xfId="686" xr:uid="{00000000-0005-0000-0000-000086090000}"/>
    <cellStyle name="Comma 4 3 3 3 2" xfId="2957" xr:uid="{00000000-0005-0000-0000-000087090000}"/>
    <cellStyle name="Comma 4 3 3 3 2 2" xfId="7179" xr:uid="{00000000-0005-0000-0000-000088090000}"/>
    <cellStyle name="Comma 4 3 3 3 2 2 2" xfId="24077" xr:uid="{FF0FA64D-C5B3-4522-B056-225C6ED80C54}"/>
    <cellStyle name="Comma 4 3 3 3 2 2 3" xfId="15629" xr:uid="{1F465C2C-A1FB-4B66-8BF6-3CCEFDE2623F}"/>
    <cellStyle name="Comma 4 3 3 3 2 3" xfId="19859" xr:uid="{ECFE0B58-B05D-4E5E-BAC1-4352FCFAE911}"/>
    <cellStyle name="Comma 4 3 3 3 2 4" xfId="11411" xr:uid="{9E9D3D4E-B671-41EB-B270-C9976177C9BD}"/>
    <cellStyle name="Comma 4 3 3 3 3" xfId="5034" xr:uid="{00000000-0005-0000-0000-000089090000}"/>
    <cellStyle name="Comma 4 3 3 3 3 2" xfId="21932" xr:uid="{27727779-F6FC-4D9A-BC28-08D42C3125D3}"/>
    <cellStyle name="Comma 4 3 3 3 3 3" xfId="13484" xr:uid="{4426EBBA-474C-495D-BB76-F04D2FE9CC86}"/>
    <cellStyle name="Comma 4 3 3 3 4" xfId="17714" xr:uid="{DAC562C8-8AEF-4927-B336-C5F3D9296D38}"/>
    <cellStyle name="Comma 4 3 3 3 5" xfId="9266" xr:uid="{15215A85-9BB9-4CC3-A66E-A46855EAB821}"/>
    <cellStyle name="Comma 4 3 3 4" xfId="1139" xr:uid="{00000000-0005-0000-0000-00008A090000}"/>
    <cellStyle name="Comma 4 3 3 4 2" xfId="3370" xr:uid="{00000000-0005-0000-0000-00008B090000}"/>
    <cellStyle name="Comma 4 3 3 4 2 2" xfId="7592" xr:uid="{00000000-0005-0000-0000-00008C090000}"/>
    <cellStyle name="Comma 4 3 3 4 2 2 2" xfId="24490" xr:uid="{C66C6AD1-7B94-46C9-8816-66FBD342BFED}"/>
    <cellStyle name="Comma 4 3 3 4 2 2 3" xfId="16042" xr:uid="{5DE0B072-0086-4986-88E0-7ACAA1422130}"/>
    <cellStyle name="Comma 4 3 3 4 2 3" xfId="20272" xr:uid="{3EB57DBE-84F5-40E4-AB75-889EDC05803A}"/>
    <cellStyle name="Comma 4 3 3 4 2 4" xfId="11824" xr:uid="{CB6670E4-C4C2-41CA-8FB7-D9B12799525F}"/>
    <cellStyle name="Comma 4 3 3 4 3" xfId="5447" xr:uid="{00000000-0005-0000-0000-00008D090000}"/>
    <cellStyle name="Comma 4 3 3 4 3 2" xfId="22345" xr:uid="{6B3EF9FA-A739-45CD-A289-EB7C6C9B6CFD}"/>
    <cellStyle name="Comma 4 3 3 4 3 3" xfId="13897" xr:uid="{B0548E35-7695-43A2-8F7A-727182B2777E}"/>
    <cellStyle name="Comma 4 3 3 4 4" xfId="18127" xr:uid="{A85A618F-74D4-41ED-876F-63FE76E79F83}"/>
    <cellStyle name="Comma 4 3 3 4 5" xfId="9679" xr:uid="{17B7B44D-275B-4B37-8417-52C7E8244655}"/>
    <cellStyle name="Comma 4 3 3 5" xfId="1553" xr:uid="{00000000-0005-0000-0000-00008E090000}"/>
    <cellStyle name="Comma 4 3 3 5 2" xfId="3783" xr:uid="{00000000-0005-0000-0000-00008F090000}"/>
    <cellStyle name="Comma 4 3 3 5 2 2" xfId="8005" xr:uid="{00000000-0005-0000-0000-000090090000}"/>
    <cellStyle name="Comma 4 3 3 5 2 2 2" xfId="24903" xr:uid="{2AF6A5E6-C793-4873-9C10-E612333C9C00}"/>
    <cellStyle name="Comma 4 3 3 5 2 2 3" xfId="16455" xr:uid="{C1797C0E-833C-4DC2-BD03-0602DAA60061}"/>
    <cellStyle name="Comma 4 3 3 5 2 3" xfId="20685" xr:uid="{F14E3D9E-9EC2-45BE-A36D-95D8F05CE93F}"/>
    <cellStyle name="Comma 4 3 3 5 2 4" xfId="12237" xr:uid="{EED2FDCB-25D9-43A0-9635-830B43302380}"/>
    <cellStyle name="Comma 4 3 3 5 3" xfId="5860" xr:uid="{00000000-0005-0000-0000-000091090000}"/>
    <cellStyle name="Comma 4 3 3 5 3 2" xfId="22758" xr:uid="{32BFA77A-F9FB-484B-9529-535C76E34554}"/>
    <cellStyle name="Comma 4 3 3 5 3 3" xfId="14310" xr:uid="{8CE1A2F3-C442-4D05-B603-4B1DF0773551}"/>
    <cellStyle name="Comma 4 3 3 5 4" xfId="18540" xr:uid="{3F968BE7-F722-4066-9A38-41AFBAAC155A}"/>
    <cellStyle name="Comma 4 3 3 5 5" xfId="10092" xr:uid="{D976AA0F-ACAD-4FB1-9F4D-27797E9D918D}"/>
    <cellStyle name="Comma 4 3 3 6" xfId="1967" xr:uid="{00000000-0005-0000-0000-000092090000}"/>
    <cellStyle name="Comma 4 3 3 6 2" xfId="4196" xr:uid="{00000000-0005-0000-0000-000093090000}"/>
    <cellStyle name="Comma 4 3 3 6 2 2" xfId="8418" xr:uid="{00000000-0005-0000-0000-000094090000}"/>
    <cellStyle name="Comma 4 3 3 6 2 2 2" xfId="25316" xr:uid="{EB4E2825-E173-481F-B2AE-9040380AA285}"/>
    <cellStyle name="Comma 4 3 3 6 2 2 3" xfId="16868" xr:uid="{C20C7FA5-7D98-46E0-BE8D-073BAF102790}"/>
    <cellStyle name="Comma 4 3 3 6 2 3" xfId="21098" xr:uid="{84FCF8E4-5927-40B7-B85F-EA5C34012F64}"/>
    <cellStyle name="Comma 4 3 3 6 2 4" xfId="12650" xr:uid="{46891177-1D67-48BA-A5FC-0524FF8DB284}"/>
    <cellStyle name="Comma 4 3 3 6 3" xfId="6273" xr:uid="{00000000-0005-0000-0000-000095090000}"/>
    <cellStyle name="Comma 4 3 3 6 3 2" xfId="23171" xr:uid="{BE16A631-60BF-4374-B6EC-4C6E3D510EE0}"/>
    <cellStyle name="Comma 4 3 3 6 3 3" xfId="14723" xr:uid="{38924023-C15E-45C0-8EB2-A5B6E64943DA}"/>
    <cellStyle name="Comma 4 3 3 6 4" xfId="18953" xr:uid="{59B1224A-95D9-4359-A092-170C1EFAA484}"/>
    <cellStyle name="Comma 4 3 3 6 5" xfId="10505" xr:uid="{4312E879-DDB0-466F-8753-80A4C9D24764}"/>
    <cellStyle name="Comma 4 3 3 7" xfId="2402" xr:uid="{00000000-0005-0000-0000-000096090000}"/>
    <cellStyle name="Comma 4 3 3 7 2" xfId="6686" xr:uid="{00000000-0005-0000-0000-000097090000}"/>
    <cellStyle name="Comma 4 3 3 7 2 2" xfId="23584" xr:uid="{44C5FBF3-35A1-41F5-8D59-34F07845D217}"/>
    <cellStyle name="Comma 4 3 3 7 2 3" xfId="15136" xr:uid="{4798877B-CDFF-4B6F-A8C2-22A0B53920F4}"/>
    <cellStyle name="Comma 4 3 3 7 3" xfId="19366" xr:uid="{084638F1-183B-4E45-988C-18B474F3F21D}"/>
    <cellStyle name="Comma 4 3 3 7 4" xfId="10918" xr:uid="{F2305EDA-09B4-4575-84BB-7B955F392AFE}"/>
    <cellStyle name="Comma 4 3 3 8" xfId="2361" xr:uid="{00000000-0005-0000-0000-000098090000}"/>
    <cellStyle name="Comma 4 3 3 9" xfId="2780" xr:uid="{00000000-0005-0000-0000-000099090000}"/>
    <cellStyle name="Comma 4 3 3 9 2" xfId="7003" xr:uid="{00000000-0005-0000-0000-00009A090000}"/>
    <cellStyle name="Comma 4 3 3 9 2 2" xfId="23901" xr:uid="{86D15367-C6D5-4AEA-B945-639B327DC322}"/>
    <cellStyle name="Comma 4 3 3 9 2 3" xfId="15453" xr:uid="{C2A46C4E-9D54-44D8-B458-4ECB94E22C28}"/>
    <cellStyle name="Comma 4 3 3 9 3" xfId="19683" xr:uid="{FCAC3414-6855-45CE-B4B6-20DC623EF076}"/>
    <cellStyle name="Comma 4 3 3 9 4" xfId="11235" xr:uid="{E07F9F2B-C086-4931-87D7-B210893CD6EF}"/>
    <cellStyle name="Comma 4 3 4" xfId="151" xr:uid="{00000000-0005-0000-0000-00009B090000}"/>
    <cellStyle name="Comma 4 3 4 10" xfId="17302" xr:uid="{1B5C0F5C-F5F3-4A3C-A63D-6DE38196A759}"/>
    <cellStyle name="Comma 4 3 4 11" xfId="8854" xr:uid="{F4B2570F-83E1-4B63-BE23-A1B8324AAFF0}"/>
    <cellStyle name="Comma 4 3 4 2" xfId="688" xr:uid="{00000000-0005-0000-0000-00009C090000}"/>
    <cellStyle name="Comma 4 3 4 2 2" xfId="2959" xr:uid="{00000000-0005-0000-0000-00009D090000}"/>
    <cellStyle name="Comma 4 3 4 2 2 2" xfId="7181" xr:uid="{00000000-0005-0000-0000-00009E090000}"/>
    <cellStyle name="Comma 4 3 4 2 2 2 2" xfId="24079" xr:uid="{C956DC4D-7BAC-4075-B438-75134DDE3FD6}"/>
    <cellStyle name="Comma 4 3 4 2 2 2 3" xfId="15631" xr:uid="{5AFE08A6-C012-4D29-BE8D-12DB3D94D9E5}"/>
    <cellStyle name="Comma 4 3 4 2 2 3" xfId="19861" xr:uid="{4D90C6D3-79F6-449D-8C1C-5186732BBAA5}"/>
    <cellStyle name="Comma 4 3 4 2 2 4" xfId="11413" xr:uid="{0E3DBCC1-2CFD-4186-8834-33E6F4892AAF}"/>
    <cellStyle name="Comma 4 3 4 2 3" xfId="5036" xr:uid="{00000000-0005-0000-0000-00009F090000}"/>
    <cellStyle name="Comma 4 3 4 2 3 2" xfId="21934" xr:uid="{39C609F8-BAA6-444D-89A9-379A2F025564}"/>
    <cellStyle name="Comma 4 3 4 2 3 3" xfId="13486" xr:uid="{906D5122-113F-4572-8014-56535E963BA5}"/>
    <cellStyle name="Comma 4 3 4 2 4" xfId="17716" xr:uid="{A6FCC7B2-623A-4220-A26B-3E740F37993F}"/>
    <cellStyle name="Comma 4 3 4 2 5" xfId="9268" xr:uid="{B3941A4F-B6B8-4D13-92B4-45E71F6DE6D8}"/>
    <cellStyle name="Comma 4 3 4 3" xfId="1141" xr:uid="{00000000-0005-0000-0000-0000A0090000}"/>
    <cellStyle name="Comma 4 3 4 3 2" xfId="3372" xr:uid="{00000000-0005-0000-0000-0000A1090000}"/>
    <cellStyle name="Comma 4 3 4 3 2 2" xfId="7594" xr:uid="{00000000-0005-0000-0000-0000A2090000}"/>
    <cellStyle name="Comma 4 3 4 3 2 2 2" xfId="24492" xr:uid="{025ED517-C60C-4B78-8DEF-8688D31CEB1C}"/>
    <cellStyle name="Comma 4 3 4 3 2 2 3" xfId="16044" xr:uid="{88097F7B-6E15-4ACB-B235-BEC54452E44A}"/>
    <cellStyle name="Comma 4 3 4 3 2 3" xfId="20274" xr:uid="{423D3569-302F-47B1-A489-8FECEEA02637}"/>
    <cellStyle name="Comma 4 3 4 3 2 4" xfId="11826" xr:uid="{AD0CA0B2-4F58-4C82-921F-6F5B19617050}"/>
    <cellStyle name="Comma 4 3 4 3 3" xfId="5449" xr:uid="{00000000-0005-0000-0000-0000A3090000}"/>
    <cellStyle name="Comma 4 3 4 3 3 2" xfId="22347" xr:uid="{1037E761-8B63-4FAA-9027-8452F4283245}"/>
    <cellStyle name="Comma 4 3 4 3 3 3" xfId="13899" xr:uid="{078959D9-2C71-44BC-B508-10E4BB70DABF}"/>
    <cellStyle name="Comma 4 3 4 3 4" xfId="18129" xr:uid="{795A6E69-0146-445D-AB0C-EE28D41F2C4D}"/>
    <cellStyle name="Comma 4 3 4 3 5" xfId="9681" xr:uid="{73046CED-B982-4B7C-BDCD-7877FF66FDD6}"/>
    <cellStyle name="Comma 4 3 4 4" xfId="1555" xr:uid="{00000000-0005-0000-0000-0000A4090000}"/>
    <cellStyle name="Comma 4 3 4 4 2" xfId="3785" xr:uid="{00000000-0005-0000-0000-0000A5090000}"/>
    <cellStyle name="Comma 4 3 4 4 2 2" xfId="8007" xr:uid="{00000000-0005-0000-0000-0000A6090000}"/>
    <cellStyle name="Comma 4 3 4 4 2 2 2" xfId="24905" xr:uid="{89FE1CD7-66D2-4F27-8596-A4D898CA6B1D}"/>
    <cellStyle name="Comma 4 3 4 4 2 2 3" xfId="16457" xr:uid="{FE23C0C1-21C2-47EE-8427-D436E253AAE3}"/>
    <cellStyle name="Comma 4 3 4 4 2 3" xfId="20687" xr:uid="{23E3B999-60DE-4532-9652-923DE84AAF50}"/>
    <cellStyle name="Comma 4 3 4 4 2 4" xfId="12239" xr:uid="{ADF87251-B7CC-4C93-9089-021230CA106C}"/>
    <cellStyle name="Comma 4 3 4 4 3" xfId="5862" xr:uid="{00000000-0005-0000-0000-0000A7090000}"/>
    <cellStyle name="Comma 4 3 4 4 3 2" xfId="22760" xr:uid="{E245905C-5056-4A02-8714-33D54CE05C6B}"/>
    <cellStyle name="Comma 4 3 4 4 3 3" xfId="14312" xr:uid="{D7CB99A0-A63F-4C79-A8F7-C7EA0AF5FC0C}"/>
    <cellStyle name="Comma 4 3 4 4 4" xfId="18542" xr:uid="{330FB6A9-59B0-41CC-A53A-859C502E29FB}"/>
    <cellStyle name="Comma 4 3 4 4 5" xfId="10094" xr:uid="{B3CA7B44-5109-4969-9085-9B08AEB9D147}"/>
    <cellStyle name="Comma 4 3 4 5" xfId="1969" xr:uid="{00000000-0005-0000-0000-0000A8090000}"/>
    <cellStyle name="Comma 4 3 4 5 2" xfId="4198" xr:uid="{00000000-0005-0000-0000-0000A9090000}"/>
    <cellStyle name="Comma 4 3 4 5 2 2" xfId="8420" xr:uid="{00000000-0005-0000-0000-0000AA090000}"/>
    <cellStyle name="Comma 4 3 4 5 2 2 2" xfId="25318" xr:uid="{5CC5F0CD-2707-4BC3-8770-8918FB99DFFE}"/>
    <cellStyle name="Comma 4 3 4 5 2 2 3" xfId="16870" xr:uid="{4452E9A8-B319-43A4-BA17-BB0A44E2D0C2}"/>
    <cellStyle name="Comma 4 3 4 5 2 3" xfId="21100" xr:uid="{3B08FBED-C21F-402E-8446-A0CAA1033B45}"/>
    <cellStyle name="Comma 4 3 4 5 2 4" xfId="12652" xr:uid="{4AB1A527-BA57-463A-A543-D8018EE657D9}"/>
    <cellStyle name="Comma 4 3 4 5 3" xfId="6275" xr:uid="{00000000-0005-0000-0000-0000AB090000}"/>
    <cellStyle name="Comma 4 3 4 5 3 2" xfId="23173" xr:uid="{DD48C040-ABDE-412A-AB59-B7E42B49B960}"/>
    <cellStyle name="Comma 4 3 4 5 3 3" xfId="14725" xr:uid="{111F630E-3416-4024-BD27-2DB99C427882}"/>
    <cellStyle name="Comma 4 3 4 5 4" xfId="18955" xr:uid="{9E346696-449F-4072-8BE6-78F3A5C447DB}"/>
    <cellStyle name="Comma 4 3 4 5 5" xfId="10507" xr:uid="{9608A013-700D-40A2-B874-5106D97E075D}"/>
    <cellStyle name="Comma 4 3 4 6" xfId="2404" xr:uid="{00000000-0005-0000-0000-0000AC090000}"/>
    <cellStyle name="Comma 4 3 4 6 2" xfId="6688" xr:uid="{00000000-0005-0000-0000-0000AD090000}"/>
    <cellStyle name="Comma 4 3 4 6 2 2" xfId="23586" xr:uid="{2C5D175F-6D66-48F4-B139-0DDE5BD870A2}"/>
    <cellStyle name="Comma 4 3 4 6 2 3" xfId="15138" xr:uid="{C6908A99-AEE1-47A3-9CF9-081CC85FED3C}"/>
    <cellStyle name="Comma 4 3 4 6 3" xfId="19368" xr:uid="{FFD322C6-211B-463F-9D13-CAA36EE7081C}"/>
    <cellStyle name="Comma 4 3 4 6 4" xfId="10920" xr:uid="{70321A3F-09C1-4924-B9A0-D8C6B2D3C708}"/>
    <cellStyle name="Comma 4 3 4 7" xfId="2700" xr:uid="{00000000-0005-0000-0000-0000AE090000}"/>
    <cellStyle name="Comma 4 3 4 8" xfId="2782" xr:uid="{00000000-0005-0000-0000-0000AF090000}"/>
    <cellStyle name="Comma 4 3 4 8 2" xfId="7005" xr:uid="{00000000-0005-0000-0000-0000B0090000}"/>
    <cellStyle name="Comma 4 3 4 8 2 2" xfId="23903" xr:uid="{247C919E-1FCF-45CD-B058-E9FEC2925881}"/>
    <cellStyle name="Comma 4 3 4 8 2 3" xfId="15455" xr:uid="{CD283ABD-385D-4741-A701-37C6786A0855}"/>
    <cellStyle name="Comma 4 3 4 8 3" xfId="19685" xr:uid="{825CE640-F7F6-4CB9-8D41-10BEDFD16519}"/>
    <cellStyle name="Comma 4 3 4 8 4" xfId="11237" xr:uid="{4F7BFE91-77F7-41DD-9BB8-89351AC2DA4C}"/>
    <cellStyle name="Comma 4 3 4 9" xfId="4622" xr:uid="{00000000-0005-0000-0000-0000B1090000}"/>
    <cellStyle name="Comma 4 3 4 9 2" xfId="21520" xr:uid="{848C7B65-AFA6-4969-8496-5D3CF888787A}"/>
    <cellStyle name="Comma 4 3 4 9 3" xfId="13072" xr:uid="{60B1449C-5E11-4EE4-B670-6D9A92BF4FF4}"/>
    <cellStyle name="Comma 4 3 5" xfId="152" xr:uid="{00000000-0005-0000-0000-0000B2090000}"/>
    <cellStyle name="Comma 4 3 5 10" xfId="17303" xr:uid="{12AE51D4-39CF-4BB7-BDA7-8CDE7E7C676C}"/>
    <cellStyle name="Comma 4 3 5 11" xfId="8855" xr:uid="{F1221E16-1344-41B5-85AC-8DFFBB939C45}"/>
    <cellStyle name="Comma 4 3 5 2" xfId="689" xr:uid="{00000000-0005-0000-0000-0000B3090000}"/>
    <cellStyle name="Comma 4 3 5 2 2" xfId="2960" xr:uid="{00000000-0005-0000-0000-0000B4090000}"/>
    <cellStyle name="Comma 4 3 5 2 2 2" xfId="7182" xr:uid="{00000000-0005-0000-0000-0000B5090000}"/>
    <cellStyle name="Comma 4 3 5 2 2 2 2" xfId="24080" xr:uid="{186A8A52-9650-4FCB-9395-9B3F81182B34}"/>
    <cellStyle name="Comma 4 3 5 2 2 2 3" xfId="15632" xr:uid="{D2A4904B-A032-4C9D-80BB-486692EBACB7}"/>
    <cellStyle name="Comma 4 3 5 2 2 3" xfId="19862" xr:uid="{5A70D2AA-2F99-44C6-9B1D-1CC1A8447A3A}"/>
    <cellStyle name="Comma 4 3 5 2 2 4" xfId="11414" xr:uid="{67D25DD8-1190-48C8-98EF-C74C291D7C41}"/>
    <cellStyle name="Comma 4 3 5 2 3" xfId="5037" xr:uid="{00000000-0005-0000-0000-0000B6090000}"/>
    <cellStyle name="Comma 4 3 5 2 3 2" xfId="21935" xr:uid="{8766EBA9-3E16-4F4E-ACA1-2CA5900CF3E4}"/>
    <cellStyle name="Comma 4 3 5 2 3 3" xfId="13487" xr:uid="{5A185503-3AE8-4B71-918B-60C1B1F07163}"/>
    <cellStyle name="Comma 4 3 5 2 4" xfId="17717" xr:uid="{9361263C-6585-470C-BCFA-7BEA5311202D}"/>
    <cellStyle name="Comma 4 3 5 2 5" xfId="9269" xr:uid="{5AE46BD3-AC86-487E-97A1-DDAB467A9D78}"/>
    <cellStyle name="Comma 4 3 5 3" xfId="1142" xr:uid="{00000000-0005-0000-0000-0000B7090000}"/>
    <cellStyle name="Comma 4 3 5 3 2" xfId="3373" xr:uid="{00000000-0005-0000-0000-0000B8090000}"/>
    <cellStyle name="Comma 4 3 5 3 2 2" xfId="7595" xr:uid="{00000000-0005-0000-0000-0000B9090000}"/>
    <cellStyle name="Comma 4 3 5 3 2 2 2" xfId="24493" xr:uid="{35170D19-86D4-4F36-A374-ED114C207E6F}"/>
    <cellStyle name="Comma 4 3 5 3 2 2 3" xfId="16045" xr:uid="{8C2EA0CA-A15F-42BD-A4BD-27D419F85078}"/>
    <cellStyle name="Comma 4 3 5 3 2 3" xfId="20275" xr:uid="{4334EC9E-9088-4049-8667-7D8AB840EB2A}"/>
    <cellStyle name="Comma 4 3 5 3 2 4" xfId="11827" xr:uid="{1FEE9EE7-DFA2-43FE-85CD-E9FC2A69E9DB}"/>
    <cellStyle name="Comma 4 3 5 3 3" xfId="5450" xr:uid="{00000000-0005-0000-0000-0000BA090000}"/>
    <cellStyle name="Comma 4 3 5 3 3 2" xfId="22348" xr:uid="{CF8DD51C-481A-4ACD-828D-4043A4C07B89}"/>
    <cellStyle name="Comma 4 3 5 3 3 3" xfId="13900" xr:uid="{F599B7E1-7644-4AEE-BB2E-B8D744C9E61B}"/>
    <cellStyle name="Comma 4 3 5 3 4" xfId="18130" xr:uid="{AAEE0DAA-6A6B-47CB-B304-3A11325598C4}"/>
    <cellStyle name="Comma 4 3 5 3 5" xfId="9682" xr:uid="{A037C2A1-53E8-4E47-B951-C7724B749E36}"/>
    <cellStyle name="Comma 4 3 5 4" xfId="1556" xr:uid="{00000000-0005-0000-0000-0000BB090000}"/>
    <cellStyle name="Comma 4 3 5 4 2" xfId="3786" xr:uid="{00000000-0005-0000-0000-0000BC090000}"/>
    <cellStyle name="Comma 4 3 5 4 2 2" xfId="8008" xr:uid="{00000000-0005-0000-0000-0000BD090000}"/>
    <cellStyle name="Comma 4 3 5 4 2 2 2" xfId="24906" xr:uid="{10EC4A08-3388-42FC-896B-62CC34EF3AE2}"/>
    <cellStyle name="Comma 4 3 5 4 2 2 3" xfId="16458" xr:uid="{0E90BD47-3EB1-47FE-A225-1D31E1DDE2F6}"/>
    <cellStyle name="Comma 4 3 5 4 2 3" xfId="20688" xr:uid="{DD526472-0AB5-4F88-8E7B-08445FF9C959}"/>
    <cellStyle name="Comma 4 3 5 4 2 4" xfId="12240" xr:uid="{D172F10C-A379-45D5-9F65-2F1A9B6BA0E1}"/>
    <cellStyle name="Comma 4 3 5 4 3" xfId="5863" xr:uid="{00000000-0005-0000-0000-0000BE090000}"/>
    <cellStyle name="Comma 4 3 5 4 3 2" xfId="22761" xr:uid="{FD769AA0-FF6C-4F32-B329-3673B5766EF4}"/>
    <cellStyle name="Comma 4 3 5 4 3 3" xfId="14313" xr:uid="{9C104524-8606-4333-BDFA-A7DCD942173A}"/>
    <cellStyle name="Comma 4 3 5 4 4" xfId="18543" xr:uid="{A12F894B-500F-4308-9406-CA32C60FF76B}"/>
    <cellStyle name="Comma 4 3 5 4 5" xfId="10095" xr:uid="{0A4CABBE-3284-4688-9213-B09EFF61DBD6}"/>
    <cellStyle name="Comma 4 3 5 5" xfId="1970" xr:uid="{00000000-0005-0000-0000-0000BF090000}"/>
    <cellStyle name="Comma 4 3 5 5 2" xfId="4199" xr:uid="{00000000-0005-0000-0000-0000C0090000}"/>
    <cellStyle name="Comma 4 3 5 5 2 2" xfId="8421" xr:uid="{00000000-0005-0000-0000-0000C1090000}"/>
    <cellStyle name="Comma 4 3 5 5 2 2 2" xfId="25319" xr:uid="{6A2C5D5C-B128-4404-909C-2B11A8024D10}"/>
    <cellStyle name="Comma 4 3 5 5 2 2 3" xfId="16871" xr:uid="{5CD48CB2-ACF6-47B7-9C35-2BE7E8A8D34D}"/>
    <cellStyle name="Comma 4 3 5 5 2 3" xfId="21101" xr:uid="{BD5FC7B5-9D5D-4B49-9BE5-F7C0B1250800}"/>
    <cellStyle name="Comma 4 3 5 5 2 4" xfId="12653" xr:uid="{A1ABEF03-993C-44EC-BCE7-D2BD4E81900D}"/>
    <cellStyle name="Comma 4 3 5 5 3" xfId="6276" xr:uid="{00000000-0005-0000-0000-0000C2090000}"/>
    <cellStyle name="Comma 4 3 5 5 3 2" xfId="23174" xr:uid="{A9A5B16D-3AF7-4053-82F3-9AA7C7B73673}"/>
    <cellStyle name="Comma 4 3 5 5 3 3" xfId="14726" xr:uid="{1BFA14B8-7926-4051-9078-1B6DBBCCDB94}"/>
    <cellStyle name="Comma 4 3 5 5 4" xfId="18956" xr:uid="{C2EF53E0-3FDD-4D0C-8EC3-1C2BDAEE68EA}"/>
    <cellStyle name="Comma 4 3 5 5 5" xfId="10508" xr:uid="{D90BD58A-352D-4316-B3D4-FB8C184E299E}"/>
    <cellStyle name="Comma 4 3 5 6" xfId="2405" xr:uid="{00000000-0005-0000-0000-0000C3090000}"/>
    <cellStyle name="Comma 4 3 5 6 2" xfId="6689" xr:uid="{00000000-0005-0000-0000-0000C4090000}"/>
    <cellStyle name="Comma 4 3 5 6 2 2" xfId="23587" xr:uid="{06E2B2E0-1E73-443C-B87A-69D4CA7DD08F}"/>
    <cellStyle name="Comma 4 3 5 6 2 3" xfId="15139" xr:uid="{8DD048AA-9BD2-42E7-B93F-3ABF99B20F4E}"/>
    <cellStyle name="Comma 4 3 5 6 3" xfId="19369" xr:uid="{A167D000-4D6D-42F0-BE6A-2A68C08B6E57}"/>
    <cellStyle name="Comma 4 3 5 6 4" xfId="10921" xr:uid="{B9240884-EAB0-4130-B0B6-30A87462BC99}"/>
    <cellStyle name="Comma 4 3 5 7" xfId="2701" xr:uid="{00000000-0005-0000-0000-0000C5090000}"/>
    <cellStyle name="Comma 4 3 5 8" xfId="2783" xr:uid="{00000000-0005-0000-0000-0000C6090000}"/>
    <cellStyle name="Comma 4 3 5 8 2" xfId="7006" xr:uid="{00000000-0005-0000-0000-0000C7090000}"/>
    <cellStyle name="Comma 4 3 5 8 2 2" xfId="23904" xr:uid="{6A6EE3D3-4580-4773-9883-B316C8EE0FF3}"/>
    <cellStyle name="Comma 4 3 5 8 2 3" xfId="15456" xr:uid="{B991BA68-DC0B-4896-9A5B-DBA4EC91A607}"/>
    <cellStyle name="Comma 4 3 5 8 3" xfId="19686" xr:uid="{68BC68FB-95F1-4608-97CA-A1ACB9852A15}"/>
    <cellStyle name="Comma 4 3 5 8 4" xfId="11238" xr:uid="{B5C4887B-C6A5-4CC9-B0A1-84BB38759DA8}"/>
    <cellStyle name="Comma 4 3 5 9" xfId="4623" xr:uid="{00000000-0005-0000-0000-0000C8090000}"/>
    <cellStyle name="Comma 4 3 5 9 2" xfId="21521" xr:uid="{174EF147-B52D-4C2C-8418-CD14D9A2B2A3}"/>
    <cellStyle name="Comma 4 3 5 9 3" xfId="13073" xr:uid="{5772FC75-1DB7-4564-A822-F2E26AA8C96D}"/>
    <cellStyle name="Comma 4 4" xfId="153" xr:uid="{00000000-0005-0000-0000-0000C9090000}"/>
    <cellStyle name="Comma 4 4 10" xfId="2784" xr:uid="{00000000-0005-0000-0000-0000CA090000}"/>
    <cellStyle name="Comma 4 4 10 2" xfId="7007" xr:uid="{00000000-0005-0000-0000-0000CB090000}"/>
    <cellStyle name="Comma 4 4 10 2 2" xfId="23905" xr:uid="{FAE18C83-0261-4627-85DF-30B9A1458EE0}"/>
    <cellStyle name="Comma 4 4 10 2 3" xfId="15457" xr:uid="{D4B23980-C96C-4B6E-A09E-A348E0E24E25}"/>
    <cellStyle name="Comma 4 4 10 3" xfId="19687" xr:uid="{11824041-DFCC-4E1E-876D-C8298B6EAD61}"/>
    <cellStyle name="Comma 4 4 10 4" xfId="11239" xr:uid="{21B64D81-AE3C-473A-B0CC-3425EC135F33}"/>
    <cellStyle name="Comma 4 4 11" xfId="4624" xr:uid="{00000000-0005-0000-0000-0000CC090000}"/>
    <cellStyle name="Comma 4 4 11 2" xfId="21522" xr:uid="{7BB9D3DF-6653-4CFF-AC27-FA0E7638CF10}"/>
    <cellStyle name="Comma 4 4 11 3" xfId="13074" xr:uid="{CF5F7090-7CE8-4DD6-8849-EAAFB2462429}"/>
    <cellStyle name="Comma 4 4 12" xfId="17304" xr:uid="{DA7E41BD-4403-42B3-99ED-9AE3F699BCBD}"/>
    <cellStyle name="Comma 4 4 13" xfId="8856" xr:uid="{C61BBE6F-28A6-4BCA-A560-DFBB62B78436}"/>
    <cellStyle name="Comma 4 4 2" xfId="154" xr:uid="{00000000-0005-0000-0000-0000CD090000}"/>
    <cellStyle name="Comma 4 4 2 10" xfId="4625" xr:uid="{00000000-0005-0000-0000-0000CE090000}"/>
    <cellStyle name="Comma 4 4 2 10 2" xfId="21523" xr:uid="{7BFCED2A-7C5F-486C-8BE4-3B60F4C40754}"/>
    <cellStyle name="Comma 4 4 2 10 3" xfId="13075" xr:uid="{0521EB3C-D151-4619-A2A5-71892FF07B5D}"/>
    <cellStyle name="Comma 4 4 2 11" xfId="17305" xr:uid="{78C553E9-0F2C-407D-A86D-E9C722994629}"/>
    <cellStyle name="Comma 4 4 2 12" xfId="8857" xr:uid="{ED327530-CDCE-4289-B52B-C3AFB99703AF}"/>
    <cellStyle name="Comma 4 4 2 2" xfId="155" xr:uid="{00000000-0005-0000-0000-0000CF090000}"/>
    <cellStyle name="Comma 4 4 2 2 10" xfId="17306" xr:uid="{2EC90C23-F8D0-4C57-9910-5D827135BA87}"/>
    <cellStyle name="Comma 4 4 2 2 11" xfId="8858" xr:uid="{36C72856-85E6-43B3-97C9-5A9B4659479E}"/>
    <cellStyle name="Comma 4 4 2 2 2" xfId="692" xr:uid="{00000000-0005-0000-0000-0000D0090000}"/>
    <cellStyle name="Comma 4 4 2 2 2 2" xfId="2963" xr:uid="{00000000-0005-0000-0000-0000D1090000}"/>
    <cellStyle name="Comma 4 4 2 2 2 2 2" xfId="7185" xr:uid="{00000000-0005-0000-0000-0000D2090000}"/>
    <cellStyle name="Comma 4 4 2 2 2 2 2 2" xfId="24083" xr:uid="{B17EF247-9C08-488A-971E-7618D7CE7085}"/>
    <cellStyle name="Comma 4 4 2 2 2 2 2 3" xfId="15635" xr:uid="{8605B871-204C-4C00-B9F3-D374E0CDBA0A}"/>
    <cellStyle name="Comma 4 4 2 2 2 2 3" xfId="19865" xr:uid="{D25F2573-3B22-4175-89D8-B1823FCD2933}"/>
    <cellStyle name="Comma 4 4 2 2 2 2 4" xfId="11417" xr:uid="{9BF7B1DA-A581-4721-A741-419521BDC7B5}"/>
    <cellStyle name="Comma 4 4 2 2 2 3" xfId="5040" xr:uid="{00000000-0005-0000-0000-0000D3090000}"/>
    <cellStyle name="Comma 4 4 2 2 2 3 2" xfId="21938" xr:uid="{D20E9274-8239-4F0C-BD8B-C66E821379C4}"/>
    <cellStyle name="Comma 4 4 2 2 2 3 3" xfId="13490" xr:uid="{131FBACF-140F-4487-81B3-F698DA4BEB77}"/>
    <cellStyle name="Comma 4 4 2 2 2 4" xfId="17720" xr:uid="{E28874A5-5AA3-431D-8E12-D8C2CC5695C6}"/>
    <cellStyle name="Comma 4 4 2 2 2 5" xfId="9272" xr:uid="{BD3E69AF-13B9-41EB-9375-EA530FD2B8C5}"/>
    <cellStyle name="Comma 4 4 2 2 3" xfId="1145" xr:uid="{00000000-0005-0000-0000-0000D4090000}"/>
    <cellStyle name="Comma 4 4 2 2 3 2" xfId="3376" xr:uid="{00000000-0005-0000-0000-0000D5090000}"/>
    <cellStyle name="Comma 4 4 2 2 3 2 2" xfId="7598" xr:uid="{00000000-0005-0000-0000-0000D6090000}"/>
    <cellStyle name="Comma 4 4 2 2 3 2 2 2" xfId="24496" xr:uid="{FFC8CF3A-E1E5-48DE-A880-14BB6C480DCE}"/>
    <cellStyle name="Comma 4 4 2 2 3 2 2 3" xfId="16048" xr:uid="{F4ADF91D-658E-4FC7-8EAB-9B76D780DE78}"/>
    <cellStyle name="Comma 4 4 2 2 3 2 3" xfId="20278" xr:uid="{CF76FBB7-94D2-4D0A-A1F1-AC43C6F79AD7}"/>
    <cellStyle name="Comma 4 4 2 2 3 2 4" xfId="11830" xr:uid="{AEC2DB8E-1367-4115-A63C-0F86D734A797}"/>
    <cellStyle name="Comma 4 4 2 2 3 3" xfId="5453" xr:uid="{00000000-0005-0000-0000-0000D7090000}"/>
    <cellStyle name="Comma 4 4 2 2 3 3 2" xfId="22351" xr:uid="{62528F16-2342-43F1-BFB8-0A9297BE2E46}"/>
    <cellStyle name="Comma 4 4 2 2 3 3 3" xfId="13903" xr:uid="{5A03C016-6F52-43F0-91BE-0D82CCB79F8A}"/>
    <cellStyle name="Comma 4 4 2 2 3 4" xfId="18133" xr:uid="{ED407E42-6D76-4753-8ED1-0ECCD3C6B516}"/>
    <cellStyle name="Comma 4 4 2 2 3 5" xfId="9685" xr:uid="{7A3400BE-F057-42C3-975D-70A364C6491A}"/>
    <cellStyle name="Comma 4 4 2 2 4" xfId="1559" xr:uid="{00000000-0005-0000-0000-0000D8090000}"/>
    <cellStyle name="Comma 4 4 2 2 4 2" xfId="3789" xr:uid="{00000000-0005-0000-0000-0000D9090000}"/>
    <cellStyle name="Comma 4 4 2 2 4 2 2" xfId="8011" xr:uid="{00000000-0005-0000-0000-0000DA090000}"/>
    <cellStyle name="Comma 4 4 2 2 4 2 2 2" xfId="24909" xr:uid="{E4F0249A-A80E-45FA-A0FE-7AD7AB51DE7C}"/>
    <cellStyle name="Comma 4 4 2 2 4 2 2 3" xfId="16461" xr:uid="{73045A63-8695-4C39-ADB1-59060C49F60A}"/>
    <cellStyle name="Comma 4 4 2 2 4 2 3" xfId="20691" xr:uid="{F6A7C2B8-820B-49C1-A4C4-8BA7C4A73ABF}"/>
    <cellStyle name="Comma 4 4 2 2 4 2 4" xfId="12243" xr:uid="{BE873924-DABA-4656-B943-17C23CFFD231}"/>
    <cellStyle name="Comma 4 4 2 2 4 3" xfId="5866" xr:uid="{00000000-0005-0000-0000-0000DB090000}"/>
    <cellStyle name="Comma 4 4 2 2 4 3 2" xfId="22764" xr:uid="{6BE6DF49-E7E7-42C3-B193-31D7097927ED}"/>
    <cellStyle name="Comma 4 4 2 2 4 3 3" xfId="14316" xr:uid="{FF349077-9BB8-4E7B-8444-455B57394CDF}"/>
    <cellStyle name="Comma 4 4 2 2 4 4" xfId="18546" xr:uid="{8C6545F1-EE42-4935-AEC9-08805565BE89}"/>
    <cellStyle name="Comma 4 4 2 2 4 5" xfId="10098" xr:uid="{98CAF231-1F24-4FD6-9DAF-AC8C12531C58}"/>
    <cellStyle name="Comma 4 4 2 2 5" xfId="1973" xr:uid="{00000000-0005-0000-0000-0000DC090000}"/>
    <cellStyle name="Comma 4 4 2 2 5 2" xfId="4202" xr:uid="{00000000-0005-0000-0000-0000DD090000}"/>
    <cellStyle name="Comma 4 4 2 2 5 2 2" xfId="8424" xr:uid="{00000000-0005-0000-0000-0000DE090000}"/>
    <cellStyle name="Comma 4 4 2 2 5 2 2 2" xfId="25322" xr:uid="{73988469-C357-43CC-ACFD-ADBD2C869286}"/>
    <cellStyle name="Comma 4 4 2 2 5 2 2 3" xfId="16874" xr:uid="{1EC7FE56-53C8-4205-9C53-376AA2DA26EC}"/>
    <cellStyle name="Comma 4 4 2 2 5 2 3" xfId="21104" xr:uid="{65E6A858-8F03-4EF3-9EE8-6728FA7E0547}"/>
    <cellStyle name="Comma 4 4 2 2 5 2 4" xfId="12656" xr:uid="{2C21DCBE-18EF-4CE4-A5B8-EC1576055C06}"/>
    <cellStyle name="Comma 4 4 2 2 5 3" xfId="6279" xr:uid="{00000000-0005-0000-0000-0000DF090000}"/>
    <cellStyle name="Comma 4 4 2 2 5 3 2" xfId="23177" xr:uid="{D5696541-3E14-4D6E-96E5-839BC40EEB0A}"/>
    <cellStyle name="Comma 4 4 2 2 5 3 3" xfId="14729" xr:uid="{6EFADE5A-9BD2-4620-9E63-3DDF9C714D32}"/>
    <cellStyle name="Comma 4 4 2 2 5 4" xfId="18959" xr:uid="{68EB5513-5BF0-48EE-9638-181BFDD97F78}"/>
    <cellStyle name="Comma 4 4 2 2 5 5" xfId="10511" xr:uid="{E2D1D9F8-2363-4F17-9C0C-BBC0A141855B}"/>
    <cellStyle name="Comma 4 4 2 2 6" xfId="2408" xr:uid="{00000000-0005-0000-0000-0000E0090000}"/>
    <cellStyle name="Comma 4 4 2 2 6 2" xfId="6692" xr:uid="{00000000-0005-0000-0000-0000E1090000}"/>
    <cellStyle name="Comma 4 4 2 2 6 2 2" xfId="23590" xr:uid="{269BA8DB-DD52-4F31-BF7A-B6A0560E275B}"/>
    <cellStyle name="Comma 4 4 2 2 6 2 3" xfId="15142" xr:uid="{141CE068-3B36-4859-B16B-EC22604A90DE}"/>
    <cellStyle name="Comma 4 4 2 2 6 3" xfId="19372" xr:uid="{3E089D88-C8E8-4DD2-A9DB-316ECA663960}"/>
    <cellStyle name="Comma 4 4 2 2 6 4" xfId="10924" xr:uid="{B497693E-9BC3-4D9D-A649-AFD6C34C2FF9}"/>
    <cellStyle name="Comma 4 4 2 2 7" xfId="2704" xr:uid="{00000000-0005-0000-0000-0000E2090000}"/>
    <cellStyle name="Comma 4 4 2 2 8" xfId="2786" xr:uid="{00000000-0005-0000-0000-0000E3090000}"/>
    <cellStyle name="Comma 4 4 2 2 8 2" xfId="7009" xr:uid="{00000000-0005-0000-0000-0000E4090000}"/>
    <cellStyle name="Comma 4 4 2 2 8 2 2" xfId="23907" xr:uid="{027E6279-42F7-44EC-9848-2257841C10D6}"/>
    <cellStyle name="Comma 4 4 2 2 8 2 3" xfId="15459" xr:uid="{5CC5E253-C315-4F69-ADB2-C0ACF90C633A}"/>
    <cellStyle name="Comma 4 4 2 2 8 3" xfId="19689" xr:uid="{407FBF61-ED61-4A61-BC5E-EAC965CA4768}"/>
    <cellStyle name="Comma 4 4 2 2 8 4" xfId="11241" xr:uid="{3662B924-C8C5-4D2A-820A-9E785208002E}"/>
    <cellStyle name="Comma 4 4 2 2 9" xfId="4626" xr:uid="{00000000-0005-0000-0000-0000E5090000}"/>
    <cellStyle name="Comma 4 4 2 2 9 2" xfId="21524" xr:uid="{AA68BFD7-B3B7-4833-B084-923BE1ABF74B}"/>
    <cellStyle name="Comma 4 4 2 2 9 3" xfId="13076" xr:uid="{653BDF68-A818-4966-8F5A-B1EE23E09FCE}"/>
    <cellStyle name="Comma 4 4 2 3" xfId="691" xr:uid="{00000000-0005-0000-0000-0000E6090000}"/>
    <cellStyle name="Comma 4 4 2 3 2" xfId="2962" xr:uid="{00000000-0005-0000-0000-0000E7090000}"/>
    <cellStyle name="Comma 4 4 2 3 2 2" xfId="7184" xr:uid="{00000000-0005-0000-0000-0000E8090000}"/>
    <cellStyle name="Comma 4 4 2 3 2 2 2" xfId="24082" xr:uid="{6EE264A6-D1FE-4575-B459-9C32BED46CA6}"/>
    <cellStyle name="Comma 4 4 2 3 2 2 3" xfId="15634" xr:uid="{FA6F5728-BFD3-4BDB-AC5B-A96E4E527C2C}"/>
    <cellStyle name="Comma 4 4 2 3 2 3" xfId="19864" xr:uid="{0041328B-6822-4620-86E3-A8F5225F20CE}"/>
    <cellStyle name="Comma 4 4 2 3 2 4" xfId="11416" xr:uid="{7FFF53FD-7F50-45CB-AADD-9D753D9987FA}"/>
    <cellStyle name="Comma 4 4 2 3 3" xfId="5039" xr:uid="{00000000-0005-0000-0000-0000E9090000}"/>
    <cellStyle name="Comma 4 4 2 3 3 2" xfId="21937" xr:uid="{2F85E725-18FB-4C5E-85CC-126094DC2729}"/>
    <cellStyle name="Comma 4 4 2 3 3 3" xfId="13489" xr:uid="{FB60D90F-C32A-452F-8CF4-AA8FB893E038}"/>
    <cellStyle name="Comma 4 4 2 3 4" xfId="17719" xr:uid="{DBF9B3EF-D8C1-4DBB-949C-235625808D74}"/>
    <cellStyle name="Comma 4 4 2 3 5" xfId="9271" xr:uid="{12DB4B3B-6295-4BF9-AD3A-CBF014BE682B}"/>
    <cellStyle name="Comma 4 4 2 4" xfId="1144" xr:uid="{00000000-0005-0000-0000-0000EA090000}"/>
    <cellStyle name="Comma 4 4 2 4 2" xfId="3375" xr:uid="{00000000-0005-0000-0000-0000EB090000}"/>
    <cellStyle name="Comma 4 4 2 4 2 2" xfId="7597" xr:uid="{00000000-0005-0000-0000-0000EC090000}"/>
    <cellStyle name="Comma 4 4 2 4 2 2 2" xfId="24495" xr:uid="{CB9F9D14-A96B-47E6-98FD-8F9697DA9858}"/>
    <cellStyle name="Comma 4 4 2 4 2 2 3" xfId="16047" xr:uid="{6D00ABD5-7504-4924-B003-3E64C12C1512}"/>
    <cellStyle name="Comma 4 4 2 4 2 3" xfId="20277" xr:uid="{60C0C8D1-DCE1-4ECB-B058-C77F869E1C78}"/>
    <cellStyle name="Comma 4 4 2 4 2 4" xfId="11829" xr:uid="{B1459791-71D2-4795-BFE2-DCC9139ECB44}"/>
    <cellStyle name="Comma 4 4 2 4 3" xfId="5452" xr:uid="{00000000-0005-0000-0000-0000ED090000}"/>
    <cellStyle name="Comma 4 4 2 4 3 2" xfId="22350" xr:uid="{D5526412-A06A-4EF5-9356-A31EAFC56057}"/>
    <cellStyle name="Comma 4 4 2 4 3 3" xfId="13902" xr:uid="{B032447B-9184-4D63-8FFC-D21DC8B5739C}"/>
    <cellStyle name="Comma 4 4 2 4 4" xfId="18132" xr:uid="{C5356C78-BF50-4B5E-91B9-B68204F21DE3}"/>
    <cellStyle name="Comma 4 4 2 4 5" xfId="9684" xr:uid="{FE505B47-BED5-4FF4-B3A4-E28617184E46}"/>
    <cellStyle name="Comma 4 4 2 5" xfId="1558" xr:uid="{00000000-0005-0000-0000-0000EE090000}"/>
    <cellStyle name="Comma 4 4 2 5 2" xfId="3788" xr:uid="{00000000-0005-0000-0000-0000EF090000}"/>
    <cellStyle name="Comma 4 4 2 5 2 2" xfId="8010" xr:uid="{00000000-0005-0000-0000-0000F0090000}"/>
    <cellStyle name="Comma 4 4 2 5 2 2 2" xfId="24908" xr:uid="{5B65CF3D-7B93-40C3-A8CA-6B01021763D8}"/>
    <cellStyle name="Comma 4 4 2 5 2 2 3" xfId="16460" xr:uid="{7C4C1F94-E165-4A73-9366-D17DF2A9AD42}"/>
    <cellStyle name="Comma 4 4 2 5 2 3" xfId="20690" xr:uid="{E71813A0-B997-4E23-BB85-FE4C9FE6793A}"/>
    <cellStyle name="Comma 4 4 2 5 2 4" xfId="12242" xr:uid="{850CD5FA-AEAE-4141-BE38-40E6D8144519}"/>
    <cellStyle name="Comma 4 4 2 5 3" xfId="5865" xr:uid="{00000000-0005-0000-0000-0000F1090000}"/>
    <cellStyle name="Comma 4 4 2 5 3 2" xfId="22763" xr:uid="{73EF014F-8FDD-4BA2-A734-A9EFAF6C126F}"/>
    <cellStyle name="Comma 4 4 2 5 3 3" xfId="14315" xr:uid="{F3DC54B6-AF89-4690-AB49-BCB7E68C3F6D}"/>
    <cellStyle name="Comma 4 4 2 5 4" xfId="18545" xr:uid="{93406AC0-F5C0-47DC-9503-CFEC137261F5}"/>
    <cellStyle name="Comma 4 4 2 5 5" xfId="10097" xr:uid="{3044BCFC-B867-40D5-A8DB-A706392D2A4F}"/>
    <cellStyle name="Comma 4 4 2 6" xfId="1972" xr:uid="{00000000-0005-0000-0000-0000F2090000}"/>
    <cellStyle name="Comma 4 4 2 6 2" xfId="4201" xr:uid="{00000000-0005-0000-0000-0000F3090000}"/>
    <cellStyle name="Comma 4 4 2 6 2 2" xfId="8423" xr:uid="{00000000-0005-0000-0000-0000F4090000}"/>
    <cellStyle name="Comma 4 4 2 6 2 2 2" xfId="25321" xr:uid="{F95D25C3-B030-42B3-AB4F-98192DB319FE}"/>
    <cellStyle name="Comma 4 4 2 6 2 2 3" xfId="16873" xr:uid="{569B0B88-B0FE-4F61-9AC7-7B7C5A6A4AD3}"/>
    <cellStyle name="Comma 4 4 2 6 2 3" xfId="21103" xr:uid="{D6AE01DB-D629-496B-B039-61187F4793A1}"/>
    <cellStyle name="Comma 4 4 2 6 2 4" xfId="12655" xr:uid="{3641FB13-1D05-4FB4-895F-CFF36CE914AC}"/>
    <cellStyle name="Comma 4 4 2 6 3" xfId="6278" xr:uid="{00000000-0005-0000-0000-0000F5090000}"/>
    <cellStyle name="Comma 4 4 2 6 3 2" xfId="23176" xr:uid="{B56381DB-62A0-485C-8B22-EF76FDBC68EA}"/>
    <cellStyle name="Comma 4 4 2 6 3 3" xfId="14728" xr:uid="{67629497-0CCC-49EC-AC8B-A3F41EE092D6}"/>
    <cellStyle name="Comma 4 4 2 6 4" xfId="18958" xr:uid="{E3042D2F-0A25-4EDE-8552-73394135B80F}"/>
    <cellStyle name="Comma 4 4 2 6 5" xfId="10510" xr:uid="{246B51EE-D254-480B-8497-20E7F04E30CE}"/>
    <cellStyle name="Comma 4 4 2 7" xfId="2407" xr:uid="{00000000-0005-0000-0000-0000F6090000}"/>
    <cellStyle name="Comma 4 4 2 7 2" xfId="6691" xr:uid="{00000000-0005-0000-0000-0000F7090000}"/>
    <cellStyle name="Comma 4 4 2 7 2 2" xfId="23589" xr:uid="{45DB1C22-3399-49D2-8898-C5DF843A4E09}"/>
    <cellStyle name="Comma 4 4 2 7 2 3" xfId="15141" xr:uid="{47B99D86-6AEA-463A-8BA2-DF7AA3D47A31}"/>
    <cellStyle name="Comma 4 4 2 7 3" xfId="19371" xr:uid="{EFF8F823-D21E-4255-81D1-0DB31C7956BC}"/>
    <cellStyle name="Comma 4 4 2 7 4" xfId="10923" xr:uid="{47A80139-2DB8-41EA-8D2C-07EB22B196DD}"/>
    <cellStyle name="Comma 4 4 2 8" xfId="2703" xr:uid="{00000000-0005-0000-0000-0000F8090000}"/>
    <cellStyle name="Comma 4 4 2 9" xfId="2785" xr:uid="{00000000-0005-0000-0000-0000F9090000}"/>
    <cellStyle name="Comma 4 4 2 9 2" xfId="7008" xr:uid="{00000000-0005-0000-0000-0000FA090000}"/>
    <cellStyle name="Comma 4 4 2 9 2 2" xfId="23906" xr:uid="{AF716824-2760-4D3A-9DA9-7CA98FF5BDF8}"/>
    <cellStyle name="Comma 4 4 2 9 2 3" xfId="15458" xr:uid="{3F7285ED-B8F3-4791-B4AA-C3DD83407C5F}"/>
    <cellStyle name="Comma 4 4 2 9 3" xfId="19688" xr:uid="{89782726-0FA3-44C9-89B6-2C6833838581}"/>
    <cellStyle name="Comma 4 4 2 9 4" xfId="11240" xr:uid="{FF169382-BAC8-47D2-8BFE-5672C283ABA2}"/>
    <cellStyle name="Comma 4 4 3" xfId="156" xr:uid="{00000000-0005-0000-0000-0000FB090000}"/>
    <cellStyle name="Comma 4 4 3 10" xfId="17307" xr:uid="{9F5F8F74-13D6-422C-9A89-06177C4509C5}"/>
    <cellStyle name="Comma 4 4 3 11" xfId="8859" xr:uid="{EDC5BAE5-5FFC-491A-A594-B2F6DB751C8E}"/>
    <cellStyle name="Comma 4 4 3 2" xfId="693" xr:uid="{00000000-0005-0000-0000-0000FC090000}"/>
    <cellStyle name="Comma 4 4 3 2 2" xfId="2964" xr:uid="{00000000-0005-0000-0000-0000FD090000}"/>
    <cellStyle name="Comma 4 4 3 2 2 2" xfId="7186" xr:uid="{00000000-0005-0000-0000-0000FE090000}"/>
    <cellStyle name="Comma 4 4 3 2 2 2 2" xfId="24084" xr:uid="{B1B842AF-A9BA-439D-9210-742489C171F3}"/>
    <cellStyle name="Comma 4 4 3 2 2 2 3" xfId="15636" xr:uid="{3FC45B14-7F47-439B-BAC3-3741F62BBEB4}"/>
    <cellStyle name="Comma 4 4 3 2 2 3" xfId="19866" xr:uid="{A6DF0078-E613-471B-AAD7-FBE49DA408E7}"/>
    <cellStyle name="Comma 4 4 3 2 2 4" xfId="11418" xr:uid="{BE3F0B67-C80D-455A-9D59-D73933945B26}"/>
    <cellStyle name="Comma 4 4 3 2 3" xfId="5041" xr:uid="{00000000-0005-0000-0000-0000FF090000}"/>
    <cellStyle name="Comma 4 4 3 2 3 2" xfId="21939" xr:uid="{45C7EB4F-0112-4A94-8B58-B51C44A270B9}"/>
    <cellStyle name="Comma 4 4 3 2 3 3" xfId="13491" xr:uid="{B97C4601-23D9-4D50-9780-52F67D83AE56}"/>
    <cellStyle name="Comma 4 4 3 2 4" xfId="17721" xr:uid="{37E18505-16B6-4CBD-A6AD-D1DFE7A61AF3}"/>
    <cellStyle name="Comma 4 4 3 2 5" xfId="9273" xr:uid="{FD51D2F7-28C2-4A6F-8B30-0E7B5084254A}"/>
    <cellStyle name="Comma 4 4 3 3" xfId="1146" xr:uid="{00000000-0005-0000-0000-0000000A0000}"/>
    <cellStyle name="Comma 4 4 3 3 2" xfId="3377" xr:uid="{00000000-0005-0000-0000-0000010A0000}"/>
    <cellStyle name="Comma 4 4 3 3 2 2" xfId="7599" xr:uid="{00000000-0005-0000-0000-0000020A0000}"/>
    <cellStyle name="Comma 4 4 3 3 2 2 2" xfId="24497" xr:uid="{DC7DEC54-C17D-4DA7-ADE6-6A6665045436}"/>
    <cellStyle name="Comma 4 4 3 3 2 2 3" xfId="16049" xr:uid="{51D3CA94-9280-4FA3-A357-0276E438085E}"/>
    <cellStyle name="Comma 4 4 3 3 2 3" xfId="20279" xr:uid="{96109890-D896-48E3-B4FF-F87F89D66B5F}"/>
    <cellStyle name="Comma 4 4 3 3 2 4" xfId="11831" xr:uid="{0ED684C2-36C6-4E65-A8A9-776B99471525}"/>
    <cellStyle name="Comma 4 4 3 3 3" xfId="5454" xr:uid="{00000000-0005-0000-0000-0000030A0000}"/>
    <cellStyle name="Comma 4 4 3 3 3 2" xfId="22352" xr:uid="{4376AB94-8842-41B7-B02B-CD9808441863}"/>
    <cellStyle name="Comma 4 4 3 3 3 3" xfId="13904" xr:uid="{1109A848-4CB8-43AD-91CA-F21844208675}"/>
    <cellStyle name="Comma 4 4 3 3 4" xfId="18134" xr:uid="{02EBDAAC-19BD-4393-AE70-3D428F3182D2}"/>
    <cellStyle name="Comma 4 4 3 3 5" xfId="9686" xr:uid="{5DC305C7-98E4-43AB-AC10-4A3163712FE0}"/>
    <cellStyle name="Comma 4 4 3 4" xfId="1560" xr:uid="{00000000-0005-0000-0000-0000040A0000}"/>
    <cellStyle name="Comma 4 4 3 4 2" xfId="3790" xr:uid="{00000000-0005-0000-0000-0000050A0000}"/>
    <cellStyle name="Comma 4 4 3 4 2 2" xfId="8012" xr:uid="{00000000-0005-0000-0000-0000060A0000}"/>
    <cellStyle name="Comma 4 4 3 4 2 2 2" xfId="24910" xr:uid="{ED2D8D51-697B-4802-96D1-1CC13F605A9B}"/>
    <cellStyle name="Comma 4 4 3 4 2 2 3" xfId="16462" xr:uid="{28B8A34A-DDE5-4F4D-B8DB-FF142EFDB270}"/>
    <cellStyle name="Comma 4 4 3 4 2 3" xfId="20692" xr:uid="{88BA2576-2128-4473-B267-71DB6C10B423}"/>
    <cellStyle name="Comma 4 4 3 4 2 4" xfId="12244" xr:uid="{F35BF815-DF7B-4BDA-B0D2-14997627C87F}"/>
    <cellStyle name="Comma 4 4 3 4 3" xfId="5867" xr:uid="{00000000-0005-0000-0000-0000070A0000}"/>
    <cellStyle name="Comma 4 4 3 4 3 2" xfId="22765" xr:uid="{B6AD8CB8-0856-482F-AF89-72D177EAC159}"/>
    <cellStyle name="Comma 4 4 3 4 3 3" xfId="14317" xr:uid="{8DB2011B-2988-4859-A01C-0E60300CD184}"/>
    <cellStyle name="Comma 4 4 3 4 4" xfId="18547" xr:uid="{0E3E9389-C975-4AD7-A7AE-99B28E3E50BE}"/>
    <cellStyle name="Comma 4 4 3 4 5" xfId="10099" xr:uid="{9976A43F-3298-47A0-B3AE-1C7DA4B3D637}"/>
    <cellStyle name="Comma 4 4 3 5" xfId="1974" xr:uid="{00000000-0005-0000-0000-0000080A0000}"/>
    <cellStyle name="Comma 4 4 3 5 2" xfId="4203" xr:uid="{00000000-0005-0000-0000-0000090A0000}"/>
    <cellStyle name="Comma 4 4 3 5 2 2" xfId="8425" xr:uid="{00000000-0005-0000-0000-00000A0A0000}"/>
    <cellStyle name="Comma 4 4 3 5 2 2 2" xfId="25323" xr:uid="{3FD6CA4E-F751-49E5-BCCF-BE3BA0D711C8}"/>
    <cellStyle name="Comma 4 4 3 5 2 2 3" xfId="16875" xr:uid="{7F7887AE-81E3-44F7-84E1-F0C982895A27}"/>
    <cellStyle name="Comma 4 4 3 5 2 3" xfId="21105" xr:uid="{5EE5D462-FE93-4512-9742-47D32F11E96C}"/>
    <cellStyle name="Comma 4 4 3 5 2 4" xfId="12657" xr:uid="{32149DD7-506C-4CF4-ADDC-408F37198201}"/>
    <cellStyle name="Comma 4 4 3 5 3" xfId="6280" xr:uid="{00000000-0005-0000-0000-00000B0A0000}"/>
    <cellStyle name="Comma 4 4 3 5 3 2" xfId="23178" xr:uid="{2B6380F6-2130-4588-8FED-22D3BBB8ABB6}"/>
    <cellStyle name="Comma 4 4 3 5 3 3" xfId="14730" xr:uid="{9F17FAC3-440D-48B7-BD7C-E142AC943F75}"/>
    <cellStyle name="Comma 4 4 3 5 4" xfId="18960" xr:uid="{B942ED60-7A4F-4A7E-A88B-451766E81A93}"/>
    <cellStyle name="Comma 4 4 3 5 5" xfId="10512" xr:uid="{47483A1F-DD04-4354-AEEA-4C181F2E9E4C}"/>
    <cellStyle name="Comma 4 4 3 6" xfId="2409" xr:uid="{00000000-0005-0000-0000-00000C0A0000}"/>
    <cellStyle name="Comma 4 4 3 6 2" xfId="6693" xr:uid="{00000000-0005-0000-0000-00000D0A0000}"/>
    <cellStyle name="Comma 4 4 3 6 2 2" xfId="23591" xr:uid="{A6599B51-B28E-4F5B-8FBC-7CFED925395A}"/>
    <cellStyle name="Comma 4 4 3 6 2 3" xfId="15143" xr:uid="{93B0458D-3343-47A8-9F3C-9547B1B21A49}"/>
    <cellStyle name="Comma 4 4 3 6 3" xfId="19373" xr:uid="{AB92574E-53B0-4A77-A3E1-A27668F3A1BC}"/>
    <cellStyle name="Comma 4 4 3 6 4" xfId="10925" xr:uid="{C1D8E423-FBF9-4DB7-8DA2-00E9BBBE0788}"/>
    <cellStyle name="Comma 4 4 3 7" xfId="2705" xr:uid="{00000000-0005-0000-0000-00000E0A0000}"/>
    <cellStyle name="Comma 4 4 3 8" xfId="2787" xr:uid="{00000000-0005-0000-0000-00000F0A0000}"/>
    <cellStyle name="Comma 4 4 3 8 2" xfId="7010" xr:uid="{00000000-0005-0000-0000-0000100A0000}"/>
    <cellStyle name="Comma 4 4 3 8 2 2" xfId="23908" xr:uid="{778BDB09-5ADD-402B-BE0A-7508AC2A0A15}"/>
    <cellStyle name="Comma 4 4 3 8 2 3" xfId="15460" xr:uid="{9C0FD883-A643-4DAF-A7BB-6C660B4897CF}"/>
    <cellStyle name="Comma 4 4 3 8 3" xfId="19690" xr:uid="{F4BBEE88-600D-46FA-8E2C-D48316CBF170}"/>
    <cellStyle name="Comma 4 4 3 8 4" xfId="11242" xr:uid="{CEC1B397-21D0-419E-8AE0-66B5D04D970F}"/>
    <cellStyle name="Comma 4 4 3 9" xfId="4627" xr:uid="{00000000-0005-0000-0000-0000110A0000}"/>
    <cellStyle name="Comma 4 4 3 9 2" xfId="21525" xr:uid="{3F46F2ED-61A2-4C8E-8690-920B67239D35}"/>
    <cellStyle name="Comma 4 4 3 9 3" xfId="13077" xr:uid="{9043BB17-4CCF-4641-A48A-6FC92FFCC4F5}"/>
    <cellStyle name="Comma 4 4 4" xfId="690" xr:uid="{00000000-0005-0000-0000-0000120A0000}"/>
    <cellStyle name="Comma 4 4 4 2" xfId="2961" xr:uid="{00000000-0005-0000-0000-0000130A0000}"/>
    <cellStyle name="Comma 4 4 4 2 2" xfId="7183" xr:uid="{00000000-0005-0000-0000-0000140A0000}"/>
    <cellStyle name="Comma 4 4 4 2 2 2" xfId="24081" xr:uid="{1D68ACFA-753F-44AB-A766-A161562FD2D0}"/>
    <cellStyle name="Comma 4 4 4 2 2 3" xfId="15633" xr:uid="{156B6A7F-77C3-421E-AA56-43EA71D78BC1}"/>
    <cellStyle name="Comma 4 4 4 2 3" xfId="19863" xr:uid="{10E89806-3CE0-4DEC-81A1-A7B23883AE77}"/>
    <cellStyle name="Comma 4 4 4 2 4" xfId="11415" xr:uid="{1C495666-66B8-49B9-8F12-71F23375B146}"/>
    <cellStyle name="Comma 4 4 4 3" xfId="5038" xr:uid="{00000000-0005-0000-0000-0000150A0000}"/>
    <cellStyle name="Comma 4 4 4 3 2" xfId="21936" xr:uid="{3B9228B3-8204-4634-919F-39AE54CBB429}"/>
    <cellStyle name="Comma 4 4 4 3 3" xfId="13488" xr:uid="{05F2B9B5-8727-4B8B-843D-9F1D50C2795B}"/>
    <cellStyle name="Comma 4 4 4 4" xfId="17718" xr:uid="{53335E2B-DC77-41BD-8853-ADDB41E47B69}"/>
    <cellStyle name="Comma 4 4 4 5" xfId="9270" xr:uid="{5FEBC2EA-7A8E-4FCE-AFD4-BF6547F49E57}"/>
    <cellStyle name="Comma 4 4 5" xfId="1143" xr:uid="{00000000-0005-0000-0000-0000160A0000}"/>
    <cellStyle name="Comma 4 4 5 2" xfId="3374" xr:uid="{00000000-0005-0000-0000-0000170A0000}"/>
    <cellStyle name="Comma 4 4 5 2 2" xfId="7596" xr:uid="{00000000-0005-0000-0000-0000180A0000}"/>
    <cellStyle name="Comma 4 4 5 2 2 2" xfId="24494" xr:uid="{6C476808-C5D3-4C6B-A227-15D570A4EFBA}"/>
    <cellStyle name="Comma 4 4 5 2 2 3" xfId="16046" xr:uid="{A62C4ED3-9B09-4026-AE73-C36B7462193D}"/>
    <cellStyle name="Comma 4 4 5 2 3" xfId="20276" xr:uid="{4627C93C-7501-4A41-A983-E1845F268276}"/>
    <cellStyle name="Comma 4 4 5 2 4" xfId="11828" xr:uid="{68B6EF0F-2174-4895-9EB8-CCA0301AE459}"/>
    <cellStyle name="Comma 4 4 5 3" xfId="5451" xr:uid="{00000000-0005-0000-0000-0000190A0000}"/>
    <cellStyle name="Comma 4 4 5 3 2" xfId="22349" xr:uid="{2B4DB5D8-5340-4708-B394-DC91325BD622}"/>
    <cellStyle name="Comma 4 4 5 3 3" xfId="13901" xr:uid="{7797013C-20BC-4761-BF6B-9F67010D9AC2}"/>
    <cellStyle name="Comma 4 4 5 4" xfId="18131" xr:uid="{524C8520-18ED-452D-9604-CC48BD2E047C}"/>
    <cellStyle name="Comma 4 4 5 5" xfId="9683" xr:uid="{9EC54E7B-2819-4552-A998-A52740238D97}"/>
    <cellStyle name="Comma 4 4 6" xfId="1557" xr:uid="{00000000-0005-0000-0000-00001A0A0000}"/>
    <cellStyle name="Comma 4 4 6 2" xfId="3787" xr:uid="{00000000-0005-0000-0000-00001B0A0000}"/>
    <cellStyle name="Comma 4 4 6 2 2" xfId="8009" xr:uid="{00000000-0005-0000-0000-00001C0A0000}"/>
    <cellStyle name="Comma 4 4 6 2 2 2" xfId="24907" xr:uid="{2597B855-3184-44E1-9320-808DA2A988F9}"/>
    <cellStyle name="Comma 4 4 6 2 2 3" xfId="16459" xr:uid="{4BD67BB5-2569-4F23-ADE7-91B4D81F06F2}"/>
    <cellStyle name="Comma 4 4 6 2 3" xfId="20689" xr:uid="{CA6C1A02-BC8C-4475-8857-7B28C9092115}"/>
    <cellStyle name="Comma 4 4 6 2 4" xfId="12241" xr:uid="{34F42B0E-BE4F-4616-8EAC-415F25019AD0}"/>
    <cellStyle name="Comma 4 4 6 3" xfId="5864" xr:uid="{00000000-0005-0000-0000-00001D0A0000}"/>
    <cellStyle name="Comma 4 4 6 3 2" xfId="22762" xr:uid="{0328B99B-16A6-471E-9410-5BF2983729D5}"/>
    <cellStyle name="Comma 4 4 6 3 3" xfId="14314" xr:uid="{1257ED4F-926B-4E3F-8903-05C46416D815}"/>
    <cellStyle name="Comma 4 4 6 4" xfId="18544" xr:uid="{EAE873A8-DE6C-4734-99F5-91B062D22A39}"/>
    <cellStyle name="Comma 4 4 6 5" xfId="10096" xr:uid="{555312CD-950B-405E-B917-84F097EBD2AB}"/>
    <cellStyle name="Comma 4 4 7" xfId="1971" xr:uid="{00000000-0005-0000-0000-00001E0A0000}"/>
    <cellStyle name="Comma 4 4 7 2" xfId="4200" xr:uid="{00000000-0005-0000-0000-00001F0A0000}"/>
    <cellStyle name="Comma 4 4 7 2 2" xfId="8422" xr:uid="{00000000-0005-0000-0000-0000200A0000}"/>
    <cellStyle name="Comma 4 4 7 2 2 2" xfId="25320" xr:uid="{4DA3F17B-086E-49C4-8ED3-7265B817F85C}"/>
    <cellStyle name="Comma 4 4 7 2 2 3" xfId="16872" xr:uid="{C4ECE6A0-A768-48C3-9791-E794216F63F0}"/>
    <cellStyle name="Comma 4 4 7 2 3" xfId="21102" xr:uid="{DDC7248B-825F-44EE-8E0C-A47B3401D5B7}"/>
    <cellStyle name="Comma 4 4 7 2 4" xfId="12654" xr:uid="{09994C0E-9007-48F6-9BF4-C2EDE6382C86}"/>
    <cellStyle name="Comma 4 4 7 3" xfId="6277" xr:uid="{00000000-0005-0000-0000-0000210A0000}"/>
    <cellStyle name="Comma 4 4 7 3 2" xfId="23175" xr:uid="{44947413-197A-413D-8E35-81E53916B8D6}"/>
    <cellStyle name="Comma 4 4 7 3 3" xfId="14727" xr:uid="{3A696582-9D9E-4619-902B-A7EB338C1FA0}"/>
    <cellStyle name="Comma 4 4 7 4" xfId="18957" xr:uid="{7286B315-C706-4CBF-A1B7-6FFBE2AE1BA3}"/>
    <cellStyle name="Comma 4 4 7 5" xfId="10509" xr:uid="{2CC267C3-AE2A-4F67-BDC0-60C5B781B990}"/>
    <cellStyle name="Comma 4 4 8" xfId="2406" xr:uid="{00000000-0005-0000-0000-0000220A0000}"/>
    <cellStyle name="Comma 4 4 8 2" xfId="6690" xr:uid="{00000000-0005-0000-0000-0000230A0000}"/>
    <cellStyle name="Comma 4 4 8 2 2" xfId="23588" xr:uid="{59893CBF-C242-4D76-9DBF-BEFA5F72E1A8}"/>
    <cellStyle name="Comma 4 4 8 2 3" xfId="15140" xr:uid="{15FCB7EC-387F-4927-A2EE-CF60E8AE3B25}"/>
    <cellStyle name="Comma 4 4 8 3" xfId="19370" xr:uid="{E426CE8C-0878-461C-A6AF-F0E485FA2276}"/>
    <cellStyle name="Comma 4 4 8 4" xfId="10922" xr:uid="{B55E26DD-55AE-4C62-89FB-EE75692ACC00}"/>
    <cellStyle name="Comma 4 4 9" xfId="2702" xr:uid="{00000000-0005-0000-0000-0000240A0000}"/>
    <cellStyle name="Comma 4 5" xfId="157" xr:uid="{00000000-0005-0000-0000-0000250A0000}"/>
    <cellStyle name="Comma 4 5 10" xfId="4628" xr:uid="{00000000-0005-0000-0000-0000260A0000}"/>
    <cellStyle name="Comma 4 5 10 2" xfId="21526" xr:uid="{D03ADD06-51B6-467E-834C-B913A0D519E4}"/>
    <cellStyle name="Comma 4 5 10 3" xfId="13078" xr:uid="{8614B4C4-0EF5-41F9-82E0-2C9540ADF655}"/>
    <cellStyle name="Comma 4 5 11" xfId="17308" xr:uid="{B0C78405-2ECF-401F-B651-5CBF2630E708}"/>
    <cellStyle name="Comma 4 5 12" xfId="8860" xr:uid="{B465908C-9202-4C23-B284-CCFB779E45F5}"/>
    <cellStyle name="Comma 4 5 2" xfId="158" xr:uid="{00000000-0005-0000-0000-0000270A0000}"/>
    <cellStyle name="Comma 4 5 2 10" xfId="17309" xr:uid="{2DAEF5AA-4EF2-4565-898D-C8D38F21D9BE}"/>
    <cellStyle name="Comma 4 5 2 11" xfId="8861" xr:uid="{9945FB4E-A9E9-4197-9E86-21DC25909080}"/>
    <cellStyle name="Comma 4 5 2 2" xfId="695" xr:uid="{00000000-0005-0000-0000-0000280A0000}"/>
    <cellStyle name="Comma 4 5 2 2 2" xfId="2966" xr:uid="{00000000-0005-0000-0000-0000290A0000}"/>
    <cellStyle name="Comma 4 5 2 2 2 2" xfId="7188" xr:uid="{00000000-0005-0000-0000-00002A0A0000}"/>
    <cellStyle name="Comma 4 5 2 2 2 2 2" xfId="24086" xr:uid="{5374F80D-8D6D-4063-B947-A90ABD194BC4}"/>
    <cellStyle name="Comma 4 5 2 2 2 2 3" xfId="15638" xr:uid="{D36DF326-2647-4524-A6CF-07D4D76D35C1}"/>
    <cellStyle name="Comma 4 5 2 2 2 3" xfId="19868" xr:uid="{AD75BEBD-33C2-4026-93B7-158800B62EB0}"/>
    <cellStyle name="Comma 4 5 2 2 2 4" xfId="11420" xr:uid="{8BE13FF8-44C1-4095-9ECC-7CB005EB3AAA}"/>
    <cellStyle name="Comma 4 5 2 2 3" xfId="5043" xr:uid="{00000000-0005-0000-0000-00002B0A0000}"/>
    <cellStyle name="Comma 4 5 2 2 3 2" xfId="21941" xr:uid="{416B15DA-3602-4BB0-BC3D-8BFEBC63911C}"/>
    <cellStyle name="Comma 4 5 2 2 3 3" xfId="13493" xr:uid="{53420767-F034-4129-A177-C3B8457DB528}"/>
    <cellStyle name="Comma 4 5 2 2 4" xfId="17723" xr:uid="{32DEB202-80EB-4956-B4F5-741312E942CD}"/>
    <cellStyle name="Comma 4 5 2 2 5" xfId="9275" xr:uid="{8E2E6856-22AD-4F51-B7DB-0B877EC147F3}"/>
    <cellStyle name="Comma 4 5 2 3" xfId="1148" xr:uid="{00000000-0005-0000-0000-00002C0A0000}"/>
    <cellStyle name="Comma 4 5 2 3 2" xfId="3379" xr:uid="{00000000-0005-0000-0000-00002D0A0000}"/>
    <cellStyle name="Comma 4 5 2 3 2 2" xfId="7601" xr:uid="{00000000-0005-0000-0000-00002E0A0000}"/>
    <cellStyle name="Comma 4 5 2 3 2 2 2" xfId="24499" xr:uid="{20409A57-DC2F-45CC-9001-CBD518B65843}"/>
    <cellStyle name="Comma 4 5 2 3 2 2 3" xfId="16051" xr:uid="{3CAD1345-0B73-4962-8B2B-91E6D0FD93DA}"/>
    <cellStyle name="Comma 4 5 2 3 2 3" xfId="20281" xr:uid="{C2F626C7-5579-4918-A732-36CD8A864E5C}"/>
    <cellStyle name="Comma 4 5 2 3 2 4" xfId="11833" xr:uid="{FB9E0F8A-88E9-44DA-A5C3-CF35D9831149}"/>
    <cellStyle name="Comma 4 5 2 3 3" xfId="5456" xr:uid="{00000000-0005-0000-0000-00002F0A0000}"/>
    <cellStyle name="Comma 4 5 2 3 3 2" xfId="22354" xr:uid="{2B41C451-A9BF-423A-97A3-264436546A34}"/>
    <cellStyle name="Comma 4 5 2 3 3 3" xfId="13906" xr:uid="{C1CC7A19-0E1B-4D1F-B875-B28C50AC8F86}"/>
    <cellStyle name="Comma 4 5 2 3 4" xfId="18136" xr:uid="{7E4AA24D-CCF7-498D-8A52-14FA16781BC0}"/>
    <cellStyle name="Comma 4 5 2 3 5" xfId="9688" xr:uid="{947170A7-399D-48DE-BCDA-3AE794571908}"/>
    <cellStyle name="Comma 4 5 2 4" xfId="1562" xr:uid="{00000000-0005-0000-0000-0000300A0000}"/>
    <cellStyle name="Comma 4 5 2 4 2" xfId="3792" xr:uid="{00000000-0005-0000-0000-0000310A0000}"/>
    <cellStyle name="Comma 4 5 2 4 2 2" xfId="8014" xr:uid="{00000000-0005-0000-0000-0000320A0000}"/>
    <cellStyle name="Comma 4 5 2 4 2 2 2" xfId="24912" xr:uid="{6871B5A9-CF3E-4724-8EF7-3D2DABD4AFB9}"/>
    <cellStyle name="Comma 4 5 2 4 2 2 3" xfId="16464" xr:uid="{91AB8530-24DA-4919-8802-C3151540F085}"/>
    <cellStyle name="Comma 4 5 2 4 2 3" xfId="20694" xr:uid="{AA356841-7F99-49EA-B8DF-DE2AF9445DE8}"/>
    <cellStyle name="Comma 4 5 2 4 2 4" xfId="12246" xr:uid="{AA45CB9D-3862-4242-A42D-965476A96C59}"/>
    <cellStyle name="Comma 4 5 2 4 3" xfId="5869" xr:uid="{00000000-0005-0000-0000-0000330A0000}"/>
    <cellStyle name="Comma 4 5 2 4 3 2" xfId="22767" xr:uid="{3D79C105-53DD-4665-A32D-30EA6B112C77}"/>
    <cellStyle name="Comma 4 5 2 4 3 3" xfId="14319" xr:uid="{B1D9D9A1-5141-4812-ADBC-3D5DC4DCA4EE}"/>
    <cellStyle name="Comma 4 5 2 4 4" xfId="18549" xr:uid="{6E7A8CBC-1745-4DBC-B71F-9D9BC26E6943}"/>
    <cellStyle name="Comma 4 5 2 4 5" xfId="10101" xr:uid="{F3A2DC87-A77A-4D61-9196-4523B37FC09F}"/>
    <cellStyle name="Comma 4 5 2 5" xfId="1976" xr:uid="{00000000-0005-0000-0000-0000340A0000}"/>
    <cellStyle name="Comma 4 5 2 5 2" xfId="4205" xr:uid="{00000000-0005-0000-0000-0000350A0000}"/>
    <cellStyle name="Comma 4 5 2 5 2 2" xfId="8427" xr:uid="{00000000-0005-0000-0000-0000360A0000}"/>
    <cellStyle name="Comma 4 5 2 5 2 2 2" xfId="25325" xr:uid="{A83191DC-6DA6-47B4-85DC-927362470415}"/>
    <cellStyle name="Comma 4 5 2 5 2 2 3" xfId="16877" xr:uid="{F50E5CDD-E11D-470A-A075-45C7D1255D51}"/>
    <cellStyle name="Comma 4 5 2 5 2 3" xfId="21107" xr:uid="{DD6E4C46-0FB3-44A8-BC07-96091C1966DA}"/>
    <cellStyle name="Comma 4 5 2 5 2 4" xfId="12659" xr:uid="{94168567-1579-4213-9BF2-2CC157D5BFB5}"/>
    <cellStyle name="Comma 4 5 2 5 3" xfId="6282" xr:uid="{00000000-0005-0000-0000-0000370A0000}"/>
    <cellStyle name="Comma 4 5 2 5 3 2" xfId="23180" xr:uid="{4DD539A5-763B-40AE-9905-A47DDAB051C9}"/>
    <cellStyle name="Comma 4 5 2 5 3 3" xfId="14732" xr:uid="{57E0B56B-5E7E-4E11-B321-9F3B22CF1A23}"/>
    <cellStyle name="Comma 4 5 2 5 4" xfId="18962" xr:uid="{4147BBFD-3452-4E32-AD64-E941F5D9C3D7}"/>
    <cellStyle name="Comma 4 5 2 5 5" xfId="10514" xr:uid="{921C6F72-E0E7-4D71-A454-87A18FC31EEE}"/>
    <cellStyle name="Comma 4 5 2 6" xfId="2411" xr:uid="{00000000-0005-0000-0000-0000380A0000}"/>
    <cellStyle name="Comma 4 5 2 6 2" xfId="6695" xr:uid="{00000000-0005-0000-0000-0000390A0000}"/>
    <cellStyle name="Comma 4 5 2 6 2 2" xfId="23593" xr:uid="{04D4CA3E-FCE1-4D48-B5EA-60428C0A5DEC}"/>
    <cellStyle name="Comma 4 5 2 6 2 3" xfId="15145" xr:uid="{AEE28E90-06FD-4F88-B2BF-85697CE5EFE8}"/>
    <cellStyle name="Comma 4 5 2 6 3" xfId="19375" xr:uid="{5B629503-3066-425B-B37F-94F449AE15E8}"/>
    <cellStyle name="Comma 4 5 2 6 4" xfId="10927" xr:uid="{7BEAAE9D-604F-4CC4-9B7D-8710B41688F0}"/>
    <cellStyle name="Comma 4 5 2 7" xfId="2707" xr:uid="{00000000-0005-0000-0000-00003A0A0000}"/>
    <cellStyle name="Comma 4 5 2 8" xfId="2789" xr:uid="{00000000-0005-0000-0000-00003B0A0000}"/>
    <cellStyle name="Comma 4 5 2 8 2" xfId="7012" xr:uid="{00000000-0005-0000-0000-00003C0A0000}"/>
    <cellStyle name="Comma 4 5 2 8 2 2" xfId="23910" xr:uid="{FD8B661A-A429-4174-A046-F841EB6D394F}"/>
    <cellStyle name="Comma 4 5 2 8 2 3" xfId="15462" xr:uid="{B2E090A4-2DB0-424A-A086-5423E7C71FB6}"/>
    <cellStyle name="Comma 4 5 2 8 3" xfId="19692" xr:uid="{94FD177A-96F5-4F26-9C34-6D5E12E4C133}"/>
    <cellStyle name="Comma 4 5 2 8 4" xfId="11244" xr:uid="{57355547-FB4E-4322-BC1F-54E40384E276}"/>
    <cellStyle name="Comma 4 5 2 9" xfId="4629" xr:uid="{00000000-0005-0000-0000-00003D0A0000}"/>
    <cellStyle name="Comma 4 5 2 9 2" xfId="21527" xr:uid="{C934A5E0-4ACA-4531-AE15-50C4E97A2004}"/>
    <cellStyle name="Comma 4 5 2 9 3" xfId="13079" xr:uid="{698CB85E-740D-45E5-AE80-D049F158CBC8}"/>
    <cellStyle name="Comma 4 5 3" xfId="694" xr:uid="{00000000-0005-0000-0000-00003E0A0000}"/>
    <cellStyle name="Comma 4 5 3 2" xfId="2965" xr:uid="{00000000-0005-0000-0000-00003F0A0000}"/>
    <cellStyle name="Comma 4 5 3 2 2" xfId="7187" xr:uid="{00000000-0005-0000-0000-0000400A0000}"/>
    <cellStyle name="Comma 4 5 3 2 2 2" xfId="24085" xr:uid="{513A6029-7A64-4950-8A59-1DDCD81DB283}"/>
    <cellStyle name="Comma 4 5 3 2 2 3" xfId="15637" xr:uid="{98826AB3-3B3F-40C5-9FCF-B6485AD3F3F0}"/>
    <cellStyle name="Comma 4 5 3 2 3" xfId="19867" xr:uid="{7B49B0C2-B61A-43AB-98BE-272DB937C2E3}"/>
    <cellStyle name="Comma 4 5 3 2 4" xfId="11419" xr:uid="{40F5670B-4372-4F20-BD73-121D15DDC209}"/>
    <cellStyle name="Comma 4 5 3 3" xfId="5042" xr:uid="{00000000-0005-0000-0000-0000410A0000}"/>
    <cellStyle name="Comma 4 5 3 3 2" xfId="21940" xr:uid="{59ED2DC8-97C1-4243-A5D6-29D7A80A73B8}"/>
    <cellStyle name="Comma 4 5 3 3 3" xfId="13492" xr:uid="{4F23D256-8F7F-4F56-82CF-D50B08847440}"/>
    <cellStyle name="Comma 4 5 3 4" xfId="17722" xr:uid="{1267CB08-74FF-458B-80DB-BFD82D3B893C}"/>
    <cellStyle name="Comma 4 5 3 5" xfId="9274" xr:uid="{B1207328-ED0B-4DA1-8556-6E7ADA83D14F}"/>
    <cellStyle name="Comma 4 5 4" xfId="1147" xr:uid="{00000000-0005-0000-0000-0000420A0000}"/>
    <cellStyle name="Comma 4 5 4 2" xfId="3378" xr:uid="{00000000-0005-0000-0000-0000430A0000}"/>
    <cellStyle name="Comma 4 5 4 2 2" xfId="7600" xr:uid="{00000000-0005-0000-0000-0000440A0000}"/>
    <cellStyle name="Comma 4 5 4 2 2 2" xfId="24498" xr:uid="{553E0222-1D0B-4542-AAE2-E6AC73448CB6}"/>
    <cellStyle name="Comma 4 5 4 2 2 3" xfId="16050" xr:uid="{BE486685-863E-4313-A92E-EFF982586DBC}"/>
    <cellStyle name="Comma 4 5 4 2 3" xfId="20280" xr:uid="{CD14C9F0-C8B7-4018-A097-C1D5C51F39F0}"/>
    <cellStyle name="Comma 4 5 4 2 4" xfId="11832" xr:uid="{45DF3053-12B7-487E-8BA6-F0BD6F196491}"/>
    <cellStyle name="Comma 4 5 4 3" xfId="5455" xr:uid="{00000000-0005-0000-0000-0000450A0000}"/>
    <cellStyle name="Comma 4 5 4 3 2" xfId="22353" xr:uid="{75100D4E-C7C6-462B-8512-BA56AAC57221}"/>
    <cellStyle name="Comma 4 5 4 3 3" xfId="13905" xr:uid="{452085C7-7ADA-4CDE-B8AB-C486F82034D2}"/>
    <cellStyle name="Comma 4 5 4 4" xfId="18135" xr:uid="{8CB68274-05AF-4047-87CC-7C711565464E}"/>
    <cellStyle name="Comma 4 5 4 5" xfId="9687" xr:uid="{DE4954D7-82A0-4CC6-B5AF-DA62248BBC5D}"/>
    <cellStyle name="Comma 4 5 5" xfId="1561" xr:uid="{00000000-0005-0000-0000-0000460A0000}"/>
    <cellStyle name="Comma 4 5 5 2" xfId="3791" xr:uid="{00000000-0005-0000-0000-0000470A0000}"/>
    <cellStyle name="Comma 4 5 5 2 2" xfId="8013" xr:uid="{00000000-0005-0000-0000-0000480A0000}"/>
    <cellStyle name="Comma 4 5 5 2 2 2" xfId="24911" xr:uid="{E136E4A8-6C42-4902-A82E-FC8100615DE5}"/>
    <cellStyle name="Comma 4 5 5 2 2 3" xfId="16463" xr:uid="{5B92368F-0D00-4022-8EBE-2B7D0A2B2D53}"/>
    <cellStyle name="Comma 4 5 5 2 3" xfId="20693" xr:uid="{B1417628-DC7B-40B5-9E23-EDD1CD4997D5}"/>
    <cellStyle name="Comma 4 5 5 2 4" xfId="12245" xr:uid="{F98A7C4B-C005-4BF7-97A5-CDF9F005F59E}"/>
    <cellStyle name="Comma 4 5 5 3" xfId="5868" xr:uid="{00000000-0005-0000-0000-0000490A0000}"/>
    <cellStyle name="Comma 4 5 5 3 2" xfId="22766" xr:uid="{3331C4F5-24D5-48F0-80C0-82456B2408EF}"/>
    <cellStyle name="Comma 4 5 5 3 3" xfId="14318" xr:uid="{FD762A87-C9F5-4A58-8B72-D1EDF93CE2E1}"/>
    <cellStyle name="Comma 4 5 5 4" xfId="18548" xr:uid="{4FD7CF2E-6252-44E7-A73F-F2710DDC40B3}"/>
    <cellStyle name="Comma 4 5 5 5" xfId="10100" xr:uid="{DC540C55-3263-4C22-BF22-AC7018F6CC4F}"/>
    <cellStyle name="Comma 4 5 6" xfId="1975" xr:uid="{00000000-0005-0000-0000-00004A0A0000}"/>
    <cellStyle name="Comma 4 5 6 2" xfId="4204" xr:uid="{00000000-0005-0000-0000-00004B0A0000}"/>
    <cellStyle name="Comma 4 5 6 2 2" xfId="8426" xr:uid="{00000000-0005-0000-0000-00004C0A0000}"/>
    <cellStyle name="Comma 4 5 6 2 2 2" xfId="25324" xr:uid="{A1CD68CF-1019-495F-B28F-A22791D0FAF5}"/>
    <cellStyle name="Comma 4 5 6 2 2 3" xfId="16876" xr:uid="{72AB349A-0713-4065-AA9D-55F809FD3EF9}"/>
    <cellStyle name="Comma 4 5 6 2 3" xfId="21106" xr:uid="{F500F453-7D87-48B5-B929-0E7085B0559E}"/>
    <cellStyle name="Comma 4 5 6 2 4" xfId="12658" xr:uid="{C7AA5228-F4C4-48C0-8587-2C5AFA6107D5}"/>
    <cellStyle name="Comma 4 5 6 3" xfId="6281" xr:uid="{00000000-0005-0000-0000-00004D0A0000}"/>
    <cellStyle name="Comma 4 5 6 3 2" xfId="23179" xr:uid="{641B546C-7DA5-49BA-BE98-1035BA16D4FD}"/>
    <cellStyle name="Comma 4 5 6 3 3" xfId="14731" xr:uid="{39435684-EE43-4CA0-B695-2C0C381DDFE6}"/>
    <cellStyle name="Comma 4 5 6 4" xfId="18961" xr:uid="{E37AEC2A-97B9-4E98-B8B2-B948659B208D}"/>
    <cellStyle name="Comma 4 5 6 5" xfId="10513" xr:uid="{ECF038BB-9A15-4214-BCCB-C308003FDB39}"/>
    <cellStyle name="Comma 4 5 7" xfId="2410" xr:uid="{00000000-0005-0000-0000-00004E0A0000}"/>
    <cellStyle name="Comma 4 5 7 2" xfId="6694" xr:uid="{00000000-0005-0000-0000-00004F0A0000}"/>
    <cellStyle name="Comma 4 5 7 2 2" xfId="23592" xr:uid="{63BFF3A2-632D-492C-85B7-AE5A31B4B459}"/>
    <cellStyle name="Comma 4 5 7 2 3" xfId="15144" xr:uid="{3332B6EF-BDE4-479A-B9D7-3E0750E10CA4}"/>
    <cellStyle name="Comma 4 5 7 3" xfId="19374" xr:uid="{1C9B32DC-B3B0-44F0-A78A-FF374072B09E}"/>
    <cellStyle name="Comma 4 5 7 4" xfId="10926" xr:uid="{D3CB8C86-BEC6-4ADF-822C-F2840A98B115}"/>
    <cellStyle name="Comma 4 5 8" xfId="2706" xr:uid="{00000000-0005-0000-0000-0000500A0000}"/>
    <cellStyle name="Comma 4 5 9" xfId="2788" xr:uid="{00000000-0005-0000-0000-0000510A0000}"/>
    <cellStyle name="Comma 4 5 9 2" xfId="7011" xr:uid="{00000000-0005-0000-0000-0000520A0000}"/>
    <cellStyle name="Comma 4 5 9 2 2" xfId="23909" xr:uid="{A3E1506B-EFBA-494B-A5DF-B4A882A82BFD}"/>
    <cellStyle name="Comma 4 5 9 2 3" xfId="15461" xr:uid="{7D0A370A-FE9C-4A91-B1F3-DDAD9CF4F96A}"/>
    <cellStyle name="Comma 4 5 9 3" xfId="19691" xr:uid="{1F3C0342-74F4-4FC3-9407-1C21AB35261B}"/>
    <cellStyle name="Comma 4 5 9 4" xfId="11243" xr:uid="{0319A7AC-11DB-4A7D-9842-9297C2356939}"/>
    <cellStyle name="Comma 4 6" xfId="159" xr:uid="{00000000-0005-0000-0000-0000530A0000}"/>
    <cellStyle name="Comma 4 6 10" xfId="17310" xr:uid="{A8362939-29AA-4814-88F3-D81CC8755212}"/>
    <cellStyle name="Comma 4 6 11" xfId="8862" xr:uid="{DDE32630-A8D4-42B6-86CD-9FE1086F6DD5}"/>
    <cellStyle name="Comma 4 6 2" xfId="696" xr:uid="{00000000-0005-0000-0000-0000540A0000}"/>
    <cellStyle name="Comma 4 6 2 2" xfId="2967" xr:uid="{00000000-0005-0000-0000-0000550A0000}"/>
    <cellStyle name="Comma 4 6 2 2 2" xfId="7189" xr:uid="{00000000-0005-0000-0000-0000560A0000}"/>
    <cellStyle name="Comma 4 6 2 2 2 2" xfId="24087" xr:uid="{DA86F32A-1A4B-4C53-BEA1-D57F9D90B95E}"/>
    <cellStyle name="Comma 4 6 2 2 2 3" xfId="15639" xr:uid="{B47D67F9-13D5-4060-8EDC-F8F64AF37DD5}"/>
    <cellStyle name="Comma 4 6 2 2 3" xfId="19869" xr:uid="{7B211B44-FFAC-4CC5-AA3F-3A4B754329CD}"/>
    <cellStyle name="Comma 4 6 2 2 4" xfId="11421" xr:uid="{5F3EA189-0977-4AC6-8BA1-467A0911990D}"/>
    <cellStyle name="Comma 4 6 2 3" xfId="5044" xr:uid="{00000000-0005-0000-0000-0000570A0000}"/>
    <cellStyle name="Comma 4 6 2 3 2" xfId="21942" xr:uid="{D3D33855-1857-412D-8E3C-67C9C00DEA2B}"/>
    <cellStyle name="Comma 4 6 2 3 3" xfId="13494" xr:uid="{A6BE3F8E-084F-4FF0-8979-80476B1990A7}"/>
    <cellStyle name="Comma 4 6 2 4" xfId="17724" xr:uid="{BDF4F1DF-AC53-4312-902C-6AB12E9AF64C}"/>
    <cellStyle name="Comma 4 6 2 5" xfId="9276" xr:uid="{3A83C86C-C66E-4D78-844D-BEA23D2680F9}"/>
    <cellStyle name="Comma 4 6 3" xfId="1149" xr:uid="{00000000-0005-0000-0000-0000580A0000}"/>
    <cellStyle name="Comma 4 6 3 2" xfId="3380" xr:uid="{00000000-0005-0000-0000-0000590A0000}"/>
    <cellStyle name="Comma 4 6 3 2 2" xfId="7602" xr:uid="{00000000-0005-0000-0000-00005A0A0000}"/>
    <cellStyle name="Comma 4 6 3 2 2 2" xfId="24500" xr:uid="{538AB117-EADA-4818-8C2E-1F6D1127ED42}"/>
    <cellStyle name="Comma 4 6 3 2 2 3" xfId="16052" xr:uid="{602E770D-B916-43D4-9C45-B55D2CDE4371}"/>
    <cellStyle name="Comma 4 6 3 2 3" xfId="20282" xr:uid="{26CC28E6-F51B-407F-BDFF-3FD40FEC6481}"/>
    <cellStyle name="Comma 4 6 3 2 4" xfId="11834" xr:uid="{59179F17-A44F-4BFB-88FA-667A8715D019}"/>
    <cellStyle name="Comma 4 6 3 3" xfId="5457" xr:uid="{00000000-0005-0000-0000-00005B0A0000}"/>
    <cellStyle name="Comma 4 6 3 3 2" xfId="22355" xr:uid="{02E3E2B1-6AB5-4F60-92ED-BF852A66475F}"/>
    <cellStyle name="Comma 4 6 3 3 3" xfId="13907" xr:uid="{AE7C2452-7573-4AB4-A531-06E9DC7F50C8}"/>
    <cellStyle name="Comma 4 6 3 4" xfId="18137" xr:uid="{B9E898F0-B7FB-4AE7-ADD4-608689EC7C27}"/>
    <cellStyle name="Comma 4 6 3 5" xfId="9689" xr:uid="{CC0052FF-5F31-46C5-97B5-75C2C8643957}"/>
    <cellStyle name="Comma 4 6 4" xfId="1563" xr:uid="{00000000-0005-0000-0000-00005C0A0000}"/>
    <cellStyle name="Comma 4 6 4 2" xfId="3793" xr:uid="{00000000-0005-0000-0000-00005D0A0000}"/>
    <cellStyle name="Comma 4 6 4 2 2" xfId="8015" xr:uid="{00000000-0005-0000-0000-00005E0A0000}"/>
    <cellStyle name="Comma 4 6 4 2 2 2" xfId="24913" xr:uid="{59AF631A-1D48-40BD-A860-327C19E44A8E}"/>
    <cellStyle name="Comma 4 6 4 2 2 3" xfId="16465" xr:uid="{E1601625-53DB-480B-A55D-A9581E4A7D52}"/>
    <cellStyle name="Comma 4 6 4 2 3" xfId="20695" xr:uid="{5F5C6993-10EA-4C11-A3DA-7606C8315F48}"/>
    <cellStyle name="Comma 4 6 4 2 4" xfId="12247" xr:uid="{EBA7BC32-591C-4571-BECF-6ECC4FBFB48C}"/>
    <cellStyle name="Comma 4 6 4 3" xfId="5870" xr:uid="{00000000-0005-0000-0000-00005F0A0000}"/>
    <cellStyle name="Comma 4 6 4 3 2" xfId="22768" xr:uid="{7526C758-B8D9-4A48-81DC-4ABA86C0CCBE}"/>
    <cellStyle name="Comma 4 6 4 3 3" xfId="14320" xr:uid="{A88BDCAA-3410-436F-B365-E4DC7888B2D8}"/>
    <cellStyle name="Comma 4 6 4 4" xfId="18550" xr:uid="{2EA462B5-8573-43F4-9A4F-334C311DBF1F}"/>
    <cellStyle name="Comma 4 6 4 5" xfId="10102" xr:uid="{15403478-E10D-434C-B578-1E76C63D855F}"/>
    <cellStyle name="Comma 4 6 5" xfId="1977" xr:uid="{00000000-0005-0000-0000-0000600A0000}"/>
    <cellStyle name="Comma 4 6 5 2" xfId="4206" xr:uid="{00000000-0005-0000-0000-0000610A0000}"/>
    <cellStyle name="Comma 4 6 5 2 2" xfId="8428" xr:uid="{00000000-0005-0000-0000-0000620A0000}"/>
    <cellStyle name="Comma 4 6 5 2 2 2" xfId="25326" xr:uid="{12D208AF-F7A4-4EE0-9109-77D50F26E48F}"/>
    <cellStyle name="Comma 4 6 5 2 2 3" xfId="16878" xr:uid="{F2B0073E-2A5B-4356-A47A-548C9DE943C8}"/>
    <cellStyle name="Comma 4 6 5 2 3" xfId="21108" xr:uid="{FA82E868-BC87-4835-AF47-4E36366D0BED}"/>
    <cellStyle name="Comma 4 6 5 2 4" xfId="12660" xr:uid="{19A18FBD-BD7E-48D1-863F-AC9C2A7605D0}"/>
    <cellStyle name="Comma 4 6 5 3" xfId="6283" xr:uid="{00000000-0005-0000-0000-0000630A0000}"/>
    <cellStyle name="Comma 4 6 5 3 2" xfId="23181" xr:uid="{B60F1BAD-72C7-4280-8280-7877B79075AE}"/>
    <cellStyle name="Comma 4 6 5 3 3" xfId="14733" xr:uid="{94F2EAD1-8DBF-4DD1-9DA8-0D1FE7EFE370}"/>
    <cellStyle name="Comma 4 6 5 4" xfId="18963" xr:uid="{5355489B-FFC6-46D7-901F-89D700E26B22}"/>
    <cellStyle name="Comma 4 6 5 5" xfId="10515" xr:uid="{69863BA6-A97E-4559-8DCB-F6FCC4230296}"/>
    <cellStyle name="Comma 4 6 6" xfId="2412" xr:uid="{00000000-0005-0000-0000-0000640A0000}"/>
    <cellStyle name="Comma 4 6 6 2" xfId="6696" xr:uid="{00000000-0005-0000-0000-0000650A0000}"/>
    <cellStyle name="Comma 4 6 6 2 2" xfId="23594" xr:uid="{EE3B43FC-22F6-4673-83E8-ED1DC592C2E8}"/>
    <cellStyle name="Comma 4 6 6 2 3" xfId="15146" xr:uid="{1B9F5095-E119-48BF-BB59-D37371F8CA09}"/>
    <cellStyle name="Comma 4 6 6 3" xfId="19376" xr:uid="{2E527164-4613-495B-8FBE-662AC1AED232}"/>
    <cellStyle name="Comma 4 6 6 4" xfId="10928" xr:uid="{4202F958-F103-4273-9B33-27F030E70D72}"/>
    <cellStyle name="Comma 4 6 7" xfId="2708" xr:uid="{00000000-0005-0000-0000-0000660A0000}"/>
    <cellStyle name="Comma 4 6 8" xfId="2790" xr:uid="{00000000-0005-0000-0000-0000670A0000}"/>
    <cellStyle name="Comma 4 6 8 2" xfId="7013" xr:uid="{00000000-0005-0000-0000-0000680A0000}"/>
    <cellStyle name="Comma 4 6 8 2 2" xfId="23911" xr:uid="{FE3174D8-9BD0-4578-A982-E91A495B7523}"/>
    <cellStyle name="Comma 4 6 8 2 3" xfId="15463" xr:uid="{6B2E758A-086C-4842-8171-23C0BA7B2F8D}"/>
    <cellStyle name="Comma 4 6 8 3" xfId="19693" xr:uid="{69D1FE5C-F678-4803-8E43-0E63757FCFB1}"/>
    <cellStyle name="Comma 4 6 8 4" xfId="11245" xr:uid="{12525426-5CB5-47FC-BD93-5C9C9015E714}"/>
    <cellStyle name="Comma 4 6 9" xfId="4630" xr:uid="{00000000-0005-0000-0000-0000690A0000}"/>
    <cellStyle name="Comma 4 6 9 2" xfId="21528" xr:uid="{B13752BA-8F18-4EBE-906A-4E8C0D90E3B6}"/>
    <cellStyle name="Comma 4 6 9 3" xfId="13080" xr:uid="{8CD04B6E-2EEC-4ADD-AF96-69CD9E648619}"/>
    <cellStyle name="Comma 4 7" xfId="160" xr:uid="{00000000-0005-0000-0000-00006A0A0000}"/>
    <cellStyle name="Comma 4 7 10" xfId="17311" xr:uid="{C57252E4-AEA1-4AB6-B0E0-01BCC5EB5331}"/>
    <cellStyle name="Comma 4 7 11" xfId="8863" xr:uid="{8916BE37-B2A7-4C6F-9633-69FE69F94EBD}"/>
    <cellStyle name="Comma 4 7 2" xfId="697" xr:uid="{00000000-0005-0000-0000-00006B0A0000}"/>
    <cellStyle name="Comma 4 7 2 2" xfId="2968" xr:uid="{00000000-0005-0000-0000-00006C0A0000}"/>
    <cellStyle name="Comma 4 7 2 2 2" xfId="7190" xr:uid="{00000000-0005-0000-0000-00006D0A0000}"/>
    <cellStyle name="Comma 4 7 2 2 2 2" xfId="24088" xr:uid="{3D23ADEC-7406-45D0-9C05-842C36CCFDB1}"/>
    <cellStyle name="Comma 4 7 2 2 2 3" xfId="15640" xr:uid="{D2959508-9A31-4810-82B6-99F1BC25B5A0}"/>
    <cellStyle name="Comma 4 7 2 2 3" xfId="19870" xr:uid="{8F05D126-E500-4DC4-A79E-7CC3C35E6894}"/>
    <cellStyle name="Comma 4 7 2 2 4" xfId="11422" xr:uid="{E088890E-0919-497E-8F44-1145F2B77E8B}"/>
    <cellStyle name="Comma 4 7 2 3" xfId="5045" xr:uid="{00000000-0005-0000-0000-00006E0A0000}"/>
    <cellStyle name="Comma 4 7 2 3 2" xfId="21943" xr:uid="{92285519-FF88-4EB1-BE46-3BAABEC5D86C}"/>
    <cellStyle name="Comma 4 7 2 3 3" xfId="13495" xr:uid="{97171161-82A3-4B61-8DE1-E63D105FDBB5}"/>
    <cellStyle name="Comma 4 7 2 4" xfId="17725" xr:uid="{3C53713D-7477-487C-AE91-88FC7A05C073}"/>
    <cellStyle name="Comma 4 7 2 5" xfId="9277" xr:uid="{4048D785-06BF-44FF-A914-ACDE57A340B7}"/>
    <cellStyle name="Comma 4 7 3" xfId="1150" xr:uid="{00000000-0005-0000-0000-00006F0A0000}"/>
    <cellStyle name="Comma 4 7 3 2" xfId="3381" xr:uid="{00000000-0005-0000-0000-0000700A0000}"/>
    <cellStyle name="Comma 4 7 3 2 2" xfId="7603" xr:uid="{00000000-0005-0000-0000-0000710A0000}"/>
    <cellStyle name="Comma 4 7 3 2 2 2" xfId="24501" xr:uid="{5E594523-89E8-418B-B0CE-513D98B62646}"/>
    <cellStyle name="Comma 4 7 3 2 2 3" xfId="16053" xr:uid="{280BB987-6FE5-4064-BE9C-1941BDCAA6A3}"/>
    <cellStyle name="Comma 4 7 3 2 3" xfId="20283" xr:uid="{1D672BC7-4650-41C5-BB50-20BB4555700A}"/>
    <cellStyle name="Comma 4 7 3 2 4" xfId="11835" xr:uid="{76BBC810-EC7E-4918-A0A1-C642930A5FDD}"/>
    <cellStyle name="Comma 4 7 3 3" xfId="5458" xr:uid="{00000000-0005-0000-0000-0000720A0000}"/>
    <cellStyle name="Comma 4 7 3 3 2" xfId="22356" xr:uid="{ECD7AABA-144A-460F-8D2B-5843F3391377}"/>
    <cellStyle name="Comma 4 7 3 3 3" xfId="13908" xr:uid="{EDB6C490-7131-4AEA-955A-7B130FEE4D4A}"/>
    <cellStyle name="Comma 4 7 3 4" xfId="18138" xr:uid="{194171CF-A71B-4A7E-80BB-643D95FCF401}"/>
    <cellStyle name="Comma 4 7 3 5" xfId="9690" xr:uid="{2268940E-6025-4B9B-926B-212134549091}"/>
    <cellStyle name="Comma 4 7 4" xfId="1564" xr:uid="{00000000-0005-0000-0000-0000730A0000}"/>
    <cellStyle name="Comma 4 7 4 2" xfId="3794" xr:uid="{00000000-0005-0000-0000-0000740A0000}"/>
    <cellStyle name="Comma 4 7 4 2 2" xfId="8016" xr:uid="{00000000-0005-0000-0000-0000750A0000}"/>
    <cellStyle name="Comma 4 7 4 2 2 2" xfId="24914" xr:uid="{2EC0E9EF-1D98-4B3D-B4EA-4A2929C8FFDE}"/>
    <cellStyle name="Comma 4 7 4 2 2 3" xfId="16466" xr:uid="{8E697DC1-50E7-459F-9D25-BA15ED17A4D3}"/>
    <cellStyle name="Comma 4 7 4 2 3" xfId="20696" xr:uid="{4AFF5361-147C-4F97-B295-1987236BF4C9}"/>
    <cellStyle name="Comma 4 7 4 2 4" xfId="12248" xr:uid="{BB411CD5-F873-44CD-B56D-B81DD6883F59}"/>
    <cellStyle name="Comma 4 7 4 3" xfId="5871" xr:uid="{00000000-0005-0000-0000-0000760A0000}"/>
    <cellStyle name="Comma 4 7 4 3 2" xfId="22769" xr:uid="{E8BB3C25-8865-4B2F-85F0-319AABD7CBCF}"/>
    <cellStyle name="Comma 4 7 4 3 3" xfId="14321" xr:uid="{A4A4E4A3-9586-4344-8A14-63BC64B7B19D}"/>
    <cellStyle name="Comma 4 7 4 4" xfId="18551" xr:uid="{057F9366-2E59-4906-B7D9-F6A3682AC4E9}"/>
    <cellStyle name="Comma 4 7 4 5" xfId="10103" xr:uid="{A13C7F81-4345-4442-9857-766A8D5545AF}"/>
    <cellStyle name="Comma 4 7 5" xfId="1978" xr:uid="{00000000-0005-0000-0000-0000770A0000}"/>
    <cellStyle name="Comma 4 7 5 2" xfId="4207" xr:uid="{00000000-0005-0000-0000-0000780A0000}"/>
    <cellStyle name="Comma 4 7 5 2 2" xfId="8429" xr:uid="{00000000-0005-0000-0000-0000790A0000}"/>
    <cellStyle name="Comma 4 7 5 2 2 2" xfId="25327" xr:uid="{57654741-505F-4649-955D-B9F66E4E1ABF}"/>
    <cellStyle name="Comma 4 7 5 2 2 3" xfId="16879" xr:uid="{06B318B2-45A1-4F2C-A548-D3F9A79EABBE}"/>
    <cellStyle name="Comma 4 7 5 2 3" xfId="21109" xr:uid="{FB5B4034-505C-4E7A-9695-7CBAC9B2BBE3}"/>
    <cellStyle name="Comma 4 7 5 2 4" xfId="12661" xr:uid="{61780689-3799-4606-A8BE-18570263C8F1}"/>
    <cellStyle name="Comma 4 7 5 3" xfId="6284" xr:uid="{00000000-0005-0000-0000-00007A0A0000}"/>
    <cellStyle name="Comma 4 7 5 3 2" xfId="23182" xr:uid="{4FE0EBDF-26A6-423C-9A98-94E5EB0F9DBA}"/>
    <cellStyle name="Comma 4 7 5 3 3" xfId="14734" xr:uid="{483829C6-8AE4-446B-B8F5-FEB0767F7113}"/>
    <cellStyle name="Comma 4 7 5 4" xfId="18964" xr:uid="{49EF29F0-4BC3-48CB-9DC8-3161E3280730}"/>
    <cellStyle name="Comma 4 7 5 5" xfId="10516" xr:uid="{65B3A451-71EA-426D-9B31-522AFECF0398}"/>
    <cellStyle name="Comma 4 7 6" xfId="2413" xr:uid="{00000000-0005-0000-0000-00007B0A0000}"/>
    <cellStyle name="Comma 4 7 6 2" xfId="6697" xr:uid="{00000000-0005-0000-0000-00007C0A0000}"/>
    <cellStyle name="Comma 4 7 6 2 2" xfId="23595" xr:uid="{005DEB79-B521-4039-83EC-72154AAB52DA}"/>
    <cellStyle name="Comma 4 7 6 2 3" xfId="15147" xr:uid="{05A35A63-F9B7-43B1-91E1-8247D3010984}"/>
    <cellStyle name="Comma 4 7 6 3" xfId="19377" xr:uid="{4E607C12-BB1D-4416-896D-BD497E9B57E5}"/>
    <cellStyle name="Comma 4 7 6 4" xfId="10929" xr:uid="{56A9D7C4-BE94-4ADA-8BF1-E5F330F3861B}"/>
    <cellStyle name="Comma 4 7 7" xfId="2709" xr:uid="{00000000-0005-0000-0000-00007D0A0000}"/>
    <cellStyle name="Comma 4 7 8" xfId="2791" xr:uid="{00000000-0005-0000-0000-00007E0A0000}"/>
    <cellStyle name="Comma 4 7 8 2" xfId="7014" xr:uid="{00000000-0005-0000-0000-00007F0A0000}"/>
    <cellStyle name="Comma 4 7 8 2 2" xfId="23912" xr:uid="{576ABDE5-9D35-4BA0-968E-35DA3B470373}"/>
    <cellStyle name="Comma 4 7 8 2 3" xfId="15464" xr:uid="{90C7E536-BD5E-4056-9155-5D4C0CA896D4}"/>
    <cellStyle name="Comma 4 7 8 3" xfId="19694" xr:uid="{D74BBE4E-3BB8-449B-BC8D-72C5DB09622E}"/>
    <cellStyle name="Comma 4 7 8 4" xfId="11246" xr:uid="{05B2149F-408C-4221-8DAE-D65AF6253F13}"/>
    <cellStyle name="Comma 4 7 9" xfId="4631" xr:uid="{00000000-0005-0000-0000-0000800A0000}"/>
    <cellStyle name="Comma 4 7 9 2" xfId="21529" xr:uid="{12A04398-219F-43E4-889D-E9FAEC5112B5}"/>
    <cellStyle name="Comma 4 7 9 3" xfId="13081" xr:uid="{7DCBC66E-FF83-4C8A-80FA-F0947CD990FF}"/>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21397" xr:uid="{2FA5A6E2-FEBC-41B6-A091-562D48748F4E}"/>
    <cellStyle name="Comma 7 3" xfId="12949" xr:uid="{89DADB73-DA80-4B96-917B-B236F217F6B7}"/>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25614" xr:uid="{9C9DE144-6D9A-44F3-B3BE-AC8F1CE5B10E}"/>
    <cellStyle name="Currency 14 2 3" xfId="17166" xr:uid="{D45B939B-8690-416E-9409-2D7FA40D6FAB}"/>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25630" xr:uid="{F3BE7A60-D0A8-45B4-9D58-F2917978F8C8}"/>
    <cellStyle name="Currency 14 3 2 2 2 2 3" xfId="17182" xr:uid="{7A365C42-BEE7-4FCC-B088-4DFA32803BE4}"/>
    <cellStyle name="Currency 14 3 2 2 2 3" xfId="25627" xr:uid="{950355D7-4F21-48F1-B5FB-DCDCCF1AEC01}"/>
    <cellStyle name="Currency 14 3 2 2 2 4" xfId="17179" xr:uid="{EE2F6CFE-C3DE-48B3-9B80-6DA9AED5FC4E}"/>
    <cellStyle name="Currency 14 3 2 2 3" xfId="25623" xr:uid="{41E490FB-4DE1-475A-8B1D-0D1A66D9F63A}"/>
    <cellStyle name="Currency 14 3 2 2 4" xfId="17175" xr:uid="{8A97C407-4A14-4002-99A5-B7C39303246D}"/>
    <cellStyle name="Currency 14 3 2 3" xfId="25620" xr:uid="{510AA571-831B-453D-A23E-B2BCA4B08186}"/>
    <cellStyle name="Currency 14 3 2 4" xfId="17172" xr:uid="{424A1FB7-0D4C-4A78-B546-5D3495C4AD04}"/>
    <cellStyle name="Currency 14 3 3" xfId="25617" xr:uid="{56F6B270-BD91-41A7-A2CC-CD619F2F9002}"/>
    <cellStyle name="Currency 14 3 4" xfId="17169" xr:uid="{FFD3C0F0-9141-46A4-83F4-80B6082913C7}"/>
    <cellStyle name="Currency 14 4" xfId="21400" xr:uid="{4A8E57F9-7761-42AD-A273-0C64ED9A8CC6}"/>
    <cellStyle name="Currency 14 5" xfId="12952" xr:uid="{CE0D46E5-D747-46D9-8C8B-7A43DF810AB5}"/>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23913" xr:uid="{CE36AE96-B6C3-4B4B-8BE8-2434039D4F8A}"/>
    <cellStyle name="Currency 3 2 2 10 2 3" xfId="15465" xr:uid="{F7138C39-4A76-4F4E-B749-71B2C1EAA120}"/>
    <cellStyle name="Currency 3 2 2 10 3" xfId="19695" xr:uid="{EF7AC3A4-2BEC-40BF-9133-870C26F1B058}"/>
    <cellStyle name="Currency 3 2 2 10 4" xfId="11247" xr:uid="{833B035D-AC81-4D13-B93A-26DB31C02DC1}"/>
    <cellStyle name="Currency 3 2 2 11" xfId="4632" xr:uid="{00000000-0005-0000-0000-0000A50A0000}"/>
    <cellStyle name="Currency 3 2 2 11 2" xfId="21530" xr:uid="{49DEA0A0-E8F2-44AB-836A-E096F16FE28B}"/>
    <cellStyle name="Currency 3 2 2 11 3" xfId="13082" xr:uid="{B5F18786-BB7A-4EF1-B03F-913B69C2E45B}"/>
    <cellStyle name="Currency 3 2 2 12" xfId="17312" xr:uid="{B2848FE2-CA62-419C-BB1E-CF00E6AAF212}"/>
    <cellStyle name="Currency 3 2 2 13" xfId="8864" xr:uid="{7F24EAC0-B7D1-48F8-ADF2-8D5521ABA36D}"/>
    <cellStyle name="Currency 3 2 2 2" xfId="179" xr:uid="{00000000-0005-0000-0000-0000A60A0000}"/>
    <cellStyle name="Currency 3 2 2 2 10" xfId="4633" xr:uid="{00000000-0005-0000-0000-0000A70A0000}"/>
    <cellStyle name="Currency 3 2 2 2 10 2" xfId="21531" xr:uid="{823B1983-13C8-4BB2-B78E-32B8C099157A}"/>
    <cellStyle name="Currency 3 2 2 2 10 3" xfId="13083" xr:uid="{AF507207-FE82-4E2E-908A-343683D44A5E}"/>
    <cellStyle name="Currency 3 2 2 2 11" xfId="17313" xr:uid="{F18F2A3C-3127-443F-AF7D-66E4F3919806}"/>
    <cellStyle name="Currency 3 2 2 2 12" xfId="8865" xr:uid="{F71DDF20-2FDF-4925-9A64-06C9BD2AE4D8}"/>
    <cellStyle name="Currency 3 2 2 2 2" xfId="180" xr:uid="{00000000-0005-0000-0000-0000A80A0000}"/>
    <cellStyle name="Currency 3 2 2 2 2 10" xfId="17314" xr:uid="{F90E9355-9899-4D23-85C2-5CBD67EC24A9}"/>
    <cellStyle name="Currency 3 2 2 2 2 11" xfId="8866" xr:uid="{97B083C3-12BE-4830-B5D2-AA29C83858BF}"/>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24091" xr:uid="{ECD7196F-AE68-4CB9-891E-1F1A05954B37}"/>
    <cellStyle name="Currency 3 2 2 2 2 2 2 2 3" xfId="15643" xr:uid="{7B9AA61D-A2BC-4789-9C79-D9DDDCE7FF24}"/>
    <cellStyle name="Currency 3 2 2 2 2 2 2 3" xfId="19873" xr:uid="{0D630160-2B8E-47FD-B410-9576A1E12BEF}"/>
    <cellStyle name="Currency 3 2 2 2 2 2 2 4" xfId="11425" xr:uid="{809817BF-276A-4D20-9C16-E1F958BBD78E}"/>
    <cellStyle name="Currency 3 2 2 2 2 2 3" xfId="5048" xr:uid="{00000000-0005-0000-0000-0000AC0A0000}"/>
    <cellStyle name="Currency 3 2 2 2 2 2 3 2" xfId="21946" xr:uid="{7A4AE37A-5F24-42CE-AE9D-FC08AD18CEDC}"/>
    <cellStyle name="Currency 3 2 2 2 2 2 3 3" xfId="13498" xr:uid="{20FE2356-204A-48CB-8C2E-BC7A3E29B4DF}"/>
    <cellStyle name="Currency 3 2 2 2 2 2 4" xfId="17728" xr:uid="{BDCA5707-81C1-4143-8E6E-2A1C0312A09C}"/>
    <cellStyle name="Currency 3 2 2 2 2 2 5" xfId="9280" xr:uid="{F200A8DB-10E5-4234-8002-8352E4E57EC7}"/>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24504" xr:uid="{C45DB837-7F62-435C-90DB-BB86553EE2D6}"/>
    <cellStyle name="Currency 3 2 2 2 2 3 2 2 3" xfId="16056" xr:uid="{722527E0-D36F-4E75-A40F-B0D42A067547}"/>
    <cellStyle name="Currency 3 2 2 2 2 3 2 3" xfId="20286" xr:uid="{B9F9CE73-C6B5-4F3A-A9F6-46F041ADD1B9}"/>
    <cellStyle name="Currency 3 2 2 2 2 3 2 4" xfId="11838" xr:uid="{435F4DCE-521F-4613-894D-1A446BC85B20}"/>
    <cellStyle name="Currency 3 2 2 2 2 3 3" xfId="5461" xr:uid="{00000000-0005-0000-0000-0000B00A0000}"/>
    <cellStyle name="Currency 3 2 2 2 2 3 3 2" xfId="22359" xr:uid="{A7331E30-A9CD-482C-A4CE-38710CB072C7}"/>
    <cellStyle name="Currency 3 2 2 2 2 3 3 3" xfId="13911" xr:uid="{A02C4660-1DCB-4747-A7AD-E3B2C73A8637}"/>
    <cellStyle name="Currency 3 2 2 2 2 3 4" xfId="18141" xr:uid="{B23DD6A9-A412-41EC-BA0B-B82DE590F97D}"/>
    <cellStyle name="Currency 3 2 2 2 2 3 5" xfId="9693" xr:uid="{95E5AB4A-826B-4BF6-A3B6-3C4E153E433C}"/>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24917" xr:uid="{F2C30BAB-C94B-4060-B61A-35CCD9189763}"/>
    <cellStyle name="Currency 3 2 2 2 2 4 2 2 3" xfId="16469" xr:uid="{C612F6E4-E2A1-4FC7-8229-665CC6B9DB02}"/>
    <cellStyle name="Currency 3 2 2 2 2 4 2 3" xfId="20699" xr:uid="{7997D0AA-B5EA-42AF-A012-084E3FF0FF5D}"/>
    <cellStyle name="Currency 3 2 2 2 2 4 2 4" xfId="12251" xr:uid="{D8F1C625-AE21-4AD2-B45D-5F544DFE63A0}"/>
    <cellStyle name="Currency 3 2 2 2 2 4 3" xfId="5874" xr:uid="{00000000-0005-0000-0000-0000B40A0000}"/>
    <cellStyle name="Currency 3 2 2 2 2 4 3 2" xfId="22772" xr:uid="{DBBDE11F-72B6-4055-9A68-8A7DBBD080FF}"/>
    <cellStyle name="Currency 3 2 2 2 2 4 3 3" xfId="14324" xr:uid="{345FFAE0-3A61-4DD8-BF19-E814800B24D7}"/>
    <cellStyle name="Currency 3 2 2 2 2 4 4" xfId="18554" xr:uid="{D7FA9B86-06C8-4A94-A0F3-58D6DF71E0AD}"/>
    <cellStyle name="Currency 3 2 2 2 2 4 5" xfId="10106" xr:uid="{F82405AF-E78C-452D-A399-274184F0ECEE}"/>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25330" xr:uid="{4EEF739A-5029-4E96-8020-E73609685E4B}"/>
    <cellStyle name="Currency 3 2 2 2 2 5 2 2 3" xfId="16882" xr:uid="{49C6C0DF-EB0A-49F8-9E4A-76DCBACCBDA7}"/>
    <cellStyle name="Currency 3 2 2 2 2 5 2 3" xfId="21112" xr:uid="{40551DD5-0396-4654-BFD5-626ED944FEFF}"/>
    <cellStyle name="Currency 3 2 2 2 2 5 2 4" xfId="12664" xr:uid="{224D621D-702A-400E-87FD-87F083B7BE88}"/>
    <cellStyle name="Currency 3 2 2 2 2 5 3" xfId="6287" xr:uid="{00000000-0005-0000-0000-0000B80A0000}"/>
    <cellStyle name="Currency 3 2 2 2 2 5 3 2" xfId="23185" xr:uid="{ED65E46D-FE9B-4403-BC31-D11948198807}"/>
    <cellStyle name="Currency 3 2 2 2 2 5 3 3" xfId="14737" xr:uid="{2AD86311-6906-454D-97FB-B038BD2D1E56}"/>
    <cellStyle name="Currency 3 2 2 2 2 5 4" xfId="18967" xr:uid="{2BBAD15C-4FEE-459F-9656-50F24331016D}"/>
    <cellStyle name="Currency 3 2 2 2 2 5 5" xfId="10519" xr:uid="{FD76F932-961D-4CF0-81F6-CBC3F006D39E}"/>
    <cellStyle name="Currency 3 2 2 2 2 6" xfId="2416" xr:uid="{00000000-0005-0000-0000-0000B90A0000}"/>
    <cellStyle name="Currency 3 2 2 2 2 6 2" xfId="6700" xr:uid="{00000000-0005-0000-0000-0000BA0A0000}"/>
    <cellStyle name="Currency 3 2 2 2 2 6 2 2" xfId="23598" xr:uid="{16F41612-6239-45BF-9137-0CDA3381F47C}"/>
    <cellStyle name="Currency 3 2 2 2 2 6 2 3" xfId="15150" xr:uid="{566E5C75-0AC8-4638-8E8F-FF3958018D8C}"/>
    <cellStyle name="Currency 3 2 2 2 2 6 3" xfId="19380" xr:uid="{E55E25FC-5937-45AD-974D-BF03D0B760A1}"/>
    <cellStyle name="Currency 3 2 2 2 2 6 4" xfId="10932" xr:uid="{410B9B30-D8BF-4BA0-AA37-85AB6E3A7289}"/>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23915" xr:uid="{6DF97472-6740-4278-BE80-31EDCB57ECEC}"/>
    <cellStyle name="Currency 3 2 2 2 2 8 2 3" xfId="15467" xr:uid="{B7BB96F8-FF63-44B1-B012-8FF72663C107}"/>
    <cellStyle name="Currency 3 2 2 2 2 8 3" xfId="19697" xr:uid="{D9AF7BD1-FA28-47B5-8EBD-8079C4451B62}"/>
    <cellStyle name="Currency 3 2 2 2 2 8 4" xfId="11249" xr:uid="{194EE607-F068-4BFA-B5F4-A2F7EF879AD6}"/>
    <cellStyle name="Currency 3 2 2 2 2 9" xfId="4634" xr:uid="{00000000-0005-0000-0000-0000BE0A0000}"/>
    <cellStyle name="Currency 3 2 2 2 2 9 2" xfId="21532" xr:uid="{25ADA88A-2868-4F70-A740-C0A5E3B09E2F}"/>
    <cellStyle name="Currency 3 2 2 2 2 9 3" xfId="13084" xr:uid="{B09907D2-24B5-43EA-B1A2-15DAEF379E41}"/>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24090" xr:uid="{FBD1FC04-4098-4D51-AED0-D895845870DF}"/>
    <cellStyle name="Currency 3 2 2 2 3 2 2 3" xfId="15642" xr:uid="{D7B1F74C-9CB2-4723-9AA4-3BECDA01B2EB}"/>
    <cellStyle name="Currency 3 2 2 2 3 2 3" xfId="19872" xr:uid="{C2EE5DD2-8756-4895-9457-89B7DD78B220}"/>
    <cellStyle name="Currency 3 2 2 2 3 2 4" xfId="11424" xr:uid="{502C20A7-BE62-42CF-90C8-EC995571C99D}"/>
    <cellStyle name="Currency 3 2 2 2 3 3" xfId="5047" xr:uid="{00000000-0005-0000-0000-0000C20A0000}"/>
    <cellStyle name="Currency 3 2 2 2 3 3 2" xfId="21945" xr:uid="{E9494AA1-E584-4909-AE78-64A63881B9FB}"/>
    <cellStyle name="Currency 3 2 2 2 3 3 3" xfId="13497" xr:uid="{E70AE240-5376-4878-BA80-9F3A07DC685C}"/>
    <cellStyle name="Currency 3 2 2 2 3 4" xfId="17727" xr:uid="{8E34CDFA-DEB1-4191-A243-62BF7814A69B}"/>
    <cellStyle name="Currency 3 2 2 2 3 5" xfId="9279" xr:uid="{36D9D0E8-9BF7-4050-9C6E-24AD93AD3B1B}"/>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24503" xr:uid="{D53B9ABC-EF58-4255-A2C2-A1E8C2EC32D2}"/>
    <cellStyle name="Currency 3 2 2 2 4 2 2 3" xfId="16055" xr:uid="{3CDD9149-5140-4328-A860-30F3F32C598B}"/>
    <cellStyle name="Currency 3 2 2 2 4 2 3" xfId="20285" xr:uid="{2932ADE1-9C13-4D7E-AEDA-8791D9FFD534}"/>
    <cellStyle name="Currency 3 2 2 2 4 2 4" xfId="11837" xr:uid="{9D9A69CD-1EF7-42E4-8010-EEF49CAFCB4C}"/>
    <cellStyle name="Currency 3 2 2 2 4 3" xfId="5460" xr:uid="{00000000-0005-0000-0000-0000C60A0000}"/>
    <cellStyle name="Currency 3 2 2 2 4 3 2" xfId="22358" xr:uid="{83B9FFD8-45E0-4BD1-B70C-31E2C2DDAA21}"/>
    <cellStyle name="Currency 3 2 2 2 4 3 3" xfId="13910" xr:uid="{52C8A953-7E96-4424-B707-C0EE55E56917}"/>
    <cellStyle name="Currency 3 2 2 2 4 4" xfId="18140" xr:uid="{C30254B9-E1B2-4FCA-BBC8-C1D6BB62B1C0}"/>
    <cellStyle name="Currency 3 2 2 2 4 5" xfId="9692" xr:uid="{68A9F4D6-EB70-4125-A283-78A2353D506D}"/>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24916" xr:uid="{DFB582D0-C44E-42C7-AB2E-37D70244C1F4}"/>
    <cellStyle name="Currency 3 2 2 2 5 2 2 3" xfId="16468" xr:uid="{F0C73D67-8BED-4A84-9686-A806D8700728}"/>
    <cellStyle name="Currency 3 2 2 2 5 2 3" xfId="20698" xr:uid="{D4C26BFB-FDD0-4C29-A0FF-91512C8696BB}"/>
    <cellStyle name="Currency 3 2 2 2 5 2 4" xfId="12250" xr:uid="{384197E1-F603-4A7B-A54B-1BFAD50749C1}"/>
    <cellStyle name="Currency 3 2 2 2 5 3" xfId="5873" xr:uid="{00000000-0005-0000-0000-0000CA0A0000}"/>
    <cellStyle name="Currency 3 2 2 2 5 3 2" xfId="22771" xr:uid="{C4781C98-6630-4BB0-B437-228AE211AE55}"/>
    <cellStyle name="Currency 3 2 2 2 5 3 3" xfId="14323" xr:uid="{AE507DD4-1091-4089-B693-54FB2D1BD440}"/>
    <cellStyle name="Currency 3 2 2 2 5 4" xfId="18553" xr:uid="{7E95034A-B563-4C5E-9B7F-4AB20D81353B}"/>
    <cellStyle name="Currency 3 2 2 2 5 5" xfId="10105" xr:uid="{C2AF563C-C13E-4668-9FE8-2C95B77A3C44}"/>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25329" xr:uid="{1F33D382-BF11-48A0-B855-5C0C7EAD0831}"/>
    <cellStyle name="Currency 3 2 2 2 6 2 2 3" xfId="16881" xr:uid="{33FB3991-96A3-477F-A20B-DA5E95815DCD}"/>
    <cellStyle name="Currency 3 2 2 2 6 2 3" xfId="21111" xr:uid="{DCFF70A4-339C-45DD-9E26-AF5947DC01CF}"/>
    <cellStyle name="Currency 3 2 2 2 6 2 4" xfId="12663" xr:uid="{A582F9C9-6117-4427-ABA1-BB7DA2F13CC9}"/>
    <cellStyle name="Currency 3 2 2 2 6 3" xfId="6286" xr:uid="{00000000-0005-0000-0000-0000CE0A0000}"/>
    <cellStyle name="Currency 3 2 2 2 6 3 2" xfId="23184" xr:uid="{B2802FB2-AAB0-4A69-A9B2-AF7714503757}"/>
    <cellStyle name="Currency 3 2 2 2 6 3 3" xfId="14736" xr:uid="{94663B48-5CC8-4B71-95A6-B8A254FFE8CD}"/>
    <cellStyle name="Currency 3 2 2 2 6 4" xfId="18966" xr:uid="{C5E8C09F-C6D0-4BF7-A46E-27BAC20A91AD}"/>
    <cellStyle name="Currency 3 2 2 2 6 5" xfId="10518" xr:uid="{6E3E76C3-D8CC-4B23-98DD-FD3980E9E760}"/>
    <cellStyle name="Currency 3 2 2 2 7" xfId="2415" xr:uid="{00000000-0005-0000-0000-0000CF0A0000}"/>
    <cellStyle name="Currency 3 2 2 2 7 2" xfId="6699" xr:uid="{00000000-0005-0000-0000-0000D00A0000}"/>
    <cellStyle name="Currency 3 2 2 2 7 2 2" xfId="23597" xr:uid="{32584C2D-4DE5-47C2-BF5A-83F23BD87226}"/>
    <cellStyle name="Currency 3 2 2 2 7 2 3" xfId="15149" xr:uid="{1352E734-3F73-4403-ADE7-022B0BAA105B}"/>
    <cellStyle name="Currency 3 2 2 2 7 3" xfId="19379" xr:uid="{F10F9A9C-278E-44AF-BA0F-FCBD7B7800D2}"/>
    <cellStyle name="Currency 3 2 2 2 7 4" xfId="10931" xr:uid="{BD07D226-8F8D-4DA4-B460-52C6860D44FB}"/>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23914" xr:uid="{20BE0732-5947-4306-9940-A49B91BBB768}"/>
    <cellStyle name="Currency 3 2 2 2 9 2 3" xfId="15466" xr:uid="{EDA0B4A9-BB27-4C6A-88B4-F99DED869C25}"/>
    <cellStyle name="Currency 3 2 2 2 9 3" xfId="19696" xr:uid="{E8DCA950-A036-4215-A2EA-7C4E589A0BE7}"/>
    <cellStyle name="Currency 3 2 2 2 9 4" xfId="11248" xr:uid="{C757188F-8020-470B-B8CB-0B38AD8AA636}"/>
    <cellStyle name="Currency 3 2 2 3" xfId="181" xr:uid="{00000000-0005-0000-0000-0000D40A0000}"/>
    <cellStyle name="Currency 3 2 2 3 10" xfId="17315" xr:uid="{B46197E4-736F-480A-8E93-06D5438E8B82}"/>
    <cellStyle name="Currency 3 2 2 3 11" xfId="8867" xr:uid="{B8849267-1A43-4278-AA47-E4A957EF1C1B}"/>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24092" xr:uid="{16723E14-B1CD-4CB8-919E-6CA8D2693FFF}"/>
    <cellStyle name="Currency 3 2 2 3 2 2 2 3" xfId="15644" xr:uid="{C354E4C0-FCC6-4911-BF7A-7066C5208C5C}"/>
    <cellStyle name="Currency 3 2 2 3 2 2 3" xfId="19874" xr:uid="{2B644A3F-B8E3-4073-87F9-11479A0B297E}"/>
    <cellStyle name="Currency 3 2 2 3 2 2 4" xfId="11426" xr:uid="{F585E215-8251-45DE-93E4-53ECDEED93DE}"/>
    <cellStyle name="Currency 3 2 2 3 2 3" xfId="5049" xr:uid="{00000000-0005-0000-0000-0000D80A0000}"/>
    <cellStyle name="Currency 3 2 2 3 2 3 2" xfId="21947" xr:uid="{A85EA8B4-39B1-4FF9-B3FD-0CC2E3B51C5E}"/>
    <cellStyle name="Currency 3 2 2 3 2 3 3" xfId="13499" xr:uid="{760FA559-F317-4A1F-B545-7426C4863910}"/>
    <cellStyle name="Currency 3 2 2 3 2 4" xfId="17729" xr:uid="{EAD3DD30-855C-4396-9F50-434431010355}"/>
    <cellStyle name="Currency 3 2 2 3 2 5" xfId="9281" xr:uid="{83D57C26-DD65-4455-A71F-4CDECB21DC25}"/>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24505" xr:uid="{7DD546CE-C05A-4FE0-A08E-E1BA1B3AB9D2}"/>
    <cellStyle name="Currency 3 2 2 3 3 2 2 3" xfId="16057" xr:uid="{5DD7C15E-3721-4F47-B657-DEA15019BAB3}"/>
    <cellStyle name="Currency 3 2 2 3 3 2 3" xfId="20287" xr:uid="{F1E60637-F26F-42FF-B270-EEFCCCA2CC13}"/>
    <cellStyle name="Currency 3 2 2 3 3 2 4" xfId="11839" xr:uid="{C5CDF10B-1610-498A-9A56-5165BC65D7CB}"/>
    <cellStyle name="Currency 3 2 2 3 3 3" xfId="5462" xr:uid="{00000000-0005-0000-0000-0000DC0A0000}"/>
    <cellStyle name="Currency 3 2 2 3 3 3 2" xfId="22360" xr:uid="{EE76C556-A2CC-450B-A42A-F90AA8818324}"/>
    <cellStyle name="Currency 3 2 2 3 3 3 3" xfId="13912" xr:uid="{013FAFE7-7A74-4F80-8E4A-A9EA64B9D195}"/>
    <cellStyle name="Currency 3 2 2 3 3 4" xfId="18142" xr:uid="{1512CE84-D350-42A6-8BE2-A1EB64E43CC3}"/>
    <cellStyle name="Currency 3 2 2 3 3 5" xfId="9694" xr:uid="{EAC245A0-0EC4-4831-A763-B77375A2FB42}"/>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24918" xr:uid="{31D0B76F-7BF0-4FFC-9525-2A6CAF3DFEC5}"/>
    <cellStyle name="Currency 3 2 2 3 4 2 2 3" xfId="16470" xr:uid="{73A3895A-DDC9-489F-95E9-F47132358676}"/>
    <cellStyle name="Currency 3 2 2 3 4 2 3" xfId="20700" xr:uid="{C206973A-EC16-4A84-AD2A-2B7E79158B08}"/>
    <cellStyle name="Currency 3 2 2 3 4 2 4" xfId="12252" xr:uid="{E9447564-EEB0-470B-80C6-D5CECF4A4E25}"/>
    <cellStyle name="Currency 3 2 2 3 4 3" xfId="5875" xr:uid="{00000000-0005-0000-0000-0000E00A0000}"/>
    <cellStyle name="Currency 3 2 2 3 4 3 2" xfId="22773" xr:uid="{628E520C-507D-4136-B2E6-CBE928D303F8}"/>
    <cellStyle name="Currency 3 2 2 3 4 3 3" xfId="14325" xr:uid="{EA1AE36D-D0A8-43EE-8A3A-E649C155FFA0}"/>
    <cellStyle name="Currency 3 2 2 3 4 4" xfId="18555" xr:uid="{24EE9CF5-0A31-4C54-B3A1-BFB601DC0890}"/>
    <cellStyle name="Currency 3 2 2 3 4 5" xfId="10107" xr:uid="{79D4A6D9-840E-4A28-A0C1-BB679216C6CF}"/>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25331" xr:uid="{2EA8EF72-B632-4867-B0D7-63BC4A586248}"/>
    <cellStyle name="Currency 3 2 2 3 5 2 2 3" xfId="16883" xr:uid="{61A4B30B-4050-49EE-821B-7B3C537D96FF}"/>
    <cellStyle name="Currency 3 2 2 3 5 2 3" xfId="21113" xr:uid="{CA95633A-D2B6-472B-B70C-3BBF8E3404CF}"/>
    <cellStyle name="Currency 3 2 2 3 5 2 4" xfId="12665" xr:uid="{97ABD08E-9587-4A3C-B72F-0C7D7923C263}"/>
    <cellStyle name="Currency 3 2 2 3 5 3" xfId="6288" xr:uid="{00000000-0005-0000-0000-0000E40A0000}"/>
    <cellStyle name="Currency 3 2 2 3 5 3 2" xfId="23186" xr:uid="{7E642BC0-FCEC-4912-B8B6-F8582D85A47E}"/>
    <cellStyle name="Currency 3 2 2 3 5 3 3" xfId="14738" xr:uid="{B5E58B7E-B352-44E3-B607-9A6D03CF2BB9}"/>
    <cellStyle name="Currency 3 2 2 3 5 4" xfId="18968" xr:uid="{CA17E9E9-AA51-49E1-8AA9-FA299D1D1D3E}"/>
    <cellStyle name="Currency 3 2 2 3 5 5" xfId="10520" xr:uid="{4CCBD3B4-124B-4CA9-BCE1-8ED27A90D14F}"/>
    <cellStyle name="Currency 3 2 2 3 6" xfId="2417" xr:uid="{00000000-0005-0000-0000-0000E50A0000}"/>
    <cellStyle name="Currency 3 2 2 3 6 2" xfId="6701" xr:uid="{00000000-0005-0000-0000-0000E60A0000}"/>
    <cellStyle name="Currency 3 2 2 3 6 2 2" xfId="23599" xr:uid="{E7E022E8-C4E7-439A-B2F2-B4CB8C4B794E}"/>
    <cellStyle name="Currency 3 2 2 3 6 2 3" xfId="15151" xr:uid="{A6EE8A41-6B54-4A43-966B-48A0CF18F607}"/>
    <cellStyle name="Currency 3 2 2 3 6 3" xfId="19381" xr:uid="{BA1A52E3-B356-4C87-B176-7DCCE292BFBA}"/>
    <cellStyle name="Currency 3 2 2 3 6 4" xfId="10933" xr:uid="{589B675B-B798-4C09-809E-C1A9DFFC52B0}"/>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23916" xr:uid="{FD94C176-20FB-42E7-99E5-8F0C4EF4806A}"/>
    <cellStyle name="Currency 3 2 2 3 8 2 3" xfId="15468" xr:uid="{F321F68B-B02F-438D-A99B-34E838BF0379}"/>
    <cellStyle name="Currency 3 2 2 3 8 3" xfId="19698" xr:uid="{AA6D7031-1596-4884-9C54-B25E16DB7597}"/>
    <cellStyle name="Currency 3 2 2 3 8 4" xfId="11250" xr:uid="{B13DFDD6-A49C-4F67-819D-1BF0862118FA}"/>
    <cellStyle name="Currency 3 2 2 3 9" xfId="4635" xr:uid="{00000000-0005-0000-0000-0000EA0A0000}"/>
    <cellStyle name="Currency 3 2 2 3 9 2" xfId="21533" xr:uid="{BDDFAA07-9247-4400-9F39-77362D848450}"/>
    <cellStyle name="Currency 3 2 2 3 9 3" xfId="13085" xr:uid="{FCEFA878-F18A-40DA-AE17-487ECAB77D07}"/>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24089" xr:uid="{F8D76CA6-98E1-4F39-9AB0-24920A91EECE}"/>
    <cellStyle name="Currency 3 2 2 4 2 2 3" xfId="15641" xr:uid="{E8B6A011-6A7D-43C9-A360-849ACFF97E8B}"/>
    <cellStyle name="Currency 3 2 2 4 2 3" xfId="19871" xr:uid="{045F7504-519D-487C-A39B-127EA41BFC99}"/>
    <cellStyle name="Currency 3 2 2 4 2 4" xfId="11423" xr:uid="{3B1E3F64-1F5A-4346-8CEE-2C4909BE314F}"/>
    <cellStyle name="Currency 3 2 2 4 3" xfId="5046" xr:uid="{00000000-0005-0000-0000-0000EE0A0000}"/>
    <cellStyle name="Currency 3 2 2 4 3 2" xfId="21944" xr:uid="{60AED22B-9E65-4D7D-B6E2-772C4A9779BD}"/>
    <cellStyle name="Currency 3 2 2 4 3 3" xfId="13496" xr:uid="{993E34A4-7109-442F-B2E9-B8632147EA33}"/>
    <cellStyle name="Currency 3 2 2 4 4" xfId="17726" xr:uid="{BA0F889D-BCCA-44E0-8008-5AD2D20289A9}"/>
    <cellStyle name="Currency 3 2 2 4 5" xfId="9278" xr:uid="{01AEEF6F-17F7-494A-BE25-9825D062FA38}"/>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24502" xr:uid="{1E1951BA-45B7-47AF-A7EF-55F347D74A8D}"/>
    <cellStyle name="Currency 3 2 2 5 2 2 3" xfId="16054" xr:uid="{3A4D4E1A-E9A2-4568-9626-B73B14602799}"/>
    <cellStyle name="Currency 3 2 2 5 2 3" xfId="20284" xr:uid="{C92C9D5B-BA08-4431-B1B3-4BF1E16DCAF9}"/>
    <cellStyle name="Currency 3 2 2 5 2 4" xfId="11836" xr:uid="{84D54CA2-28F4-4273-8B6B-A5B3E1A10CFE}"/>
    <cellStyle name="Currency 3 2 2 5 3" xfId="5459" xr:uid="{00000000-0005-0000-0000-0000F20A0000}"/>
    <cellStyle name="Currency 3 2 2 5 3 2" xfId="22357" xr:uid="{5159D370-8B6C-4013-8C2E-AB677C6BA964}"/>
    <cellStyle name="Currency 3 2 2 5 3 3" xfId="13909" xr:uid="{B5A664AB-F6C5-4FAD-BFFE-09D9E8E74574}"/>
    <cellStyle name="Currency 3 2 2 5 4" xfId="18139" xr:uid="{64C372CF-E87C-4FB0-81B2-50B63835316F}"/>
    <cellStyle name="Currency 3 2 2 5 5" xfId="9691" xr:uid="{CDC1C597-73D0-45D4-BFB7-1C1BB2AE571D}"/>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24915" xr:uid="{123336C2-B1F5-49BC-AA6E-1969CE5A67BC}"/>
    <cellStyle name="Currency 3 2 2 6 2 2 3" xfId="16467" xr:uid="{E68F0936-FF69-4467-B1BD-B6922741609E}"/>
    <cellStyle name="Currency 3 2 2 6 2 3" xfId="20697" xr:uid="{5A9C07B9-133C-4122-BA98-29138053C025}"/>
    <cellStyle name="Currency 3 2 2 6 2 4" xfId="12249" xr:uid="{4D037FDF-C31D-4E63-8E3C-494E71CCD146}"/>
    <cellStyle name="Currency 3 2 2 6 3" xfId="5872" xr:uid="{00000000-0005-0000-0000-0000F60A0000}"/>
    <cellStyle name="Currency 3 2 2 6 3 2" xfId="22770" xr:uid="{9C214BB3-80F3-4D6D-8EFD-DDDEE1BC58ED}"/>
    <cellStyle name="Currency 3 2 2 6 3 3" xfId="14322" xr:uid="{8122E624-D272-42B8-9095-018C2C95E9B6}"/>
    <cellStyle name="Currency 3 2 2 6 4" xfId="18552" xr:uid="{80B5DE6B-4DCB-4833-B225-1F03DE28DFC5}"/>
    <cellStyle name="Currency 3 2 2 6 5" xfId="10104" xr:uid="{A14755BF-3164-4D0E-A52B-661635D840D0}"/>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25328" xr:uid="{416655FA-2A52-404A-B4CF-8151A1649C2F}"/>
    <cellStyle name="Currency 3 2 2 7 2 2 3" xfId="16880" xr:uid="{8AF18A8F-C359-4EBA-9E1E-8E3D1D73B3CA}"/>
    <cellStyle name="Currency 3 2 2 7 2 3" xfId="21110" xr:uid="{2749B6C5-7365-44B9-B1AD-F902AE475088}"/>
    <cellStyle name="Currency 3 2 2 7 2 4" xfId="12662" xr:uid="{8E2E7EF2-D33F-4880-9569-358615D81B27}"/>
    <cellStyle name="Currency 3 2 2 7 3" xfId="6285" xr:uid="{00000000-0005-0000-0000-0000FA0A0000}"/>
    <cellStyle name="Currency 3 2 2 7 3 2" xfId="23183" xr:uid="{E98E074C-490C-48D8-94A3-DF78CCCE4525}"/>
    <cellStyle name="Currency 3 2 2 7 3 3" xfId="14735" xr:uid="{F2A2741B-8144-49CE-A4CD-665C7EA33B11}"/>
    <cellStyle name="Currency 3 2 2 7 4" xfId="18965" xr:uid="{C368A3BC-455C-4930-AB08-904CF43BC633}"/>
    <cellStyle name="Currency 3 2 2 7 5" xfId="10517" xr:uid="{71EC2869-CA2E-4B19-BC08-DD212D99FE40}"/>
    <cellStyle name="Currency 3 2 2 8" xfId="2414" xr:uid="{00000000-0005-0000-0000-0000FB0A0000}"/>
    <cellStyle name="Currency 3 2 2 8 2" xfId="6698" xr:uid="{00000000-0005-0000-0000-0000FC0A0000}"/>
    <cellStyle name="Currency 3 2 2 8 2 2" xfId="23596" xr:uid="{387BBE28-C285-4ABF-8845-7858100B65A3}"/>
    <cellStyle name="Currency 3 2 2 8 2 3" xfId="15148" xr:uid="{C31CD775-F0B0-4514-8E9F-5886A0BBE5E8}"/>
    <cellStyle name="Currency 3 2 2 8 3" xfId="19378" xr:uid="{0643721A-6501-4FB6-B69D-7D559D011ACD}"/>
    <cellStyle name="Currency 3 2 2 8 4" xfId="10930" xr:uid="{670E62B6-D73C-4AE1-B7A0-09125DB47DDB}"/>
    <cellStyle name="Currency 3 2 2 9" xfId="2711" xr:uid="{00000000-0005-0000-0000-0000FD0A0000}"/>
    <cellStyle name="Currency 3 2 3" xfId="182" xr:uid="{00000000-0005-0000-0000-0000FE0A0000}"/>
    <cellStyle name="Currency 3 2 3 10" xfId="4636" xr:uid="{00000000-0005-0000-0000-0000FF0A0000}"/>
    <cellStyle name="Currency 3 2 3 10 2" xfId="21534" xr:uid="{65C5D252-CA78-4794-A706-BF9B24FA187B}"/>
    <cellStyle name="Currency 3 2 3 10 3" xfId="13086" xr:uid="{1A452D69-C1CC-401A-B3D3-761C3F115D5A}"/>
    <cellStyle name="Currency 3 2 3 11" xfId="17316" xr:uid="{6508AB60-5998-4CEB-A1A9-B250485B7F98}"/>
    <cellStyle name="Currency 3 2 3 12" xfId="8868" xr:uid="{C9144B98-0457-4FAB-8901-73BC4D0C2859}"/>
    <cellStyle name="Currency 3 2 3 2" xfId="183" xr:uid="{00000000-0005-0000-0000-0000000B0000}"/>
    <cellStyle name="Currency 3 2 3 2 10" xfId="17317" xr:uid="{0D4A6CC4-7F9E-4DF4-87EF-2AD52648A0D6}"/>
    <cellStyle name="Currency 3 2 3 2 11" xfId="8869" xr:uid="{C24AB564-AC59-4510-9EBA-64721DDF7E68}"/>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24094" xr:uid="{FEE82E99-17B0-47D4-9E11-A65EB77039FF}"/>
    <cellStyle name="Currency 3 2 3 2 2 2 2 3" xfId="15646" xr:uid="{40465E03-909E-4C43-8CC8-072B32BCA3F7}"/>
    <cellStyle name="Currency 3 2 3 2 2 2 3" xfId="19876" xr:uid="{39220A72-B20D-4128-B68E-ADBE1442B098}"/>
    <cellStyle name="Currency 3 2 3 2 2 2 4" xfId="11428" xr:uid="{E0EE2484-774D-443D-96D8-81BDA05BEF62}"/>
    <cellStyle name="Currency 3 2 3 2 2 3" xfId="5051" xr:uid="{00000000-0005-0000-0000-0000040B0000}"/>
    <cellStyle name="Currency 3 2 3 2 2 3 2" xfId="21949" xr:uid="{D3CD94D3-02E8-433B-90FC-38F276DE0374}"/>
    <cellStyle name="Currency 3 2 3 2 2 3 3" xfId="13501" xr:uid="{49595B24-0F28-4DA6-A151-9D1BF077742C}"/>
    <cellStyle name="Currency 3 2 3 2 2 4" xfId="17731" xr:uid="{6EAA315C-266C-4EE4-A32F-2784CBCF94F1}"/>
    <cellStyle name="Currency 3 2 3 2 2 5" xfId="9283" xr:uid="{256BD3DE-9335-4990-9D35-F595C5FBA9F5}"/>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24507" xr:uid="{0034999E-1A57-42B5-9A60-F5DA73E3D3DC}"/>
    <cellStyle name="Currency 3 2 3 2 3 2 2 3" xfId="16059" xr:uid="{D3AAFBFC-3C8D-408C-8FAB-BAEDE73E42CA}"/>
    <cellStyle name="Currency 3 2 3 2 3 2 3" xfId="20289" xr:uid="{A7C4B697-07B7-4FE7-A213-C8F67D30C3BA}"/>
    <cellStyle name="Currency 3 2 3 2 3 2 4" xfId="11841" xr:uid="{0274BDC9-8526-4538-94E8-8529DBE86F45}"/>
    <cellStyle name="Currency 3 2 3 2 3 3" xfId="5464" xr:uid="{00000000-0005-0000-0000-0000080B0000}"/>
    <cellStyle name="Currency 3 2 3 2 3 3 2" xfId="22362" xr:uid="{2D16E262-1396-42CB-A411-033A14E7F266}"/>
    <cellStyle name="Currency 3 2 3 2 3 3 3" xfId="13914" xr:uid="{CBFBECDF-0E0D-4B49-A83A-C20F9A0DCCDF}"/>
    <cellStyle name="Currency 3 2 3 2 3 4" xfId="18144" xr:uid="{CC568757-BF9F-4B98-A1B2-15BD2D678D88}"/>
    <cellStyle name="Currency 3 2 3 2 3 5" xfId="9696" xr:uid="{26B7984E-E355-4F3B-8599-4C6B92A29DD7}"/>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24920" xr:uid="{0C500B6C-270F-4A72-943C-6D52997604D8}"/>
    <cellStyle name="Currency 3 2 3 2 4 2 2 3" xfId="16472" xr:uid="{BDF9C2AE-76B5-4AC6-B8A4-079AA5543483}"/>
    <cellStyle name="Currency 3 2 3 2 4 2 3" xfId="20702" xr:uid="{59510DDC-0659-46CA-8CE6-34598D90CC3A}"/>
    <cellStyle name="Currency 3 2 3 2 4 2 4" xfId="12254" xr:uid="{8F1A2CDB-B5CB-426E-844F-800550BF0352}"/>
    <cellStyle name="Currency 3 2 3 2 4 3" xfId="5877" xr:uid="{00000000-0005-0000-0000-00000C0B0000}"/>
    <cellStyle name="Currency 3 2 3 2 4 3 2" xfId="22775" xr:uid="{0BAEA8ED-6B77-409E-A3AD-81E705AFDAD6}"/>
    <cellStyle name="Currency 3 2 3 2 4 3 3" xfId="14327" xr:uid="{63D82E97-34D9-4A8D-BFF5-9EA763D14368}"/>
    <cellStyle name="Currency 3 2 3 2 4 4" xfId="18557" xr:uid="{76391A16-ECFF-4793-BE00-510B36B8B860}"/>
    <cellStyle name="Currency 3 2 3 2 4 5" xfId="10109" xr:uid="{43B5892A-4802-4E6F-BD48-94AF52B0B283}"/>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25333" xr:uid="{D7F1A450-F566-41EF-BC62-080D8C3E55A4}"/>
    <cellStyle name="Currency 3 2 3 2 5 2 2 3" xfId="16885" xr:uid="{89E1EC65-3995-4064-A516-E569DCA5AA06}"/>
    <cellStyle name="Currency 3 2 3 2 5 2 3" xfId="21115" xr:uid="{3937539D-3C26-4D17-A296-17F38B529AB0}"/>
    <cellStyle name="Currency 3 2 3 2 5 2 4" xfId="12667" xr:uid="{2430276A-96BC-4C8E-88D0-466B58DEAB4A}"/>
    <cellStyle name="Currency 3 2 3 2 5 3" xfId="6290" xr:uid="{00000000-0005-0000-0000-0000100B0000}"/>
    <cellStyle name="Currency 3 2 3 2 5 3 2" xfId="23188" xr:uid="{64EBF593-3503-4E85-815F-01D504876D57}"/>
    <cellStyle name="Currency 3 2 3 2 5 3 3" xfId="14740" xr:uid="{50906D8D-F463-484F-923F-7BE76E7AAFDB}"/>
    <cellStyle name="Currency 3 2 3 2 5 4" xfId="18970" xr:uid="{8BC43D21-77D1-4242-A799-17C89EED46B7}"/>
    <cellStyle name="Currency 3 2 3 2 5 5" xfId="10522" xr:uid="{96567A08-030A-46EF-A113-53BB8B0781D8}"/>
    <cellStyle name="Currency 3 2 3 2 6" xfId="2419" xr:uid="{00000000-0005-0000-0000-0000110B0000}"/>
    <cellStyle name="Currency 3 2 3 2 6 2" xfId="6703" xr:uid="{00000000-0005-0000-0000-0000120B0000}"/>
    <cellStyle name="Currency 3 2 3 2 6 2 2" xfId="23601" xr:uid="{12CEB928-4A35-420C-A738-C0391A3D5906}"/>
    <cellStyle name="Currency 3 2 3 2 6 2 3" xfId="15153" xr:uid="{58568D10-7B28-4C78-B9CB-12CE343E7290}"/>
    <cellStyle name="Currency 3 2 3 2 6 3" xfId="19383" xr:uid="{802C25F2-1198-4CE8-A997-854814DDB485}"/>
    <cellStyle name="Currency 3 2 3 2 6 4" xfId="10935" xr:uid="{8D05D866-1BBB-462D-B18B-A34B29A6D00A}"/>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23918" xr:uid="{DFBFD503-8489-432E-86C1-43B3064CEFC7}"/>
    <cellStyle name="Currency 3 2 3 2 8 2 3" xfId="15470" xr:uid="{EFE15829-F08B-4C73-B09B-938929EE7701}"/>
    <cellStyle name="Currency 3 2 3 2 8 3" xfId="19700" xr:uid="{7128DDF6-D5D7-4642-83CD-ECAE88ACF881}"/>
    <cellStyle name="Currency 3 2 3 2 8 4" xfId="11252" xr:uid="{6CD10178-D044-4127-896E-174B7C1CC868}"/>
    <cellStyle name="Currency 3 2 3 2 9" xfId="4637" xr:uid="{00000000-0005-0000-0000-0000160B0000}"/>
    <cellStyle name="Currency 3 2 3 2 9 2" xfId="21535" xr:uid="{7E43A4C7-220F-4C6F-8B04-08CB2028592F}"/>
    <cellStyle name="Currency 3 2 3 2 9 3" xfId="13087" xr:uid="{0E0452B5-73D1-4AF5-A519-84A36E738355}"/>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24093" xr:uid="{B804D955-0119-44B6-808D-98ECE25F1EC5}"/>
    <cellStyle name="Currency 3 2 3 3 2 2 3" xfId="15645" xr:uid="{7575C2BA-C905-4C19-919E-1882EB6F3B0B}"/>
    <cellStyle name="Currency 3 2 3 3 2 3" xfId="19875" xr:uid="{8B6FD6C9-86A8-4FD4-B4BF-D759555FB195}"/>
    <cellStyle name="Currency 3 2 3 3 2 4" xfId="11427" xr:uid="{3C7A44A1-0C9C-4A9D-9B4B-769BD432C7E0}"/>
    <cellStyle name="Currency 3 2 3 3 3" xfId="5050" xr:uid="{00000000-0005-0000-0000-00001A0B0000}"/>
    <cellStyle name="Currency 3 2 3 3 3 2" xfId="21948" xr:uid="{7E02F247-F435-4D1E-A0C3-D695367FC6C0}"/>
    <cellStyle name="Currency 3 2 3 3 3 3" xfId="13500" xr:uid="{F143066D-A8B6-49D9-A4E7-6DBD77EB9DE4}"/>
    <cellStyle name="Currency 3 2 3 3 4" xfId="17730" xr:uid="{3BA35F43-706A-4DB7-9336-2C2F45C615B1}"/>
    <cellStyle name="Currency 3 2 3 3 5" xfId="9282" xr:uid="{54F49F82-3450-4CAC-9B90-DAD9112E9AA3}"/>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24506" xr:uid="{B7F15108-A0AB-46AE-8A87-7E761110F084}"/>
    <cellStyle name="Currency 3 2 3 4 2 2 3" xfId="16058" xr:uid="{B5D51390-2011-4CB4-AE77-FA430E90A3B8}"/>
    <cellStyle name="Currency 3 2 3 4 2 3" xfId="20288" xr:uid="{B3179D01-1CA6-4FC1-BC2E-E15C1AF4E3DF}"/>
    <cellStyle name="Currency 3 2 3 4 2 4" xfId="11840" xr:uid="{1A1928D2-AE1C-4C89-92E4-08F3886D32DE}"/>
    <cellStyle name="Currency 3 2 3 4 3" xfId="5463" xr:uid="{00000000-0005-0000-0000-00001E0B0000}"/>
    <cellStyle name="Currency 3 2 3 4 3 2" xfId="22361" xr:uid="{43586057-4235-4174-83E8-8F2C81D4C78F}"/>
    <cellStyle name="Currency 3 2 3 4 3 3" xfId="13913" xr:uid="{0C1AA88F-5CCE-4E30-A14D-64A4A3EA4EFA}"/>
    <cellStyle name="Currency 3 2 3 4 4" xfId="18143" xr:uid="{02CF364F-8595-4108-87D7-55A7A58E76FD}"/>
    <cellStyle name="Currency 3 2 3 4 5" xfId="9695" xr:uid="{12F0C72B-EBB0-4C70-A1F3-04BA44096205}"/>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24919" xr:uid="{A7C37A15-17FD-480C-894D-E582E2D2FB28}"/>
    <cellStyle name="Currency 3 2 3 5 2 2 3" xfId="16471" xr:uid="{DF4A241F-4C00-40E6-983A-DB3214CA696B}"/>
    <cellStyle name="Currency 3 2 3 5 2 3" xfId="20701" xr:uid="{C300FBEC-A013-43E8-87E8-7B4A137250EC}"/>
    <cellStyle name="Currency 3 2 3 5 2 4" xfId="12253" xr:uid="{5D6D27BB-4E0D-46EB-9A9C-7F4BBB835312}"/>
    <cellStyle name="Currency 3 2 3 5 3" xfId="5876" xr:uid="{00000000-0005-0000-0000-0000220B0000}"/>
    <cellStyle name="Currency 3 2 3 5 3 2" xfId="22774" xr:uid="{7606418D-5D30-4214-93C1-94F997FAEF94}"/>
    <cellStyle name="Currency 3 2 3 5 3 3" xfId="14326" xr:uid="{38FC7D0B-3687-4841-87DE-77A76A3645FB}"/>
    <cellStyle name="Currency 3 2 3 5 4" xfId="18556" xr:uid="{34859C03-96C0-465B-A302-6184AE712C26}"/>
    <cellStyle name="Currency 3 2 3 5 5" xfId="10108" xr:uid="{A2FC58F4-B2DB-49D2-B5CC-7FAFA54615EF}"/>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25332" xr:uid="{F951B788-602B-43D2-A14B-63F20E85F979}"/>
    <cellStyle name="Currency 3 2 3 6 2 2 3" xfId="16884" xr:uid="{FD06ECD4-1287-4A42-8EFF-E2EC3051635A}"/>
    <cellStyle name="Currency 3 2 3 6 2 3" xfId="21114" xr:uid="{D287723C-3DCE-4D4C-8F46-7B4179D4AB3B}"/>
    <cellStyle name="Currency 3 2 3 6 2 4" xfId="12666" xr:uid="{7C2D037F-23EE-4B57-9D41-E35ACC12F833}"/>
    <cellStyle name="Currency 3 2 3 6 3" xfId="6289" xr:uid="{00000000-0005-0000-0000-0000260B0000}"/>
    <cellStyle name="Currency 3 2 3 6 3 2" xfId="23187" xr:uid="{96B0332E-C02C-4872-ABB0-823C41CD10BF}"/>
    <cellStyle name="Currency 3 2 3 6 3 3" xfId="14739" xr:uid="{DD0E3F35-5EBE-4EB1-8392-55FBF297B88F}"/>
    <cellStyle name="Currency 3 2 3 6 4" xfId="18969" xr:uid="{E2CB99C4-ABC1-4AAA-8359-B08A01EF4830}"/>
    <cellStyle name="Currency 3 2 3 6 5" xfId="10521" xr:uid="{83DDBB22-0D87-4EBE-90AE-D3D922B35CE8}"/>
    <cellStyle name="Currency 3 2 3 7" xfId="2418" xr:uid="{00000000-0005-0000-0000-0000270B0000}"/>
    <cellStyle name="Currency 3 2 3 7 2" xfId="6702" xr:uid="{00000000-0005-0000-0000-0000280B0000}"/>
    <cellStyle name="Currency 3 2 3 7 2 2" xfId="23600" xr:uid="{79A8FC49-91BD-4338-A766-D6BE5F32B02D}"/>
    <cellStyle name="Currency 3 2 3 7 2 3" xfId="15152" xr:uid="{B8D894F6-2D2B-4982-86FA-64625A721180}"/>
    <cellStyle name="Currency 3 2 3 7 3" xfId="19382" xr:uid="{4902F13A-ECCD-4E39-9D79-E951D5C07DA6}"/>
    <cellStyle name="Currency 3 2 3 7 4" xfId="10934" xr:uid="{0E6A5AAF-48B5-49D6-B11C-F5F27E5136FF}"/>
    <cellStyle name="Currency 3 2 3 8" xfId="2715" xr:uid="{00000000-0005-0000-0000-0000290B0000}"/>
    <cellStyle name="Currency 3 2 3 9" xfId="2796" xr:uid="{00000000-0005-0000-0000-00002A0B0000}"/>
    <cellStyle name="Currency 3 2 3 9 2" xfId="7019" xr:uid="{00000000-0005-0000-0000-00002B0B0000}"/>
    <cellStyle name="Currency 3 2 3 9 2 2" xfId="23917" xr:uid="{B6D47699-5257-45CE-841B-CD7EC5671253}"/>
    <cellStyle name="Currency 3 2 3 9 2 3" xfId="15469" xr:uid="{048BD07F-A41D-4E8C-882C-6F221514C6D5}"/>
    <cellStyle name="Currency 3 2 3 9 3" xfId="19699" xr:uid="{3CCBF661-6B11-4E8D-9032-1DC4D670267D}"/>
    <cellStyle name="Currency 3 2 3 9 4" xfId="11251" xr:uid="{AE6DD9C0-A8D4-46DC-88FA-60C1CF6DED48}"/>
    <cellStyle name="Currency 3 2 4" xfId="184" xr:uid="{00000000-0005-0000-0000-00002C0B0000}"/>
    <cellStyle name="Currency 3 2 4 10" xfId="17318" xr:uid="{EA99D9DB-EED4-40FE-A560-A26BE5A35F60}"/>
    <cellStyle name="Currency 3 2 4 11" xfId="8870" xr:uid="{814D0361-D34D-479A-BD9A-1F417FA7DA4A}"/>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24095" xr:uid="{8D08B06D-BFBE-4F55-9C6D-10EE539ABCE8}"/>
    <cellStyle name="Currency 3 2 4 2 2 2 3" xfId="15647" xr:uid="{3A726979-B76B-4BC7-9626-49FFC286F0AC}"/>
    <cellStyle name="Currency 3 2 4 2 2 3" xfId="19877" xr:uid="{6CEF03EE-8568-4B85-904E-E965F47EF105}"/>
    <cellStyle name="Currency 3 2 4 2 2 4" xfId="11429" xr:uid="{83CDDCD4-2449-48BE-8422-7F9E333FAD1D}"/>
    <cellStyle name="Currency 3 2 4 2 3" xfId="5052" xr:uid="{00000000-0005-0000-0000-0000300B0000}"/>
    <cellStyle name="Currency 3 2 4 2 3 2" xfId="21950" xr:uid="{D917F232-E56A-4C8A-9332-5A549856D133}"/>
    <cellStyle name="Currency 3 2 4 2 3 3" xfId="13502" xr:uid="{E24787CF-358F-4E4D-BB86-91444AC1D468}"/>
    <cellStyle name="Currency 3 2 4 2 4" xfId="17732" xr:uid="{E6D00232-C507-4AD7-98F4-CC997466AB3E}"/>
    <cellStyle name="Currency 3 2 4 2 5" xfId="9284" xr:uid="{B7B21EF2-E428-45CA-80C7-2250772E3845}"/>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24508" xr:uid="{4C737D4D-A73F-43A8-8037-89C5D98E941E}"/>
    <cellStyle name="Currency 3 2 4 3 2 2 3" xfId="16060" xr:uid="{6A4FA768-08BA-49E7-A986-2237ADEF4A16}"/>
    <cellStyle name="Currency 3 2 4 3 2 3" xfId="20290" xr:uid="{523A96D6-C959-4208-B504-5D35CD893908}"/>
    <cellStyle name="Currency 3 2 4 3 2 4" xfId="11842" xr:uid="{CB36BAE6-88F8-474F-83BB-E222C4D18F88}"/>
    <cellStyle name="Currency 3 2 4 3 3" xfId="5465" xr:uid="{00000000-0005-0000-0000-0000340B0000}"/>
    <cellStyle name="Currency 3 2 4 3 3 2" xfId="22363" xr:uid="{29DC9F88-EF4B-4D0A-82F9-33BD1AFA7205}"/>
    <cellStyle name="Currency 3 2 4 3 3 3" xfId="13915" xr:uid="{98EDF2B0-9008-40EC-92BE-A576E02E666D}"/>
    <cellStyle name="Currency 3 2 4 3 4" xfId="18145" xr:uid="{A7E6E30B-6376-4098-97A5-57A753E64086}"/>
    <cellStyle name="Currency 3 2 4 3 5" xfId="9697" xr:uid="{C985A8E4-7EB5-4E97-98C2-89145543FAD4}"/>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24921" xr:uid="{AAB6181F-B3CC-44C9-9138-A770F0FA2D62}"/>
    <cellStyle name="Currency 3 2 4 4 2 2 3" xfId="16473" xr:uid="{9D1FCC5D-DAD4-4AFB-A9A9-0FEA707B4F97}"/>
    <cellStyle name="Currency 3 2 4 4 2 3" xfId="20703" xr:uid="{E1AB3D1B-BB6C-46FB-B272-70056C04B4DD}"/>
    <cellStyle name="Currency 3 2 4 4 2 4" xfId="12255" xr:uid="{9EEC47DB-44F5-4408-B668-C7A81F240DB9}"/>
    <cellStyle name="Currency 3 2 4 4 3" xfId="5878" xr:uid="{00000000-0005-0000-0000-0000380B0000}"/>
    <cellStyle name="Currency 3 2 4 4 3 2" xfId="22776" xr:uid="{1EDD7690-111F-443E-A49F-AB91F04B47A5}"/>
    <cellStyle name="Currency 3 2 4 4 3 3" xfId="14328" xr:uid="{613C6135-753A-430A-AFA5-4F4E0A406EFD}"/>
    <cellStyle name="Currency 3 2 4 4 4" xfId="18558" xr:uid="{2773C6B8-A4A6-4F31-9597-D4F3BE6858A2}"/>
    <cellStyle name="Currency 3 2 4 4 5" xfId="10110" xr:uid="{1F11A5B2-5762-4D4A-90C6-855D5EB759C7}"/>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25334" xr:uid="{B4B24238-D9A8-408E-8974-88CDFB36C2AC}"/>
    <cellStyle name="Currency 3 2 4 5 2 2 3" xfId="16886" xr:uid="{35633664-C79B-4372-B007-67E7DAB9DED9}"/>
    <cellStyle name="Currency 3 2 4 5 2 3" xfId="21116" xr:uid="{4B2B7F89-92F3-4BF6-B642-301BFF1FA3B6}"/>
    <cellStyle name="Currency 3 2 4 5 2 4" xfId="12668" xr:uid="{325B3862-4BE4-4D2F-B0D7-AF8BB3DDB4A1}"/>
    <cellStyle name="Currency 3 2 4 5 3" xfId="6291" xr:uid="{00000000-0005-0000-0000-00003C0B0000}"/>
    <cellStyle name="Currency 3 2 4 5 3 2" xfId="23189" xr:uid="{CE2F59F8-BE5F-427D-B480-5AD2669A9C3B}"/>
    <cellStyle name="Currency 3 2 4 5 3 3" xfId="14741" xr:uid="{572C6FF2-757F-44C8-8428-AED187E8D70D}"/>
    <cellStyle name="Currency 3 2 4 5 4" xfId="18971" xr:uid="{17DCBE96-E5BE-4318-AB9F-70AB9699A7B6}"/>
    <cellStyle name="Currency 3 2 4 5 5" xfId="10523" xr:uid="{18CAFF35-FA6F-4078-BB1A-F4E40AE19AF9}"/>
    <cellStyle name="Currency 3 2 4 6" xfId="2420" xr:uid="{00000000-0005-0000-0000-00003D0B0000}"/>
    <cellStyle name="Currency 3 2 4 6 2" xfId="6704" xr:uid="{00000000-0005-0000-0000-00003E0B0000}"/>
    <cellStyle name="Currency 3 2 4 6 2 2" xfId="23602" xr:uid="{F7CAF674-AFEA-4C00-93F2-6CE7D3181799}"/>
    <cellStyle name="Currency 3 2 4 6 2 3" xfId="15154" xr:uid="{EBB12008-6829-4552-B256-41DCB5AFFA32}"/>
    <cellStyle name="Currency 3 2 4 6 3" xfId="19384" xr:uid="{4EDE8B83-450D-4293-B4B6-591B0BAD649E}"/>
    <cellStyle name="Currency 3 2 4 6 4" xfId="10936" xr:uid="{0D13B4CD-533D-4D82-88C2-535B1A0E47B6}"/>
    <cellStyle name="Currency 3 2 4 7" xfId="2717" xr:uid="{00000000-0005-0000-0000-00003F0B0000}"/>
    <cellStyle name="Currency 3 2 4 8" xfId="2798" xr:uid="{00000000-0005-0000-0000-0000400B0000}"/>
    <cellStyle name="Currency 3 2 4 8 2" xfId="7021" xr:uid="{00000000-0005-0000-0000-0000410B0000}"/>
    <cellStyle name="Currency 3 2 4 8 2 2" xfId="23919" xr:uid="{37EA84AF-13C6-4F55-80DB-D40FF8CEE2FF}"/>
    <cellStyle name="Currency 3 2 4 8 2 3" xfId="15471" xr:uid="{4979080B-65A6-43E7-A977-6A284F316DA2}"/>
    <cellStyle name="Currency 3 2 4 8 3" xfId="19701" xr:uid="{44B0DB06-6976-4F02-AEF4-C5D1E1FAA1A9}"/>
    <cellStyle name="Currency 3 2 4 8 4" xfId="11253" xr:uid="{8CC5E151-7673-4DFC-9ACE-5A5D49A8DF2F}"/>
    <cellStyle name="Currency 3 2 4 9" xfId="4638" xr:uid="{00000000-0005-0000-0000-0000420B0000}"/>
    <cellStyle name="Currency 3 2 4 9 2" xfId="21536" xr:uid="{D5744110-1C35-49D4-B11B-7FE3F5B453F7}"/>
    <cellStyle name="Currency 3 2 4 9 3" xfId="13088" xr:uid="{614F4BDB-BBD7-4200-8344-76196FB5E233}"/>
    <cellStyle name="Currency 3 2 5" xfId="185" xr:uid="{00000000-0005-0000-0000-0000430B0000}"/>
    <cellStyle name="Currency 3 2 5 10" xfId="17319" xr:uid="{34580507-5837-4439-923E-C12F62C0A7E5}"/>
    <cellStyle name="Currency 3 2 5 11" xfId="8871" xr:uid="{CF8C4C2E-A912-4AFB-B42C-BF3D53246C4C}"/>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24096" xr:uid="{B134AC90-9837-48C5-892A-D879FF1B8DC8}"/>
    <cellStyle name="Currency 3 2 5 2 2 2 3" xfId="15648" xr:uid="{B6451FEE-1886-43FD-BD73-AB750EF17117}"/>
    <cellStyle name="Currency 3 2 5 2 2 3" xfId="19878" xr:uid="{12FC5A41-3DA6-457C-84D8-96CEE13107E9}"/>
    <cellStyle name="Currency 3 2 5 2 2 4" xfId="11430" xr:uid="{4442F0A7-C7A7-42DD-978A-70976C681430}"/>
    <cellStyle name="Currency 3 2 5 2 3" xfId="5053" xr:uid="{00000000-0005-0000-0000-0000470B0000}"/>
    <cellStyle name="Currency 3 2 5 2 3 2" xfId="21951" xr:uid="{1B7BC320-0F36-4A74-87B4-EE99423A23BD}"/>
    <cellStyle name="Currency 3 2 5 2 3 3" xfId="13503" xr:uid="{3E8C8D0F-B51E-4D12-BFF8-67751091AD51}"/>
    <cellStyle name="Currency 3 2 5 2 4" xfId="17733" xr:uid="{0BB9B345-D551-48D2-9930-9E90BDD68690}"/>
    <cellStyle name="Currency 3 2 5 2 5" xfId="9285" xr:uid="{A4EC194E-1055-4B64-8ADB-A87AAE663E6B}"/>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24509" xr:uid="{97827A55-AF7E-490F-A317-C8655CE45842}"/>
    <cellStyle name="Currency 3 2 5 3 2 2 3" xfId="16061" xr:uid="{7855DDEC-B300-437D-BD60-58FA19E0CEDA}"/>
    <cellStyle name="Currency 3 2 5 3 2 3" xfId="20291" xr:uid="{91784503-FCED-4476-95FB-98F849572F02}"/>
    <cellStyle name="Currency 3 2 5 3 2 4" xfId="11843" xr:uid="{0401A4AF-0B28-4752-8770-C72B76ACBC3F}"/>
    <cellStyle name="Currency 3 2 5 3 3" xfId="5466" xr:uid="{00000000-0005-0000-0000-00004B0B0000}"/>
    <cellStyle name="Currency 3 2 5 3 3 2" xfId="22364" xr:uid="{A2AE110F-17D9-47B9-B38D-3BC6A00ECE8B}"/>
    <cellStyle name="Currency 3 2 5 3 3 3" xfId="13916" xr:uid="{3F3DB5EF-3ECB-4ED2-8007-9B8D2573FDC4}"/>
    <cellStyle name="Currency 3 2 5 3 4" xfId="18146" xr:uid="{432548BA-766E-4189-9A12-6E78235C0B9E}"/>
    <cellStyle name="Currency 3 2 5 3 5" xfId="9698" xr:uid="{9085F4E3-705A-4314-A275-74E41499F8BD}"/>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24922" xr:uid="{40FCE99C-4A36-4401-8855-576B5177EDD5}"/>
    <cellStyle name="Currency 3 2 5 4 2 2 3" xfId="16474" xr:uid="{CA19F4C0-40D0-4F52-9E2F-2DF68DC29D00}"/>
    <cellStyle name="Currency 3 2 5 4 2 3" xfId="20704" xr:uid="{DBC0AA18-D574-4792-A6D2-1E15C7285179}"/>
    <cellStyle name="Currency 3 2 5 4 2 4" xfId="12256" xr:uid="{1F3991C8-1952-4770-99DA-79E45DA29570}"/>
    <cellStyle name="Currency 3 2 5 4 3" xfId="5879" xr:uid="{00000000-0005-0000-0000-00004F0B0000}"/>
    <cellStyle name="Currency 3 2 5 4 3 2" xfId="22777" xr:uid="{C8A6B1C5-AEA9-4C49-BD7F-4DD76C6A7276}"/>
    <cellStyle name="Currency 3 2 5 4 3 3" xfId="14329" xr:uid="{2AE4BCD9-259A-440B-8B11-2809DBD15FA3}"/>
    <cellStyle name="Currency 3 2 5 4 4" xfId="18559" xr:uid="{9519390A-667D-4F14-A8C9-6CA7180E3701}"/>
    <cellStyle name="Currency 3 2 5 4 5" xfId="10111" xr:uid="{6E91F32F-944E-4F42-86B5-C187B2B16807}"/>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25335" xr:uid="{E8D154D5-13B0-47C1-B027-74AD77FF45E9}"/>
    <cellStyle name="Currency 3 2 5 5 2 2 3" xfId="16887" xr:uid="{E08872BA-7B49-4389-AFD9-ABB426B778D1}"/>
    <cellStyle name="Currency 3 2 5 5 2 3" xfId="21117" xr:uid="{B00B9294-EFDA-40A2-9C70-BA389FC059C8}"/>
    <cellStyle name="Currency 3 2 5 5 2 4" xfId="12669" xr:uid="{3505CBDF-8F01-44D9-AE2B-A21982FD820D}"/>
    <cellStyle name="Currency 3 2 5 5 3" xfId="6292" xr:uid="{00000000-0005-0000-0000-0000530B0000}"/>
    <cellStyle name="Currency 3 2 5 5 3 2" xfId="23190" xr:uid="{20A9955F-25AC-4EF6-8A50-434AD7F3F5EF}"/>
    <cellStyle name="Currency 3 2 5 5 3 3" xfId="14742" xr:uid="{05FA7A65-17B2-40D8-A12A-015F98BAF922}"/>
    <cellStyle name="Currency 3 2 5 5 4" xfId="18972" xr:uid="{BCD68352-E722-4215-9DFE-644D495ABCD9}"/>
    <cellStyle name="Currency 3 2 5 5 5" xfId="10524" xr:uid="{0E481DB0-A8C0-4FB3-8739-B3ED13D711DD}"/>
    <cellStyle name="Currency 3 2 5 6" xfId="2421" xr:uid="{00000000-0005-0000-0000-0000540B0000}"/>
    <cellStyle name="Currency 3 2 5 6 2" xfId="6705" xr:uid="{00000000-0005-0000-0000-0000550B0000}"/>
    <cellStyle name="Currency 3 2 5 6 2 2" xfId="23603" xr:uid="{90C4AE25-CBE7-4504-A86E-4E8FED60B2A2}"/>
    <cellStyle name="Currency 3 2 5 6 2 3" xfId="15155" xr:uid="{A97F7150-1EDF-443D-8417-B157E9254E36}"/>
    <cellStyle name="Currency 3 2 5 6 3" xfId="19385" xr:uid="{8A736A39-D0E1-4B46-8F11-24E8C93D2E42}"/>
    <cellStyle name="Currency 3 2 5 6 4" xfId="10937" xr:uid="{4E21F752-6AC8-4F6B-AA47-8D8649076BEB}"/>
    <cellStyle name="Currency 3 2 5 7" xfId="2718" xr:uid="{00000000-0005-0000-0000-0000560B0000}"/>
    <cellStyle name="Currency 3 2 5 8" xfId="2799" xr:uid="{00000000-0005-0000-0000-0000570B0000}"/>
    <cellStyle name="Currency 3 2 5 8 2" xfId="7022" xr:uid="{00000000-0005-0000-0000-0000580B0000}"/>
    <cellStyle name="Currency 3 2 5 8 2 2" xfId="23920" xr:uid="{F222074D-6DCD-4D1E-8CAC-CDAEB0F3C68E}"/>
    <cellStyle name="Currency 3 2 5 8 2 3" xfId="15472" xr:uid="{3F0F0F11-AF4C-4DB9-84B6-F5452ACE058A}"/>
    <cellStyle name="Currency 3 2 5 8 3" xfId="19702" xr:uid="{89591289-04AD-4EC2-B2E3-80B7F8F314BE}"/>
    <cellStyle name="Currency 3 2 5 8 4" xfId="11254" xr:uid="{F2EC4593-82F2-4871-A580-2AB3A5E75932}"/>
    <cellStyle name="Currency 3 2 5 9" xfId="4639" xr:uid="{00000000-0005-0000-0000-0000590B0000}"/>
    <cellStyle name="Currency 3 2 5 9 2" xfId="21537" xr:uid="{440BE269-5381-45DF-83E7-7C5659D025E6}"/>
    <cellStyle name="Currency 3 2 5 9 3" xfId="13089" xr:uid="{A44DBC37-8125-44A7-8E4D-5F84F99489DE}"/>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23921" xr:uid="{675CFBED-28B7-4414-874F-A9623C5A66E2}"/>
    <cellStyle name="Currency 5 2 2 2 10 2 3" xfId="15473" xr:uid="{ED7E257F-1C7A-4A6E-B49C-7D29A92B4A6A}"/>
    <cellStyle name="Currency 5 2 2 2 10 3" xfId="19703" xr:uid="{D54B11D9-FEE4-456B-B889-03621D206433}"/>
    <cellStyle name="Currency 5 2 2 2 10 4" xfId="11255" xr:uid="{B894C407-9340-4FD7-B318-60962A3146C5}"/>
    <cellStyle name="Currency 5 2 2 2 11" xfId="4640" xr:uid="{00000000-0005-0000-0000-00006C0B0000}"/>
    <cellStyle name="Currency 5 2 2 2 11 2" xfId="21538" xr:uid="{167DC2A2-E169-42C7-AA7F-E133E7E72497}"/>
    <cellStyle name="Currency 5 2 2 2 11 3" xfId="13090" xr:uid="{BE8D1CF8-E086-4299-BDE6-860079B565B9}"/>
    <cellStyle name="Currency 5 2 2 2 12" xfId="17320" xr:uid="{66758095-13DF-464E-9410-0301F9FE5AAC}"/>
    <cellStyle name="Currency 5 2 2 2 13" xfId="8872" xr:uid="{9AC61D5F-5B81-46CC-9F21-8459EB1883EE}"/>
    <cellStyle name="Currency 5 2 2 2 2" xfId="197" xr:uid="{00000000-0005-0000-0000-00006D0B0000}"/>
    <cellStyle name="Currency 5 2 2 2 2 10" xfId="4641" xr:uid="{00000000-0005-0000-0000-00006E0B0000}"/>
    <cellStyle name="Currency 5 2 2 2 2 10 2" xfId="21539" xr:uid="{A12E8544-DBC3-49B6-8D7F-627B8880CA3B}"/>
    <cellStyle name="Currency 5 2 2 2 2 10 3" xfId="13091" xr:uid="{34FCC326-0C95-4A34-9CF2-6369C98930F5}"/>
    <cellStyle name="Currency 5 2 2 2 2 11" xfId="17321" xr:uid="{8681BCFF-193F-43CE-BE02-956054720B22}"/>
    <cellStyle name="Currency 5 2 2 2 2 12" xfId="8873" xr:uid="{C2542161-2D61-4015-8DA0-CC6AEC8C3E37}"/>
    <cellStyle name="Currency 5 2 2 2 2 2" xfId="198" xr:uid="{00000000-0005-0000-0000-00006F0B0000}"/>
    <cellStyle name="Currency 5 2 2 2 2 2 10" xfId="17322" xr:uid="{996B8F17-AADC-4576-AF95-3EF452E9322B}"/>
    <cellStyle name="Currency 5 2 2 2 2 2 11" xfId="8874" xr:uid="{1E123724-F4BB-4AB5-A077-98B5F68CCCC7}"/>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24099" xr:uid="{C2AC322C-6905-4D16-915A-2B8B5F51EE7B}"/>
    <cellStyle name="Currency 5 2 2 2 2 2 2 2 2 3" xfId="15651" xr:uid="{07FC47F6-2949-4A51-8BFD-18F3F0323753}"/>
    <cellStyle name="Currency 5 2 2 2 2 2 2 2 3" xfId="19881" xr:uid="{561CECDA-D47A-4B6C-B7D6-8C0980D84879}"/>
    <cellStyle name="Currency 5 2 2 2 2 2 2 2 4" xfId="11433" xr:uid="{669C487C-73E4-42FB-A8CA-18D76D3A43E5}"/>
    <cellStyle name="Currency 5 2 2 2 2 2 2 3" xfId="5056" xr:uid="{00000000-0005-0000-0000-0000730B0000}"/>
    <cellStyle name="Currency 5 2 2 2 2 2 2 3 2" xfId="21954" xr:uid="{6BA53DBF-5B8D-4AA9-92F0-D7248AEB6A76}"/>
    <cellStyle name="Currency 5 2 2 2 2 2 2 3 3" xfId="13506" xr:uid="{436F07A5-CCA9-479B-9A7F-9FDB7F5B2271}"/>
    <cellStyle name="Currency 5 2 2 2 2 2 2 4" xfId="17736" xr:uid="{DC60A300-568F-45A5-88B8-0436D1E766BF}"/>
    <cellStyle name="Currency 5 2 2 2 2 2 2 5" xfId="9288" xr:uid="{70839B35-5B7A-4833-90F5-2CFC807D00C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24512" xr:uid="{EA946067-4124-4538-A1F9-80943EE10312}"/>
    <cellStyle name="Currency 5 2 2 2 2 2 3 2 2 3" xfId="16064" xr:uid="{A14C8FA5-63F5-46F6-9628-7E0BBF1B8EC3}"/>
    <cellStyle name="Currency 5 2 2 2 2 2 3 2 3" xfId="20294" xr:uid="{372A33BF-A521-4CAA-9B60-A623466F3DFE}"/>
    <cellStyle name="Currency 5 2 2 2 2 2 3 2 4" xfId="11846" xr:uid="{BE91BF1B-C840-473E-81A6-0ADBBF662A35}"/>
    <cellStyle name="Currency 5 2 2 2 2 2 3 3" xfId="5469" xr:uid="{00000000-0005-0000-0000-0000770B0000}"/>
    <cellStyle name="Currency 5 2 2 2 2 2 3 3 2" xfId="22367" xr:uid="{183DBB9A-C2F0-4FC7-B2CA-288A872D5375}"/>
    <cellStyle name="Currency 5 2 2 2 2 2 3 3 3" xfId="13919" xr:uid="{A4AD1C4F-52AE-43C4-BD5F-699C0FAEA10A}"/>
    <cellStyle name="Currency 5 2 2 2 2 2 3 4" xfId="18149" xr:uid="{C0F7E85E-4961-4388-8027-8D14E43E429C}"/>
    <cellStyle name="Currency 5 2 2 2 2 2 3 5" xfId="9701" xr:uid="{FDA28A9B-E257-47DF-8EF5-0FA853C9F6C2}"/>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24925" xr:uid="{F1C9C7C3-1C63-4BA1-9241-ED1D03FC709C}"/>
    <cellStyle name="Currency 5 2 2 2 2 2 4 2 2 3" xfId="16477" xr:uid="{3D2FE261-3257-4886-B4E7-F4307428CF64}"/>
    <cellStyle name="Currency 5 2 2 2 2 2 4 2 3" xfId="20707" xr:uid="{80419F9E-A090-49AD-9C5A-C5DF08686541}"/>
    <cellStyle name="Currency 5 2 2 2 2 2 4 2 4" xfId="12259" xr:uid="{79CB6ECF-10AB-47C1-9EE4-02B57BDA2805}"/>
    <cellStyle name="Currency 5 2 2 2 2 2 4 3" xfId="5882" xr:uid="{00000000-0005-0000-0000-00007B0B0000}"/>
    <cellStyle name="Currency 5 2 2 2 2 2 4 3 2" xfId="22780" xr:uid="{5A3BCC23-0561-4E84-93BD-5D7C74AC07DD}"/>
    <cellStyle name="Currency 5 2 2 2 2 2 4 3 3" xfId="14332" xr:uid="{2B8B8C65-81C2-41C0-BD36-C17BB3EA7D6C}"/>
    <cellStyle name="Currency 5 2 2 2 2 2 4 4" xfId="18562" xr:uid="{E0CF1DD0-C543-4512-BD50-3C7BA473B81A}"/>
    <cellStyle name="Currency 5 2 2 2 2 2 4 5" xfId="10114" xr:uid="{CB97F379-F29F-4BA6-9B1D-4B99B114179C}"/>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25338" xr:uid="{DA96FA9B-4FCB-45F7-8F93-3336E8C8A2F8}"/>
    <cellStyle name="Currency 5 2 2 2 2 2 5 2 2 3" xfId="16890" xr:uid="{08C91A40-16E4-4152-B4B9-57C1912D5944}"/>
    <cellStyle name="Currency 5 2 2 2 2 2 5 2 3" xfId="21120" xr:uid="{3C5E91B9-E8FF-4D9E-B7AF-E4E1B306499F}"/>
    <cellStyle name="Currency 5 2 2 2 2 2 5 2 4" xfId="12672" xr:uid="{DF22EAD5-66C4-4B8E-9E01-DDDA26288560}"/>
    <cellStyle name="Currency 5 2 2 2 2 2 5 3" xfId="6295" xr:uid="{00000000-0005-0000-0000-00007F0B0000}"/>
    <cellStyle name="Currency 5 2 2 2 2 2 5 3 2" xfId="23193" xr:uid="{204DABE8-54ED-480C-ABFC-81AF9CFAC574}"/>
    <cellStyle name="Currency 5 2 2 2 2 2 5 3 3" xfId="14745" xr:uid="{1CCF1E2F-7DAE-4D41-8660-B3354C5B6662}"/>
    <cellStyle name="Currency 5 2 2 2 2 2 5 4" xfId="18975" xr:uid="{CE6EB330-509A-4F91-A570-ABAD48A346B1}"/>
    <cellStyle name="Currency 5 2 2 2 2 2 5 5" xfId="10527" xr:uid="{346DBDC8-49B2-42F7-BC85-0B515FC122A2}"/>
    <cellStyle name="Currency 5 2 2 2 2 2 6" xfId="2424" xr:uid="{00000000-0005-0000-0000-0000800B0000}"/>
    <cellStyle name="Currency 5 2 2 2 2 2 6 2" xfId="6708" xr:uid="{00000000-0005-0000-0000-0000810B0000}"/>
    <cellStyle name="Currency 5 2 2 2 2 2 6 2 2" xfId="23606" xr:uid="{8947E397-C86A-4977-A701-BE3E979086E5}"/>
    <cellStyle name="Currency 5 2 2 2 2 2 6 2 3" xfId="15158" xr:uid="{0E12CFF7-9FEE-4D48-9EB8-14D96186EDAC}"/>
    <cellStyle name="Currency 5 2 2 2 2 2 6 3" xfId="19388" xr:uid="{563B2ACE-D7E7-4E9D-87D2-D046DCC1AD88}"/>
    <cellStyle name="Currency 5 2 2 2 2 2 6 4" xfId="10940" xr:uid="{09F98AEF-A69F-4B38-985E-EAC873151AEC}"/>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23923" xr:uid="{0FF55AC6-1E24-4020-B116-B00FCEB65D24}"/>
    <cellStyle name="Currency 5 2 2 2 2 2 8 2 3" xfId="15475" xr:uid="{C8E4C20D-8CA2-4301-A3CE-C3166035FD28}"/>
    <cellStyle name="Currency 5 2 2 2 2 2 8 3" xfId="19705" xr:uid="{A890E0A9-481B-45E0-BAF7-BC8B85FA5CB5}"/>
    <cellStyle name="Currency 5 2 2 2 2 2 8 4" xfId="11257" xr:uid="{5BF56007-AAF0-4B2D-AD7E-BAE690A832F3}"/>
    <cellStyle name="Currency 5 2 2 2 2 2 9" xfId="4642" xr:uid="{00000000-0005-0000-0000-0000850B0000}"/>
    <cellStyle name="Currency 5 2 2 2 2 2 9 2" xfId="21540" xr:uid="{54805D18-5668-4684-A0DE-09A87C98C5EF}"/>
    <cellStyle name="Currency 5 2 2 2 2 2 9 3" xfId="13092" xr:uid="{C572BA62-3621-4220-97E8-99289BC40A39}"/>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24098" xr:uid="{8A81BEF7-70A0-4119-AC97-81D2829D4272}"/>
    <cellStyle name="Currency 5 2 2 2 2 3 2 2 3" xfId="15650" xr:uid="{CB2F5FB7-1077-43FD-9A3E-EA0A507E4F15}"/>
    <cellStyle name="Currency 5 2 2 2 2 3 2 3" xfId="19880" xr:uid="{DA24C3CB-38AC-4A9D-A925-DC9339EAEDBB}"/>
    <cellStyle name="Currency 5 2 2 2 2 3 2 4" xfId="11432" xr:uid="{F2BDF3DB-5165-4D93-A2E2-C058507305F4}"/>
    <cellStyle name="Currency 5 2 2 2 2 3 3" xfId="5055" xr:uid="{00000000-0005-0000-0000-0000890B0000}"/>
    <cellStyle name="Currency 5 2 2 2 2 3 3 2" xfId="21953" xr:uid="{4761A925-0D37-4B79-95F4-905DD9D2F171}"/>
    <cellStyle name="Currency 5 2 2 2 2 3 3 3" xfId="13505" xr:uid="{FA7940AC-CA93-4537-AA19-F4CB2F9F9271}"/>
    <cellStyle name="Currency 5 2 2 2 2 3 4" xfId="17735" xr:uid="{C73C21F3-FF55-4E62-81A2-EC18EA5AE129}"/>
    <cellStyle name="Currency 5 2 2 2 2 3 5" xfId="9287" xr:uid="{AE66EC10-612D-4EA5-94BF-8627475CC398}"/>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24511" xr:uid="{1A6A4412-6500-48F6-A274-1A2AA55EFAE8}"/>
    <cellStyle name="Currency 5 2 2 2 2 4 2 2 3" xfId="16063" xr:uid="{2AE15A02-34E1-4593-9B9D-078E44F2D91C}"/>
    <cellStyle name="Currency 5 2 2 2 2 4 2 3" xfId="20293" xr:uid="{E8321C28-489A-43D5-9517-FB877C3B8108}"/>
    <cellStyle name="Currency 5 2 2 2 2 4 2 4" xfId="11845" xr:uid="{55E10151-5F1C-4ED2-9402-AA5F479F89D2}"/>
    <cellStyle name="Currency 5 2 2 2 2 4 3" xfId="5468" xr:uid="{00000000-0005-0000-0000-00008D0B0000}"/>
    <cellStyle name="Currency 5 2 2 2 2 4 3 2" xfId="22366" xr:uid="{FFA02098-7232-483E-9AC0-F855E833E006}"/>
    <cellStyle name="Currency 5 2 2 2 2 4 3 3" xfId="13918" xr:uid="{B794FEA7-FA8F-4841-9575-EE9A5FC377DD}"/>
    <cellStyle name="Currency 5 2 2 2 2 4 4" xfId="18148" xr:uid="{4779334D-8E18-4810-8637-6B3A35FE10FE}"/>
    <cellStyle name="Currency 5 2 2 2 2 4 5" xfId="9700" xr:uid="{110B8BFD-08AA-4D57-82E6-B4FAC4DAC365}"/>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24924" xr:uid="{D182F706-58D3-4143-B38A-33A5D7426A0F}"/>
    <cellStyle name="Currency 5 2 2 2 2 5 2 2 3" xfId="16476" xr:uid="{FAD3B990-1FFE-47F3-A2CC-6893E3552384}"/>
    <cellStyle name="Currency 5 2 2 2 2 5 2 3" xfId="20706" xr:uid="{3506AC57-87EE-4B02-889C-2B23B63E664B}"/>
    <cellStyle name="Currency 5 2 2 2 2 5 2 4" xfId="12258" xr:uid="{15AF8976-3BCB-43B8-8061-9EC43BED8898}"/>
    <cellStyle name="Currency 5 2 2 2 2 5 3" xfId="5881" xr:uid="{00000000-0005-0000-0000-0000910B0000}"/>
    <cellStyle name="Currency 5 2 2 2 2 5 3 2" xfId="22779" xr:uid="{F50298F0-D740-4C18-AA69-2F25DAE205DE}"/>
    <cellStyle name="Currency 5 2 2 2 2 5 3 3" xfId="14331" xr:uid="{DA7018D9-8C72-44CA-84F3-8FB02DD774BC}"/>
    <cellStyle name="Currency 5 2 2 2 2 5 4" xfId="18561" xr:uid="{A6B78DA8-1254-479E-BEC5-63AD2319AD1F}"/>
    <cellStyle name="Currency 5 2 2 2 2 5 5" xfId="10113" xr:uid="{141CA2A1-75CA-4291-8C52-F8A30053418F}"/>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25337" xr:uid="{CED0A54C-B9AF-4A4B-8F80-B13953EA854C}"/>
    <cellStyle name="Currency 5 2 2 2 2 6 2 2 3" xfId="16889" xr:uid="{4071D4CC-6D0B-4BFB-80CD-01161C4E2CD0}"/>
    <cellStyle name="Currency 5 2 2 2 2 6 2 3" xfId="21119" xr:uid="{315244FD-BB07-4EEE-9330-71DE8F1C0FD5}"/>
    <cellStyle name="Currency 5 2 2 2 2 6 2 4" xfId="12671" xr:uid="{BCD8CD41-55CE-4072-BCF1-B818873C33A9}"/>
    <cellStyle name="Currency 5 2 2 2 2 6 3" xfId="6294" xr:uid="{00000000-0005-0000-0000-0000950B0000}"/>
    <cellStyle name="Currency 5 2 2 2 2 6 3 2" xfId="23192" xr:uid="{001144CF-CBAD-471B-9957-A38B0EB29E7E}"/>
    <cellStyle name="Currency 5 2 2 2 2 6 3 3" xfId="14744" xr:uid="{D4F69FE4-1D1F-464E-85B0-971F65314ADE}"/>
    <cellStyle name="Currency 5 2 2 2 2 6 4" xfId="18974" xr:uid="{78F8B83A-6C98-4725-BA5D-4F669ACF4DD2}"/>
    <cellStyle name="Currency 5 2 2 2 2 6 5" xfId="10526" xr:uid="{DDA7CD97-1D6C-468E-8A64-7B3DF2589657}"/>
    <cellStyle name="Currency 5 2 2 2 2 7" xfId="2423" xr:uid="{00000000-0005-0000-0000-0000960B0000}"/>
    <cellStyle name="Currency 5 2 2 2 2 7 2" xfId="6707" xr:uid="{00000000-0005-0000-0000-0000970B0000}"/>
    <cellStyle name="Currency 5 2 2 2 2 7 2 2" xfId="23605" xr:uid="{8CB92329-0D61-461B-B167-4A2166E2DD89}"/>
    <cellStyle name="Currency 5 2 2 2 2 7 2 3" xfId="15157" xr:uid="{FD73D681-0E56-4649-957F-B9DBB7992768}"/>
    <cellStyle name="Currency 5 2 2 2 2 7 3" xfId="19387" xr:uid="{0E3C01C9-C3B0-4170-80C1-44205BF8C771}"/>
    <cellStyle name="Currency 5 2 2 2 2 7 4" xfId="10939" xr:uid="{276269D6-1BB4-4FA9-8125-9A9E9235E4A3}"/>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23922" xr:uid="{3C8447FA-9439-451A-AEE7-919A8CBFB507}"/>
    <cellStyle name="Currency 5 2 2 2 2 9 2 3" xfId="15474" xr:uid="{89442B0B-6F28-47A4-A150-28AEECC84625}"/>
    <cellStyle name="Currency 5 2 2 2 2 9 3" xfId="19704" xr:uid="{13F5BB69-6DB4-4023-8016-9AD588DE4FC2}"/>
    <cellStyle name="Currency 5 2 2 2 2 9 4" xfId="11256" xr:uid="{6CC0CC13-EA74-49E2-8897-9704D8618702}"/>
    <cellStyle name="Currency 5 2 2 2 3" xfId="199" xr:uid="{00000000-0005-0000-0000-00009B0B0000}"/>
    <cellStyle name="Currency 5 2 2 2 3 10" xfId="17323" xr:uid="{59CE549A-F57B-461A-901D-AF71075F0790}"/>
    <cellStyle name="Currency 5 2 2 2 3 11" xfId="8875" xr:uid="{52680CF2-90E8-4805-A184-0B69C2DE0E8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24100" xr:uid="{FE3E250D-6855-42A0-9ABA-E943C42DD636}"/>
    <cellStyle name="Currency 5 2 2 2 3 2 2 2 3" xfId="15652" xr:uid="{9FBBFDA9-34AE-4077-BC74-AFA46751BF4B}"/>
    <cellStyle name="Currency 5 2 2 2 3 2 2 3" xfId="19882" xr:uid="{CCC3A3E1-C797-4EAE-8DF6-5016D724BC58}"/>
    <cellStyle name="Currency 5 2 2 2 3 2 2 4" xfId="11434" xr:uid="{E86AC392-51F9-4BAC-AAA7-D6F4E605ECC7}"/>
    <cellStyle name="Currency 5 2 2 2 3 2 3" xfId="5057" xr:uid="{00000000-0005-0000-0000-00009F0B0000}"/>
    <cellStyle name="Currency 5 2 2 2 3 2 3 2" xfId="21955" xr:uid="{461E97DE-5B02-467C-9329-FEEDC5494066}"/>
    <cellStyle name="Currency 5 2 2 2 3 2 3 3" xfId="13507" xr:uid="{2B1E1E59-89A7-48F3-ABB1-B3309A69DEFA}"/>
    <cellStyle name="Currency 5 2 2 2 3 2 4" xfId="17737" xr:uid="{2391EA5C-C8A6-4B46-8363-8454CD91B64E}"/>
    <cellStyle name="Currency 5 2 2 2 3 2 5" xfId="9289" xr:uid="{A1AABF7F-A7F4-4D24-8E21-CBE851D320F9}"/>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24513" xr:uid="{2C6D710C-2381-4093-B0FB-AE9A87D56E15}"/>
    <cellStyle name="Currency 5 2 2 2 3 3 2 2 3" xfId="16065" xr:uid="{F4CEE9F8-814A-4848-8104-43835DE14BDA}"/>
    <cellStyle name="Currency 5 2 2 2 3 3 2 3" xfId="20295" xr:uid="{038139B9-DCA3-48B2-BB91-5C9C8A76AA8C}"/>
    <cellStyle name="Currency 5 2 2 2 3 3 2 4" xfId="11847" xr:uid="{A1617639-8238-4F09-9E61-52ECFB65B6C4}"/>
    <cellStyle name="Currency 5 2 2 2 3 3 3" xfId="5470" xr:uid="{00000000-0005-0000-0000-0000A30B0000}"/>
    <cellStyle name="Currency 5 2 2 2 3 3 3 2" xfId="22368" xr:uid="{35113B12-BF62-4C0C-BDB6-E1C047AE6437}"/>
    <cellStyle name="Currency 5 2 2 2 3 3 3 3" xfId="13920" xr:uid="{C8163508-BAE0-4130-AC7A-56C7FB64C65B}"/>
    <cellStyle name="Currency 5 2 2 2 3 3 4" xfId="18150" xr:uid="{26AA2C90-F0C4-4BAB-931D-00DA1F15C1A3}"/>
    <cellStyle name="Currency 5 2 2 2 3 3 5" xfId="9702" xr:uid="{CA57F00F-78AB-461F-BBDE-CE6C4594A7CE}"/>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24926" xr:uid="{CC629E71-A419-49F6-95C6-67A0EECFA0FB}"/>
    <cellStyle name="Currency 5 2 2 2 3 4 2 2 3" xfId="16478" xr:uid="{67E03435-3D3D-4F1D-847B-D3C99BB8B436}"/>
    <cellStyle name="Currency 5 2 2 2 3 4 2 3" xfId="20708" xr:uid="{F89E93C5-FA4B-422D-8CC4-4A06AC869B75}"/>
    <cellStyle name="Currency 5 2 2 2 3 4 2 4" xfId="12260" xr:uid="{5DEB924A-B65C-41D5-BF31-645149DFD5F9}"/>
    <cellStyle name="Currency 5 2 2 2 3 4 3" xfId="5883" xr:uid="{00000000-0005-0000-0000-0000A70B0000}"/>
    <cellStyle name="Currency 5 2 2 2 3 4 3 2" xfId="22781" xr:uid="{A5C12871-BDE0-4ADB-AA1C-94A16F69D1C5}"/>
    <cellStyle name="Currency 5 2 2 2 3 4 3 3" xfId="14333" xr:uid="{B28ED8F9-BB99-47E3-9677-E41448F9A7D6}"/>
    <cellStyle name="Currency 5 2 2 2 3 4 4" xfId="18563" xr:uid="{19764457-F906-48A0-8049-D87F2344B597}"/>
    <cellStyle name="Currency 5 2 2 2 3 4 5" xfId="10115" xr:uid="{3825DE23-EB3A-4B80-A72E-D8A207CCA35C}"/>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25339" xr:uid="{E4E636DE-1617-46E2-A35F-A6258F017AAE}"/>
    <cellStyle name="Currency 5 2 2 2 3 5 2 2 3" xfId="16891" xr:uid="{8EDB878D-1014-4C96-87EC-EF4D6FFE2EF5}"/>
    <cellStyle name="Currency 5 2 2 2 3 5 2 3" xfId="21121" xr:uid="{092868B5-9938-4BCC-94B9-A711F82B83C2}"/>
    <cellStyle name="Currency 5 2 2 2 3 5 2 4" xfId="12673" xr:uid="{78743528-AC57-4688-89D7-E2F7A1B8D4AB}"/>
    <cellStyle name="Currency 5 2 2 2 3 5 3" xfId="6296" xr:uid="{00000000-0005-0000-0000-0000AB0B0000}"/>
    <cellStyle name="Currency 5 2 2 2 3 5 3 2" xfId="23194" xr:uid="{16945DC2-09B4-4F90-BF44-5216F9208F7E}"/>
    <cellStyle name="Currency 5 2 2 2 3 5 3 3" xfId="14746" xr:uid="{974177EB-4C67-4307-8F41-85C0C5838F26}"/>
    <cellStyle name="Currency 5 2 2 2 3 5 4" xfId="18976" xr:uid="{057BAE2D-8A1F-417D-A442-7C33D6228C05}"/>
    <cellStyle name="Currency 5 2 2 2 3 5 5" xfId="10528" xr:uid="{EDBB2EB0-FB24-493B-A68E-C42852BF821B}"/>
    <cellStyle name="Currency 5 2 2 2 3 6" xfId="2425" xr:uid="{00000000-0005-0000-0000-0000AC0B0000}"/>
    <cellStyle name="Currency 5 2 2 2 3 6 2" xfId="6709" xr:uid="{00000000-0005-0000-0000-0000AD0B0000}"/>
    <cellStyle name="Currency 5 2 2 2 3 6 2 2" xfId="23607" xr:uid="{6801E1BC-9264-49C6-A444-27432A8BE20A}"/>
    <cellStyle name="Currency 5 2 2 2 3 6 2 3" xfId="15159" xr:uid="{821C65F3-0D46-4C69-80DA-4C71B064973E}"/>
    <cellStyle name="Currency 5 2 2 2 3 6 3" xfId="19389" xr:uid="{5F666123-FB8D-405A-ACD0-C5AE43CC59AB}"/>
    <cellStyle name="Currency 5 2 2 2 3 6 4" xfId="10941" xr:uid="{332E3A7F-11F9-4EE1-AF6F-5A91EC28DEFE}"/>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23924" xr:uid="{518033F9-5E88-4834-AAE3-4384A0A036A1}"/>
    <cellStyle name="Currency 5 2 2 2 3 8 2 3" xfId="15476" xr:uid="{9631C893-3D15-4254-8C9A-85937B52CB64}"/>
    <cellStyle name="Currency 5 2 2 2 3 8 3" xfId="19706" xr:uid="{99CC2426-F894-423C-85D9-6A59A418C8AD}"/>
    <cellStyle name="Currency 5 2 2 2 3 8 4" xfId="11258" xr:uid="{7C709FED-6FC4-4129-946B-F7F8C46FFB7A}"/>
    <cellStyle name="Currency 5 2 2 2 3 9" xfId="4643" xr:uid="{00000000-0005-0000-0000-0000B10B0000}"/>
    <cellStyle name="Currency 5 2 2 2 3 9 2" xfId="21541" xr:uid="{512A9023-3C6B-44A3-992A-D8863C917D3C}"/>
    <cellStyle name="Currency 5 2 2 2 3 9 3" xfId="13093" xr:uid="{C735AE3F-B0A4-40EA-9942-97FC52E31FB7}"/>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24097" xr:uid="{78915450-7913-44D4-AD08-C609E524ABF6}"/>
    <cellStyle name="Currency 5 2 2 2 4 2 2 3" xfId="15649" xr:uid="{F14C2098-0E46-4F66-B836-DE5F184D7CF7}"/>
    <cellStyle name="Currency 5 2 2 2 4 2 3" xfId="19879" xr:uid="{1AA9B077-DDE8-4B8B-AB52-F881189F723D}"/>
    <cellStyle name="Currency 5 2 2 2 4 2 4" xfId="11431" xr:uid="{FA009CFD-7233-4360-B6F9-50CC39C0E7B5}"/>
    <cellStyle name="Currency 5 2 2 2 4 3" xfId="5054" xr:uid="{00000000-0005-0000-0000-0000B50B0000}"/>
    <cellStyle name="Currency 5 2 2 2 4 3 2" xfId="21952" xr:uid="{9644463D-069A-41B6-BD8F-AED69B5CE2DE}"/>
    <cellStyle name="Currency 5 2 2 2 4 3 3" xfId="13504" xr:uid="{63C0CBF6-EBBA-404B-A04E-4568587F4094}"/>
    <cellStyle name="Currency 5 2 2 2 4 4" xfId="17734" xr:uid="{F6646AC4-FFA0-41BD-81BC-191722740522}"/>
    <cellStyle name="Currency 5 2 2 2 4 5" xfId="9286" xr:uid="{3B83D381-79DF-4DD0-89AD-9061CC2C430A}"/>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24510" xr:uid="{48C334D0-C090-4343-B7E1-141E2B4CEB35}"/>
    <cellStyle name="Currency 5 2 2 2 5 2 2 3" xfId="16062" xr:uid="{AD3957CD-7DF3-4999-9081-6DC4B531E742}"/>
    <cellStyle name="Currency 5 2 2 2 5 2 3" xfId="20292" xr:uid="{70B9B109-1997-463B-BF54-3E8E46FDA151}"/>
    <cellStyle name="Currency 5 2 2 2 5 2 4" xfId="11844" xr:uid="{4D697C7B-88C8-4E5A-A16B-17B39081E2C8}"/>
    <cellStyle name="Currency 5 2 2 2 5 3" xfId="5467" xr:uid="{00000000-0005-0000-0000-0000B90B0000}"/>
    <cellStyle name="Currency 5 2 2 2 5 3 2" xfId="22365" xr:uid="{5B7E9F20-04D8-443D-BAB1-C437ED958DC7}"/>
    <cellStyle name="Currency 5 2 2 2 5 3 3" xfId="13917" xr:uid="{A98BD3B4-D09C-495F-AC2C-65455BE7A5F0}"/>
    <cellStyle name="Currency 5 2 2 2 5 4" xfId="18147" xr:uid="{F99636E3-AD83-43B9-B727-26C0D6AADA96}"/>
    <cellStyle name="Currency 5 2 2 2 5 5" xfId="9699" xr:uid="{940939FC-075A-451A-B84C-A992EA887A85}"/>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24923" xr:uid="{480333BB-7E9A-469C-AF6B-C038CABAFE49}"/>
    <cellStyle name="Currency 5 2 2 2 6 2 2 3" xfId="16475" xr:uid="{68CCA55E-D94C-4B2E-9396-C31D37CD0449}"/>
    <cellStyle name="Currency 5 2 2 2 6 2 3" xfId="20705" xr:uid="{C7098F07-B075-48B1-B4F8-A19A87FE263A}"/>
    <cellStyle name="Currency 5 2 2 2 6 2 4" xfId="12257" xr:uid="{C13CE2E0-9400-4196-9DAC-DAF4B4DE1EEC}"/>
    <cellStyle name="Currency 5 2 2 2 6 3" xfId="5880" xr:uid="{00000000-0005-0000-0000-0000BD0B0000}"/>
    <cellStyle name="Currency 5 2 2 2 6 3 2" xfId="22778" xr:uid="{4CA4B570-5D8E-42D8-B01E-5637253EC9E9}"/>
    <cellStyle name="Currency 5 2 2 2 6 3 3" xfId="14330" xr:uid="{478B6BC3-BD9D-4D5C-A525-F850DF8F42BD}"/>
    <cellStyle name="Currency 5 2 2 2 6 4" xfId="18560" xr:uid="{4BF2B9B3-2EE0-4E3A-9336-FFF4468AC9EB}"/>
    <cellStyle name="Currency 5 2 2 2 6 5" xfId="10112" xr:uid="{7D511A59-6581-4B2C-860A-AC08F48E4321}"/>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25336" xr:uid="{06815BFA-65F1-4B63-B358-4843080C9AAC}"/>
    <cellStyle name="Currency 5 2 2 2 7 2 2 3" xfId="16888" xr:uid="{46910887-9419-4C76-BA6D-498E5EEDA769}"/>
    <cellStyle name="Currency 5 2 2 2 7 2 3" xfId="21118" xr:uid="{C4E75B3B-37F9-4902-8DDC-7041C393143B}"/>
    <cellStyle name="Currency 5 2 2 2 7 2 4" xfId="12670" xr:uid="{BBAB773F-DD38-47DA-8636-E700A9C4C960}"/>
    <cellStyle name="Currency 5 2 2 2 7 3" xfId="6293" xr:uid="{00000000-0005-0000-0000-0000C10B0000}"/>
    <cellStyle name="Currency 5 2 2 2 7 3 2" xfId="23191" xr:uid="{58C82948-D086-42B0-870E-44D9C3B76621}"/>
    <cellStyle name="Currency 5 2 2 2 7 3 3" xfId="14743" xr:uid="{6D2C3F84-CB95-4808-8EF0-2C690E7B4D75}"/>
    <cellStyle name="Currency 5 2 2 2 7 4" xfId="18973" xr:uid="{E650E6E1-5D7A-415D-8D98-C755D3028208}"/>
    <cellStyle name="Currency 5 2 2 2 7 5" xfId="10525" xr:uid="{A3DC5E36-8461-40B0-8F13-39CCA2A28FA4}"/>
    <cellStyle name="Currency 5 2 2 2 8" xfId="2422" xr:uid="{00000000-0005-0000-0000-0000C20B0000}"/>
    <cellStyle name="Currency 5 2 2 2 8 2" xfId="6706" xr:uid="{00000000-0005-0000-0000-0000C30B0000}"/>
    <cellStyle name="Currency 5 2 2 2 8 2 2" xfId="23604" xr:uid="{B571ED96-591B-404A-A7FA-C82473DB4FE6}"/>
    <cellStyle name="Currency 5 2 2 2 8 2 3" xfId="15156" xr:uid="{E6B4E964-7D46-4806-AA6F-EE7F015DE04E}"/>
    <cellStyle name="Currency 5 2 2 2 8 3" xfId="19386" xr:uid="{11E9CF41-0324-4929-B928-E4310542EF2D}"/>
    <cellStyle name="Currency 5 2 2 2 8 4" xfId="10938" xr:uid="{2BDE8645-599A-44A1-99E7-EFD8CCCCF8B0}"/>
    <cellStyle name="Currency 5 2 2 2 9" xfId="2719" xr:uid="{00000000-0005-0000-0000-0000C40B0000}"/>
    <cellStyle name="Currency 5 2 2 3" xfId="200" xr:uid="{00000000-0005-0000-0000-0000C50B0000}"/>
    <cellStyle name="Currency 5 2 2 3 10" xfId="4644" xr:uid="{00000000-0005-0000-0000-0000C60B0000}"/>
    <cellStyle name="Currency 5 2 2 3 10 2" xfId="21542" xr:uid="{305EEAD7-94BA-452D-9F45-124ED79C8466}"/>
    <cellStyle name="Currency 5 2 2 3 10 3" xfId="13094" xr:uid="{F380892A-AC1C-4E83-A37C-326DBBDC6F89}"/>
    <cellStyle name="Currency 5 2 2 3 11" xfId="17324" xr:uid="{E628B397-2DAC-4C0F-AB60-B7B04D468924}"/>
    <cellStyle name="Currency 5 2 2 3 12" xfId="8876" xr:uid="{FCEDF101-0382-426B-A9CF-8723A271C66C}"/>
    <cellStyle name="Currency 5 2 2 3 2" xfId="201" xr:uid="{00000000-0005-0000-0000-0000C70B0000}"/>
    <cellStyle name="Currency 5 2 2 3 2 10" xfId="17325" xr:uid="{6CBC12BF-AD3A-4C81-BD86-203F087948EF}"/>
    <cellStyle name="Currency 5 2 2 3 2 11" xfId="8877" xr:uid="{CF4F9839-FCC1-4B98-8935-ECA6A8ED7B7A}"/>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24102" xr:uid="{7587CF5F-875B-45B7-8D65-D0F8A3CEC384}"/>
    <cellStyle name="Currency 5 2 2 3 2 2 2 2 3" xfId="15654" xr:uid="{EC9993B2-790D-4C6F-A03C-AE35FAAF028B}"/>
    <cellStyle name="Currency 5 2 2 3 2 2 2 3" xfId="19884" xr:uid="{286B1F2A-0603-48E2-AF59-46472E207AFA}"/>
    <cellStyle name="Currency 5 2 2 3 2 2 2 4" xfId="11436" xr:uid="{C114EEA3-8358-478A-AA53-BD5DEB7F413A}"/>
    <cellStyle name="Currency 5 2 2 3 2 2 3" xfId="5059" xr:uid="{00000000-0005-0000-0000-0000CB0B0000}"/>
    <cellStyle name="Currency 5 2 2 3 2 2 3 2" xfId="21957" xr:uid="{46F64074-F1E4-40EF-876E-35ED6F4D5CF0}"/>
    <cellStyle name="Currency 5 2 2 3 2 2 3 3" xfId="13509" xr:uid="{98A8CFA8-F5D0-4598-B67A-CD4481D35C7A}"/>
    <cellStyle name="Currency 5 2 2 3 2 2 4" xfId="17739" xr:uid="{D59F2F9F-AF51-4A49-948E-BD3549BE75B2}"/>
    <cellStyle name="Currency 5 2 2 3 2 2 5" xfId="9291" xr:uid="{9D6069AC-63AC-4AD9-9F12-AF671BA58A21}"/>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24515" xr:uid="{006E63A1-60B2-460E-B3C4-4DD4AC34DED1}"/>
    <cellStyle name="Currency 5 2 2 3 2 3 2 2 3" xfId="16067" xr:uid="{B62855B4-4A78-4B21-AC9F-CF9AE26FC568}"/>
    <cellStyle name="Currency 5 2 2 3 2 3 2 3" xfId="20297" xr:uid="{45FF00A8-B7E5-492B-9FFC-5EA95EC7F180}"/>
    <cellStyle name="Currency 5 2 2 3 2 3 2 4" xfId="11849" xr:uid="{69ADBABE-0149-4862-ABE7-34FAD856622A}"/>
    <cellStyle name="Currency 5 2 2 3 2 3 3" xfId="5472" xr:uid="{00000000-0005-0000-0000-0000CF0B0000}"/>
    <cellStyle name="Currency 5 2 2 3 2 3 3 2" xfId="22370" xr:uid="{7AD9BB43-9270-47D4-BC56-AD6ED01FB445}"/>
    <cellStyle name="Currency 5 2 2 3 2 3 3 3" xfId="13922" xr:uid="{9B987FF7-9754-4268-B393-43C5FA94A50E}"/>
    <cellStyle name="Currency 5 2 2 3 2 3 4" xfId="18152" xr:uid="{1B0E601E-B9B3-4E9E-B05A-84D7444AC143}"/>
    <cellStyle name="Currency 5 2 2 3 2 3 5" xfId="9704" xr:uid="{6BC187C3-6981-41F9-84FE-5481632A5505}"/>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24928" xr:uid="{19B2E0F9-407D-4A8E-A938-A6CFA69E5491}"/>
    <cellStyle name="Currency 5 2 2 3 2 4 2 2 3" xfId="16480" xr:uid="{88733609-A1FC-4BD6-9D65-EA92923B1DEF}"/>
    <cellStyle name="Currency 5 2 2 3 2 4 2 3" xfId="20710" xr:uid="{94CEAFE9-B253-4343-B5FA-A9B533D9877F}"/>
    <cellStyle name="Currency 5 2 2 3 2 4 2 4" xfId="12262" xr:uid="{8E4C1F2A-5341-4EB9-8AFB-EAAD0D83F998}"/>
    <cellStyle name="Currency 5 2 2 3 2 4 3" xfId="5885" xr:uid="{00000000-0005-0000-0000-0000D30B0000}"/>
    <cellStyle name="Currency 5 2 2 3 2 4 3 2" xfId="22783" xr:uid="{E5F5151F-7092-41BF-9D2F-ECC385C752E4}"/>
    <cellStyle name="Currency 5 2 2 3 2 4 3 3" xfId="14335" xr:uid="{60697D9A-ED88-4955-93C2-C8D7D6BC255F}"/>
    <cellStyle name="Currency 5 2 2 3 2 4 4" xfId="18565" xr:uid="{E4CC5071-481E-4E3B-9C54-17C5E5DBD1B8}"/>
    <cellStyle name="Currency 5 2 2 3 2 4 5" xfId="10117" xr:uid="{2749629D-51E2-4B3A-A656-E97A7A02943E}"/>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25341" xr:uid="{7F5C3AA8-F712-4323-BFBC-F64319A0ADBD}"/>
    <cellStyle name="Currency 5 2 2 3 2 5 2 2 3" xfId="16893" xr:uid="{9C3FD355-077A-4342-BB29-8212F619209B}"/>
    <cellStyle name="Currency 5 2 2 3 2 5 2 3" xfId="21123" xr:uid="{90192220-8B1C-42D8-9E73-EF9312429151}"/>
    <cellStyle name="Currency 5 2 2 3 2 5 2 4" xfId="12675" xr:uid="{F1EBDC7E-7322-4D8D-921D-080956AD1AF5}"/>
    <cellStyle name="Currency 5 2 2 3 2 5 3" xfId="6298" xr:uid="{00000000-0005-0000-0000-0000D70B0000}"/>
    <cellStyle name="Currency 5 2 2 3 2 5 3 2" xfId="23196" xr:uid="{5B615872-ACFC-4D98-A464-43049D87BE44}"/>
    <cellStyle name="Currency 5 2 2 3 2 5 3 3" xfId="14748" xr:uid="{224A0B02-C6A0-48C1-91ED-754F1D05CCF5}"/>
    <cellStyle name="Currency 5 2 2 3 2 5 4" xfId="18978" xr:uid="{3B2F5CCE-0CC3-4572-A1FA-9572E3A20B7A}"/>
    <cellStyle name="Currency 5 2 2 3 2 5 5" xfId="10530" xr:uid="{A631630B-220C-4D6A-B492-D6AAAADDED4C}"/>
    <cellStyle name="Currency 5 2 2 3 2 6" xfId="2427" xr:uid="{00000000-0005-0000-0000-0000D80B0000}"/>
    <cellStyle name="Currency 5 2 2 3 2 6 2" xfId="6711" xr:uid="{00000000-0005-0000-0000-0000D90B0000}"/>
    <cellStyle name="Currency 5 2 2 3 2 6 2 2" xfId="23609" xr:uid="{5AEF5F24-E86E-4A02-B177-3002816A4B50}"/>
    <cellStyle name="Currency 5 2 2 3 2 6 2 3" xfId="15161" xr:uid="{B69104AD-C8E3-4F03-B59F-5960C0210490}"/>
    <cellStyle name="Currency 5 2 2 3 2 6 3" xfId="19391" xr:uid="{5B9A7C6D-5103-404F-8FEF-7EB20BE40C7F}"/>
    <cellStyle name="Currency 5 2 2 3 2 6 4" xfId="10943" xr:uid="{7C2714B1-46A6-44AE-BD2E-7094E6724E49}"/>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23926" xr:uid="{0836E202-9B03-4AEB-9D72-1BD5B6CD5CBD}"/>
    <cellStyle name="Currency 5 2 2 3 2 8 2 3" xfId="15478" xr:uid="{F020846B-2172-4AF9-8392-C200A0EAFA6F}"/>
    <cellStyle name="Currency 5 2 2 3 2 8 3" xfId="19708" xr:uid="{3CE32078-106A-477C-9A53-0AFCD276A196}"/>
    <cellStyle name="Currency 5 2 2 3 2 8 4" xfId="11260" xr:uid="{92A4CC18-3CEA-455E-9E46-A910A57FFD59}"/>
    <cellStyle name="Currency 5 2 2 3 2 9" xfId="4645" xr:uid="{00000000-0005-0000-0000-0000DD0B0000}"/>
    <cellStyle name="Currency 5 2 2 3 2 9 2" xfId="21543" xr:uid="{8B44104B-7A78-4AB8-925E-6B7C2CC1F649}"/>
    <cellStyle name="Currency 5 2 2 3 2 9 3" xfId="13095" xr:uid="{5CF989CB-D4BC-4BC9-8616-F509BC8CFFB7}"/>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24101" xr:uid="{50BBEAFB-2419-4549-BB85-07C5F5BCC37D}"/>
    <cellStyle name="Currency 5 2 2 3 3 2 2 3" xfId="15653" xr:uid="{8BFF843D-11C0-4440-B618-67B1BE582F1F}"/>
    <cellStyle name="Currency 5 2 2 3 3 2 3" xfId="19883" xr:uid="{6709453C-7312-4769-B003-699A3C2AF7C4}"/>
    <cellStyle name="Currency 5 2 2 3 3 2 4" xfId="11435" xr:uid="{61FF0F1B-C0A3-4991-8820-795A9E4D8A66}"/>
    <cellStyle name="Currency 5 2 2 3 3 3" xfId="5058" xr:uid="{00000000-0005-0000-0000-0000E10B0000}"/>
    <cellStyle name="Currency 5 2 2 3 3 3 2" xfId="21956" xr:uid="{3B5725AF-8FE9-4BFA-8274-4F73392715EF}"/>
    <cellStyle name="Currency 5 2 2 3 3 3 3" xfId="13508" xr:uid="{1EC7A648-616F-410D-85F8-7D7B5065480E}"/>
    <cellStyle name="Currency 5 2 2 3 3 4" xfId="17738" xr:uid="{6C4EE7AD-3069-4B63-93F6-87A8A2810536}"/>
    <cellStyle name="Currency 5 2 2 3 3 5" xfId="9290" xr:uid="{FFA57273-C4BE-48CE-863C-A4A79D115B2F}"/>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24514" xr:uid="{F74857DD-3152-4071-919B-E88B01F9BAE3}"/>
    <cellStyle name="Currency 5 2 2 3 4 2 2 3" xfId="16066" xr:uid="{D75223CF-6CB6-4280-BD6C-3F0A589C040A}"/>
    <cellStyle name="Currency 5 2 2 3 4 2 3" xfId="20296" xr:uid="{B10018CA-A1CE-42D9-94F8-9F892ED58E1F}"/>
    <cellStyle name="Currency 5 2 2 3 4 2 4" xfId="11848" xr:uid="{DFC5D4E6-C651-4508-903E-3EF54EAAB256}"/>
    <cellStyle name="Currency 5 2 2 3 4 3" xfId="5471" xr:uid="{00000000-0005-0000-0000-0000E50B0000}"/>
    <cellStyle name="Currency 5 2 2 3 4 3 2" xfId="22369" xr:uid="{31890946-21D7-400B-AF2B-910DFE03420F}"/>
    <cellStyle name="Currency 5 2 2 3 4 3 3" xfId="13921" xr:uid="{5809F895-79BA-48F9-B115-8349CF4AD345}"/>
    <cellStyle name="Currency 5 2 2 3 4 4" xfId="18151" xr:uid="{5D36481B-2C4F-49EC-AC8E-843D0064565C}"/>
    <cellStyle name="Currency 5 2 2 3 4 5" xfId="9703" xr:uid="{BAD32107-A975-443F-AFD7-10645EE4A999}"/>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24927" xr:uid="{6C86180E-ED6D-4861-98B1-D6F99ADB7D62}"/>
    <cellStyle name="Currency 5 2 2 3 5 2 2 3" xfId="16479" xr:uid="{4F3DF9EA-B66E-4569-94E2-646F268AAA0F}"/>
    <cellStyle name="Currency 5 2 2 3 5 2 3" xfId="20709" xr:uid="{65EA4019-2821-4E72-BDCC-7CBB6EFC7D8B}"/>
    <cellStyle name="Currency 5 2 2 3 5 2 4" xfId="12261" xr:uid="{AFDA1C23-7EB5-4D02-9DB9-A01A861AFDB4}"/>
    <cellStyle name="Currency 5 2 2 3 5 3" xfId="5884" xr:uid="{00000000-0005-0000-0000-0000E90B0000}"/>
    <cellStyle name="Currency 5 2 2 3 5 3 2" xfId="22782" xr:uid="{504A2FE3-34EA-4A39-A818-55C18584595D}"/>
    <cellStyle name="Currency 5 2 2 3 5 3 3" xfId="14334" xr:uid="{E734220B-68A9-4310-8355-792677C7450C}"/>
    <cellStyle name="Currency 5 2 2 3 5 4" xfId="18564" xr:uid="{90FBEEDB-9810-440E-96C2-B7A9858B3A36}"/>
    <cellStyle name="Currency 5 2 2 3 5 5" xfId="10116" xr:uid="{D90A1BB3-8295-44D8-A599-523F7877C1E7}"/>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25340" xr:uid="{5C925565-68FC-4108-B8D5-4C441CCFB6EE}"/>
    <cellStyle name="Currency 5 2 2 3 6 2 2 3" xfId="16892" xr:uid="{4118CA89-D707-45A8-BD96-EEEF6F2A454A}"/>
    <cellStyle name="Currency 5 2 2 3 6 2 3" xfId="21122" xr:uid="{F8EF8271-8068-4D23-BC2C-AA514F700983}"/>
    <cellStyle name="Currency 5 2 2 3 6 2 4" xfId="12674" xr:uid="{BB126AE7-2D05-48F0-8723-2751029853AA}"/>
    <cellStyle name="Currency 5 2 2 3 6 3" xfId="6297" xr:uid="{00000000-0005-0000-0000-0000ED0B0000}"/>
    <cellStyle name="Currency 5 2 2 3 6 3 2" xfId="23195" xr:uid="{CC7BC042-48F5-4854-86E9-E27694C88091}"/>
    <cellStyle name="Currency 5 2 2 3 6 3 3" xfId="14747" xr:uid="{08D1E6A8-B8EF-4CC4-BB67-2D1DBBC79BDA}"/>
    <cellStyle name="Currency 5 2 2 3 6 4" xfId="18977" xr:uid="{13323E71-D0C3-43C6-A460-124E203D4A1C}"/>
    <cellStyle name="Currency 5 2 2 3 6 5" xfId="10529" xr:uid="{17C97775-9FD6-47AE-B6F0-54CB468BE4CE}"/>
    <cellStyle name="Currency 5 2 2 3 7" xfId="2426" xr:uid="{00000000-0005-0000-0000-0000EE0B0000}"/>
    <cellStyle name="Currency 5 2 2 3 7 2" xfId="6710" xr:uid="{00000000-0005-0000-0000-0000EF0B0000}"/>
    <cellStyle name="Currency 5 2 2 3 7 2 2" xfId="23608" xr:uid="{96F103FB-03C1-4614-A6E3-BF2CBDC5BA61}"/>
    <cellStyle name="Currency 5 2 2 3 7 2 3" xfId="15160" xr:uid="{02DA8D22-BEF1-4565-A866-9411980417B7}"/>
    <cellStyle name="Currency 5 2 2 3 7 3" xfId="19390" xr:uid="{5C1A4BD0-C180-4C2A-B587-8EF947B01D8D}"/>
    <cellStyle name="Currency 5 2 2 3 7 4" xfId="10942" xr:uid="{43EFB258-AE81-4A9A-B69E-A24F539D2582}"/>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23925" xr:uid="{BA4558AA-336C-4232-8A7E-CC16291C5B48}"/>
    <cellStyle name="Currency 5 2 2 3 9 2 3" xfId="15477" xr:uid="{BF6BEF4A-6253-492D-91CC-9604BD02A935}"/>
    <cellStyle name="Currency 5 2 2 3 9 3" xfId="19707" xr:uid="{FEF19EC4-FA81-4469-8882-BC65B491B9B7}"/>
    <cellStyle name="Currency 5 2 2 3 9 4" xfId="11259" xr:uid="{B80E44CB-4827-4C30-9821-6CD25231B9BD}"/>
    <cellStyle name="Currency 5 2 2 4" xfId="202" xr:uid="{00000000-0005-0000-0000-0000F30B0000}"/>
    <cellStyle name="Currency 5 2 2 4 10" xfId="17326" xr:uid="{EF306D4E-BF32-46B4-8315-FACA50A7D0F8}"/>
    <cellStyle name="Currency 5 2 2 4 11" xfId="8878" xr:uid="{9A7B3931-4FB6-4C5C-B8E9-CAACC6C0FA51}"/>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24103" xr:uid="{9B68E8B0-3DC7-4E83-8C66-735F20E95040}"/>
    <cellStyle name="Currency 5 2 2 4 2 2 2 3" xfId="15655" xr:uid="{D044DDE8-7196-40D2-8E24-FE2EF08034B0}"/>
    <cellStyle name="Currency 5 2 2 4 2 2 3" xfId="19885" xr:uid="{41A24109-BC18-461D-B42A-02A7B902C8EA}"/>
    <cellStyle name="Currency 5 2 2 4 2 2 4" xfId="11437" xr:uid="{E1737D0D-6499-4536-8293-EF1BF965607F}"/>
    <cellStyle name="Currency 5 2 2 4 2 3" xfId="5060" xr:uid="{00000000-0005-0000-0000-0000F70B0000}"/>
    <cellStyle name="Currency 5 2 2 4 2 3 2" xfId="21958" xr:uid="{E39106BE-4239-4576-B181-B2375C8FD6CF}"/>
    <cellStyle name="Currency 5 2 2 4 2 3 3" xfId="13510" xr:uid="{017C1DB0-A1EF-4FB6-84F3-EDC9BE7FD9A3}"/>
    <cellStyle name="Currency 5 2 2 4 2 4" xfId="17740" xr:uid="{96135D1A-CE11-4C38-9526-277642AC8D91}"/>
    <cellStyle name="Currency 5 2 2 4 2 5" xfId="9292" xr:uid="{EAD83A60-DD23-4086-A263-E6E1B865135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24516" xr:uid="{38A70524-E21B-4EA2-8D7E-3EF97278783A}"/>
    <cellStyle name="Currency 5 2 2 4 3 2 2 3" xfId="16068" xr:uid="{5D0CD328-3E74-452E-A46B-CB7ECF46E109}"/>
    <cellStyle name="Currency 5 2 2 4 3 2 3" xfId="20298" xr:uid="{726901DB-2DFD-4CB1-A0E7-767E2A6965F2}"/>
    <cellStyle name="Currency 5 2 2 4 3 2 4" xfId="11850" xr:uid="{41B228E4-D2D2-4463-96BF-A2FFD7B7B5A9}"/>
    <cellStyle name="Currency 5 2 2 4 3 3" xfId="5473" xr:uid="{00000000-0005-0000-0000-0000FB0B0000}"/>
    <cellStyle name="Currency 5 2 2 4 3 3 2" xfId="22371" xr:uid="{E0D2C516-F336-4B67-8331-40416BA812BB}"/>
    <cellStyle name="Currency 5 2 2 4 3 3 3" xfId="13923" xr:uid="{6D15DCFA-C4CD-48D8-B948-4B0A2346FB9B}"/>
    <cellStyle name="Currency 5 2 2 4 3 4" xfId="18153" xr:uid="{AAD3B78F-89FF-4EA5-B4B6-85FA31FC08C5}"/>
    <cellStyle name="Currency 5 2 2 4 3 5" xfId="9705" xr:uid="{D4A88799-CBCB-4D42-93B3-11D3164416A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24929" xr:uid="{EA36B9E5-63A9-47C3-8182-BB44A732134A}"/>
    <cellStyle name="Currency 5 2 2 4 4 2 2 3" xfId="16481" xr:uid="{B594E5B3-90A3-40A2-82C2-4D1D44725D26}"/>
    <cellStyle name="Currency 5 2 2 4 4 2 3" xfId="20711" xr:uid="{1665A2F5-C10F-4FF8-8D9B-876A1E1551B6}"/>
    <cellStyle name="Currency 5 2 2 4 4 2 4" xfId="12263" xr:uid="{587FCE8F-FD8F-4057-B19A-AB0D9F9E01A9}"/>
    <cellStyle name="Currency 5 2 2 4 4 3" xfId="5886" xr:uid="{00000000-0005-0000-0000-0000FF0B0000}"/>
    <cellStyle name="Currency 5 2 2 4 4 3 2" xfId="22784" xr:uid="{583CEE5D-1162-41DF-91EE-33ABC3EF0DBC}"/>
    <cellStyle name="Currency 5 2 2 4 4 3 3" xfId="14336" xr:uid="{2C5C8818-91E2-4FFB-A1DD-389B1B63217E}"/>
    <cellStyle name="Currency 5 2 2 4 4 4" xfId="18566" xr:uid="{3A9906DD-AEC3-4829-A181-7BCD7F9291F9}"/>
    <cellStyle name="Currency 5 2 2 4 4 5" xfId="10118" xr:uid="{9BA5EA64-DDF4-4570-BDBA-02B8A9A6F1C2}"/>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25342" xr:uid="{9715C164-B531-4BEC-82D1-1C6244E6CC06}"/>
    <cellStyle name="Currency 5 2 2 4 5 2 2 3" xfId="16894" xr:uid="{EB406655-7D8E-43F9-9494-D64F951F2FAB}"/>
    <cellStyle name="Currency 5 2 2 4 5 2 3" xfId="21124" xr:uid="{B8DDEE78-AC27-44E6-B9A4-5393D32EC4F9}"/>
    <cellStyle name="Currency 5 2 2 4 5 2 4" xfId="12676" xr:uid="{91955CF6-0609-489A-BB16-B7B0371701E6}"/>
    <cellStyle name="Currency 5 2 2 4 5 3" xfId="6299" xr:uid="{00000000-0005-0000-0000-0000030C0000}"/>
    <cellStyle name="Currency 5 2 2 4 5 3 2" xfId="23197" xr:uid="{98CF7B5C-E130-46C3-A332-23FDCE256FAF}"/>
    <cellStyle name="Currency 5 2 2 4 5 3 3" xfId="14749" xr:uid="{A0C5E11D-6612-4CA3-8D4F-43B782759EC6}"/>
    <cellStyle name="Currency 5 2 2 4 5 4" xfId="18979" xr:uid="{EB729DC8-B243-4BE3-AB28-8C2261AFC52E}"/>
    <cellStyle name="Currency 5 2 2 4 5 5" xfId="10531" xr:uid="{90E00127-F647-46F5-9BBE-71AF064B3BCE}"/>
    <cellStyle name="Currency 5 2 2 4 6" xfId="2428" xr:uid="{00000000-0005-0000-0000-0000040C0000}"/>
    <cellStyle name="Currency 5 2 2 4 6 2" xfId="6712" xr:uid="{00000000-0005-0000-0000-0000050C0000}"/>
    <cellStyle name="Currency 5 2 2 4 6 2 2" xfId="23610" xr:uid="{ECE31A92-6A0C-4F5B-8C0A-CD52B5A7CC15}"/>
    <cellStyle name="Currency 5 2 2 4 6 2 3" xfId="15162" xr:uid="{EFB5240F-0CCD-48F8-BDE0-3570DA5EC74B}"/>
    <cellStyle name="Currency 5 2 2 4 6 3" xfId="19392" xr:uid="{841F721C-CA05-4933-8BF6-C83A0B10AC17}"/>
    <cellStyle name="Currency 5 2 2 4 6 4" xfId="10944" xr:uid="{E7EA41C7-6654-46E6-9321-C4C49C66B833}"/>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23927" xr:uid="{2284E0AC-DC42-4146-80D1-A46C942B5716}"/>
    <cellStyle name="Currency 5 2 2 4 8 2 3" xfId="15479" xr:uid="{52D30012-EA04-48E4-A2B9-F8A68D379F3D}"/>
    <cellStyle name="Currency 5 2 2 4 8 3" xfId="19709" xr:uid="{CE2D2C7B-4DD3-40D1-9CEF-C46ECC1C0843}"/>
    <cellStyle name="Currency 5 2 2 4 8 4" xfId="11261" xr:uid="{E7C3AE2B-AF0B-4210-8384-68A81943B4F3}"/>
    <cellStyle name="Currency 5 2 2 4 9" xfId="4646" xr:uid="{00000000-0005-0000-0000-0000090C0000}"/>
    <cellStyle name="Currency 5 2 2 4 9 2" xfId="21544" xr:uid="{7E8F89F1-C613-41FB-9871-D3D2B8AA0C36}"/>
    <cellStyle name="Currency 5 2 2 4 9 3" xfId="13096" xr:uid="{2D4DDCED-E09A-4553-98DD-70900F9359F2}"/>
    <cellStyle name="Currency 5 2 2 5" xfId="203" xr:uid="{00000000-0005-0000-0000-00000A0C0000}"/>
    <cellStyle name="Currency 5 2 2 5 10" xfId="17327" xr:uid="{8A6C8BC0-E48B-4523-BB03-231B108B1F94}"/>
    <cellStyle name="Currency 5 2 2 5 11" xfId="8879" xr:uid="{171CE16C-A577-490B-9AB7-A6DC86C194AA}"/>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24104" xr:uid="{BC077861-CB31-41BA-A7E4-968848BD8318}"/>
    <cellStyle name="Currency 5 2 2 5 2 2 2 3" xfId="15656" xr:uid="{6E6C41E7-63ED-4FBE-915E-945414428B6D}"/>
    <cellStyle name="Currency 5 2 2 5 2 2 3" xfId="19886" xr:uid="{8F6B8B4C-DF99-4348-A3E7-87CCE9A9CADE}"/>
    <cellStyle name="Currency 5 2 2 5 2 2 4" xfId="11438" xr:uid="{706D34A1-6606-4525-9C80-8826E4E0AAD5}"/>
    <cellStyle name="Currency 5 2 2 5 2 3" xfId="5061" xr:uid="{00000000-0005-0000-0000-00000E0C0000}"/>
    <cellStyle name="Currency 5 2 2 5 2 3 2" xfId="21959" xr:uid="{0CEE55C3-DA40-4F69-BAE3-A1C240F5B0CD}"/>
    <cellStyle name="Currency 5 2 2 5 2 3 3" xfId="13511" xr:uid="{4C9CF290-FD93-48CA-937C-2D9315493BA2}"/>
    <cellStyle name="Currency 5 2 2 5 2 4" xfId="17741" xr:uid="{B1F39109-16D5-427A-9982-08525C941ADD}"/>
    <cellStyle name="Currency 5 2 2 5 2 5" xfId="9293" xr:uid="{68B52265-DFD8-4542-86B7-D51B80745C3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24517" xr:uid="{7C0463AC-13EC-482D-8DCE-2B8AC90FA457}"/>
    <cellStyle name="Currency 5 2 2 5 3 2 2 3" xfId="16069" xr:uid="{83B7BCA8-FD1B-49FB-9D10-C8C953FEB9FE}"/>
    <cellStyle name="Currency 5 2 2 5 3 2 3" xfId="20299" xr:uid="{B0D4D7AB-4944-4D20-86E4-B64B13027E4D}"/>
    <cellStyle name="Currency 5 2 2 5 3 2 4" xfId="11851" xr:uid="{1A430516-DAF1-4ADB-AED6-050DCD278F2D}"/>
    <cellStyle name="Currency 5 2 2 5 3 3" xfId="5474" xr:uid="{00000000-0005-0000-0000-0000120C0000}"/>
    <cellStyle name="Currency 5 2 2 5 3 3 2" xfId="22372" xr:uid="{EDB0307C-2810-4682-8058-9D24A4BC39B3}"/>
    <cellStyle name="Currency 5 2 2 5 3 3 3" xfId="13924" xr:uid="{93CF9506-B185-4A05-BEB5-6E95E049C7FC}"/>
    <cellStyle name="Currency 5 2 2 5 3 4" xfId="18154" xr:uid="{51CFD187-0481-4563-8D37-8CE37BE957CB}"/>
    <cellStyle name="Currency 5 2 2 5 3 5" xfId="9706" xr:uid="{160D660D-C92E-4FD3-98BE-F6F831D45D2F}"/>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24930" xr:uid="{2CFB410D-D9CE-44C9-8ABB-80D07BF0B7DE}"/>
    <cellStyle name="Currency 5 2 2 5 4 2 2 3" xfId="16482" xr:uid="{6E126685-CDDC-4E33-9DAD-647C50E28ED0}"/>
    <cellStyle name="Currency 5 2 2 5 4 2 3" xfId="20712" xr:uid="{E67283E9-1746-4C3B-87BC-4CA1DE1C7A1F}"/>
    <cellStyle name="Currency 5 2 2 5 4 2 4" xfId="12264" xr:uid="{406A60BA-DD1C-4DC6-B376-BE2979DBC445}"/>
    <cellStyle name="Currency 5 2 2 5 4 3" xfId="5887" xr:uid="{00000000-0005-0000-0000-0000160C0000}"/>
    <cellStyle name="Currency 5 2 2 5 4 3 2" xfId="22785" xr:uid="{DC7778A2-3668-4017-B704-EB530E809163}"/>
    <cellStyle name="Currency 5 2 2 5 4 3 3" xfId="14337" xr:uid="{E1789B72-98C2-48BA-8711-95F8BAEF4EE4}"/>
    <cellStyle name="Currency 5 2 2 5 4 4" xfId="18567" xr:uid="{B34E2CD4-C4D9-4F30-AB6E-D6E1B6BE1BE9}"/>
    <cellStyle name="Currency 5 2 2 5 4 5" xfId="10119" xr:uid="{E58624F7-C389-4636-8BE1-F6DC57F5BB92}"/>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25343" xr:uid="{81615F6E-9DEE-4609-AAC3-686701D06D53}"/>
    <cellStyle name="Currency 5 2 2 5 5 2 2 3" xfId="16895" xr:uid="{FE9E1A42-8A10-4444-A653-AFC78B1AE526}"/>
    <cellStyle name="Currency 5 2 2 5 5 2 3" xfId="21125" xr:uid="{14070FB8-8FAF-4145-9C53-AFCD7C53F271}"/>
    <cellStyle name="Currency 5 2 2 5 5 2 4" xfId="12677" xr:uid="{1F9D0D92-A088-4D24-B36C-52A4E66497C2}"/>
    <cellStyle name="Currency 5 2 2 5 5 3" xfId="6300" xr:uid="{00000000-0005-0000-0000-00001A0C0000}"/>
    <cellStyle name="Currency 5 2 2 5 5 3 2" xfId="23198" xr:uid="{DA87133F-3E7B-4089-8CEB-2595BC1F2672}"/>
    <cellStyle name="Currency 5 2 2 5 5 3 3" xfId="14750" xr:uid="{7DFC0C00-B3CD-465C-8E91-FE7F1CDEDA22}"/>
    <cellStyle name="Currency 5 2 2 5 5 4" xfId="18980" xr:uid="{426EAD73-E6E3-4973-892A-DA539106A5D6}"/>
    <cellStyle name="Currency 5 2 2 5 5 5" xfId="10532" xr:uid="{D3C02947-D9B5-47CE-A9F8-A5434256B6FD}"/>
    <cellStyle name="Currency 5 2 2 5 6" xfId="2429" xr:uid="{00000000-0005-0000-0000-00001B0C0000}"/>
    <cellStyle name="Currency 5 2 2 5 6 2" xfId="6713" xr:uid="{00000000-0005-0000-0000-00001C0C0000}"/>
    <cellStyle name="Currency 5 2 2 5 6 2 2" xfId="23611" xr:uid="{9DCB3A89-EC93-446E-A3C7-F4D2040A8DC2}"/>
    <cellStyle name="Currency 5 2 2 5 6 2 3" xfId="15163" xr:uid="{8DDEE9EB-7250-4180-983D-BB3FFCF21E50}"/>
    <cellStyle name="Currency 5 2 2 5 6 3" xfId="19393" xr:uid="{3151EFD7-067E-49CA-A366-FB26BC03F3B6}"/>
    <cellStyle name="Currency 5 2 2 5 6 4" xfId="10945" xr:uid="{B0E3D0CE-FE15-429E-8630-07533B797DBC}"/>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23928" xr:uid="{7EA7E8DB-026E-4DE9-BDC9-B96D2D2F82E7}"/>
    <cellStyle name="Currency 5 2 2 5 8 2 3" xfId="15480" xr:uid="{B4423EEA-CE95-4A5E-9C57-6282BC213A3B}"/>
    <cellStyle name="Currency 5 2 2 5 8 3" xfId="19710" xr:uid="{9C1B41EE-0FCB-46D0-B91C-5D5A1435227B}"/>
    <cellStyle name="Currency 5 2 2 5 8 4" xfId="11262" xr:uid="{45E75506-2743-4C82-AD02-3018630E0B3E}"/>
    <cellStyle name="Currency 5 2 2 5 9" xfId="4647" xr:uid="{00000000-0005-0000-0000-0000200C0000}"/>
    <cellStyle name="Currency 5 2 2 5 9 2" xfId="21545" xr:uid="{E674C849-4AEF-4BCF-B0C9-39CD3030378D}"/>
    <cellStyle name="Currency 5 2 2 5 9 3" xfId="13097" xr:uid="{FD53E8E6-AF37-4B13-A1C4-8B8370D460B6}"/>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21546" xr:uid="{94E30BB8-3937-46AA-8C54-9F87AAD18D6E}"/>
    <cellStyle name="Currency 5 2 4 10 3" xfId="13098" xr:uid="{85CA5DDF-89F2-4CDE-B4B6-BC0072A65187}"/>
    <cellStyle name="Currency 5 2 4 11" xfId="17328" xr:uid="{D32AE204-A939-4A7E-9EDD-090A4B9AFD19}"/>
    <cellStyle name="Currency 5 2 4 12" xfId="8880" xr:uid="{24C25E0E-0F2B-4500-8EAA-FBF48B4F2510}"/>
    <cellStyle name="Currency 5 2 4 2" xfId="206" xr:uid="{00000000-0005-0000-0000-0000250C0000}"/>
    <cellStyle name="Currency 5 2 4 2 10" xfId="17329" xr:uid="{25F55331-FA0B-43A0-93A2-323CF2519941}"/>
    <cellStyle name="Currency 5 2 4 2 11" xfId="8881" xr:uid="{A77FB3BC-4334-496C-8C85-BF181086D407}"/>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24106" xr:uid="{E0D06922-5986-4B51-9D91-A36FFF2F62D3}"/>
    <cellStyle name="Currency 5 2 4 2 2 2 2 3" xfId="15658" xr:uid="{FB44A56F-97D3-4F9D-A1BA-55F0D71E40AB}"/>
    <cellStyle name="Currency 5 2 4 2 2 2 3" xfId="19888" xr:uid="{A7EB5119-0B7F-433D-ABF9-21BAC7917AF7}"/>
    <cellStyle name="Currency 5 2 4 2 2 2 4" xfId="11440" xr:uid="{D7C5E672-0F9F-408C-93E8-16059BC24ACC}"/>
    <cellStyle name="Currency 5 2 4 2 2 3" xfId="5063" xr:uid="{00000000-0005-0000-0000-0000290C0000}"/>
    <cellStyle name="Currency 5 2 4 2 2 3 2" xfId="21961" xr:uid="{E5C5A37C-CD4B-40F9-9FCB-0B4C129C5342}"/>
    <cellStyle name="Currency 5 2 4 2 2 3 3" xfId="13513" xr:uid="{494A9679-BA65-4D0C-A33D-F27B4DD977AD}"/>
    <cellStyle name="Currency 5 2 4 2 2 4" xfId="17743" xr:uid="{A211566B-9BAC-46DE-8F96-BE12B488681F}"/>
    <cellStyle name="Currency 5 2 4 2 2 5" xfId="9295" xr:uid="{52CAED2A-228C-4649-A7ED-25B118F972B3}"/>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24519" xr:uid="{F11BF521-56E3-45BF-93E2-2CCF2D01DF3C}"/>
    <cellStyle name="Currency 5 2 4 2 3 2 2 3" xfId="16071" xr:uid="{ACD305B9-926E-4D98-B23D-FDB2B6C1750E}"/>
    <cellStyle name="Currency 5 2 4 2 3 2 3" xfId="20301" xr:uid="{6765B1AF-5781-4A3B-BA64-823FD61B3462}"/>
    <cellStyle name="Currency 5 2 4 2 3 2 4" xfId="11853" xr:uid="{DBC3029B-38E2-41FD-87AC-FAF3956EA053}"/>
    <cellStyle name="Currency 5 2 4 2 3 3" xfId="5476" xr:uid="{00000000-0005-0000-0000-00002D0C0000}"/>
    <cellStyle name="Currency 5 2 4 2 3 3 2" xfId="22374" xr:uid="{8DB286FA-7CC7-4104-9DE0-62F3EEAA9749}"/>
    <cellStyle name="Currency 5 2 4 2 3 3 3" xfId="13926" xr:uid="{801D085B-8DF4-4DF4-B283-5778E588C845}"/>
    <cellStyle name="Currency 5 2 4 2 3 4" xfId="18156" xr:uid="{E457F60A-50BA-45BE-981C-A1FF4B055151}"/>
    <cellStyle name="Currency 5 2 4 2 3 5" xfId="9708" xr:uid="{95A97409-7A00-443C-BA9E-346526C4B749}"/>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24932" xr:uid="{393779CE-1070-47D9-ABCF-9CCE84522582}"/>
    <cellStyle name="Currency 5 2 4 2 4 2 2 3" xfId="16484" xr:uid="{42F50E6B-664E-4F3C-A1AC-AF3B3329E2CA}"/>
    <cellStyle name="Currency 5 2 4 2 4 2 3" xfId="20714" xr:uid="{54A0A5BA-C5D2-434D-B8DE-060AD3353BCD}"/>
    <cellStyle name="Currency 5 2 4 2 4 2 4" xfId="12266" xr:uid="{9525AAB5-CDAF-454E-89C4-1EC4F09759EE}"/>
    <cellStyle name="Currency 5 2 4 2 4 3" xfId="5889" xr:uid="{00000000-0005-0000-0000-0000310C0000}"/>
    <cellStyle name="Currency 5 2 4 2 4 3 2" xfId="22787" xr:uid="{A63F1163-BAA4-4E92-ACFA-BC1AE48B48EC}"/>
    <cellStyle name="Currency 5 2 4 2 4 3 3" xfId="14339" xr:uid="{2F27B0F7-7A09-40D3-92F8-9CA30DBC90B5}"/>
    <cellStyle name="Currency 5 2 4 2 4 4" xfId="18569" xr:uid="{66C8A52F-3B4E-470A-8EE3-1E3B435C0F49}"/>
    <cellStyle name="Currency 5 2 4 2 4 5" xfId="10121" xr:uid="{EA11ED5D-F50F-4932-9506-AF3DDD690833}"/>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25345" xr:uid="{389827A3-FFB6-4602-A42D-CF5DB7B876FB}"/>
    <cellStyle name="Currency 5 2 4 2 5 2 2 3" xfId="16897" xr:uid="{DBE29361-64C7-4CDB-9E24-C027F28541F3}"/>
    <cellStyle name="Currency 5 2 4 2 5 2 3" xfId="21127" xr:uid="{5E9E814C-9CA0-46FC-8CE5-ECB73C692E98}"/>
    <cellStyle name="Currency 5 2 4 2 5 2 4" xfId="12679" xr:uid="{C9AAC173-636D-4B9B-A588-0673DFE0F666}"/>
    <cellStyle name="Currency 5 2 4 2 5 3" xfId="6302" xr:uid="{00000000-0005-0000-0000-0000350C0000}"/>
    <cellStyle name="Currency 5 2 4 2 5 3 2" xfId="23200" xr:uid="{561D18AA-9244-4DD1-875B-3830F08AF037}"/>
    <cellStyle name="Currency 5 2 4 2 5 3 3" xfId="14752" xr:uid="{EEC6FC0A-BE57-46ED-8AFB-37C3E0BE6126}"/>
    <cellStyle name="Currency 5 2 4 2 5 4" xfId="18982" xr:uid="{3B7215C6-09DE-44A5-88BC-91AACF43FF2E}"/>
    <cellStyle name="Currency 5 2 4 2 5 5" xfId="10534" xr:uid="{039688B9-B549-4E0D-8827-EB118507E153}"/>
    <cellStyle name="Currency 5 2 4 2 6" xfId="2431" xr:uid="{00000000-0005-0000-0000-0000360C0000}"/>
    <cellStyle name="Currency 5 2 4 2 6 2" xfId="6715" xr:uid="{00000000-0005-0000-0000-0000370C0000}"/>
    <cellStyle name="Currency 5 2 4 2 6 2 2" xfId="23613" xr:uid="{B4A80817-584D-4DB8-95EE-4ACF951920A5}"/>
    <cellStyle name="Currency 5 2 4 2 6 2 3" xfId="15165" xr:uid="{0D4BC9AE-89A8-4F08-9170-1BD671F6CA20}"/>
    <cellStyle name="Currency 5 2 4 2 6 3" xfId="19395" xr:uid="{387D8B23-0767-4372-AE94-1600247E5A50}"/>
    <cellStyle name="Currency 5 2 4 2 6 4" xfId="10947" xr:uid="{1C3508AC-FE34-4B55-A05F-7F6898CA88A9}"/>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23930" xr:uid="{019B4363-103D-47C3-919E-478A8E57492C}"/>
    <cellStyle name="Currency 5 2 4 2 8 2 3" xfId="15482" xr:uid="{63A5EC27-9F56-4B45-9DC0-E169BB75223A}"/>
    <cellStyle name="Currency 5 2 4 2 8 3" xfId="19712" xr:uid="{6C12627C-BF3E-48C2-B147-ADD19A6908F5}"/>
    <cellStyle name="Currency 5 2 4 2 8 4" xfId="11264" xr:uid="{32655AFA-33D6-475C-B825-AE02820498FF}"/>
    <cellStyle name="Currency 5 2 4 2 9" xfId="4649" xr:uid="{00000000-0005-0000-0000-00003B0C0000}"/>
    <cellStyle name="Currency 5 2 4 2 9 2" xfId="21547" xr:uid="{9511C604-DEC0-46AF-840E-BDAF73FCC202}"/>
    <cellStyle name="Currency 5 2 4 2 9 3" xfId="13099" xr:uid="{C890C29C-F49E-44C0-ADF6-5AFA72A56CB9}"/>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24105" xr:uid="{C5FD2C9D-05E4-4CCE-A099-488440676ACC}"/>
    <cellStyle name="Currency 5 2 4 3 2 2 3" xfId="15657" xr:uid="{02ED33D7-6ADF-4768-A375-249CADA2366E}"/>
    <cellStyle name="Currency 5 2 4 3 2 3" xfId="19887" xr:uid="{4C7D522F-DFE0-4E0B-9CC8-1CEAEA3953D5}"/>
    <cellStyle name="Currency 5 2 4 3 2 4" xfId="11439" xr:uid="{ED3FF34A-F68F-4B14-BD20-F39A0707E558}"/>
    <cellStyle name="Currency 5 2 4 3 3" xfId="5062" xr:uid="{00000000-0005-0000-0000-00003F0C0000}"/>
    <cellStyle name="Currency 5 2 4 3 3 2" xfId="21960" xr:uid="{D51F64D0-6BD1-4AB0-9894-49009B176C3A}"/>
    <cellStyle name="Currency 5 2 4 3 3 3" xfId="13512" xr:uid="{856CF41A-CB2A-4695-9108-05815C1E57DD}"/>
    <cellStyle name="Currency 5 2 4 3 4" xfId="17742" xr:uid="{5D10B4D6-DB69-4571-B3D8-7DF197A1ADA9}"/>
    <cellStyle name="Currency 5 2 4 3 5" xfId="9294" xr:uid="{0EA1CD68-5EF5-4630-83CE-666FA9B9EBF8}"/>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24518" xr:uid="{83D87E16-BA83-419E-9105-0A49D63D60D1}"/>
    <cellStyle name="Currency 5 2 4 4 2 2 3" xfId="16070" xr:uid="{E4ACFCA6-9327-4C70-9D2B-569A7B0FEBB9}"/>
    <cellStyle name="Currency 5 2 4 4 2 3" xfId="20300" xr:uid="{82A61836-46AB-46A3-99D9-857291B67455}"/>
    <cellStyle name="Currency 5 2 4 4 2 4" xfId="11852" xr:uid="{E04BB6F5-BCBD-4728-BBED-EF592863AED5}"/>
    <cellStyle name="Currency 5 2 4 4 3" xfId="5475" xr:uid="{00000000-0005-0000-0000-0000430C0000}"/>
    <cellStyle name="Currency 5 2 4 4 3 2" xfId="22373" xr:uid="{9E85BBBA-238B-47E5-B152-D8AC51C955AE}"/>
    <cellStyle name="Currency 5 2 4 4 3 3" xfId="13925" xr:uid="{2BE32D62-F21D-46F6-B6A4-DC416281280F}"/>
    <cellStyle name="Currency 5 2 4 4 4" xfId="18155" xr:uid="{91554862-B85A-47F7-BB36-23D00EC8FFD6}"/>
    <cellStyle name="Currency 5 2 4 4 5" xfId="9707" xr:uid="{6E18CFD3-61B8-4353-AC1F-159567456DCC}"/>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24931" xr:uid="{7B08E775-FECF-476C-9F33-16D93E7EFCA8}"/>
    <cellStyle name="Currency 5 2 4 5 2 2 3" xfId="16483" xr:uid="{81A462F1-345E-4640-8E20-D64ADB961A76}"/>
    <cellStyle name="Currency 5 2 4 5 2 3" xfId="20713" xr:uid="{D843C127-714B-49AB-AF03-26D9DFB20B7A}"/>
    <cellStyle name="Currency 5 2 4 5 2 4" xfId="12265" xr:uid="{9B4034A6-87A2-47FE-8A9A-739A0481A41F}"/>
    <cellStyle name="Currency 5 2 4 5 3" xfId="5888" xr:uid="{00000000-0005-0000-0000-0000470C0000}"/>
    <cellStyle name="Currency 5 2 4 5 3 2" xfId="22786" xr:uid="{B02298FD-E1E2-4174-BE57-973F89AC8634}"/>
    <cellStyle name="Currency 5 2 4 5 3 3" xfId="14338" xr:uid="{02507E21-D2F5-45D5-A498-241EEE5A1B9E}"/>
    <cellStyle name="Currency 5 2 4 5 4" xfId="18568" xr:uid="{DD90A4E9-DD94-413C-A613-0CBF1706536B}"/>
    <cellStyle name="Currency 5 2 4 5 5" xfId="10120" xr:uid="{85A23C02-FC3D-4401-B691-6AE84E9AF9EA}"/>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25344" xr:uid="{AE62974E-399E-4F7B-8958-CC7764F8D6BA}"/>
    <cellStyle name="Currency 5 2 4 6 2 2 3" xfId="16896" xr:uid="{0E34A282-D329-4147-8CB5-CE135095D1E2}"/>
    <cellStyle name="Currency 5 2 4 6 2 3" xfId="21126" xr:uid="{0BE85E5C-2B09-4EB4-8B29-69373D086268}"/>
    <cellStyle name="Currency 5 2 4 6 2 4" xfId="12678" xr:uid="{0C0D107B-95C9-4964-8AE4-D986ACA66877}"/>
    <cellStyle name="Currency 5 2 4 6 3" xfId="6301" xr:uid="{00000000-0005-0000-0000-00004B0C0000}"/>
    <cellStyle name="Currency 5 2 4 6 3 2" xfId="23199" xr:uid="{B9C5CF56-C034-4240-9F98-83480E9D0570}"/>
    <cellStyle name="Currency 5 2 4 6 3 3" xfId="14751" xr:uid="{0A7F6540-5748-45EB-A1E6-0D6AC9C7CCCB}"/>
    <cellStyle name="Currency 5 2 4 6 4" xfId="18981" xr:uid="{69D81F73-9503-4C06-B0C9-9E2B3D2026C1}"/>
    <cellStyle name="Currency 5 2 4 6 5" xfId="10533" xr:uid="{76425810-DC29-45E5-9039-772B67C21C6D}"/>
    <cellStyle name="Currency 5 2 4 7" xfId="2430" xr:uid="{00000000-0005-0000-0000-00004C0C0000}"/>
    <cellStyle name="Currency 5 2 4 7 2" xfId="6714" xr:uid="{00000000-0005-0000-0000-00004D0C0000}"/>
    <cellStyle name="Currency 5 2 4 7 2 2" xfId="23612" xr:uid="{4DFC088C-DE3E-4999-8F09-3843F8A3EE87}"/>
    <cellStyle name="Currency 5 2 4 7 2 3" xfId="15164" xr:uid="{589C110F-5275-4925-8C90-A7DA1B55FF19}"/>
    <cellStyle name="Currency 5 2 4 7 3" xfId="19394" xr:uid="{3D015422-AE0B-4F7B-BD84-8084B40BC32A}"/>
    <cellStyle name="Currency 5 2 4 7 4" xfId="10946" xr:uid="{5BDB87B5-30F4-4A30-8701-8804CF58D56D}"/>
    <cellStyle name="Currency 5 2 4 8" xfId="2727" xr:uid="{00000000-0005-0000-0000-00004E0C0000}"/>
    <cellStyle name="Currency 5 2 4 9" xfId="2808" xr:uid="{00000000-0005-0000-0000-00004F0C0000}"/>
    <cellStyle name="Currency 5 2 4 9 2" xfId="7031" xr:uid="{00000000-0005-0000-0000-0000500C0000}"/>
    <cellStyle name="Currency 5 2 4 9 2 2" xfId="23929" xr:uid="{1C87AD7D-02C5-4C16-80C9-3159361825CB}"/>
    <cellStyle name="Currency 5 2 4 9 2 3" xfId="15481" xr:uid="{1510CF6F-DB99-4BD3-95F7-184216348A2A}"/>
    <cellStyle name="Currency 5 2 4 9 3" xfId="19711" xr:uid="{A02E9EF9-67B0-4C01-8FF4-D32E3862F776}"/>
    <cellStyle name="Currency 5 2 4 9 4" xfId="11263" xr:uid="{E411ED14-3CC9-4C71-90CA-FC4E303F1931}"/>
    <cellStyle name="Currency 5 2 5" xfId="207" xr:uid="{00000000-0005-0000-0000-0000510C0000}"/>
    <cellStyle name="Currency 5 2 5 10" xfId="17330" xr:uid="{05CC6A16-F414-4F0C-9688-C9B3A61A6177}"/>
    <cellStyle name="Currency 5 2 5 11" xfId="8882" xr:uid="{426C9FD7-39E1-4B24-B3BB-EB65FACA1618}"/>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24107" xr:uid="{29782AEE-1458-4071-AAEF-290E48AFDBF3}"/>
    <cellStyle name="Currency 5 2 5 2 2 2 3" xfId="15659" xr:uid="{150778FA-6A06-47B1-9E9A-0ECFA763EF74}"/>
    <cellStyle name="Currency 5 2 5 2 2 3" xfId="19889" xr:uid="{E623F7DC-FC80-42A1-BFA1-624707DFC87D}"/>
    <cellStyle name="Currency 5 2 5 2 2 4" xfId="11441" xr:uid="{04B06279-E323-4F64-8ACE-D73635F712FE}"/>
    <cellStyle name="Currency 5 2 5 2 3" xfId="5064" xr:uid="{00000000-0005-0000-0000-0000550C0000}"/>
    <cellStyle name="Currency 5 2 5 2 3 2" xfId="21962" xr:uid="{E02D2423-168E-4992-9520-FD5D3CCF90AF}"/>
    <cellStyle name="Currency 5 2 5 2 3 3" xfId="13514" xr:uid="{C6EE0FF8-ADFC-44F7-B9F4-75486F436641}"/>
    <cellStyle name="Currency 5 2 5 2 4" xfId="17744" xr:uid="{59D55092-AB65-4DD3-98DF-A0F301A8A5C4}"/>
    <cellStyle name="Currency 5 2 5 2 5" xfId="9296" xr:uid="{9ED9D495-1D0C-4088-B87A-54FED939D4B3}"/>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24520" xr:uid="{D93BD7BB-3F8D-4081-8EA9-1619FEA53A03}"/>
    <cellStyle name="Currency 5 2 5 3 2 2 3" xfId="16072" xr:uid="{1F62E710-4079-4957-86EB-DDCF3575DEE5}"/>
    <cellStyle name="Currency 5 2 5 3 2 3" xfId="20302" xr:uid="{418C5221-1FF2-4AC6-976E-7AFEDBFEAC62}"/>
    <cellStyle name="Currency 5 2 5 3 2 4" xfId="11854" xr:uid="{64850C3E-621D-4304-90E4-CB10D494FC41}"/>
    <cellStyle name="Currency 5 2 5 3 3" xfId="5477" xr:uid="{00000000-0005-0000-0000-0000590C0000}"/>
    <cellStyle name="Currency 5 2 5 3 3 2" xfId="22375" xr:uid="{F2A00B9C-036C-4C9A-84AA-D419E893B75E}"/>
    <cellStyle name="Currency 5 2 5 3 3 3" xfId="13927" xr:uid="{DC026BD5-0E7D-4F79-B74C-E7EA0D53131B}"/>
    <cellStyle name="Currency 5 2 5 3 4" xfId="18157" xr:uid="{7FAAA71D-FDCC-49A4-8B66-9131FC28A615}"/>
    <cellStyle name="Currency 5 2 5 3 5" xfId="9709" xr:uid="{166ABB4C-6961-438E-9FC9-AAA1A0A03D2C}"/>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24933" xr:uid="{9ECCB963-6492-40B2-B6B0-66F05187690A}"/>
    <cellStyle name="Currency 5 2 5 4 2 2 3" xfId="16485" xr:uid="{B99A3C0D-54AF-4886-B747-C9BFDCDD8753}"/>
    <cellStyle name="Currency 5 2 5 4 2 3" xfId="20715" xr:uid="{9D8BCCEA-F2B4-42BF-9F94-063153C98462}"/>
    <cellStyle name="Currency 5 2 5 4 2 4" xfId="12267" xr:uid="{C18CD4C6-F6C0-4626-8C0D-1F99702854EA}"/>
    <cellStyle name="Currency 5 2 5 4 3" xfId="5890" xr:uid="{00000000-0005-0000-0000-00005D0C0000}"/>
    <cellStyle name="Currency 5 2 5 4 3 2" xfId="22788" xr:uid="{00157D0E-B6ED-4FD0-B58B-2AC6F314A138}"/>
    <cellStyle name="Currency 5 2 5 4 3 3" xfId="14340" xr:uid="{F95117EE-DB94-4BD3-98D0-603D0AA49DBE}"/>
    <cellStyle name="Currency 5 2 5 4 4" xfId="18570" xr:uid="{E3473F99-83EF-4EBC-9DC8-6B823B590FA1}"/>
    <cellStyle name="Currency 5 2 5 4 5" xfId="10122" xr:uid="{7E706BA7-7C81-4A35-B5BE-91A753A146F8}"/>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25346" xr:uid="{CAE23D6F-AE71-4D24-B421-8009EA7605A4}"/>
    <cellStyle name="Currency 5 2 5 5 2 2 3" xfId="16898" xr:uid="{644CCF77-86DE-4849-9499-8C3073C86E11}"/>
    <cellStyle name="Currency 5 2 5 5 2 3" xfId="21128" xr:uid="{0FEFEAC4-8411-4072-8DE1-7CBCEB984F86}"/>
    <cellStyle name="Currency 5 2 5 5 2 4" xfId="12680" xr:uid="{39BAA8A8-1A64-4A6B-853F-C9D4C50CD6E4}"/>
    <cellStyle name="Currency 5 2 5 5 3" xfId="6303" xr:uid="{00000000-0005-0000-0000-0000610C0000}"/>
    <cellStyle name="Currency 5 2 5 5 3 2" xfId="23201" xr:uid="{60241250-76D8-4B32-92A3-17A720C07E41}"/>
    <cellStyle name="Currency 5 2 5 5 3 3" xfId="14753" xr:uid="{64788C14-2DEA-4A24-95DD-91AC783104B2}"/>
    <cellStyle name="Currency 5 2 5 5 4" xfId="18983" xr:uid="{9CB6A4BB-ADB0-43FB-848A-6808EA51E1BD}"/>
    <cellStyle name="Currency 5 2 5 5 5" xfId="10535" xr:uid="{151610A6-111B-421A-9D70-E29D1B788FE5}"/>
    <cellStyle name="Currency 5 2 5 6" xfId="2432" xr:uid="{00000000-0005-0000-0000-0000620C0000}"/>
    <cellStyle name="Currency 5 2 5 6 2" xfId="6716" xr:uid="{00000000-0005-0000-0000-0000630C0000}"/>
    <cellStyle name="Currency 5 2 5 6 2 2" xfId="23614" xr:uid="{224AB1C4-E2BA-4998-A7EE-B15DA26C9638}"/>
    <cellStyle name="Currency 5 2 5 6 2 3" xfId="15166" xr:uid="{2AE5FFFE-8383-43AB-B188-4273EFC19FEA}"/>
    <cellStyle name="Currency 5 2 5 6 3" xfId="19396" xr:uid="{FAE88ACC-AF3B-48E8-AC28-081FC6190268}"/>
    <cellStyle name="Currency 5 2 5 6 4" xfId="10948" xr:uid="{560893AE-A9CF-4979-9429-680A6285F11C}"/>
    <cellStyle name="Currency 5 2 5 7" xfId="2729" xr:uid="{00000000-0005-0000-0000-0000640C0000}"/>
    <cellStyle name="Currency 5 2 5 8" xfId="2810" xr:uid="{00000000-0005-0000-0000-0000650C0000}"/>
    <cellStyle name="Currency 5 2 5 8 2" xfId="7033" xr:uid="{00000000-0005-0000-0000-0000660C0000}"/>
    <cellStyle name="Currency 5 2 5 8 2 2" xfId="23931" xr:uid="{8AD4FD0D-991E-4434-8105-D4C67AC70D05}"/>
    <cellStyle name="Currency 5 2 5 8 2 3" xfId="15483" xr:uid="{1F28474B-110F-4969-9866-F7BF2C294559}"/>
    <cellStyle name="Currency 5 2 5 8 3" xfId="19713" xr:uid="{7AE8CCD8-E2DC-4258-A747-40CFB70BD8E8}"/>
    <cellStyle name="Currency 5 2 5 8 4" xfId="11265" xr:uid="{85C5FEE8-8069-4610-B2E4-EDF3DB5E5014}"/>
    <cellStyle name="Currency 5 2 5 9" xfId="4650" xr:uid="{00000000-0005-0000-0000-0000670C0000}"/>
    <cellStyle name="Currency 5 2 5 9 2" xfId="21548" xr:uid="{82E167E1-8547-4D17-8BAD-B843ECFAD2F4}"/>
    <cellStyle name="Currency 5 2 5 9 3" xfId="13100" xr:uid="{842639B3-E09C-457E-A2AC-8C5C3F40B8F8}"/>
    <cellStyle name="Currency 5 2 6" xfId="208" xr:uid="{00000000-0005-0000-0000-0000680C0000}"/>
    <cellStyle name="Currency 5 2 6 10" xfId="17331" xr:uid="{2D234E5E-3D39-4E0F-AD87-C31C858EEF39}"/>
    <cellStyle name="Currency 5 2 6 11" xfId="8883" xr:uid="{75143910-16B9-4CCC-9551-E6936C1154B2}"/>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24108" xr:uid="{217D881F-3639-42B1-BC09-EC70CDD37B56}"/>
    <cellStyle name="Currency 5 2 6 2 2 2 3" xfId="15660" xr:uid="{1B325473-B10C-4CDC-9DE0-48758AA48F89}"/>
    <cellStyle name="Currency 5 2 6 2 2 3" xfId="19890" xr:uid="{D02189EE-3B83-461F-9878-B5E0728B18C4}"/>
    <cellStyle name="Currency 5 2 6 2 2 4" xfId="11442" xr:uid="{40977C7E-2956-4814-8800-63C4604D8CB0}"/>
    <cellStyle name="Currency 5 2 6 2 3" xfId="5065" xr:uid="{00000000-0005-0000-0000-00006C0C0000}"/>
    <cellStyle name="Currency 5 2 6 2 3 2" xfId="21963" xr:uid="{F4746B8C-013F-4F91-A33D-88688C0F6304}"/>
    <cellStyle name="Currency 5 2 6 2 3 3" xfId="13515" xr:uid="{297DE7F7-C5A5-48FC-B485-7529A22FCBBE}"/>
    <cellStyle name="Currency 5 2 6 2 4" xfId="17745" xr:uid="{9E678117-26E5-4154-843A-B9FBFC0378E0}"/>
    <cellStyle name="Currency 5 2 6 2 5" xfId="9297" xr:uid="{2EAE4221-FC23-45BE-8140-7A98E234894A}"/>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24521" xr:uid="{BEBC50D3-B35B-4176-82B1-1CFD4B42622D}"/>
    <cellStyle name="Currency 5 2 6 3 2 2 3" xfId="16073" xr:uid="{C8C76D84-F957-42E4-8856-914A7E75088D}"/>
    <cellStyle name="Currency 5 2 6 3 2 3" xfId="20303" xr:uid="{52630990-E188-449F-93EE-7647E2C94DF4}"/>
    <cellStyle name="Currency 5 2 6 3 2 4" xfId="11855" xr:uid="{782ED992-3C35-4E81-9DB0-A2745A28EE03}"/>
    <cellStyle name="Currency 5 2 6 3 3" xfId="5478" xr:uid="{00000000-0005-0000-0000-0000700C0000}"/>
    <cellStyle name="Currency 5 2 6 3 3 2" xfId="22376" xr:uid="{50BB9F82-EC58-4F22-A227-0ECC4CEAE46C}"/>
    <cellStyle name="Currency 5 2 6 3 3 3" xfId="13928" xr:uid="{842B3211-FEBF-4435-80A9-FB520F25D9F3}"/>
    <cellStyle name="Currency 5 2 6 3 4" xfId="18158" xr:uid="{6CD9562B-9D62-4BA9-B8A9-2FCFB63285D4}"/>
    <cellStyle name="Currency 5 2 6 3 5" xfId="9710" xr:uid="{D1791750-E75F-451E-88F6-0980C528ABA0}"/>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24934" xr:uid="{808303EF-01FC-48DA-AC85-DAED6D62A1CE}"/>
    <cellStyle name="Currency 5 2 6 4 2 2 3" xfId="16486" xr:uid="{05812BC1-13ED-4FC8-BD9A-D16CAA168226}"/>
    <cellStyle name="Currency 5 2 6 4 2 3" xfId="20716" xr:uid="{0DE8D016-7704-4842-9C0B-E87231A86480}"/>
    <cellStyle name="Currency 5 2 6 4 2 4" xfId="12268" xr:uid="{3E3701F6-150B-4056-9C6E-49F4B802BF80}"/>
    <cellStyle name="Currency 5 2 6 4 3" xfId="5891" xr:uid="{00000000-0005-0000-0000-0000740C0000}"/>
    <cellStyle name="Currency 5 2 6 4 3 2" xfId="22789" xr:uid="{6A42648C-8B2A-4A14-8DA2-003D7C578C15}"/>
    <cellStyle name="Currency 5 2 6 4 3 3" xfId="14341" xr:uid="{EB917CDB-1F4C-4D07-AA68-0CB05D589A0D}"/>
    <cellStyle name="Currency 5 2 6 4 4" xfId="18571" xr:uid="{D6297365-B67D-47E3-9452-44904D4170E5}"/>
    <cellStyle name="Currency 5 2 6 4 5" xfId="10123" xr:uid="{0360EEE0-2A98-4EEA-8D00-59FDEE2AC9F2}"/>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25347" xr:uid="{F7992E78-997F-4458-AA2A-022EAAFBA483}"/>
    <cellStyle name="Currency 5 2 6 5 2 2 3" xfId="16899" xr:uid="{467D70F4-4502-400D-9CA7-71ECF2592BF9}"/>
    <cellStyle name="Currency 5 2 6 5 2 3" xfId="21129" xr:uid="{259D78BA-DEB7-482D-A085-D27A4BBC67A5}"/>
    <cellStyle name="Currency 5 2 6 5 2 4" xfId="12681" xr:uid="{29A7450D-78D5-471E-84FE-1BA25C8AFDAC}"/>
    <cellStyle name="Currency 5 2 6 5 3" xfId="6304" xr:uid="{00000000-0005-0000-0000-0000780C0000}"/>
    <cellStyle name="Currency 5 2 6 5 3 2" xfId="23202" xr:uid="{A7B963EE-8DB3-4743-9350-C3D4DC611208}"/>
    <cellStyle name="Currency 5 2 6 5 3 3" xfId="14754" xr:uid="{67BA0798-A878-4908-85FA-423AB4D9742A}"/>
    <cellStyle name="Currency 5 2 6 5 4" xfId="18984" xr:uid="{5280C942-05E6-4C53-82E8-6BE6CE450A76}"/>
    <cellStyle name="Currency 5 2 6 5 5" xfId="10536" xr:uid="{EE41C95C-7C15-47C9-BE37-F9D42861888C}"/>
    <cellStyle name="Currency 5 2 6 6" xfId="2433" xr:uid="{00000000-0005-0000-0000-0000790C0000}"/>
    <cellStyle name="Currency 5 2 6 6 2" xfId="6717" xr:uid="{00000000-0005-0000-0000-00007A0C0000}"/>
    <cellStyle name="Currency 5 2 6 6 2 2" xfId="23615" xr:uid="{31FEAA06-9DA9-490C-86C4-D761203C9E6A}"/>
    <cellStyle name="Currency 5 2 6 6 2 3" xfId="15167" xr:uid="{DF8F8CB4-A142-4514-B771-D119403A803A}"/>
    <cellStyle name="Currency 5 2 6 6 3" xfId="19397" xr:uid="{AE47B97D-E50A-4E42-8BDB-41ED01F9608C}"/>
    <cellStyle name="Currency 5 2 6 6 4" xfId="10949" xr:uid="{7B5CEA44-942B-4093-9073-84F5C6701A9A}"/>
    <cellStyle name="Currency 5 2 6 7" xfId="2730" xr:uid="{00000000-0005-0000-0000-00007B0C0000}"/>
    <cellStyle name="Currency 5 2 6 8" xfId="2811" xr:uid="{00000000-0005-0000-0000-00007C0C0000}"/>
    <cellStyle name="Currency 5 2 6 8 2" xfId="7034" xr:uid="{00000000-0005-0000-0000-00007D0C0000}"/>
    <cellStyle name="Currency 5 2 6 8 2 2" xfId="23932" xr:uid="{3F086168-1FDA-4468-942D-F99908CA5FE0}"/>
    <cellStyle name="Currency 5 2 6 8 2 3" xfId="15484" xr:uid="{8DCDF03C-09E0-4FE0-9F4D-E102DA24AFF4}"/>
    <cellStyle name="Currency 5 2 6 8 3" xfId="19714" xr:uid="{E9EED07E-F174-4F3A-8BA8-02DCCE79A7AC}"/>
    <cellStyle name="Currency 5 2 6 8 4" xfId="11266" xr:uid="{BBC53DA6-5B83-41ED-A31A-896DA4443334}"/>
    <cellStyle name="Currency 5 2 6 9" xfId="4651" xr:uid="{00000000-0005-0000-0000-00007E0C0000}"/>
    <cellStyle name="Currency 5 2 6 9 2" xfId="21549" xr:uid="{4528636F-A7F9-4DCC-BD54-4782151E56F8}"/>
    <cellStyle name="Currency 5 2 6 9 3" xfId="13101" xr:uid="{5E53C24B-7F41-4BD8-9205-14A33634202A}"/>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23933" xr:uid="{B08B44C8-110F-4A4A-9DF3-4574FD5FDA26}"/>
    <cellStyle name="Currency 5 3 2 10 2 3" xfId="15485" xr:uid="{2904A330-AD2D-48B0-9919-8E05F181DC12}"/>
    <cellStyle name="Currency 5 3 2 10 3" xfId="19715" xr:uid="{CB6822C8-E504-409F-8546-8F0EC8E5B30C}"/>
    <cellStyle name="Currency 5 3 2 10 4" xfId="11267" xr:uid="{76DC2011-4AB1-4408-A943-BCE221EB86A8}"/>
    <cellStyle name="Currency 5 3 2 11" xfId="4652" xr:uid="{00000000-0005-0000-0000-0000840C0000}"/>
    <cellStyle name="Currency 5 3 2 11 2" xfId="21550" xr:uid="{C04CFA16-6166-4D3D-8E21-4DEF50DA5DBD}"/>
    <cellStyle name="Currency 5 3 2 11 3" xfId="13102" xr:uid="{9A977509-D3EE-4839-A605-7CF826162A2D}"/>
    <cellStyle name="Currency 5 3 2 12" xfId="17332" xr:uid="{9CA8320F-1C56-4CE9-8535-89568454579B}"/>
    <cellStyle name="Currency 5 3 2 13" xfId="8884" xr:uid="{007D9A71-663A-4F12-9280-EAB84F980585}"/>
    <cellStyle name="Currency 5 3 2 2" xfId="211" xr:uid="{00000000-0005-0000-0000-0000850C0000}"/>
    <cellStyle name="Currency 5 3 2 2 10" xfId="4653" xr:uid="{00000000-0005-0000-0000-0000860C0000}"/>
    <cellStyle name="Currency 5 3 2 2 10 2" xfId="21551" xr:uid="{FDBD86C7-F0AD-42B5-A7B3-68DB6EDE54DE}"/>
    <cellStyle name="Currency 5 3 2 2 10 3" xfId="13103" xr:uid="{6A36DCDF-C48E-4A63-BB18-E476B5BB4345}"/>
    <cellStyle name="Currency 5 3 2 2 11" xfId="17333" xr:uid="{8B23F63D-BBF2-4467-B6C3-4D39D4547F70}"/>
    <cellStyle name="Currency 5 3 2 2 12" xfId="8885" xr:uid="{DCB7C589-1869-4363-BA03-D92E5B3048E5}"/>
    <cellStyle name="Currency 5 3 2 2 2" xfId="212" xr:uid="{00000000-0005-0000-0000-0000870C0000}"/>
    <cellStyle name="Currency 5 3 2 2 2 10" xfId="17334" xr:uid="{62BEFF2E-1B4A-43A7-A7BB-F3EC5A436C69}"/>
    <cellStyle name="Currency 5 3 2 2 2 11" xfId="8886" xr:uid="{1F6D2CD9-4F1C-4731-9FCF-69321B2D08C4}"/>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24111" xr:uid="{BD3B5C16-6A52-4CF6-A550-BFA6F5A19D41}"/>
    <cellStyle name="Currency 5 3 2 2 2 2 2 2 3" xfId="15663" xr:uid="{1D23A766-6120-4DD6-B283-561E0CD447EE}"/>
    <cellStyle name="Currency 5 3 2 2 2 2 2 3" xfId="19893" xr:uid="{336BFFDC-F0F1-4B30-982A-E06594C1C9A6}"/>
    <cellStyle name="Currency 5 3 2 2 2 2 2 4" xfId="11445" xr:uid="{6E8BA9A8-9E73-4893-B627-B96BDE960723}"/>
    <cellStyle name="Currency 5 3 2 2 2 2 3" xfId="5068" xr:uid="{00000000-0005-0000-0000-00008B0C0000}"/>
    <cellStyle name="Currency 5 3 2 2 2 2 3 2" xfId="21966" xr:uid="{46E64D4F-3BF7-4B71-A10D-F094D6FBFA0E}"/>
    <cellStyle name="Currency 5 3 2 2 2 2 3 3" xfId="13518" xr:uid="{A426C82B-B5E4-4971-82BF-0D9659D12998}"/>
    <cellStyle name="Currency 5 3 2 2 2 2 4" xfId="17748" xr:uid="{5658B889-560B-4A8C-B5FF-9D9524D1238C}"/>
    <cellStyle name="Currency 5 3 2 2 2 2 5" xfId="9300" xr:uid="{DE04836F-4D50-4CE2-92CF-2536A72D07B6}"/>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24524" xr:uid="{BC2DD813-BC58-4CDD-9ACA-C6A3E1A048F8}"/>
    <cellStyle name="Currency 5 3 2 2 2 3 2 2 3" xfId="16076" xr:uid="{C1506B3F-484E-49E7-8856-420136E83CD1}"/>
    <cellStyle name="Currency 5 3 2 2 2 3 2 3" xfId="20306" xr:uid="{6A276015-01CB-4415-ACF6-A886FBFAB4B9}"/>
    <cellStyle name="Currency 5 3 2 2 2 3 2 4" xfId="11858" xr:uid="{1484CE2D-6483-47BE-B7EB-A04BA3D8C49B}"/>
    <cellStyle name="Currency 5 3 2 2 2 3 3" xfId="5481" xr:uid="{00000000-0005-0000-0000-00008F0C0000}"/>
    <cellStyle name="Currency 5 3 2 2 2 3 3 2" xfId="22379" xr:uid="{0B449440-D735-4FC7-A139-2039A3AD5585}"/>
    <cellStyle name="Currency 5 3 2 2 2 3 3 3" xfId="13931" xr:uid="{A48FBD98-7D87-4FF6-8B0F-55BF9EAE704A}"/>
    <cellStyle name="Currency 5 3 2 2 2 3 4" xfId="18161" xr:uid="{F557D29F-7888-4934-B41C-27F90EDEAFA1}"/>
    <cellStyle name="Currency 5 3 2 2 2 3 5" xfId="9713" xr:uid="{C53F262C-AB09-4A1D-92D7-5E201742B10C}"/>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24937" xr:uid="{AEAA3A99-6B2F-41EC-A44D-8958DCD15FF0}"/>
    <cellStyle name="Currency 5 3 2 2 2 4 2 2 3" xfId="16489" xr:uid="{F11E030C-14CF-45F6-BD96-DE0096B15C24}"/>
    <cellStyle name="Currency 5 3 2 2 2 4 2 3" xfId="20719" xr:uid="{F3CCAB57-B380-46D3-A0FA-6C22D59B58AE}"/>
    <cellStyle name="Currency 5 3 2 2 2 4 2 4" xfId="12271" xr:uid="{205E3200-9E35-4AE0-8404-472BE5110D0E}"/>
    <cellStyle name="Currency 5 3 2 2 2 4 3" xfId="5894" xr:uid="{00000000-0005-0000-0000-0000930C0000}"/>
    <cellStyle name="Currency 5 3 2 2 2 4 3 2" xfId="22792" xr:uid="{4ADC566A-C4F4-431F-BA5F-0B159F2C58CE}"/>
    <cellStyle name="Currency 5 3 2 2 2 4 3 3" xfId="14344" xr:uid="{583F1AC0-F603-419D-BA7D-98E7B4842F7E}"/>
    <cellStyle name="Currency 5 3 2 2 2 4 4" xfId="18574" xr:uid="{4E42D2D9-9448-4F36-BBBF-767D0FCC34F6}"/>
    <cellStyle name="Currency 5 3 2 2 2 4 5" xfId="10126" xr:uid="{8B272724-2978-455B-A6CD-0AC2F8F17FE2}"/>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25350" xr:uid="{5093F645-2711-48F5-BD18-43A0007DF185}"/>
    <cellStyle name="Currency 5 3 2 2 2 5 2 2 3" xfId="16902" xr:uid="{55F1658C-F78E-4A4C-A999-127882203530}"/>
    <cellStyle name="Currency 5 3 2 2 2 5 2 3" xfId="21132" xr:uid="{60B67A28-C6D3-482F-B192-D3AF0CBE05CA}"/>
    <cellStyle name="Currency 5 3 2 2 2 5 2 4" xfId="12684" xr:uid="{4630DB3A-35AD-4F33-B904-AAA7AB61B096}"/>
    <cellStyle name="Currency 5 3 2 2 2 5 3" xfId="6307" xr:uid="{00000000-0005-0000-0000-0000970C0000}"/>
    <cellStyle name="Currency 5 3 2 2 2 5 3 2" xfId="23205" xr:uid="{8E58F2A2-01B6-43D3-84E4-CCD5D82FADB0}"/>
    <cellStyle name="Currency 5 3 2 2 2 5 3 3" xfId="14757" xr:uid="{0CE8305E-59E3-47FF-BD59-D6F2B7E6E913}"/>
    <cellStyle name="Currency 5 3 2 2 2 5 4" xfId="18987" xr:uid="{BA3960C5-1ABC-47CF-A5BE-6012AF0736D6}"/>
    <cellStyle name="Currency 5 3 2 2 2 5 5" xfId="10539" xr:uid="{A294E873-B19C-416B-9EE1-F6A448895074}"/>
    <cellStyle name="Currency 5 3 2 2 2 6" xfId="2436" xr:uid="{00000000-0005-0000-0000-0000980C0000}"/>
    <cellStyle name="Currency 5 3 2 2 2 6 2" xfId="6720" xr:uid="{00000000-0005-0000-0000-0000990C0000}"/>
    <cellStyle name="Currency 5 3 2 2 2 6 2 2" xfId="23618" xr:uid="{2FFCF404-3EAC-468D-B7AC-2E343AC0FD74}"/>
    <cellStyle name="Currency 5 3 2 2 2 6 2 3" xfId="15170" xr:uid="{F0A52513-F0C1-4610-8461-D07483EE1EA8}"/>
    <cellStyle name="Currency 5 3 2 2 2 6 3" xfId="19400" xr:uid="{FEE8159F-9016-408F-A257-5E665C098DA1}"/>
    <cellStyle name="Currency 5 3 2 2 2 6 4" xfId="10952" xr:uid="{D8D6C995-3173-4646-974A-18882661CFF1}"/>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23935" xr:uid="{43F787BE-46F9-43D4-B72C-F25F8E4F2765}"/>
    <cellStyle name="Currency 5 3 2 2 2 8 2 3" xfId="15487" xr:uid="{07920835-0973-4095-A667-4EF0E6384821}"/>
    <cellStyle name="Currency 5 3 2 2 2 8 3" xfId="19717" xr:uid="{464D8379-9D1F-4B4E-985E-DB3D9CBF7F77}"/>
    <cellStyle name="Currency 5 3 2 2 2 8 4" xfId="11269" xr:uid="{A5F58A87-D9B4-486A-853B-6D81FBCE10D3}"/>
    <cellStyle name="Currency 5 3 2 2 2 9" xfId="4654" xr:uid="{00000000-0005-0000-0000-00009D0C0000}"/>
    <cellStyle name="Currency 5 3 2 2 2 9 2" xfId="21552" xr:uid="{935B9AAC-2AB5-43E8-BBB5-E4AE7462D4AC}"/>
    <cellStyle name="Currency 5 3 2 2 2 9 3" xfId="13104" xr:uid="{11A5FB66-B957-472C-B9B6-149488AD1B89}"/>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24110" xr:uid="{29FE1A3A-1937-4862-BB53-113D76B78E09}"/>
    <cellStyle name="Currency 5 3 2 2 3 2 2 3" xfId="15662" xr:uid="{0B503693-F269-49AB-A255-F31D91AB1C4F}"/>
    <cellStyle name="Currency 5 3 2 2 3 2 3" xfId="19892" xr:uid="{D559E0B2-77F9-4BA3-9E0A-0B14EBE5EBBE}"/>
    <cellStyle name="Currency 5 3 2 2 3 2 4" xfId="11444" xr:uid="{B33BEB9D-6948-4D76-91F5-AC9B4CF839E7}"/>
    <cellStyle name="Currency 5 3 2 2 3 3" xfId="5067" xr:uid="{00000000-0005-0000-0000-0000A10C0000}"/>
    <cellStyle name="Currency 5 3 2 2 3 3 2" xfId="21965" xr:uid="{29D9F30F-D9D6-4ECA-AD1C-A2FC05CCD604}"/>
    <cellStyle name="Currency 5 3 2 2 3 3 3" xfId="13517" xr:uid="{B36080F6-07CC-40D8-83B4-C5A1C5D1BAB4}"/>
    <cellStyle name="Currency 5 3 2 2 3 4" xfId="17747" xr:uid="{B8B68C64-E2B5-438C-9C72-2BB78D293DF6}"/>
    <cellStyle name="Currency 5 3 2 2 3 5" xfId="9299" xr:uid="{25F411AC-EC98-426E-9C7B-1803F4C9A3C1}"/>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24523" xr:uid="{75381FD2-F9DD-4177-AE5C-BDDFD806CF0B}"/>
    <cellStyle name="Currency 5 3 2 2 4 2 2 3" xfId="16075" xr:uid="{8EE5C155-9DF6-461A-AA2C-959C3D396338}"/>
    <cellStyle name="Currency 5 3 2 2 4 2 3" xfId="20305" xr:uid="{B6ED75E1-6439-4A95-835E-4587E40BE7BC}"/>
    <cellStyle name="Currency 5 3 2 2 4 2 4" xfId="11857" xr:uid="{F210A37B-DAD4-401A-AEF4-5307D7F03C83}"/>
    <cellStyle name="Currency 5 3 2 2 4 3" xfId="5480" xr:uid="{00000000-0005-0000-0000-0000A50C0000}"/>
    <cellStyle name="Currency 5 3 2 2 4 3 2" xfId="22378" xr:uid="{AC0D56DF-E6D0-4E8A-A055-22F0AA049837}"/>
    <cellStyle name="Currency 5 3 2 2 4 3 3" xfId="13930" xr:uid="{5CE7663A-7B25-49FB-8A52-64511DF73200}"/>
    <cellStyle name="Currency 5 3 2 2 4 4" xfId="18160" xr:uid="{A41305CE-06C5-4CCC-94F5-FF2C6CC15245}"/>
    <cellStyle name="Currency 5 3 2 2 4 5" xfId="9712" xr:uid="{13A2951A-4C2D-4826-96D0-9995A3C98FBD}"/>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24936" xr:uid="{17256A5D-3BC1-4AF1-8038-E354F90A5E49}"/>
    <cellStyle name="Currency 5 3 2 2 5 2 2 3" xfId="16488" xr:uid="{145367E2-3514-4B46-9D7E-4A3C1B8DE7D6}"/>
    <cellStyle name="Currency 5 3 2 2 5 2 3" xfId="20718" xr:uid="{AA552AFA-B32F-45E3-830D-4BBF174F7A19}"/>
    <cellStyle name="Currency 5 3 2 2 5 2 4" xfId="12270" xr:uid="{5DC9EBE5-7431-47C9-B401-29EC11BD0F8A}"/>
    <cellStyle name="Currency 5 3 2 2 5 3" xfId="5893" xr:uid="{00000000-0005-0000-0000-0000A90C0000}"/>
    <cellStyle name="Currency 5 3 2 2 5 3 2" xfId="22791" xr:uid="{4291C025-5385-43CE-85A5-D7825308D3D9}"/>
    <cellStyle name="Currency 5 3 2 2 5 3 3" xfId="14343" xr:uid="{518FB8D9-4B92-4FEF-923A-5CE816343684}"/>
    <cellStyle name="Currency 5 3 2 2 5 4" xfId="18573" xr:uid="{5CE35BD2-8B1B-4C8F-AE81-2E63287A1C73}"/>
    <cellStyle name="Currency 5 3 2 2 5 5" xfId="10125" xr:uid="{8B60018C-229B-49E3-8328-DF91F72C734B}"/>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25349" xr:uid="{07494895-C101-4EFD-B542-A8DF5764917F}"/>
    <cellStyle name="Currency 5 3 2 2 6 2 2 3" xfId="16901" xr:uid="{4B29E990-3A60-4149-82F1-5A6283DF18DB}"/>
    <cellStyle name="Currency 5 3 2 2 6 2 3" xfId="21131" xr:uid="{6612F7F1-CFEA-4278-AA98-E534104FF964}"/>
    <cellStyle name="Currency 5 3 2 2 6 2 4" xfId="12683" xr:uid="{406EE9AA-028E-4904-BD3C-37FCB28EDFA0}"/>
    <cellStyle name="Currency 5 3 2 2 6 3" xfId="6306" xr:uid="{00000000-0005-0000-0000-0000AD0C0000}"/>
    <cellStyle name="Currency 5 3 2 2 6 3 2" xfId="23204" xr:uid="{BC933B0E-4CA3-484B-AC56-32E32990F4D6}"/>
    <cellStyle name="Currency 5 3 2 2 6 3 3" xfId="14756" xr:uid="{26C92E17-0D21-41CA-B590-60CE37F423E6}"/>
    <cellStyle name="Currency 5 3 2 2 6 4" xfId="18986" xr:uid="{1FE2E762-C590-4550-B2ED-219BF4048256}"/>
    <cellStyle name="Currency 5 3 2 2 6 5" xfId="10538" xr:uid="{DE21F86F-B95F-44BA-A56F-FD4B685C84CF}"/>
    <cellStyle name="Currency 5 3 2 2 7" xfId="2435" xr:uid="{00000000-0005-0000-0000-0000AE0C0000}"/>
    <cellStyle name="Currency 5 3 2 2 7 2" xfId="6719" xr:uid="{00000000-0005-0000-0000-0000AF0C0000}"/>
    <cellStyle name="Currency 5 3 2 2 7 2 2" xfId="23617" xr:uid="{C28CC02F-191D-4B96-8F02-7149B5F7A59B}"/>
    <cellStyle name="Currency 5 3 2 2 7 2 3" xfId="15169" xr:uid="{E97EBFDD-0B6F-41CE-A83B-01AB015FBC1B}"/>
    <cellStyle name="Currency 5 3 2 2 7 3" xfId="19399" xr:uid="{B67CBFC0-E62C-4E01-BCD5-489AF4A4CC3D}"/>
    <cellStyle name="Currency 5 3 2 2 7 4" xfId="10951" xr:uid="{7C0B9968-D88F-4684-859B-5247A01E3315}"/>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23934" xr:uid="{B4645742-2F34-4BB1-9F56-A9D590AC772F}"/>
    <cellStyle name="Currency 5 3 2 2 9 2 3" xfId="15486" xr:uid="{682693F3-0721-4B78-B73E-4F158997001B}"/>
    <cellStyle name="Currency 5 3 2 2 9 3" xfId="19716" xr:uid="{646A259C-6A13-4DA9-ADEE-F10AC26CA942}"/>
    <cellStyle name="Currency 5 3 2 2 9 4" xfId="11268" xr:uid="{0B067426-5FC4-49B5-AA0D-C10693EA17EB}"/>
    <cellStyle name="Currency 5 3 2 3" xfId="213" xr:uid="{00000000-0005-0000-0000-0000B30C0000}"/>
    <cellStyle name="Currency 5 3 2 3 10" xfId="17335" xr:uid="{60DD3837-83BD-4697-808A-7A812DDE46DD}"/>
    <cellStyle name="Currency 5 3 2 3 11" xfId="8887" xr:uid="{75115D56-0B37-4EF3-9542-6DD681398F3B}"/>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24112" xr:uid="{0CE8D972-3BC8-4E29-B55A-14EB0D0BDD36}"/>
    <cellStyle name="Currency 5 3 2 3 2 2 2 3" xfId="15664" xr:uid="{E1033A34-7223-44FC-B2B7-CB695B9B1F71}"/>
    <cellStyle name="Currency 5 3 2 3 2 2 3" xfId="19894" xr:uid="{DCFAFFEA-6988-49C7-A05F-1D695FCAF4C9}"/>
    <cellStyle name="Currency 5 3 2 3 2 2 4" xfId="11446" xr:uid="{D42142DB-65E4-4ABA-8932-0838A54FE22B}"/>
    <cellStyle name="Currency 5 3 2 3 2 3" xfId="5069" xr:uid="{00000000-0005-0000-0000-0000B70C0000}"/>
    <cellStyle name="Currency 5 3 2 3 2 3 2" xfId="21967" xr:uid="{0228CA2E-8A07-47FD-9D32-1CFD6974B7EE}"/>
    <cellStyle name="Currency 5 3 2 3 2 3 3" xfId="13519" xr:uid="{F90DA073-D807-48D5-86A1-4F4F873F4CFA}"/>
    <cellStyle name="Currency 5 3 2 3 2 4" xfId="17749" xr:uid="{AD59578C-86DD-4FA5-8AB8-A2B069FF1BE2}"/>
    <cellStyle name="Currency 5 3 2 3 2 5" xfId="9301" xr:uid="{1D954105-6A57-4CFB-97AD-C81DDF49C44E}"/>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24525" xr:uid="{4A9C1690-A5D1-4451-9231-7BACF657A726}"/>
    <cellStyle name="Currency 5 3 2 3 3 2 2 3" xfId="16077" xr:uid="{8D7FCB69-91EE-44A9-AA97-37CE2699236A}"/>
    <cellStyle name="Currency 5 3 2 3 3 2 3" xfId="20307" xr:uid="{40A28657-4F5F-43C8-B4B1-B63E9C4E740E}"/>
    <cellStyle name="Currency 5 3 2 3 3 2 4" xfId="11859" xr:uid="{BA8CF4A3-622F-4B23-A34A-4EB2F9C7B51C}"/>
    <cellStyle name="Currency 5 3 2 3 3 3" xfId="5482" xr:uid="{00000000-0005-0000-0000-0000BB0C0000}"/>
    <cellStyle name="Currency 5 3 2 3 3 3 2" xfId="22380" xr:uid="{1AC4DC6E-B9F5-4206-A35D-295C6209CCD3}"/>
    <cellStyle name="Currency 5 3 2 3 3 3 3" xfId="13932" xr:uid="{1AF6E8F4-5F63-4142-A796-C00E75B5CCE0}"/>
    <cellStyle name="Currency 5 3 2 3 3 4" xfId="18162" xr:uid="{C0C2E2DE-527F-4E48-81A2-E2E7841BBC93}"/>
    <cellStyle name="Currency 5 3 2 3 3 5" xfId="9714" xr:uid="{C4267706-F47C-4577-944E-05E6441FF2C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24938" xr:uid="{A79E54C4-1986-4F8B-9FAE-0627902C1CBE}"/>
    <cellStyle name="Currency 5 3 2 3 4 2 2 3" xfId="16490" xr:uid="{8E09A302-0765-4F24-90DD-774500E4F7CA}"/>
    <cellStyle name="Currency 5 3 2 3 4 2 3" xfId="20720" xr:uid="{03915C55-82B8-43D8-AA68-8218CD6D2746}"/>
    <cellStyle name="Currency 5 3 2 3 4 2 4" xfId="12272" xr:uid="{A395299C-7844-415B-B331-7B046E56E804}"/>
    <cellStyle name="Currency 5 3 2 3 4 3" xfId="5895" xr:uid="{00000000-0005-0000-0000-0000BF0C0000}"/>
    <cellStyle name="Currency 5 3 2 3 4 3 2" xfId="22793" xr:uid="{F7A0D8B7-11A9-4357-A4DF-D078FFFE7BE7}"/>
    <cellStyle name="Currency 5 3 2 3 4 3 3" xfId="14345" xr:uid="{1FDB7DC3-14EA-4BBF-9E6C-EEA1D4AF294C}"/>
    <cellStyle name="Currency 5 3 2 3 4 4" xfId="18575" xr:uid="{34A167BD-D5E6-4D13-8C0B-F2C9BEDFC5AF}"/>
    <cellStyle name="Currency 5 3 2 3 4 5" xfId="10127" xr:uid="{81A15638-D112-4DBB-B7E9-46225D7074D2}"/>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25351" xr:uid="{BC486DB2-13C2-42D3-88AB-9361B0BBF80D}"/>
    <cellStyle name="Currency 5 3 2 3 5 2 2 3" xfId="16903" xr:uid="{F04D0167-71A5-4299-BFA7-FBF34DA3F31C}"/>
    <cellStyle name="Currency 5 3 2 3 5 2 3" xfId="21133" xr:uid="{018DD610-AF71-4041-9AAE-7AC22CE3E9E7}"/>
    <cellStyle name="Currency 5 3 2 3 5 2 4" xfId="12685" xr:uid="{29264466-75E8-447D-9D74-447F36E18533}"/>
    <cellStyle name="Currency 5 3 2 3 5 3" xfId="6308" xr:uid="{00000000-0005-0000-0000-0000C30C0000}"/>
    <cellStyle name="Currency 5 3 2 3 5 3 2" xfId="23206" xr:uid="{E8D7857E-2EEC-46BD-B3DD-6128FE17122F}"/>
    <cellStyle name="Currency 5 3 2 3 5 3 3" xfId="14758" xr:uid="{26ABD169-3E8E-43B2-B4C3-11032F7781DA}"/>
    <cellStyle name="Currency 5 3 2 3 5 4" xfId="18988" xr:uid="{54506A9C-6CA0-4730-B2CA-BBBBFE2C5334}"/>
    <cellStyle name="Currency 5 3 2 3 5 5" xfId="10540" xr:uid="{16BC8A22-0900-4CB5-8A07-BCE1705DE4A7}"/>
    <cellStyle name="Currency 5 3 2 3 6" xfId="2437" xr:uid="{00000000-0005-0000-0000-0000C40C0000}"/>
    <cellStyle name="Currency 5 3 2 3 6 2" xfId="6721" xr:uid="{00000000-0005-0000-0000-0000C50C0000}"/>
    <cellStyle name="Currency 5 3 2 3 6 2 2" xfId="23619" xr:uid="{21ACF095-BEE9-4ABD-8CAE-E8B8076314A9}"/>
    <cellStyle name="Currency 5 3 2 3 6 2 3" xfId="15171" xr:uid="{18FB06B1-DF8D-4416-8C5B-C24FEC8F2935}"/>
    <cellStyle name="Currency 5 3 2 3 6 3" xfId="19401" xr:uid="{0B9922AF-54BE-4AF9-B582-C7B539E06670}"/>
    <cellStyle name="Currency 5 3 2 3 6 4" xfId="10953" xr:uid="{1129FB31-9DEA-4898-B079-05FACFB90B1D}"/>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23936" xr:uid="{30F0D0FD-F8E1-433F-95D6-1EA637A8C131}"/>
    <cellStyle name="Currency 5 3 2 3 8 2 3" xfId="15488" xr:uid="{B8E100DE-EA34-464F-B1DD-3648D856187E}"/>
    <cellStyle name="Currency 5 3 2 3 8 3" xfId="19718" xr:uid="{3C6C7DB3-24DC-46CF-82DB-88BCF09D4172}"/>
    <cellStyle name="Currency 5 3 2 3 8 4" xfId="11270" xr:uid="{5998E97A-D73A-4129-8F34-CA47765B468B}"/>
    <cellStyle name="Currency 5 3 2 3 9" xfId="4655" xr:uid="{00000000-0005-0000-0000-0000C90C0000}"/>
    <cellStyle name="Currency 5 3 2 3 9 2" xfId="21553" xr:uid="{4B83462A-D0B9-44D6-8971-A41E689DC0AB}"/>
    <cellStyle name="Currency 5 3 2 3 9 3" xfId="13105" xr:uid="{FFB8FB28-77F9-4404-AA7F-E1E456CE1EBD}"/>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24109" xr:uid="{0A68EE0B-E79B-4921-A295-EA98846DF698}"/>
    <cellStyle name="Currency 5 3 2 4 2 2 3" xfId="15661" xr:uid="{7D483224-0C54-4F01-9F7A-A79067A09C6F}"/>
    <cellStyle name="Currency 5 3 2 4 2 3" xfId="19891" xr:uid="{3658FAD5-A220-40CD-BE18-61F0B010D5ED}"/>
    <cellStyle name="Currency 5 3 2 4 2 4" xfId="11443" xr:uid="{0D60F1C8-C0CA-4F22-B2C3-572DE3BD8FA8}"/>
    <cellStyle name="Currency 5 3 2 4 3" xfId="5066" xr:uid="{00000000-0005-0000-0000-0000CD0C0000}"/>
    <cellStyle name="Currency 5 3 2 4 3 2" xfId="21964" xr:uid="{11AB3FB2-02A8-4006-8ACE-BB0845E2EA22}"/>
    <cellStyle name="Currency 5 3 2 4 3 3" xfId="13516" xr:uid="{758A6EE1-4C49-47FF-8431-451B4DC74CBB}"/>
    <cellStyle name="Currency 5 3 2 4 4" xfId="17746" xr:uid="{06349FE4-D9D1-40DD-A38A-5BD99B058C22}"/>
    <cellStyle name="Currency 5 3 2 4 5" xfId="9298" xr:uid="{61B79CB5-EB7C-4510-B864-E5C8034D7B71}"/>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24522" xr:uid="{3B237C77-C4BD-4FF3-ABAC-8704BE429E00}"/>
    <cellStyle name="Currency 5 3 2 5 2 2 3" xfId="16074" xr:uid="{C34C2B0A-8CA6-45AE-9315-5D1732DD0DDF}"/>
    <cellStyle name="Currency 5 3 2 5 2 3" xfId="20304" xr:uid="{61A4F423-D36A-406F-900A-50B9284990C6}"/>
    <cellStyle name="Currency 5 3 2 5 2 4" xfId="11856" xr:uid="{154ECD06-5A99-479A-80AB-1049F43A5027}"/>
    <cellStyle name="Currency 5 3 2 5 3" xfId="5479" xr:uid="{00000000-0005-0000-0000-0000D10C0000}"/>
    <cellStyle name="Currency 5 3 2 5 3 2" xfId="22377" xr:uid="{5E079CA5-3D03-4B61-BA9F-A83DC85EB013}"/>
    <cellStyle name="Currency 5 3 2 5 3 3" xfId="13929" xr:uid="{DD0AFCC1-F43E-4BB3-B8A8-F22647E5E8A0}"/>
    <cellStyle name="Currency 5 3 2 5 4" xfId="18159" xr:uid="{4F3D6A6B-679C-4689-AF7D-5DE8BF0FE4D7}"/>
    <cellStyle name="Currency 5 3 2 5 5" xfId="9711" xr:uid="{62C82E7B-9F77-440F-BA1C-294A8087885A}"/>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24935" xr:uid="{7F8B626E-DF6D-482C-B209-CF2CCF38FB2F}"/>
    <cellStyle name="Currency 5 3 2 6 2 2 3" xfId="16487" xr:uid="{68B9A7C2-E70F-4399-8951-9C6BB8B7CFB6}"/>
    <cellStyle name="Currency 5 3 2 6 2 3" xfId="20717" xr:uid="{7839DE5D-A442-4067-907D-BF20B893ADF2}"/>
    <cellStyle name="Currency 5 3 2 6 2 4" xfId="12269" xr:uid="{FBBE087B-60D4-4B24-B251-6E1AFB88ACE6}"/>
    <cellStyle name="Currency 5 3 2 6 3" xfId="5892" xr:uid="{00000000-0005-0000-0000-0000D50C0000}"/>
    <cellStyle name="Currency 5 3 2 6 3 2" xfId="22790" xr:uid="{40741039-82BF-43C4-8774-B8B49E6E1B7F}"/>
    <cellStyle name="Currency 5 3 2 6 3 3" xfId="14342" xr:uid="{F80A1AA5-CABE-404A-9D64-A9B8B4EB0179}"/>
    <cellStyle name="Currency 5 3 2 6 4" xfId="18572" xr:uid="{F90ADCE3-3313-4900-A4D4-4F426D3BD39E}"/>
    <cellStyle name="Currency 5 3 2 6 5" xfId="10124" xr:uid="{82C9B235-A7BE-45CA-BEEB-2859AC7D7A9A}"/>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25348" xr:uid="{49172EAF-7FAB-4661-B6C8-7329A536169E}"/>
    <cellStyle name="Currency 5 3 2 7 2 2 3" xfId="16900" xr:uid="{3018323C-551C-4CE2-BE9B-264858347C80}"/>
    <cellStyle name="Currency 5 3 2 7 2 3" xfId="21130" xr:uid="{91A6FDD1-198D-4EF1-B5B1-9A43AD7515DF}"/>
    <cellStyle name="Currency 5 3 2 7 2 4" xfId="12682" xr:uid="{2727C6AD-5A72-4E5C-8BCF-64528FBAB67E}"/>
    <cellStyle name="Currency 5 3 2 7 3" xfId="6305" xr:uid="{00000000-0005-0000-0000-0000D90C0000}"/>
    <cellStyle name="Currency 5 3 2 7 3 2" xfId="23203" xr:uid="{CFDA91AD-1B66-4D3A-B4B3-A912487793A5}"/>
    <cellStyle name="Currency 5 3 2 7 3 3" xfId="14755" xr:uid="{4B6C1243-9838-4264-900B-3D7819F1457E}"/>
    <cellStyle name="Currency 5 3 2 7 4" xfId="18985" xr:uid="{6464201F-3D25-4E27-A622-53F0003587B2}"/>
    <cellStyle name="Currency 5 3 2 7 5" xfId="10537" xr:uid="{43A7CDB0-91E1-4D80-AC3D-A9A003EAA769}"/>
    <cellStyle name="Currency 5 3 2 8" xfId="2434" xr:uid="{00000000-0005-0000-0000-0000DA0C0000}"/>
    <cellStyle name="Currency 5 3 2 8 2" xfId="6718" xr:uid="{00000000-0005-0000-0000-0000DB0C0000}"/>
    <cellStyle name="Currency 5 3 2 8 2 2" xfId="23616" xr:uid="{16BF3C81-B1EE-41ED-B560-622CEA28874C}"/>
    <cellStyle name="Currency 5 3 2 8 2 3" xfId="15168" xr:uid="{EAB3DB60-EB1A-4902-B05C-14983BEC47E6}"/>
    <cellStyle name="Currency 5 3 2 8 3" xfId="19398" xr:uid="{B386852A-3FD1-4DC2-A9E3-9F40979F56F5}"/>
    <cellStyle name="Currency 5 3 2 8 4" xfId="10950" xr:uid="{C81BC77C-8361-4044-A1B3-FB3C2E6AC60A}"/>
    <cellStyle name="Currency 5 3 2 9" xfId="2731" xr:uid="{00000000-0005-0000-0000-0000DC0C0000}"/>
    <cellStyle name="Currency 5 3 3" xfId="214" xr:uid="{00000000-0005-0000-0000-0000DD0C0000}"/>
    <cellStyle name="Currency 5 3 3 10" xfId="4656" xr:uid="{00000000-0005-0000-0000-0000DE0C0000}"/>
    <cellStyle name="Currency 5 3 3 10 2" xfId="21554" xr:uid="{6CBA22BA-3CDB-4BF4-AC9B-79F1F90F6E3E}"/>
    <cellStyle name="Currency 5 3 3 10 3" xfId="13106" xr:uid="{557FB6C2-155B-4D0A-924D-D386981CB5F4}"/>
    <cellStyle name="Currency 5 3 3 11" xfId="17336" xr:uid="{971A0DCB-320D-4888-82EA-0FFB907DA189}"/>
    <cellStyle name="Currency 5 3 3 12" xfId="8888" xr:uid="{592B708F-435F-4D87-BFE8-56F370ED72F1}"/>
    <cellStyle name="Currency 5 3 3 2" xfId="215" xr:uid="{00000000-0005-0000-0000-0000DF0C0000}"/>
    <cellStyle name="Currency 5 3 3 2 10" xfId="17337" xr:uid="{B6F1AB79-0E69-447E-8B6E-61AEF6CE7E1A}"/>
    <cellStyle name="Currency 5 3 3 2 11" xfId="8889" xr:uid="{8D4F2D46-9D5A-4FD3-85E0-89D9ED8F893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24114" xr:uid="{450BAC90-B4AE-4DB2-A738-6D68582073C6}"/>
    <cellStyle name="Currency 5 3 3 2 2 2 2 3" xfId="15666" xr:uid="{D2850628-530A-4C35-80F4-F8BFC4620460}"/>
    <cellStyle name="Currency 5 3 3 2 2 2 3" xfId="19896" xr:uid="{D162040F-ED31-4289-80B3-ED395A315123}"/>
    <cellStyle name="Currency 5 3 3 2 2 2 4" xfId="11448" xr:uid="{523CE1E4-04A6-48B5-BE38-AAE973BC8FF5}"/>
    <cellStyle name="Currency 5 3 3 2 2 3" xfId="5071" xr:uid="{00000000-0005-0000-0000-0000E30C0000}"/>
    <cellStyle name="Currency 5 3 3 2 2 3 2" xfId="21969" xr:uid="{3EFBB4DA-4975-4B91-A59D-2771F4875FD6}"/>
    <cellStyle name="Currency 5 3 3 2 2 3 3" xfId="13521" xr:uid="{9E90CFE3-D358-45DF-B79A-6B03FDCEEEFB}"/>
    <cellStyle name="Currency 5 3 3 2 2 4" xfId="17751" xr:uid="{9F2EA8E2-549E-4FAD-A4C3-911F4D4877A9}"/>
    <cellStyle name="Currency 5 3 3 2 2 5" xfId="9303" xr:uid="{AF79E749-AAE7-4E52-9C5F-77E9EA7E919E}"/>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24527" xr:uid="{1DE87067-1041-451D-8A8E-77803777BF12}"/>
    <cellStyle name="Currency 5 3 3 2 3 2 2 3" xfId="16079" xr:uid="{6CC683C8-D60A-4114-B1DD-D67C2F871C0D}"/>
    <cellStyle name="Currency 5 3 3 2 3 2 3" xfId="20309" xr:uid="{926E1CFC-EDB1-46ED-AC89-09F5E19FA053}"/>
    <cellStyle name="Currency 5 3 3 2 3 2 4" xfId="11861" xr:uid="{2DB97E48-BBFB-49AA-BC5C-A19F34309711}"/>
    <cellStyle name="Currency 5 3 3 2 3 3" xfId="5484" xr:uid="{00000000-0005-0000-0000-0000E70C0000}"/>
    <cellStyle name="Currency 5 3 3 2 3 3 2" xfId="22382" xr:uid="{A540A70F-78F9-422D-95A9-D02401B5FEB2}"/>
    <cellStyle name="Currency 5 3 3 2 3 3 3" xfId="13934" xr:uid="{449995AB-C2FF-4AD1-83EA-87EA9E23C2AF}"/>
    <cellStyle name="Currency 5 3 3 2 3 4" xfId="18164" xr:uid="{851B2E80-B9F1-42FF-8A0B-7DCBF861CEFF}"/>
    <cellStyle name="Currency 5 3 3 2 3 5" xfId="9716" xr:uid="{4ACD0368-F2A1-4425-A501-190164064598}"/>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24940" xr:uid="{66EA3250-FFED-4EC7-BA57-60C7C6A68B8A}"/>
    <cellStyle name="Currency 5 3 3 2 4 2 2 3" xfId="16492" xr:uid="{66CB36EA-D854-4249-8A71-A4411C4DA130}"/>
    <cellStyle name="Currency 5 3 3 2 4 2 3" xfId="20722" xr:uid="{5B6BED36-0B3F-4B93-9BF5-912DCE56922D}"/>
    <cellStyle name="Currency 5 3 3 2 4 2 4" xfId="12274" xr:uid="{BF638541-BD21-4DA8-BFE1-0FDE927446A9}"/>
    <cellStyle name="Currency 5 3 3 2 4 3" xfId="5897" xr:uid="{00000000-0005-0000-0000-0000EB0C0000}"/>
    <cellStyle name="Currency 5 3 3 2 4 3 2" xfId="22795" xr:uid="{8CB8CB08-4849-4FBF-AE27-9C908D0D1CA9}"/>
    <cellStyle name="Currency 5 3 3 2 4 3 3" xfId="14347" xr:uid="{30DE1BC6-C8CD-4107-98A2-AB10FD381B54}"/>
    <cellStyle name="Currency 5 3 3 2 4 4" xfId="18577" xr:uid="{C1A8A181-43A9-48F8-91B6-E6981E2E768A}"/>
    <cellStyle name="Currency 5 3 3 2 4 5" xfId="10129" xr:uid="{36801A53-7693-4811-84B0-E322C5F75646}"/>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25353" xr:uid="{6AC3453F-7B98-493A-BC60-E6850FEF6816}"/>
    <cellStyle name="Currency 5 3 3 2 5 2 2 3" xfId="16905" xr:uid="{7C142171-A5D2-445F-AE2C-E8A79B38A4ED}"/>
    <cellStyle name="Currency 5 3 3 2 5 2 3" xfId="21135" xr:uid="{31B35F2C-04D1-4836-82C8-A78428890C55}"/>
    <cellStyle name="Currency 5 3 3 2 5 2 4" xfId="12687" xr:uid="{61FCD5DA-2143-4437-82FA-A9FCBB845D28}"/>
    <cellStyle name="Currency 5 3 3 2 5 3" xfId="6310" xr:uid="{00000000-0005-0000-0000-0000EF0C0000}"/>
    <cellStyle name="Currency 5 3 3 2 5 3 2" xfId="23208" xr:uid="{D37BBF8C-402D-48E1-878D-AF6504689D1E}"/>
    <cellStyle name="Currency 5 3 3 2 5 3 3" xfId="14760" xr:uid="{6098CEAB-95FB-4AA9-9937-69AB90D3F15D}"/>
    <cellStyle name="Currency 5 3 3 2 5 4" xfId="18990" xr:uid="{8249E44B-6BA3-47DA-B8D7-213D52ACFB23}"/>
    <cellStyle name="Currency 5 3 3 2 5 5" xfId="10542" xr:uid="{D4BA4B8A-FD24-48EC-852E-2D9AFE5C5168}"/>
    <cellStyle name="Currency 5 3 3 2 6" xfId="2439" xr:uid="{00000000-0005-0000-0000-0000F00C0000}"/>
    <cellStyle name="Currency 5 3 3 2 6 2" xfId="6723" xr:uid="{00000000-0005-0000-0000-0000F10C0000}"/>
    <cellStyle name="Currency 5 3 3 2 6 2 2" xfId="23621" xr:uid="{2650F392-F465-442B-B283-FFA4F1DBE891}"/>
    <cellStyle name="Currency 5 3 3 2 6 2 3" xfId="15173" xr:uid="{EFB8C207-0A70-4F4F-8057-CC06A556608F}"/>
    <cellStyle name="Currency 5 3 3 2 6 3" xfId="19403" xr:uid="{EEE9569D-B434-45BB-8F77-2FAC759B847D}"/>
    <cellStyle name="Currency 5 3 3 2 6 4" xfId="10955" xr:uid="{DA2D6275-2F32-4CF5-B160-EAFC4E15794A}"/>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23938" xr:uid="{474EA4C0-5A5C-4F64-8F68-036F47072AB3}"/>
    <cellStyle name="Currency 5 3 3 2 8 2 3" xfId="15490" xr:uid="{A9F685A9-4DC5-46F3-9413-1DFFCBD0F7E9}"/>
    <cellStyle name="Currency 5 3 3 2 8 3" xfId="19720" xr:uid="{AEC21E14-90D2-4DAD-B5C5-2047EC97D98B}"/>
    <cellStyle name="Currency 5 3 3 2 8 4" xfId="11272" xr:uid="{AAC9EF17-3E3B-41F4-A661-F24F5BF2024C}"/>
    <cellStyle name="Currency 5 3 3 2 9" xfId="4657" xr:uid="{00000000-0005-0000-0000-0000F50C0000}"/>
    <cellStyle name="Currency 5 3 3 2 9 2" xfId="21555" xr:uid="{D1653D06-DE08-486A-B3CE-5D0794AA457E}"/>
    <cellStyle name="Currency 5 3 3 2 9 3" xfId="13107" xr:uid="{AD44E154-05ED-4ECE-9D9C-6BA8B7C0346D}"/>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24113" xr:uid="{EDF1EB70-A592-4900-8833-C5F4274E47B1}"/>
    <cellStyle name="Currency 5 3 3 3 2 2 3" xfId="15665" xr:uid="{5EA35E9A-5348-4AAB-A027-2737C33E9907}"/>
    <cellStyle name="Currency 5 3 3 3 2 3" xfId="19895" xr:uid="{E7C12F3C-5E85-4062-BC9B-14A9DC087EA6}"/>
    <cellStyle name="Currency 5 3 3 3 2 4" xfId="11447" xr:uid="{5C1BAC40-EC0A-4C0D-BC2A-F15E01322A19}"/>
    <cellStyle name="Currency 5 3 3 3 3" xfId="5070" xr:uid="{00000000-0005-0000-0000-0000F90C0000}"/>
    <cellStyle name="Currency 5 3 3 3 3 2" xfId="21968" xr:uid="{D303326E-58D6-48E8-A40A-C2BF476FA332}"/>
    <cellStyle name="Currency 5 3 3 3 3 3" xfId="13520" xr:uid="{FF5F0038-CC95-42CE-B24B-B5FE335A14EC}"/>
    <cellStyle name="Currency 5 3 3 3 4" xfId="17750" xr:uid="{4025F482-AAF3-4A15-A81B-0B3AE5C3610F}"/>
    <cellStyle name="Currency 5 3 3 3 5" xfId="9302" xr:uid="{FF35C7CB-1BBA-44C5-B0DD-14E1B3A72279}"/>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24526" xr:uid="{101F367C-2D82-4743-BA3D-F01556BFDB0F}"/>
    <cellStyle name="Currency 5 3 3 4 2 2 3" xfId="16078" xr:uid="{CD9980A8-E87C-4D56-AC0B-0BA9648FB514}"/>
    <cellStyle name="Currency 5 3 3 4 2 3" xfId="20308" xr:uid="{17E3A282-256B-4935-A423-05CEC4DA8D49}"/>
    <cellStyle name="Currency 5 3 3 4 2 4" xfId="11860" xr:uid="{03465D54-7ADC-48A2-BFB9-35C7980FAAC6}"/>
    <cellStyle name="Currency 5 3 3 4 3" xfId="5483" xr:uid="{00000000-0005-0000-0000-0000FD0C0000}"/>
    <cellStyle name="Currency 5 3 3 4 3 2" xfId="22381" xr:uid="{B37E1DA1-191B-4D92-8C25-641105A60463}"/>
    <cellStyle name="Currency 5 3 3 4 3 3" xfId="13933" xr:uid="{4CD502C8-AE25-4448-B647-E5C1EDE3A608}"/>
    <cellStyle name="Currency 5 3 3 4 4" xfId="18163" xr:uid="{1E885683-3BE1-4410-96A7-D97714F243C3}"/>
    <cellStyle name="Currency 5 3 3 4 5" xfId="9715" xr:uid="{3048EFC7-4A25-49D0-B461-F9BD15D692F5}"/>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24939" xr:uid="{2C96E9F9-6EC1-4C79-8168-A34C7231CA69}"/>
    <cellStyle name="Currency 5 3 3 5 2 2 3" xfId="16491" xr:uid="{E6EC545E-E3CA-4392-9BDC-BC26D6B0B6D4}"/>
    <cellStyle name="Currency 5 3 3 5 2 3" xfId="20721" xr:uid="{92848214-3419-4E9B-96BA-D3A00ECA387D}"/>
    <cellStyle name="Currency 5 3 3 5 2 4" xfId="12273" xr:uid="{5C4B8EF7-343E-4795-AF4D-546C822F1252}"/>
    <cellStyle name="Currency 5 3 3 5 3" xfId="5896" xr:uid="{00000000-0005-0000-0000-0000010D0000}"/>
    <cellStyle name="Currency 5 3 3 5 3 2" xfId="22794" xr:uid="{4FFB7387-970B-4323-9ECF-9BB71D628B60}"/>
    <cellStyle name="Currency 5 3 3 5 3 3" xfId="14346" xr:uid="{0E405FC3-4F2A-4147-9A3A-ACA77907B40B}"/>
    <cellStyle name="Currency 5 3 3 5 4" xfId="18576" xr:uid="{A850D149-423F-4B13-A2B0-847BD9DE7FE8}"/>
    <cellStyle name="Currency 5 3 3 5 5" xfId="10128" xr:uid="{53E25DFE-490A-40EC-8443-78800DB044F7}"/>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25352" xr:uid="{5BAA8839-9F4B-458A-BDC9-A7955804190D}"/>
    <cellStyle name="Currency 5 3 3 6 2 2 3" xfId="16904" xr:uid="{11F117F6-84BB-43AE-9E4E-AC3139B61DC1}"/>
    <cellStyle name="Currency 5 3 3 6 2 3" xfId="21134" xr:uid="{03205654-635C-427B-A8F6-7E37CF31585E}"/>
    <cellStyle name="Currency 5 3 3 6 2 4" xfId="12686" xr:uid="{73B14DD0-EF8B-4229-9324-0B21AEA22BAB}"/>
    <cellStyle name="Currency 5 3 3 6 3" xfId="6309" xr:uid="{00000000-0005-0000-0000-0000050D0000}"/>
    <cellStyle name="Currency 5 3 3 6 3 2" xfId="23207" xr:uid="{9D1D422A-01B4-42A9-B5C9-FA1773DF1E55}"/>
    <cellStyle name="Currency 5 3 3 6 3 3" xfId="14759" xr:uid="{7AA18D03-81BC-4DF4-8ED5-31629C008BB1}"/>
    <cellStyle name="Currency 5 3 3 6 4" xfId="18989" xr:uid="{551153D7-C413-4542-A56C-5BF3E34D3119}"/>
    <cellStyle name="Currency 5 3 3 6 5" xfId="10541" xr:uid="{48AE90C0-1EAE-4327-AB0A-50D1D53D96DF}"/>
    <cellStyle name="Currency 5 3 3 7" xfId="2438" xr:uid="{00000000-0005-0000-0000-0000060D0000}"/>
    <cellStyle name="Currency 5 3 3 7 2" xfId="6722" xr:uid="{00000000-0005-0000-0000-0000070D0000}"/>
    <cellStyle name="Currency 5 3 3 7 2 2" xfId="23620" xr:uid="{C31EECF5-80C8-44C6-8B42-6BD0CD6BD2DA}"/>
    <cellStyle name="Currency 5 3 3 7 2 3" xfId="15172" xr:uid="{6A0DB2DE-1399-44FE-B607-D673BCAC3CF5}"/>
    <cellStyle name="Currency 5 3 3 7 3" xfId="19402" xr:uid="{E6CE4B8B-B20F-489C-B0B9-17B404ACE3F0}"/>
    <cellStyle name="Currency 5 3 3 7 4" xfId="10954" xr:uid="{D57F04BF-35A7-4859-8A21-33DCD1361F39}"/>
    <cellStyle name="Currency 5 3 3 8" xfId="2735" xr:uid="{00000000-0005-0000-0000-0000080D0000}"/>
    <cellStyle name="Currency 5 3 3 9" xfId="2816" xr:uid="{00000000-0005-0000-0000-0000090D0000}"/>
    <cellStyle name="Currency 5 3 3 9 2" xfId="7039" xr:uid="{00000000-0005-0000-0000-00000A0D0000}"/>
    <cellStyle name="Currency 5 3 3 9 2 2" xfId="23937" xr:uid="{E5A709AE-42E5-43C5-8DA4-6297DD8AACC1}"/>
    <cellStyle name="Currency 5 3 3 9 2 3" xfId="15489" xr:uid="{EF43245B-DC35-40BE-B0DA-EB4292B36CF2}"/>
    <cellStyle name="Currency 5 3 3 9 3" xfId="19719" xr:uid="{BF80D8E7-4866-4001-907A-31FF72347731}"/>
    <cellStyle name="Currency 5 3 3 9 4" xfId="11271" xr:uid="{B139E12C-B593-4E4E-9C98-41C1BA562AF4}"/>
    <cellStyle name="Currency 5 3 4" xfId="216" xr:uid="{00000000-0005-0000-0000-00000B0D0000}"/>
    <cellStyle name="Currency 5 3 4 10" xfId="17338" xr:uid="{31C99393-D55A-41C5-A45B-7B3A2E0AAE73}"/>
    <cellStyle name="Currency 5 3 4 11" xfId="8890" xr:uid="{F8C9635C-C35F-44C2-8016-314E036E29F1}"/>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24115" xr:uid="{376D767E-91CC-456B-8F29-D5788B80D503}"/>
    <cellStyle name="Currency 5 3 4 2 2 2 3" xfId="15667" xr:uid="{D889554D-F2C5-4795-8182-635A6796BBA6}"/>
    <cellStyle name="Currency 5 3 4 2 2 3" xfId="19897" xr:uid="{A0208097-834F-46C4-ACAB-BC47E5CD2633}"/>
    <cellStyle name="Currency 5 3 4 2 2 4" xfId="11449" xr:uid="{9D416B8C-D3F5-4844-B71C-FD28AE48962A}"/>
    <cellStyle name="Currency 5 3 4 2 3" xfId="5072" xr:uid="{00000000-0005-0000-0000-00000F0D0000}"/>
    <cellStyle name="Currency 5 3 4 2 3 2" xfId="21970" xr:uid="{DB7D1E17-74BD-4247-8656-91268AA28998}"/>
    <cellStyle name="Currency 5 3 4 2 3 3" xfId="13522" xr:uid="{D6A6D382-6847-4FEB-A21B-FBE1CE529324}"/>
    <cellStyle name="Currency 5 3 4 2 4" xfId="17752" xr:uid="{AEFAE310-876A-4236-975F-00A91DC32155}"/>
    <cellStyle name="Currency 5 3 4 2 5" xfId="9304" xr:uid="{EDA2340A-9484-4A1B-B439-25A594E8DEC7}"/>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24528" xr:uid="{49D8BB2B-5BFC-4ABA-9253-177CA65C16F0}"/>
    <cellStyle name="Currency 5 3 4 3 2 2 3" xfId="16080" xr:uid="{CC8CAA72-3A25-40DE-86C4-F56839806708}"/>
    <cellStyle name="Currency 5 3 4 3 2 3" xfId="20310" xr:uid="{6ED1E4FC-FAE8-4CBA-B0F9-62C57D1566CB}"/>
    <cellStyle name="Currency 5 3 4 3 2 4" xfId="11862" xr:uid="{887C8FE2-C5CB-4334-AF24-BE38E7059835}"/>
    <cellStyle name="Currency 5 3 4 3 3" xfId="5485" xr:uid="{00000000-0005-0000-0000-0000130D0000}"/>
    <cellStyle name="Currency 5 3 4 3 3 2" xfId="22383" xr:uid="{723EB674-3D80-4340-B71C-683B12D0D5A0}"/>
    <cellStyle name="Currency 5 3 4 3 3 3" xfId="13935" xr:uid="{6D0B04B7-F320-4B93-87E2-4B1075D6FBBE}"/>
    <cellStyle name="Currency 5 3 4 3 4" xfId="18165" xr:uid="{E904FBD0-84FB-4E9E-82A9-50AC21CDAB3B}"/>
    <cellStyle name="Currency 5 3 4 3 5" xfId="9717" xr:uid="{329FA190-1D68-441B-8CBD-6EED6A19E311}"/>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24941" xr:uid="{29704477-37B1-487E-A380-BFBE381AA8C9}"/>
    <cellStyle name="Currency 5 3 4 4 2 2 3" xfId="16493" xr:uid="{294B36D2-8D15-4172-89E7-B285CE26CA4B}"/>
    <cellStyle name="Currency 5 3 4 4 2 3" xfId="20723" xr:uid="{D013C853-FB8E-45DB-807B-0100D51ACF7B}"/>
    <cellStyle name="Currency 5 3 4 4 2 4" xfId="12275" xr:uid="{03D7BE59-AD7A-4728-8CC7-21A6FBA88155}"/>
    <cellStyle name="Currency 5 3 4 4 3" xfId="5898" xr:uid="{00000000-0005-0000-0000-0000170D0000}"/>
    <cellStyle name="Currency 5 3 4 4 3 2" xfId="22796" xr:uid="{B395DB48-6009-4997-92B5-AC2632F94922}"/>
    <cellStyle name="Currency 5 3 4 4 3 3" xfId="14348" xr:uid="{AB2ADD2E-DF22-4EE2-91B8-21834609BC1B}"/>
    <cellStyle name="Currency 5 3 4 4 4" xfId="18578" xr:uid="{19B23539-2E57-4066-8E0F-08DCE00BF169}"/>
    <cellStyle name="Currency 5 3 4 4 5" xfId="10130" xr:uid="{3BDC19F5-415E-4704-ADA0-D2EE4C7DBB18}"/>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25354" xr:uid="{FA887C40-3391-4941-B88E-944F8CB76F8F}"/>
    <cellStyle name="Currency 5 3 4 5 2 2 3" xfId="16906" xr:uid="{8EB8D001-28C3-47CF-BAE5-EBB98531E953}"/>
    <cellStyle name="Currency 5 3 4 5 2 3" xfId="21136" xr:uid="{E39D6EDD-ADB3-49B0-A7BC-06600D848F0F}"/>
    <cellStyle name="Currency 5 3 4 5 2 4" xfId="12688" xr:uid="{8F5B770B-C748-4AC5-896B-D8516BDD4A45}"/>
    <cellStyle name="Currency 5 3 4 5 3" xfId="6311" xr:uid="{00000000-0005-0000-0000-00001B0D0000}"/>
    <cellStyle name="Currency 5 3 4 5 3 2" xfId="23209" xr:uid="{DCC34B9B-86C4-469F-A539-AAB546256162}"/>
    <cellStyle name="Currency 5 3 4 5 3 3" xfId="14761" xr:uid="{128308C3-AD14-4927-B319-0160B1A28CD0}"/>
    <cellStyle name="Currency 5 3 4 5 4" xfId="18991" xr:uid="{8304565C-7711-4C53-B422-72B911551855}"/>
    <cellStyle name="Currency 5 3 4 5 5" xfId="10543" xr:uid="{A060A762-CF0C-437F-95D5-E446DB8C8062}"/>
    <cellStyle name="Currency 5 3 4 6" xfId="2440" xr:uid="{00000000-0005-0000-0000-00001C0D0000}"/>
    <cellStyle name="Currency 5 3 4 6 2" xfId="6724" xr:uid="{00000000-0005-0000-0000-00001D0D0000}"/>
    <cellStyle name="Currency 5 3 4 6 2 2" xfId="23622" xr:uid="{E8867713-E2DE-43CE-912F-62488ED5A983}"/>
    <cellStyle name="Currency 5 3 4 6 2 3" xfId="15174" xr:uid="{086F1843-3A89-4FF8-A2FE-CE779AF95385}"/>
    <cellStyle name="Currency 5 3 4 6 3" xfId="19404" xr:uid="{90708DCB-2AA3-4B7E-AE4F-BEB724C4F29B}"/>
    <cellStyle name="Currency 5 3 4 6 4" xfId="10956" xr:uid="{69596EBD-57F6-40ED-AB11-044D7E512303}"/>
    <cellStyle name="Currency 5 3 4 7" xfId="2737" xr:uid="{00000000-0005-0000-0000-00001E0D0000}"/>
    <cellStyle name="Currency 5 3 4 8" xfId="2818" xr:uid="{00000000-0005-0000-0000-00001F0D0000}"/>
    <cellStyle name="Currency 5 3 4 8 2" xfId="7041" xr:uid="{00000000-0005-0000-0000-0000200D0000}"/>
    <cellStyle name="Currency 5 3 4 8 2 2" xfId="23939" xr:uid="{D4444AD4-51F5-4C12-B7AB-1F12DAB43D30}"/>
    <cellStyle name="Currency 5 3 4 8 2 3" xfId="15491" xr:uid="{2FA925E5-6772-4B37-BAF0-DEB64441A6C5}"/>
    <cellStyle name="Currency 5 3 4 8 3" xfId="19721" xr:uid="{219AC550-5C1F-43FA-9404-B4BFD2A8F306}"/>
    <cellStyle name="Currency 5 3 4 8 4" xfId="11273" xr:uid="{5EEB9FA5-B6B0-4158-92D5-BC918AB8D0D6}"/>
    <cellStyle name="Currency 5 3 4 9" xfId="4658" xr:uid="{00000000-0005-0000-0000-0000210D0000}"/>
    <cellStyle name="Currency 5 3 4 9 2" xfId="21556" xr:uid="{30C216E4-5599-4274-BB02-DFED2B7D2B3B}"/>
    <cellStyle name="Currency 5 3 4 9 3" xfId="13108" xr:uid="{4DE4CCB1-CF1D-45AD-BD1D-7258DBFD379E}"/>
    <cellStyle name="Currency 5 3 5" xfId="217" xr:uid="{00000000-0005-0000-0000-0000220D0000}"/>
    <cellStyle name="Currency 5 3 5 10" xfId="17339" xr:uid="{78814D96-0BEB-494C-ABCA-937B193E52E3}"/>
    <cellStyle name="Currency 5 3 5 11" xfId="8891" xr:uid="{33D34131-E0D1-46A3-9016-A999E56FD569}"/>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24116" xr:uid="{6380D544-8333-462F-9479-CC55D476DC79}"/>
    <cellStyle name="Currency 5 3 5 2 2 2 3" xfId="15668" xr:uid="{A7142D26-6296-444F-9263-BADFC824C91B}"/>
    <cellStyle name="Currency 5 3 5 2 2 3" xfId="19898" xr:uid="{840B2A3A-5C67-4636-8C33-045AD62B78BC}"/>
    <cellStyle name="Currency 5 3 5 2 2 4" xfId="11450" xr:uid="{9ED20C77-18B9-4799-9A9F-3EA660DFFCDC}"/>
    <cellStyle name="Currency 5 3 5 2 3" xfId="5073" xr:uid="{00000000-0005-0000-0000-0000260D0000}"/>
    <cellStyle name="Currency 5 3 5 2 3 2" xfId="21971" xr:uid="{F4BA3F41-0F33-4E40-9323-DA5039C02E90}"/>
    <cellStyle name="Currency 5 3 5 2 3 3" xfId="13523" xr:uid="{AE707855-BA04-4906-B6BF-8E83DDF2C85F}"/>
    <cellStyle name="Currency 5 3 5 2 4" xfId="17753" xr:uid="{AA55FF7B-AD95-4AE0-BD37-6F0F508EC9B0}"/>
    <cellStyle name="Currency 5 3 5 2 5" xfId="9305" xr:uid="{E85CB934-1EBA-4EC0-950A-45C949979F47}"/>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24529" xr:uid="{BC49961F-9462-443A-80CA-179FD1F8A04B}"/>
    <cellStyle name="Currency 5 3 5 3 2 2 3" xfId="16081" xr:uid="{97CBCF09-7B61-4911-92F2-04F13E6FA6D7}"/>
    <cellStyle name="Currency 5 3 5 3 2 3" xfId="20311" xr:uid="{25483A75-4D98-43A2-BE14-5DA3D6527DE8}"/>
    <cellStyle name="Currency 5 3 5 3 2 4" xfId="11863" xr:uid="{8938C6CC-4C30-4270-BC26-2A2B94FE356D}"/>
    <cellStyle name="Currency 5 3 5 3 3" xfId="5486" xr:uid="{00000000-0005-0000-0000-00002A0D0000}"/>
    <cellStyle name="Currency 5 3 5 3 3 2" xfId="22384" xr:uid="{125FAC02-4396-464C-8269-21D2C31B2179}"/>
    <cellStyle name="Currency 5 3 5 3 3 3" xfId="13936" xr:uid="{292AEC27-D491-4546-BA6C-CD9CF374CE82}"/>
    <cellStyle name="Currency 5 3 5 3 4" xfId="18166" xr:uid="{7F51F9DF-9BF6-42A5-A3D7-ED678FA4CF79}"/>
    <cellStyle name="Currency 5 3 5 3 5" xfId="9718" xr:uid="{39BCAC1C-DC52-447C-8A1A-C792A6EBE94B}"/>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24942" xr:uid="{89285CD7-77BE-4D6A-9E7E-3085F9381B1F}"/>
    <cellStyle name="Currency 5 3 5 4 2 2 3" xfId="16494" xr:uid="{A0AFF46E-30DE-476B-8915-6DA99BBDE53C}"/>
    <cellStyle name="Currency 5 3 5 4 2 3" xfId="20724" xr:uid="{410BB8FC-91F6-4326-A39E-F01945935D4A}"/>
    <cellStyle name="Currency 5 3 5 4 2 4" xfId="12276" xr:uid="{8B4801A9-1C58-473F-9CA5-D3E509DE5733}"/>
    <cellStyle name="Currency 5 3 5 4 3" xfId="5899" xr:uid="{00000000-0005-0000-0000-00002E0D0000}"/>
    <cellStyle name="Currency 5 3 5 4 3 2" xfId="22797" xr:uid="{E018933D-2FCF-46C6-A8BD-9772984B9321}"/>
    <cellStyle name="Currency 5 3 5 4 3 3" xfId="14349" xr:uid="{40469AE1-CE2D-4D69-9426-89B83913DF04}"/>
    <cellStyle name="Currency 5 3 5 4 4" xfId="18579" xr:uid="{16146846-A222-4916-9E30-C9C3C4A45AFD}"/>
    <cellStyle name="Currency 5 3 5 4 5" xfId="10131" xr:uid="{0D31FBBD-12D0-46E2-870E-2BE39329D02F}"/>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25355" xr:uid="{CC742A97-0D85-4D8F-B94A-04CD72A21EF9}"/>
    <cellStyle name="Currency 5 3 5 5 2 2 3" xfId="16907" xr:uid="{3D1855E4-E74B-4AEC-BC95-47176759F0C1}"/>
    <cellStyle name="Currency 5 3 5 5 2 3" xfId="21137" xr:uid="{2D1AD6C6-A606-4456-BCCD-7FE84E2540FE}"/>
    <cellStyle name="Currency 5 3 5 5 2 4" xfId="12689" xr:uid="{48D1DD84-5CFE-452D-9A3F-C4DDBFECE2C7}"/>
    <cellStyle name="Currency 5 3 5 5 3" xfId="6312" xr:uid="{00000000-0005-0000-0000-0000320D0000}"/>
    <cellStyle name="Currency 5 3 5 5 3 2" xfId="23210" xr:uid="{9C13008A-B3FD-4D15-9729-B0F86394C43A}"/>
    <cellStyle name="Currency 5 3 5 5 3 3" xfId="14762" xr:uid="{64D1C7F9-C3FC-4D14-99FC-10F2BE46949E}"/>
    <cellStyle name="Currency 5 3 5 5 4" xfId="18992" xr:uid="{B8AEB4CD-4D46-4CC6-B165-2BB8322E0D28}"/>
    <cellStyle name="Currency 5 3 5 5 5" xfId="10544" xr:uid="{B9B32C72-4925-485A-97F8-8C07522604AC}"/>
    <cellStyle name="Currency 5 3 5 6" xfId="2441" xr:uid="{00000000-0005-0000-0000-0000330D0000}"/>
    <cellStyle name="Currency 5 3 5 6 2" xfId="6725" xr:uid="{00000000-0005-0000-0000-0000340D0000}"/>
    <cellStyle name="Currency 5 3 5 6 2 2" xfId="23623" xr:uid="{B1C61B52-D624-4A22-BB55-EDDA2CA318C4}"/>
    <cellStyle name="Currency 5 3 5 6 2 3" xfId="15175" xr:uid="{F3361D53-3475-43BE-B3F9-A31B9C68E04A}"/>
    <cellStyle name="Currency 5 3 5 6 3" xfId="19405" xr:uid="{729EE39C-7C49-4934-841F-92709B1BE365}"/>
    <cellStyle name="Currency 5 3 5 6 4" xfId="10957" xr:uid="{70B815FD-2A18-4099-A7D4-78D19AAC8107}"/>
    <cellStyle name="Currency 5 3 5 7" xfId="2738" xr:uid="{00000000-0005-0000-0000-0000350D0000}"/>
    <cellStyle name="Currency 5 3 5 8" xfId="2819" xr:uid="{00000000-0005-0000-0000-0000360D0000}"/>
    <cellStyle name="Currency 5 3 5 8 2" xfId="7042" xr:uid="{00000000-0005-0000-0000-0000370D0000}"/>
    <cellStyle name="Currency 5 3 5 8 2 2" xfId="23940" xr:uid="{332F47D7-C23C-4740-BFC1-36A5AAAEAAD2}"/>
    <cellStyle name="Currency 5 3 5 8 2 3" xfId="15492" xr:uid="{0C2F5AFF-2BD4-4390-816C-E286540B3984}"/>
    <cellStyle name="Currency 5 3 5 8 3" xfId="19722" xr:uid="{C8D9274F-5693-4F77-BE09-83987944D79E}"/>
    <cellStyle name="Currency 5 3 5 8 4" xfId="11274" xr:uid="{2A3E613A-2998-4786-850F-3E61A32D471A}"/>
    <cellStyle name="Currency 5 3 5 9" xfId="4659" xr:uid="{00000000-0005-0000-0000-0000380D0000}"/>
    <cellStyle name="Currency 5 3 5 9 2" xfId="21557" xr:uid="{9228C982-2114-48A7-9A63-F52AE9585C06}"/>
    <cellStyle name="Currency 5 3 5 9 3" xfId="13109" xr:uid="{E9A5546B-8587-4091-9AFA-55DFD5004C75}"/>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21558" xr:uid="{B02D8356-E69C-43D9-AC6D-E6FD70B07C7D}"/>
    <cellStyle name="Currency 5 5 10 3" xfId="13110" xr:uid="{860C8666-816F-46D6-9160-D60149DC69B8}"/>
    <cellStyle name="Currency 5 5 11" xfId="17340" xr:uid="{78BA3CE5-9876-4AAD-B767-ACAB871532E6}"/>
    <cellStyle name="Currency 5 5 12" xfId="8892" xr:uid="{3E94FA28-4A83-40D8-BE03-BD539C3ABF16}"/>
    <cellStyle name="Currency 5 5 2" xfId="220" xr:uid="{00000000-0005-0000-0000-00003D0D0000}"/>
    <cellStyle name="Currency 5 5 2 10" xfId="17341" xr:uid="{703F43E7-7E8D-42C2-805C-7585F7F782BB}"/>
    <cellStyle name="Currency 5 5 2 11" xfId="8893" xr:uid="{5974C840-59BC-4AE8-AA20-305483BC677D}"/>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24118" xr:uid="{0AABCBF4-E8E4-45C9-A5FB-18A12B46164B}"/>
    <cellStyle name="Currency 5 5 2 2 2 2 3" xfId="15670" xr:uid="{9ABF7A90-E13D-4277-9276-559EF0FE268A}"/>
    <cellStyle name="Currency 5 5 2 2 2 3" xfId="19900" xr:uid="{2E7121D4-F4CA-4F63-B9F7-376F537D7875}"/>
    <cellStyle name="Currency 5 5 2 2 2 4" xfId="11452" xr:uid="{FA42E0AB-07B0-4A92-A9EF-5C1A0EBD74E1}"/>
    <cellStyle name="Currency 5 5 2 2 3" xfId="5075" xr:uid="{00000000-0005-0000-0000-0000410D0000}"/>
    <cellStyle name="Currency 5 5 2 2 3 2" xfId="21973" xr:uid="{E98131DD-003A-43BF-840C-1CD6161EE8D9}"/>
    <cellStyle name="Currency 5 5 2 2 3 3" xfId="13525" xr:uid="{D9D9A901-E07A-432D-A35D-96E00989CAB4}"/>
    <cellStyle name="Currency 5 5 2 2 4" xfId="17755" xr:uid="{588322F2-1929-4808-B233-AA85B6373F04}"/>
    <cellStyle name="Currency 5 5 2 2 5" xfId="9307" xr:uid="{EC115EBC-15AB-4D4A-82FB-8A85FA2E28B9}"/>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24531" xr:uid="{9EF7B6B4-CA04-4FA2-A13A-B81B4AA915D0}"/>
    <cellStyle name="Currency 5 5 2 3 2 2 3" xfId="16083" xr:uid="{20258B00-6D20-44EC-B49C-BE472245A8FC}"/>
    <cellStyle name="Currency 5 5 2 3 2 3" xfId="20313" xr:uid="{4A3359FB-9C6A-44E9-A049-F76FE70E735E}"/>
    <cellStyle name="Currency 5 5 2 3 2 4" xfId="11865" xr:uid="{32891374-3985-4CDF-9B89-3913E71E2809}"/>
    <cellStyle name="Currency 5 5 2 3 3" xfId="5488" xr:uid="{00000000-0005-0000-0000-0000450D0000}"/>
    <cellStyle name="Currency 5 5 2 3 3 2" xfId="22386" xr:uid="{04AA1C73-E76B-4C58-AAF0-CC96E3F367C3}"/>
    <cellStyle name="Currency 5 5 2 3 3 3" xfId="13938" xr:uid="{5554941F-0FE9-4F5F-9C88-0C4DBF424B1B}"/>
    <cellStyle name="Currency 5 5 2 3 4" xfId="18168" xr:uid="{565AFD20-ADC4-41BD-B833-8AD1B6FA2AC4}"/>
    <cellStyle name="Currency 5 5 2 3 5" xfId="9720" xr:uid="{8D31F6DA-77AB-450B-9262-D49F407D1B0E}"/>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24944" xr:uid="{5BB549F0-8A9E-4B12-8067-8EE91213553E}"/>
    <cellStyle name="Currency 5 5 2 4 2 2 3" xfId="16496" xr:uid="{049CD6AE-F76B-4ABE-BD4C-74BE55EF69CB}"/>
    <cellStyle name="Currency 5 5 2 4 2 3" xfId="20726" xr:uid="{0F8D5AFD-51BC-4D0E-B09D-C28BA6E5AE0E}"/>
    <cellStyle name="Currency 5 5 2 4 2 4" xfId="12278" xr:uid="{80967FB5-48CC-47BD-A1C7-EE1949A6D0D9}"/>
    <cellStyle name="Currency 5 5 2 4 3" xfId="5901" xr:uid="{00000000-0005-0000-0000-0000490D0000}"/>
    <cellStyle name="Currency 5 5 2 4 3 2" xfId="22799" xr:uid="{C43BEE9B-93B8-4672-A1D9-53848152EA7D}"/>
    <cellStyle name="Currency 5 5 2 4 3 3" xfId="14351" xr:uid="{2CCC38C9-3110-4FD9-A185-BC38A31EEAD4}"/>
    <cellStyle name="Currency 5 5 2 4 4" xfId="18581" xr:uid="{F40D9A6D-11A5-4A2D-8C81-B62B69DD72D9}"/>
    <cellStyle name="Currency 5 5 2 4 5" xfId="10133" xr:uid="{1627634E-382D-4ED5-A131-9FEFF21BBED7}"/>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25357" xr:uid="{7D4B96E4-7AA3-4908-B895-5AB255165569}"/>
    <cellStyle name="Currency 5 5 2 5 2 2 3" xfId="16909" xr:uid="{700A17ED-4ED3-4561-82FB-FC36AD56E152}"/>
    <cellStyle name="Currency 5 5 2 5 2 3" xfId="21139" xr:uid="{7E989541-C372-481E-8800-21178C83FDF4}"/>
    <cellStyle name="Currency 5 5 2 5 2 4" xfId="12691" xr:uid="{9E2DA869-B482-4978-A055-EA95C5165B4E}"/>
    <cellStyle name="Currency 5 5 2 5 3" xfId="6314" xr:uid="{00000000-0005-0000-0000-00004D0D0000}"/>
    <cellStyle name="Currency 5 5 2 5 3 2" xfId="23212" xr:uid="{713F2571-4FF7-434A-B297-16981FD5D97C}"/>
    <cellStyle name="Currency 5 5 2 5 3 3" xfId="14764" xr:uid="{A4B31C17-8B25-4AB2-AEBE-0A1319D92EF9}"/>
    <cellStyle name="Currency 5 5 2 5 4" xfId="18994" xr:uid="{F3F0C498-C29F-4AD0-B765-A48BC98A2B10}"/>
    <cellStyle name="Currency 5 5 2 5 5" xfId="10546" xr:uid="{10A9E96E-4AB6-40B0-9907-0935D4E601C1}"/>
    <cellStyle name="Currency 5 5 2 6" xfId="2443" xr:uid="{00000000-0005-0000-0000-00004E0D0000}"/>
    <cellStyle name="Currency 5 5 2 6 2" xfId="6727" xr:uid="{00000000-0005-0000-0000-00004F0D0000}"/>
    <cellStyle name="Currency 5 5 2 6 2 2" xfId="23625" xr:uid="{09A51E79-4CDC-44AC-8753-8D5EE648AC5F}"/>
    <cellStyle name="Currency 5 5 2 6 2 3" xfId="15177" xr:uid="{9AFAACB4-F3BC-41C6-8AE0-BA93027FC190}"/>
    <cellStyle name="Currency 5 5 2 6 3" xfId="19407" xr:uid="{69DDD346-36AF-44BB-BC67-10CC04470CC1}"/>
    <cellStyle name="Currency 5 5 2 6 4" xfId="10959" xr:uid="{D57193DE-3FA1-404B-B18C-15BE1D296E99}"/>
    <cellStyle name="Currency 5 5 2 7" xfId="2740" xr:uid="{00000000-0005-0000-0000-0000500D0000}"/>
    <cellStyle name="Currency 5 5 2 8" xfId="2821" xr:uid="{00000000-0005-0000-0000-0000510D0000}"/>
    <cellStyle name="Currency 5 5 2 8 2" xfId="7044" xr:uid="{00000000-0005-0000-0000-0000520D0000}"/>
    <cellStyle name="Currency 5 5 2 8 2 2" xfId="23942" xr:uid="{DDDE0867-20BC-497E-A2AE-C788FDFCCB30}"/>
    <cellStyle name="Currency 5 5 2 8 2 3" xfId="15494" xr:uid="{C8190A75-8960-4C40-9577-091703E8BB06}"/>
    <cellStyle name="Currency 5 5 2 8 3" xfId="19724" xr:uid="{91979AF2-4E22-4D93-8E92-A918F64B5764}"/>
    <cellStyle name="Currency 5 5 2 8 4" xfId="11276" xr:uid="{080C757E-0DE1-4394-ADD2-B72BA201C588}"/>
    <cellStyle name="Currency 5 5 2 9" xfId="4661" xr:uid="{00000000-0005-0000-0000-0000530D0000}"/>
    <cellStyle name="Currency 5 5 2 9 2" xfId="21559" xr:uid="{37CCBDDD-5497-4A21-9FEB-08F08A9D67FF}"/>
    <cellStyle name="Currency 5 5 2 9 3" xfId="13111" xr:uid="{F167663F-4941-4D87-AA3F-64A03193614B}"/>
    <cellStyle name="Currency 5 5 3" xfId="745" xr:uid="{00000000-0005-0000-0000-0000540D0000}"/>
    <cellStyle name="Currency 5 5 3 2" xfId="2997" xr:uid="{00000000-0005-0000-0000-0000550D0000}"/>
    <cellStyle name="Currency 5 5 3 2 2" xfId="7219" xr:uid="{00000000-0005-0000-0000-0000560D0000}"/>
    <cellStyle name="Currency 5 5 3 2 2 2" xfId="24117" xr:uid="{879B19CC-23B7-4315-BE9D-375AEF690204}"/>
    <cellStyle name="Currency 5 5 3 2 2 3" xfId="15669" xr:uid="{521A5B88-F69A-4F9A-AE6C-260D3DA465D5}"/>
    <cellStyle name="Currency 5 5 3 2 3" xfId="19899" xr:uid="{254D4BC3-864B-4D63-BC64-FE9D01E9C5C8}"/>
    <cellStyle name="Currency 5 5 3 2 4" xfId="11451" xr:uid="{6384ACB7-17DD-4AEA-A106-6A599CD3812A}"/>
    <cellStyle name="Currency 5 5 3 3" xfId="5074" xr:uid="{00000000-0005-0000-0000-0000570D0000}"/>
    <cellStyle name="Currency 5 5 3 3 2" xfId="21972" xr:uid="{1A1F7938-7A5B-4686-B39F-BD28E554157B}"/>
    <cellStyle name="Currency 5 5 3 3 3" xfId="13524" xr:uid="{DC0863A5-2531-4098-9715-60F97B483D04}"/>
    <cellStyle name="Currency 5 5 3 4" xfId="17754" xr:uid="{85F047B1-8BF4-4D5A-8FCD-6D775B8D24EB}"/>
    <cellStyle name="Currency 5 5 3 5" xfId="9306" xr:uid="{409693A9-3CF3-42C4-9A3E-6381A5A3127E}"/>
    <cellStyle name="Currency 5 5 4" xfId="1179" xr:uid="{00000000-0005-0000-0000-0000580D0000}"/>
    <cellStyle name="Currency 5 5 4 2" xfId="3410" xr:uid="{00000000-0005-0000-0000-0000590D0000}"/>
    <cellStyle name="Currency 5 5 4 2 2" xfId="7632" xr:uid="{00000000-0005-0000-0000-00005A0D0000}"/>
    <cellStyle name="Currency 5 5 4 2 2 2" xfId="24530" xr:uid="{B76DFF0F-822D-443B-B135-7584CB8D2228}"/>
    <cellStyle name="Currency 5 5 4 2 2 3" xfId="16082" xr:uid="{981F6F66-CDDB-4722-89DE-654E1078803A}"/>
    <cellStyle name="Currency 5 5 4 2 3" xfId="20312" xr:uid="{2BDEBC06-A38F-4347-A839-3FEDE723BE49}"/>
    <cellStyle name="Currency 5 5 4 2 4" xfId="11864" xr:uid="{4CBF3F14-0CAF-4CAF-BB7C-6D10DA3B3BDB}"/>
    <cellStyle name="Currency 5 5 4 3" xfId="5487" xr:uid="{00000000-0005-0000-0000-00005B0D0000}"/>
    <cellStyle name="Currency 5 5 4 3 2" xfId="22385" xr:uid="{0860B385-77FB-4AA5-8A1C-08A31469581D}"/>
    <cellStyle name="Currency 5 5 4 3 3" xfId="13937" xr:uid="{59E1F326-A23A-4C00-A53C-EE4D700BDBB2}"/>
    <cellStyle name="Currency 5 5 4 4" xfId="18167" xr:uid="{DFD2EA5A-9F13-48AE-A05B-481C6322DB29}"/>
    <cellStyle name="Currency 5 5 4 5" xfId="9719" xr:uid="{097E3A89-1D71-4B5E-9A81-400FBACDA05C}"/>
    <cellStyle name="Currency 5 5 5" xfId="1593" xr:uid="{00000000-0005-0000-0000-00005C0D0000}"/>
    <cellStyle name="Currency 5 5 5 2" xfId="3823" xr:uid="{00000000-0005-0000-0000-00005D0D0000}"/>
    <cellStyle name="Currency 5 5 5 2 2" xfId="8045" xr:uid="{00000000-0005-0000-0000-00005E0D0000}"/>
    <cellStyle name="Currency 5 5 5 2 2 2" xfId="24943" xr:uid="{2437043B-5789-420A-A387-1B87FF92ED60}"/>
    <cellStyle name="Currency 5 5 5 2 2 3" xfId="16495" xr:uid="{BEB7A3C8-50BA-4764-B3BF-BC5FF43F392C}"/>
    <cellStyle name="Currency 5 5 5 2 3" xfId="20725" xr:uid="{40321627-E6D6-42A3-88F5-DAB547026E0B}"/>
    <cellStyle name="Currency 5 5 5 2 4" xfId="12277" xr:uid="{75D771FE-F6E9-48D4-93F5-2AD36C4CB05E}"/>
    <cellStyle name="Currency 5 5 5 3" xfId="5900" xr:uid="{00000000-0005-0000-0000-00005F0D0000}"/>
    <cellStyle name="Currency 5 5 5 3 2" xfId="22798" xr:uid="{0BA25E78-9949-4882-ADE4-F04DEA178871}"/>
    <cellStyle name="Currency 5 5 5 3 3" xfId="14350" xr:uid="{80C29E8E-6AD2-4BCB-84E7-66C3FD23EE86}"/>
    <cellStyle name="Currency 5 5 5 4" xfId="18580" xr:uid="{9CEF2A5E-EF40-4105-ABCA-6AD246E6AE04}"/>
    <cellStyle name="Currency 5 5 5 5" xfId="10132" xr:uid="{7F82146A-AC09-485F-8F7E-5E9613B9F6A6}"/>
    <cellStyle name="Currency 5 5 6" xfId="2007" xr:uid="{00000000-0005-0000-0000-0000600D0000}"/>
    <cellStyle name="Currency 5 5 6 2" xfId="4236" xr:uid="{00000000-0005-0000-0000-0000610D0000}"/>
    <cellStyle name="Currency 5 5 6 2 2" xfId="8458" xr:uid="{00000000-0005-0000-0000-0000620D0000}"/>
    <cellStyle name="Currency 5 5 6 2 2 2" xfId="25356" xr:uid="{24AF9FBF-E23A-4175-BD69-A1F2152BEEA1}"/>
    <cellStyle name="Currency 5 5 6 2 2 3" xfId="16908" xr:uid="{FCEB27A7-318A-4AB9-82EA-2655E5E35652}"/>
    <cellStyle name="Currency 5 5 6 2 3" xfId="21138" xr:uid="{9941122F-158D-4D5F-9C3C-76A604E62A47}"/>
    <cellStyle name="Currency 5 5 6 2 4" xfId="12690" xr:uid="{5B18B06E-CDF9-4D11-BA25-BE4ACFE3AEA4}"/>
    <cellStyle name="Currency 5 5 6 3" xfId="6313" xr:uid="{00000000-0005-0000-0000-0000630D0000}"/>
    <cellStyle name="Currency 5 5 6 3 2" xfId="23211" xr:uid="{903FD29D-5BF5-4843-ADED-9A305F70543A}"/>
    <cellStyle name="Currency 5 5 6 3 3" xfId="14763" xr:uid="{4CA7031A-042B-4DB3-A8B0-877445BDCDF4}"/>
    <cellStyle name="Currency 5 5 6 4" xfId="18993" xr:uid="{44DC5A37-34F9-4A7D-BFFA-7A78289F37EA}"/>
    <cellStyle name="Currency 5 5 6 5" xfId="10545" xr:uid="{C64DCBE9-5BAE-434D-9B3C-396ECC64AA06}"/>
    <cellStyle name="Currency 5 5 7" xfId="2442" xr:uid="{00000000-0005-0000-0000-0000640D0000}"/>
    <cellStyle name="Currency 5 5 7 2" xfId="6726" xr:uid="{00000000-0005-0000-0000-0000650D0000}"/>
    <cellStyle name="Currency 5 5 7 2 2" xfId="23624" xr:uid="{9DDBD82C-5A15-4069-852C-13F401F30603}"/>
    <cellStyle name="Currency 5 5 7 2 3" xfId="15176" xr:uid="{C734609C-6788-4918-B9F2-AFB0318AD419}"/>
    <cellStyle name="Currency 5 5 7 3" xfId="19406" xr:uid="{57548825-C862-46EC-A2E9-63FC2FBEB0A9}"/>
    <cellStyle name="Currency 5 5 7 4" xfId="10958" xr:uid="{3A754E20-70B9-467E-B515-D3A3045A78C6}"/>
    <cellStyle name="Currency 5 5 8" xfId="2739" xr:uid="{00000000-0005-0000-0000-0000660D0000}"/>
    <cellStyle name="Currency 5 5 9" xfId="2820" xr:uid="{00000000-0005-0000-0000-0000670D0000}"/>
    <cellStyle name="Currency 5 5 9 2" xfId="7043" xr:uid="{00000000-0005-0000-0000-0000680D0000}"/>
    <cellStyle name="Currency 5 5 9 2 2" xfId="23941" xr:uid="{55C35B08-C528-405A-92D9-5EAAA70F2F03}"/>
    <cellStyle name="Currency 5 5 9 2 3" xfId="15493" xr:uid="{05B67492-4A49-4BAE-96C3-091EC6D3799C}"/>
    <cellStyle name="Currency 5 5 9 3" xfId="19723" xr:uid="{9586EABB-6886-4F82-81A3-366148B8052F}"/>
    <cellStyle name="Currency 5 5 9 4" xfId="11275" xr:uid="{6F0C5A5B-2D5F-4AD2-9489-510FDD190379}"/>
    <cellStyle name="Currency 5 6" xfId="221" xr:uid="{00000000-0005-0000-0000-0000690D0000}"/>
    <cellStyle name="Currency 5 6 10" xfId="17342" xr:uid="{03FB1240-B31D-45C3-92C3-CEBEB9AB7F50}"/>
    <cellStyle name="Currency 5 6 11" xfId="8894" xr:uid="{C034577D-47B6-4039-BF41-6F6903A7BF3F}"/>
    <cellStyle name="Currency 5 6 2" xfId="747" xr:uid="{00000000-0005-0000-0000-00006A0D0000}"/>
    <cellStyle name="Currency 5 6 2 2" xfId="2999" xr:uid="{00000000-0005-0000-0000-00006B0D0000}"/>
    <cellStyle name="Currency 5 6 2 2 2" xfId="7221" xr:uid="{00000000-0005-0000-0000-00006C0D0000}"/>
    <cellStyle name="Currency 5 6 2 2 2 2" xfId="24119" xr:uid="{A7EC6F95-E447-453A-A802-29771612939F}"/>
    <cellStyle name="Currency 5 6 2 2 2 3" xfId="15671" xr:uid="{A64F15B9-031A-47B0-AAC1-3BC6BF825A72}"/>
    <cellStyle name="Currency 5 6 2 2 3" xfId="19901" xr:uid="{45C23083-C783-4B14-A91A-FE0C419A1EFC}"/>
    <cellStyle name="Currency 5 6 2 2 4" xfId="11453" xr:uid="{C1A4E272-5A09-4E82-B965-9A6F1F6AD121}"/>
    <cellStyle name="Currency 5 6 2 3" xfId="5076" xr:uid="{00000000-0005-0000-0000-00006D0D0000}"/>
    <cellStyle name="Currency 5 6 2 3 2" xfId="21974" xr:uid="{B4694B2A-0FF7-45D7-85D9-B1A0235B70E3}"/>
    <cellStyle name="Currency 5 6 2 3 3" xfId="13526" xr:uid="{BF1D41FD-AA78-4C9B-B2F1-E27360DDF5A3}"/>
    <cellStyle name="Currency 5 6 2 4" xfId="17756" xr:uid="{3F987D76-C6FA-4634-ABB4-EC08F1FD1E45}"/>
    <cellStyle name="Currency 5 6 2 5" xfId="9308" xr:uid="{7B370E4D-62FA-49E9-9F37-2B8AD865C9D2}"/>
    <cellStyle name="Currency 5 6 3" xfId="1181" xr:uid="{00000000-0005-0000-0000-00006E0D0000}"/>
    <cellStyle name="Currency 5 6 3 2" xfId="3412" xr:uid="{00000000-0005-0000-0000-00006F0D0000}"/>
    <cellStyle name="Currency 5 6 3 2 2" xfId="7634" xr:uid="{00000000-0005-0000-0000-0000700D0000}"/>
    <cellStyle name="Currency 5 6 3 2 2 2" xfId="24532" xr:uid="{3BE5ECE0-2ECA-4768-93A2-C445452FE03D}"/>
    <cellStyle name="Currency 5 6 3 2 2 3" xfId="16084" xr:uid="{4788D614-4C85-4F1D-B5AB-7B682D8F861D}"/>
    <cellStyle name="Currency 5 6 3 2 3" xfId="20314" xr:uid="{A5D426D2-27AE-42E6-B3DC-9E793022AFF8}"/>
    <cellStyle name="Currency 5 6 3 2 4" xfId="11866" xr:uid="{92E2F090-680A-47DC-8BD8-4D8C7567994D}"/>
    <cellStyle name="Currency 5 6 3 3" xfId="5489" xr:uid="{00000000-0005-0000-0000-0000710D0000}"/>
    <cellStyle name="Currency 5 6 3 3 2" xfId="22387" xr:uid="{16ADF7F3-93D1-42B4-80D4-BF0122E4F3A9}"/>
    <cellStyle name="Currency 5 6 3 3 3" xfId="13939" xr:uid="{2A9A5440-6041-40C3-AA39-1BA50D8EDA6A}"/>
    <cellStyle name="Currency 5 6 3 4" xfId="18169" xr:uid="{E51E41F1-EE67-4C4E-AD54-1C47E33402EE}"/>
    <cellStyle name="Currency 5 6 3 5" xfId="9721" xr:uid="{4F2FB586-E9E0-44A7-BD60-067A91AEAFFD}"/>
    <cellStyle name="Currency 5 6 4" xfId="1595" xr:uid="{00000000-0005-0000-0000-0000720D0000}"/>
    <cellStyle name="Currency 5 6 4 2" xfId="3825" xr:uid="{00000000-0005-0000-0000-0000730D0000}"/>
    <cellStyle name="Currency 5 6 4 2 2" xfId="8047" xr:uid="{00000000-0005-0000-0000-0000740D0000}"/>
    <cellStyle name="Currency 5 6 4 2 2 2" xfId="24945" xr:uid="{DE1F66C5-F1D0-4F6B-8193-D637FBB8215A}"/>
    <cellStyle name="Currency 5 6 4 2 2 3" xfId="16497" xr:uid="{DF3317D2-8CBC-4333-B8F0-19339E6AD459}"/>
    <cellStyle name="Currency 5 6 4 2 3" xfId="20727" xr:uid="{4B5505C5-D81D-4D39-ACC0-DB3145926CB8}"/>
    <cellStyle name="Currency 5 6 4 2 4" xfId="12279" xr:uid="{AD87773C-12E8-4520-A6A2-212933103755}"/>
    <cellStyle name="Currency 5 6 4 3" xfId="5902" xr:uid="{00000000-0005-0000-0000-0000750D0000}"/>
    <cellStyle name="Currency 5 6 4 3 2" xfId="22800" xr:uid="{4E4C5FDE-9CC3-4148-A88E-7B7A1BA9FACB}"/>
    <cellStyle name="Currency 5 6 4 3 3" xfId="14352" xr:uid="{782F952B-5EDB-4342-B652-979CD522CE1C}"/>
    <cellStyle name="Currency 5 6 4 4" xfId="18582" xr:uid="{B53F1385-99F2-4CBA-96B1-1CBE89E0795F}"/>
    <cellStyle name="Currency 5 6 4 5" xfId="10134" xr:uid="{FEE14B65-7C5A-4B2B-BF66-AAC83A7D4CE2}"/>
    <cellStyle name="Currency 5 6 5" xfId="2009" xr:uid="{00000000-0005-0000-0000-0000760D0000}"/>
    <cellStyle name="Currency 5 6 5 2" xfId="4238" xr:uid="{00000000-0005-0000-0000-0000770D0000}"/>
    <cellStyle name="Currency 5 6 5 2 2" xfId="8460" xr:uid="{00000000-0005-0000-0000-0000780D0000}"/>
    <cellStyle name="Currency 5 6 5 2 2 2" xfId="25358" xr:uid="{AF7A1296-6071-4FE8-B53C-9ACD967DAF18}"/>
    <cellStyle name="Currency 5 6 5 2 2 3" xfId="16910" xr:uid="{DC315BEE-BF4B-4A0D-B326-9677476BBE1F}"/>
    <cellStyle name="Currency 5 6 5 2 3" xfId="21140" xr:uid="{1F48291A-4C8E-4A85-BA73-9A7BB091A641}"/>
    <cellStyle name="Currency 5 6 5 2 4" xfId="12692" xr:uid="{33D731ED-3407-4142-BB81-F06DFF92080C}"/>
    <cellStyle name="Currency 5 6 5 3" xfId="6315" xr:uid="{00000000-0005-0000-0000-0000790D0000}"/>
    <cellStyle name="Currency 5 6 5 3 2" xfId="23213" xr:uid="{34661FEF-8FCE-432C-8494-335161DEFC39}"/>
    <cellStyle name="Currency 5 6 5 3 3" xfId="14765" xr:uid="{F1915585-9A18-47E1-9DC8-C696B7300459}"/>
    <cellStyle name="Currency 5 6 5 4" xfId="18995" xr:uid="{7FB12C42-2FB0-4F38-B84C-74D1D395A5E5}"/>
    <cellStyle name="Currency 5 6 5 5" xfId="10547" xr:uid="{528F802E-0855-481B-B681-500044F75E55}"/>
    <cellStyle name="Currency 5 6 6" xfId="2444" xr:uid="{00000000-0005-0000-0000-00007A0D0000}"/>
    <cellStyle name="Currency 5 6 6 2" xfId="6728" xr:uid="{00000000-0005-0000-0000-00007B0D0000}"/>
    <cellStyle name="Currency 5 6 6 2 2" xfId="23626" xr:uid="{EF6EF2A5-D145-48DF-8F0E-DDBF5B419E11}"/>
    <cellStyle name="Currency 5 6 6 2 3" xfId="15178" xr:uid="{757DD0CF-D738-493A-860A-6F585468782F}"/>
    <cellStyle name="Currency 5 6 6 3" xfId="19408" xr:uid="{41C10DE8-0F46-4547-95F8-2A4DCBEBB06E}"/>
    <cellStyle name="Currency 5 6 6 4" xfId="10960" xr:uid="{34052F59-F46D-4C65-B0F7-61FBCBD8C7E8}"/>
    <cellStyle name="Currency 5 6 7" xfId="2741" xr:uid="{00000000-0005-0000-0000-00007C0D0000}"/>
    <cellStyle name="Currency 5 6 8" xfId="2822" xr:uid="{00000000-0005-0000-0000-00007D0D0000}"/>
    <cellStyle name="Currency 5 6 8 2" xfId="7045" xr:uid="{00000000-0005-0000-0000-00007E0D0000}"/>
    <cellStyle name="Currency 5 6 8 2 2" xfId="23943" xr:uid="{5275664B-38C4-413C-AF06-13AFDE3F27D9}"/>
    <cellStyle name="Currency 5 6 8 2 3" xfId="15495" xr:uid="{145EDB07-861A-4D65-94BC-9974CFA8400F}"/>
    <cellStyle name="Currency 5 6 8 3" xfId="19725" xr:uid="{2BD89B20-E83A-4D8B-A151-AA948795F7D8}"/>
    <cellStyle name="Currency 5 6 8 4" xfId="11277" xr:uid="{728A48E5-8AB2-4872-9961-2410EE703279}"/>
    <cellStyle name="Currency 5 6 9" xfId="4662" xr:uid="{00000000-0005-0000-0000-00007F0D0000}"/>
    <cellStyle name="Currency 5 6 9 2" xfId="21560" xr:uid="{E8C89549-2890-4D4F-95B5-0D1A199E9AF8}"/>
    <cellStyle name="Currency 5 6 9 3" xfId="13112" xr:uid="{6D0D78AF-4C92-4597-86E0-99E2CD754256}"/>
    <cellStyle name="Currency 5 7" xfId="222" xr:uid="{00000000-0005-0000-0000-0000800D0000}"/>
    <cellStyle name="Currency 5 7 10" xfId="17343" xr:uid="{E311B77A-7130-4F3C-8E26-F1029424919F}"/>
    <cellStyle name="Currency 5 7 11" xfId="8895" xr:uid="{E5BD7BD0-A604-45DF-97A2-6783DECE0295}"/>
    <cellStyle name="Currency 5 7 2" xfId="748" xr:uid="{00000000-0005-0000-0000-0000810D0000}"/>
    <cellStyle name="Currency 5 7 2 2" xfId="3000" xr:uid="{00000000-0005-0000-0000-0000820D0000}"/>
    <cellStyle name="Currency 5 7 2 2 2" xfId="7222" xr:uid="{00000000-0005-0000-0000-0000830D0000}"/>
    <cellStyle name="Currency 5 7 2 2 2 2" xfId="24120" xr:uid="{7795F01E-A58B-4571-9A45-7CFBEBA451A9}"/>
    <cellStyle name="Currency 5 7 2 2 2 3" xfId="15672" xr:uid="{B8276557-98AC-4AC5-96D4-4FE9B6802425}"/>
    <cellStyle name="Currency 5 7 2 2 3" xfId="19902" xr:uid="{D7BE23DD-68D6-4E96-B6D0-E65FD1E369E2}"/>
    <cellStyle name="Currency 5 7 2 2 4" xfId="11454" xr:uid="{31336414-501B-4C1F-A900-5C2B2FB49FB3}"/>
    <cellStyle name="Currency 5 7 2 3" xfId="5077" xr:uid="{00000000-0005-0000-0000-0000840D0000}"/>
    <cellStyle name="Currency 5 7 2 3 2" xfId="21975" xr:uid="{D0E6C236-BAA7-49D0-9AA8-2941340CCF58}"/>
    <cellStyle name="Currency 5 7 2 3 3" xfId="13527" xr:uid="{C1D71241-321F-4D2C-9B7E-4998503201B2}"/>
    <cellStyle name="Currency 5 7 2 4" xfId="17757" xr:uid="{9A860EC0-A323-4FA9-AD69-F79F101C6F28}"/>
    <cellStyle name="Currency 5 7 2 5" xfId="9309" xr:uid="{E8F983A2-638E-4F4F-88DB-4015577A4BB9}"/>
    <cellStyle name="Currency 5 7 3" xfId="1182" xr:uid="{00000000-0005-0000-0000-0000850D0000}"/>
    <cellStyle name="Currency 5 7 3 2" xfId="3413" xr:uid="{00000000-0005-0000-0000-0000860D0000}"/>
    <cellStyle name="Currency 5 7 3 2 2" xfId="7635" xr:uid="{00000000-0005-0000-0000-0000870D0000}"/>
    <cellStyle name="Currency 5 7 3 2 2 2" xfId="24533" xr:uid="{565DB389-A1DC-4B90-8F31-F675F565CBBE}"/>
    <cellStyle name="Currency 5 7 3 2 2 3" xfId="16085" xr:uid="{57BD6597-1E5F-4BFF-9D56-2871570928C9}"/>
    <cellStyle name="Currency 5 7 3 2 3" xfId="20315" xr:uid="{A98ABDA2-5C98-4AFE-A3B0-E4169E08DF3F}"/>
    <cellStyle name="Currency 5 7 3 2 4" xfId="11867" xr:uid="{BAF5DAC9-7003-4439-A07D-43DEBC696FB4}"/>
    <cellStyle name="Currency 5 7 3 3" xfId="5490" xr:uid="{00000000-0005-0000-0000-0000880D0000}"/>
    <cellStyle name="Currency 5 7 3 3 2" xfId="22388" xr:uid="{C84F6EB3-6EF1-48E3-B2BE-CE7A980DF85D}"/>
    <cellStyle name="Currency 5 7 3 3 3" xfId="13940" xr:uid="{C0B44E13-CE23-455F-B5F4-405D0346CCA9}"/>
    <cellStyle name="Currency 5 7 3 4" xfId="18170" xr:uid="{A4D5E555-A91D-4FE4-A8F5-849DE9A961BB}"/>
    <cellStyle name="Currency 5 7 3 5" xfId="9722" xr:uid="{F7ED7291-24C0-4DC6-A4FF-DFDBAC1E732D}"/>
    <cellStyle name="Currency 5 7 4" xfId="1596" xr:uid="{00000000-0005-0000-0000-0000890D0000}"/>
    <cellStyle name="Currency 5 7 4 2" xfId="3826" xr:uid="{00000000-0005-0000-0000-00008A0D0000}"/>
    <cellStyle name="Currency 5 7 4 2 2" xfId="8048" xr:uid="{00000000-0005-0000-0000-00008B0D0000}"/>
    <cellStyle name="Currency 5 7 4 2 2 2" xfId="24946" xr:uid="{B240C375-1BBA-4BE3-8079-8FBC79EDCAED}"/>
    <cellStyle name="Currency 5 7 4 2 2 3" xfId="16498" xr:uid="{F8089DBC-35BC-4D51-A9C0-0993619E713D}"/>
    <cellStyle name="Currency 5 7 4 2 3" xfId="20728" xr:uid="{D4E4A2E8-1F80-4488-BFA3-3274B8E0948D}"/>
    <cellStyle name="Currency 5 7 4 2 4" xfId="12280" xr:uid="{68DAB481-4A4A-4D15-B960-E16F89498EFB}"/>
    <cellStyle name="Currency 5 7 4 3" xfId="5903" xr:uid="{00000000-0005-0000-0000-00008C0D0000}"/>
    <cellStyle name="Currency 5 7 4 3 2" xfId="22801" xr:uid="{078EDC85-8DF5-4177-A71A-2A017E02091E}"/>
    <cellStyle name="Currency 5 7 4 3 3" xfId="14353" xr:uid="{2A599F25-E0E1-47DC-9078-C75D43A5EC89}"/>
    <cellStyle name="Currency 5 7 4 4" xfId="18583" xr:uid="{498032A1-E45C-4A16-BDAC-D4459726A8CC}"/>
    <cellStyle name="Currency 5 7 4 5" xfId="10135" xr:uid="{ED7FF3D6-EDF0-426E-BCAB-34A4F7AAA818}"/>
    <cellStyle name="Currency 5 7 5" xfId="2010" xr:uid="{00000000-0005-0000-0000-00008D0D0000}"/>
    <cellStyle name="Currency 5 7 5 2" xfId="4239" xr:uid="{00000000-0005-0000-0000-00008E0D0000}"/>
    <cellStyle name="Currency 5 7 5 2 2" xfId="8461" xr:uid="{00000000-0005-0000-0000-00008F0D0000}"/>
    <cellStyle name="Currency 5 7 5 2 2 2" xfId="25359" xr:uid="{C4003D9C-3A24-43AE-A498-D1FB99604309}"/>
    <cellStyle name="Currency 5 7 5 2 2 3" xfId="16911" xr:uid="{9EEDC5C8-9F17-42FB-8C8A-1F3ACD47C344}"/>
    <cellStyle name="Currency 5 7 5 2 3" xfId="21141" xr:uid="{9106E22A-5C3F-4111-AD9A-64466C6EEB4C}"/>
    <cellStyle name="Currency 5 7 5 2 4" xfId="12693" xr:uid="{8A4230EA-78BD-417B-840C-0C7CB8455ECA}"/>
    <cellStyle name="Currency 5 7 5 3" xfId="6316" xr:uid="{00000000-0005-0000-0000-0000900D0000}"/>
    <cellStyle name="Currency 5 7 5 3 2" xfId="23214" xr:uid="{5CE1E2C4-3823-4A3B-891C-A29554F33598}"/>
    <cellStyle name="Currency 5 7 5 3 3" xfId="14766" xr:uid="{9557ABF4-FC4F-482F-BE8B-0F8C339D6E8A}"/>
    <cellStyle name="Currency 5 7 5 4" xfId="18996" xr:uid="{8D34533E-CFC8-4F7E-AA15-F9722B0CB07E}"/>
    <cellStyle name="Currency 5 7 5 5" xfId="10548" xr:uid="{4DEB33EB-9A1E-454D-BED2-332F974C5B2B}"/>
    <cellStyle name="Currency 5 7 6" xfId="2445" xr:uid="{00000000-0005-0000-0000-0000910D0000}"/>
    <cellStyle name="Currency 5 7 6 2" xfId="6729" xr:uid="{00000000-0005-0000-0000-0000920D0000}"/>
    <cellStyle name="Currency 5 7 6 2 2" xfId="23627" xr:uid="{2E69E797-5C11-4B1D-BD90-AE00290CCD69}"/>
    <cellStyle name="Currency 5 7 6 2 3" xfId="15179" xr:uid="{E02A240D-BBC3-4074-8427-3EEBABC2D3B1}"/>
    <cellStyle name="Currency 5 7 6 3" xfId="19409" xr:uid="{D8CA5E78-77C1-4981-9B27-C563FE6C0001}"/>
    <cellStyle name="Currency 5 7 6 4" xfId="10961" xr:uid="{B2464339-8FC3-4D52-98DB-46D4E9F98E06}"/>
    <cellStyle name="Currency 5 7 7" xfId="2742" xr:uid="{00000000-0005-0000-0000-0000930D0000}"/>
    <cellStyle name="Currency 5 7 8" xfId="2823" xr:uid="{00000000-0005-0000-0000-0000940D0000}"/>
    <cellStyle name="Currency 5 7 8 2" xfId="7046" xr:uid="{00000000-0005-0000-0000-0000950D0000}"/>
    <cellStyle name="Currency 5 7 8 2 2" xfId="23944" xr:uid="{B4680810-669D-458B-AE96-55B3670FB66D}"/>
    <cellStyle name="Currency 5 7 8 2 3" xfId="15496" xr:uid="{BF70992E-F96A-43B3-9CBE-424E2BC5E74B}"/>
    <cellStyle name="Currency 5 7 8 3" xfId="19726" xr:uid="{FFC7C58E-83FD-4869-BC67-D032BF3681FD}"/>
    <cellStyle name="Currency 5 7 8 4" xfId="11278" xr:uid="{3F0A1FCC-1435-405B-AD0A-C6C2AF1F2C7F}"/>
    <cellStyle name="Currency 5 7 9" xfId="4663" xr:uid="{00000000-0005-0000-0000-0000960D0000}"/>
    <cellStyle name="Currency 5 7 9 2" xfId="21561" xr:uid="{D718B6D6-7211-4E2A-A79F-2FB7D522053D}"/>
    <cellStyle name="Currency 5 7 9 3" xfId="13113" xr:uid="{F51B7E69-675D-4422-BD70-9CC3BB0E4C7D}"/>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23628" xr:uid="{3D894F44-24C0-4A2D-9C14-6CC912C2BFFF}"/>
    <cellStyle name="Normal 12 10 2 3" xfId="15180" xr:uid="{82E712D7-A800-4C88-AFFC-2F03E081E1BA}"/>
    <cellStyle name="Normal 12 10 3" xfId="19410" xr:uid="{EBD37EE8-A21F-40C6-8130-046F3B3FD9CE}"/>
    <cellStyle name="Normal 12 10 4" xfId="10962" xr:uid="{82FCA882-629D-4F05-8543-0A5AA9259FFF}"/>
    <cellStyle name="Normal 12 11" xfId="4664" xr:uid="{00000000-0005-0000-0000-0000CC0D0000}"/>
    <cellStyle name="Normal 12 11 2" xfId="21562" xr:uid="{0B81788D-9255-431D-B57E-6D46544D4B6C}"/>
    <cellStyle name="Normal 12 11 3" xfId="13114" xr:uid="{3346CECE-F20D-44F3-AA6F-15CAB734368E}"/>
    <cellStyle name="Normal 12 12" xfId="17344" xr:uid="{EE87FC0D-7D2A-4C76-A980-88E68BB54D39}"/>
    <cellStyle name="Normal 12 13" xfId="8896" xr:uid="{B7817C60-0C75-4F17-B2DC-3F9BA17E5381}"/>
    <cellStyle name="Normal 12 2" xfId="260" xr:uid="{00000000-0005-0000-0000-0000CD0D0000}"/>
    <cellStyle name="Normal 12 2 10" xfId="17345" xr:uid="{D74F2D74-8E91-47CC-B87A-E8CDE35F2927}"/>
    <cellStyle name="Normal 12 2 11" xfId="8897" xr:uid="{1DC0C5AF-9904-4219-93D5-56DE6C44C7E4}"/>
    <cellStyle name="Normal 12 2 2" xfId="261" xr:uid="{00000000-0005-0000-0000-0000CE0D0000}"/>
    <cellStyle name="Normal 12 2 2 10" xfId="8898" xr:uid="{344DC40F-9DD3-4583-9864-CDED37D1DFA6}"/>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24124" xr:uid="{147DECDF-E04A-45D3-82F5-7CF1F0E4A757}"/>
    <cellStyle name="Normal 12 2 2 2 2 2 2 3" xfId="15676" xr:uid="{FA712181-2DDE-4845-BCD2-F666C46598B8}"/>
    <cellStyle name="Normal 12 2 2 2 2 2 3" xfId="19906" xr:uid="{9861B7C3-DC7A-4FD6-973E-17D0D8E4649D}"/>
    <cellStyle name="Normal 12 2 2 2 2 2 4" xfId="11458" xr:uid="{626B1158-B06B-44EF-A1ED-5917A4D419A9}"/>
    <cellStyle name="Normal 12 2 2 2 2 3" xfId="5081" xr:uid="{00000000-0005-0000-0000-0000D30D0000}"/>
    <cellStyle name="Normal 12 2 2 2 2 3 2" xfId="21979" xr:uid="{A251DC3B-863F-4664-9EDA-CDB396E4D2F1}"/>
    <cellStyle name="Normal 12 2 2 2 2 3 3" xfId="13531" xr:uid="{B2426845-5DDC-4755-BDBD-561BC4A0000D}"/>
    <cellStyle name="Normal 12 2 2 2 2 4" xfId="17761" xr:uid="{54600A9B-2CCA-4C7A-8D00-7DCDF03D0CBB}"/>
    <cellStyle name="Normal 12 2 2 2 2 5" xfId="9313" xr:uid="{458A6A3D-01BC-4281-85AA-2AC1BE554D54}"/>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24537" xr:uid="{2AF6B190-DBB0-40FC-B60A-60A604B416EB}"/>
    <cellStyle name="Normal 12 2 2 2 3 2 2 3" xfId="16089" xr:uid="{DA49C805-9C31-466D-92B4-FCC75352DB18}"/>
    <cellStyle name="Normal 12 2 2 2 3 2 3" xfId="20319" xr:uid="{4099846B-A201-467C-9F9E-DB0A00F821E8}"/>
    <cellStyle name="Normal 12 2 2 2 3 2 4" xfId="11871" xr:uid="{4D59B9A7-D08A-42F2-A38E-D0C5D4AC84AB}"/>
    <cellStyle name="Normal 12 2 2 2 3 3" xfId="5494" xr:uid="{00000000-0005-0000-0000-0000D70D0000}"/>
    <cellStyle name="Normal 12 2 2 2 3 3 2" xfId="22392" xr:uid="{0A4AF528-89B6-4ECD-A36F-AD812157724C}"/>
    <cellStyle name="Normal 12 2 2 2 3 3 3" xfId="13944" xr:uid="{88CD1535-5B8E-4E39-8E1A-A53D4E221F44}"/>
    <cellStyle name="Normal 12 2 2 2 3 4" xfId="18174" xr:uid="{900BEF4B-F756-4B47-BF7E-44C8D9FB6D62}"/>
    <cellStyle name="Normal 12 2 2 2 3 5" xfId="9726" xr:uid="{4A15CA23-D0A9-461B-972E-4582A9B603D5}"/>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24950" xr:uid="{0F7B78EC-0627-4FB6-8DEC-B144C336B986}"/>
    <cellStyle name="Normal 12 2 2 2 4 2 2 3" xfId="16502" xr:uid="{96AA22A8-A4AE-4654-BE19-A9EE612F109A}"/>
    <cellStyle name="Normal 12 2 2 2 4 2 3" xfId="20732" xr:uid="{86C8E82E-4A46-46FA-90B6-EA6C84ED022D}"/>
    <cellStyle name="Normal 12 2 2 2 4 2 4" xfId="12284" xr:uid="{49A26DB7-D668-440E-BFF4-3C5BD35DB5BD}"/>
    <cellStyle name="Normal 12 2 2 2 4 3" xfId="5907" xr:uid="{00000000-0005-0000-0000-0000DB0D0000}"/>
    <cellStyle name="Normal 12 2 2 2 4 3 2" xfId="22805" xr:uid="{9D1232AE-BD1E-4809-A9DE-F04B7B9209A5}"/>
    <cellStyle name="Normal 12 2 2 2 4 3 3" xfId="14357" xr:uid="{8107AB82-F261-4183-B930-90409AC6CEF2}"/>
    <cellStyle name="Normal 12 2 2 2 4 4" xfId="18587" xr:uid="{7E45EEC3-7D44-4F58-8F1D-CDD3E4B1874F}"/>
    <cellStyle name="Normal 12 2 2 2 4 5" xfId="10139" xr:uid="{E502B645-ADCA-45B6-B785-54C855B29A7E}"/>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25363" xr:uid="{80520963-7FF9-4388-9C34-69F44B2C861A}"/>
    <cellStyle name="Normal 12 2 2 2 5 2 2 3" xfId="16915" xr:uid="{3FFABCC6-6989-42C8-B134-24AE7D2ABB24}"/>
    <cellStyle name="Normal 12 2 2 2 5 2 3" xfId="21145" xr:uid="{5397393C-D71D-4B95-8B13-797DDCBCFB81}"/>
    <cellStyle name="Normal 12 2 2 2 5 2 4" xfId="12697" xr:uid="{F5A45556-D2B6-41BB-AFA9-2077EAA203E9}"/>
    <cellStyle name="Normal 12 2 2 2 5 3" xfId="6320" xr:uid="{00000000-0005-0000-0000-0000DF0D0000}"/>
    <cellStyle name="Normal 12 2 2 2 5 3 2" xfId="23218" xr:uid="{9F8D4E2C-634E-405D-BA89-594037DCCE67}"/>
    <cellStyle name="Normal 12 2 2 2 5 3 3" xfId="14770" xr:uid="{81272039-4F62-4BD4-9105-1CDAEEF126BB}"/>
    <cellStyle name="Normal 12 2 2 2 5 4" xfId="19000" xr:uid="{C20A6D63-873A-4846-AA25-D571E8855836}"/>
    <cellStyle name="Normal 12 2 2 2 5 5" xfId="10552" xr:uid="{BC96A534-F5EC-49D4-B146-5673866307F8}"/>
    <cellStyle name="Normal 12 2 2 2 6" xfId="2450" xr:uid="{00000000-0005-0000-0000-0000E00D0000}"/>
    <cellStyle name="Normal 12 2 2 2 6 2" xfId="6733" xr:uid="{00000000-0005-0000-0000-0000E10D0000}"/>
    <cellStyle name="Normal 12 2 2 2 6 2 2" xfId="23631" xr:uid="{0E42E865-9071-4CEC-A905-445C774A8788}"/>
    <cellStyle name="Normal 12 2 2 2 6 2 3" xfId="15183" xr:uid="{96AC4DD1-56FF-4C5E-8E09-008EAB289E81}"/>
    <cellStyle name="Normal 12 2 2 2 6 3" xfId="19413" xr:uid="{63A6DFB1-CF21-47DD-B4FF-62E736800B2F}"/>
    <cellStyle name="Normal 12 2 2 2 6 4" xfId="10965" xr:uid="{59D85462-F836-46BC-BC0A-A344EF9AD413}"/>
    <cellStyle name="Normal 12 2 2 2 7" xfId="4667" xr:uid="{00000000-0005-0000-0000-0000E20D0000}"/>
    <cellStyle name="Normal 12 2 2 2 7 2" xfId="21565" xr:uid="{C00A265D-56E3-45B5-81B7-DFF188F2C021}"/>
    <cellStyle name="Normal 12 2 2 2 7 3" xfId="13117" xr:uid="{7DA2CD0B-C427-4ABE-97E3-AE7642AD55DD}"/>
    <cellStyle name="Normal 12 2 2 2 8" xfId="17347" xr:uid="{7960E401-A04F-4993-B51E-C429CF96AD6C}"/>
    <cellStyle name="Normal 12 2 2 2 9" xfId="8899" xr:uid="{3118889A-FCB2-4261-92C1-0C68042D05C3}"/>
    <cellStyle name="Normal 12 2 2 3" xfId="762" xr:uid="{00000000-0005-0000-0000-0000E30D0000}"/>
    <cellStyle name="Normal 12 2 2 3 2" xfId="3003" xr:uid="{00000000-0005-0000-0000-0000E40D0000}"/>
    <cellStyle name="Normal 12 2 2 3 2 2" xfId="7225" xr:uid="{00000000-0005-0000-0000-0000E50D0000}"/>
    <cellStyle name="Normal 12 2 2 3 2 2 2" xfId="24123" xr:uid="{738A9B89-27FD-4C7B-AA57-C4CEC934B868}"/>
    <cellStyle name="Normal 12 2 2 3 2 2 3" xfId="15675" xr:uid="{7FAC1318-4DB7-47AF-B9D0-8785ECE74165}"/>
    <cellStyle name="Normal 12 2 2 3 2 3" xfId="19905" xr:uid="{D901EEA0-05FA-4499-9928-E688AF4658DB}"/>
    <cellStyle name="Normal 12 2 2 3 2 4" xfId="11457" xr:uid="{B70A3A59-8387-484D-9622-C70DFBA78E3E}"/>
    <cellStyle name="Normal 12 2 2 3 3" xfId="5080" xr:uid="{00000000-0005-0000-0000-0000E60D0000}"/>
    <cellStyle name="Normal 12 2 2 3 3 2" xfId="21978" xr:uid="{7DD624CA-2A7A-443C-8FB0-1DFDD36D2572}"/>
    <cellStyle name="Normal 12 2 2 3 3 3" xfId="13530" xr:uid="{8D187277-43D3-405A-BF73-00A8D0598590}"/>
    <cellStyle name="Normal 12 2 2 3 4" xfId="17760" xr:uid="{C325604B-B32A-4EC5-9F3C-2541598BB18C}"/>
    <cellStyle name="Normal 12 2 2 3 5" xfId="9312" xr:uid="{757C44C3-731B-41BA-9E2E-97C263B2D565}"/>
    <cellStyle name="Normal 12 2 2 4" xfId="1185" xr:uid="{00000000-0005-0000-0000-0000E70D0000}"/>
    <cellStyle name="Normal 12 2 2 4 2" xfId="3416" xr:uid="{00000000-0005-0000-0000-0000E80D0000}"/>
    <cellStyle name="Normal 12 2 2 4 2 2" xfId="7638" xr:uid="{00000000-0005-0000-0000-0000E90D0000}"/>
    <cellStyle name="Normal 12 2 2 4 2 2 2" xfId="24536" xr:uid="{EED3FC04-78AA-4721-B58E-0CA774908098}"/>
    <cellStyle name="Normal 12 2 2 4 2 2 3" xfId="16088" xr:uid="{BC1D668D-567B-41E8-9062-D14957D2837E}"/>
    <cellStyle name="Normal 12 2 2 4 2 3" xfId="20318" xr:uid="{9374CF9D-A8D7-49C7-9978-1C7F0B844995}"/>
    <cellStyle name="Normal 12 2 2 4 2 4" xfId="11870" xr:uid="{57BAEC06-8328-4732-8D7E-1A06CDB0AFCB}"/>
    <cellStyle name="Normal 12 2 2 4 3" xfId="5493" xr:uid="{00000000-0005-0000-0000-0000EA0D0000}"/>
    <cellStyle name="Normal 12 2 2 4 3 2" xfId="22391" xr:uid="{AA29274C-9233-45E8-9AEE-EEC06D91336E}"/>
    <cellStyle name="Normal 12 2 2 4 3 3" xfId="13943" xr:uid="{39B0F127-9DE5-49AE-8BBA-A39B7A55C713}"/>
    <cellStyle name="Normal 12 2 2 4 4" xfId="18173" xr:uid="{1CD239BC-B1BD-4B91-B7BB-4A2B97279F18}"/>
    <cellStyle name="Normal 12 2 2 4 5" xfId="9725" xr:uid="{AFB5B603-0EBD-450A-828A-FDEADB78B7D8}"/>
    <cellStyle name="Normal 12 2 2 5" xfId="1599" xr:uid="{00000000-0005-0000-0000-0000EB0D0000}"/>
    <cellStyle name="Normal 12 2 2 5 2" xfId="3829" xr:uid="{00000000-0005-0000-0000-0000EC0D0000}"/>
    <cellStyle name="Normal 12 2 2 5 2 2" xfId="8051" xr:uid="{00000000-0005-0000-0000-0000ED0D0000}"/>
    <cellStyle name="Normal 12 2 2 5 2 2 2" xfId="24949" xr:uid="{961CB0B0-A741-4C2F-8025-7C581C3B10CA}"/>
    <cellStyle name="Normal 12 2 2 5 2 2 3" xfId="16501" xr:uid="{F161B043-2AD8-4BC8-8551-9A765B93CE74}"/>
    <cellStyle name="Normal 12 2 2 5 2 3" xfId="20731" xr:uid="{AD3E8F4B-74EB-45B8-ABE3-4B84BD8BEDAB}"/>
    <cellStyle name="Normal 12 2 2 5 2 4" xfId="12283" xr:uid="{0CD454AC-1974-48C7-852D-9833D2689CAD}"/>
    <cellStyle name="Normal 12 2 2 5 3" xfId="5906" xr:uid="{00000000-0005-0000-0000-0000EE0D0000}"/>
    <cellStyle name="Normal 12 2 2 5 3 2" xfId="22804" xr:uid="{0CF75BD2-4E55-45A6-8694-1006F4B45AE9}"/>
    <cellStyle name="Normal 12 2 2 5 3 3" xfId="14356" xr:uid="{CAAE1FC2-C33B-4856-8633-DD3CA999B217}"/>
    <cellStyle name="Normal 12 2 2 5 4" xfId="18586" xr:uid="{C63C7AB9-2772-4D84-AFA6-7A8E89B203CB}"/>
    <cellStyle name="Normal 12 2 2 5 5" xfId="10138" xr:uid="{016C9F02-49D4-472E-A9D1-0F9FAF8BF8A1}"/>
    <cellStyle name="Normal 12 2 2 6" xfId="2013" xr:uid="{00000000-0005-0000-0000-0000EF0D0000}"/>
    <cellStyle name="Normal 12 2 2 6 2" xfId="4242" xr:uid="{00000000-0005-0000-0000-0000F00D0000}"/>
    <cellStyle name="Normal 12 2 2 6 2 2" xfId="8464" xr:uid="{00000000-0005-0000-0000-0000F10D0000}"/>
    <cellStyle name="Normal 12 2 2 6 2 2 2" xfId="25362" xr:uid="{9EAE87C2-7515-4A43-98C6-CD0EA7E026F9}"/>
    <cellStyle name="Normal 12 2 2 6 2 2 3" xfId="16914" xr:uid="{514FB107-3239-41A4-B65B-AC49C1090430}"/>
    <cellStyle name="Normal 12 2 2 6 2 3" xfId="21144" xr:uid="{FBA2E0C4-931E-4E88-996F-15182D8F199D}"/>
    <cellStyle name="Normal 12 2 2 6 2 4" xfId="12696" xr:uid="{C183AE56-7BF5-48E8-88F1-D12AED5C5EBE}"/>
    <cellStyle name="Normal 12 2 2 6 3" xfId="6319" xr:uid="{00000000-0005-0000-0000-0000F20D0000}"/>
    <cellStyle name="Normal 12 2 2 6 3 2" xfId="23217" xr:uid="{D2203221-A09E-4A6D-869A-65C78083FA21}"/>
    <cellStyle name="Normal 12 2 2 6 3 3" xfId="14769" xr:uid="{590450A1-ECE7-4568-931C-A06632E9508F}"/>
    <cellStyle name="Normal 12 2 2 6 4" xfId="18999" xr:uid="{9942B8E0-73FA-427D-991C-7F895F938B6D}"/>
    <cellStyle name="Normal 12 2 2 6 5" xfId="10551" xr:uid="{FAD1F931-540B-4BB9-A59A-8D49B627D6D6}"/>
    <cellStyle name="Normal 12 2 2 7" xfId="2449" xr:uid="{00000000-0005-0000-0000-0000F30D0000}"/>
    <cellStyle name="Normal 12 2 2 7 2" xfId="6732" xr:uid="{00000000-0005-0000-0000-0000F40D0000}"/>
    <cellStyle name="Normal 12 2 2 7 2 2" xfId="23630" xr:uid="{107D301C-6836-48E1-B2CE-399BF86D4D9B}"/>
    <cellStyle name="Normal 12 2 2 7 2 3" xfId="15182" xr:uid="{A0FC3EBF-EA6C-4A0B-8E90-860CE8DC073A}"/>
    <cellStyle name="Normal 12 2 2 7 3" xfId="19412" xr:uid="{0EEE054F-6517-4DA4-A58F-72B294ACCDA8}"/>
    <cellStyle name="Normal 12 2 2 7 4" xfId="10964" xr:uid="{24057AD6-127D-4E81-AE83-7C60A838C97A}"/>
    <cellStyle name="Normal 12 2 2 8" xfId="4666" xr:uid="{00000000-0005-0000-0000-0000F50D0000}"/>
    <cellStyle name="Normal 12 2 2 8 2" xfId="21564" xr:uid="{6C80E878-5BE9-4922-84F3-347430D0C5F1}"/>
    <cellStyle name="Normal 12 2 2 8 3" xfId="13116" xr:uid="{FB9BA8E5-40B4-4B52-B906-2EFD4A723218}"/>
    <cellStyle name="Normal 12 2 2 9" xfId="17346" xr:uid="{CADECB2F-BF34-475E-9E1A-A7CEEBFC44D2}"/>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2 2 2" xfId="24125" xr:uid="{6864406F-D9DB-4F0A-9D87-F67C1F754AE0}"/>
    <cellStyle name="Normal 12 2 3 2 2 2 3" xfId="15677" xr:uid="{8EA2AD72-A64C-4B9B-B1E4-64256BB5C7E9}"/>
    <cellStyle name="Normal 12 2 3 2 2 3" xfId="19907" xr:uid="{29D7C54D-B833-438A-B66C-407F8BF4445A}"/>
    <cellStyle name="Normal 12 2 3 2 2 4" xfId="11459" xr:uid="{821F5287-4B10-487E-B8E1-F85622A1BAE3}"/>
    <cellStyle name="Normal 12 2 3 2 3" xfId="5082" xr:uid="{00000000-0005-0000-0000-0000FA0D0000}"/>
    <cellStyle name="Normal 12 2 3 2 3 2" xfId="21980" xr:uid="{490031AF-74FB-49A6-BCBC-D3ECA0F44BFF}"/>
    <cellStyle name="Normal 12 2 3 2 3 3" xfId="13532" xr:uid="{DDE8364C-1BAE-4E20-BDF1-7B90916E6D79}"/>
    <cellStyle name="Normal 12 2 3 2 4" xfId="17762" xr:uid="{0064FDAD-9DD3-47C3-967A-58399DAA0494}"/>
    <cellStyle name="Normal 12 2 3 2 5" xfId="9314" xr:uid="{A7E8E0AC-7F65-47D0-AEDF-5F3FD862465E}"/>
    <cellStyle name="Normal 12 2 3 3" xfId="1187" xr:uid="{00000000-0005-0000-0000-0000FB0D0000}"/>
    <cellStyle name="Normal 12 2 3 3 2" xfId="3418" xr:uid="{00000000-0005-0000-0000-0000FC0D0000}"/>
    <cellStyle name="Normal 12 2 3 3 2 2" xfId="7640" xr:uid="{00000000-0005-0000-0000-0000FD0D0000}"/>
    <cellStyle name="Normal 12 2 3 3 2 2 2" xfId="24538" xr:uid="{759410BF-472E-459E-B5DB-19C6AE2019CD}"/>
    <cellStyle name="Normal 12 2 3 3 2 2 3" xfId="16090" xr:uid="{32BB4A25-2F4D-4726-9DD8-62B3E428A1E6}"/>
    <cellStyle name="Normal 12 2 3 3 2 3" xfId="20320" xr:uid="{153E4F97-9E45-40F9-BB91-043386FEFC1F}"/>
    <cellStyle name="Normal 12 2 3 3 2 4" xfId="11872" xr:uid="{5B53C090-D95E-4BC2-9246-84A817CDDB55}"/>
    <cellStyle name="Normal 12 2 3 3 3" xfId="5495" xr:uid="{00000000-0005-0000-0000-0000FE0D0000}"/>
    <cellStyle name="Normal 12 2 3 3 3 2" xfId="22393" xr:uid="{201ADD37-381B-4AF1-997E-602E2B9D5CFD}"/>
    <cellStyle name="Normal 12 2 3 3 3 3" xfId="13945" xr:uid="{92F367F5-18DB-4969-8EB8-A927FC7D595B}"/>
    <cellStyle name="Normal 12 2 3 3 4" xfId="18175" xr:uid="{2F14403C-F8A6-4A59-BB87-CFDCA10FA524}"/>
    <cellStyle name="Normal 12 2 3 3 5" xfId="9727" xr:uid="{FCBF4DD8-8FA3-44C1-A638-1BE3C695D83C}"/>
    <cellStyle name="Normal 12 2 3 4" xfId="1601" xr:uid="{00000000-0005-0000-0000-0000FF0D0000}"/>
    <cellStyle name="Normal 12 2 3 4 2" xfId="3831" xr:uid="{00000000-0005-0000-0000-0000000E0000}"/>
    <cellStyle name="Normal 12 2 3 4 2 2" xfId="8053" xr:uid="{00000000-0005-0000-0000-0000010E0000}"/>
    <cellStyle name="Normal 12 2 3 4 2 2 2" xfId="24951" xr:uid="{B8DB9B4D-176F-4BB4-A0DD-EF9C02823C9D}"/>
    <cellStyle name="Normal 12 2 3 4 2 2 3" xfId="16503" xr:uid="{0563481C-7BC1-442C-864D-AA9922058287}"/>
    <cellStyle name="Normal 12 2 3 4 2 3" xfId="20733" xr:uid="{144B1F47-29D7-4C31-908C-7C1465C34978}"/>
    <cellStyle name="Normal 12 2 3 4 2 4" xfId="12285" xr:uid="{2E5E90C6-44D3-494E-9EAA-CBE400A909CF}"/>
    <cellStyle name="Normal 12 2 3 4 3" xfId="5908" xr:uid="{00000000-0005-0000-0000-0000020E0000}"/>
    <cellStyle name="Normal 12 2 3 4 3 2" xfId="22806" xr:uid="{8C9E339B-2E5A-4246-A587-41308BC4BA16}"/>
    <cellStyle name="Normal 12 2 3 4 3 3" xfId="14358" xr:uid="{A20F42F5-A319-4A9E-AC4C-014CB6352A2B}"/>
    <cellStyle name="Normal 12 2 3 4 4" xfId="18588" xr:uid="{69E31134-8939-4877-8994-395FE8977B87}"/>
    <cellStyle name="Normal 12 2 3 4 5" xfId="10140" xr:uid="{5D4AED40-6C3E-4FBB-9B88-2EAFC1A3366F}"/>
    <cellStyle name="Normal 12 2 3 5" xfId="2015" xr:uid="{00000000-0005-0000-0000-0000030E0000}"/>
    <cellStyle name="Normal 12 2 3 5 2" xfId="4244" xr:uid="{00000000-0005-0000-0000-0000040E0000}"/>
    <cellStyle name="Normal 12 2 3 5 2 2" xfId="8466" xr:uid="{00000000-0005-0000-0000-0000050E0000}"/>
    <cellStyle name="Normal 12 2 3 5 2 2 2" xfId="25364" xr:uid="{E2E4E220-8B4A-4628-89E6-12EEEC2B395D}"/>
    <cellStyle name="Normal 12 2 3 5 2 2 3" xfId="16916" xr:uid="{F53D7F43-B4AB-4125-936B-6DC503CD805C}"/>
    <cellStyle name="Normal 12 2 3 5 2 3" xfId="21146" xr:uid="{7079AFFA-FC03-4F33-840A-6A6EB2939688}"/>
    <cellStyle name="Normal 12 2 3 5 2 4" xfId="12698" xr:uid="{BDF637E0-9F2F-4864-884A-ECB7822F5CA3}"/>
    <cellStyle name="Normal 12 2 3 5 3" xfId="6321" xr:uid="{00000000-0005-0000-0000-0000060E0000}"/>
    <cellStyle name="Normal 12 2 3 5 3 2" xfId="23219" xr:uid="{41621D6E-4F97-45CB-9300-583F91006299}"/>
    <cellStyle name="Normal 12 2 3 5 3 3" xfId="14771" xr:uid="{B02679D4-E23A-40B7-A46D-5AFD9B4E1D27}"/>
    <cellStyle name="Normal 12 2 3 5 4" xfId="19001" xr:uid="{A21CB3C5-807C-44FC-8161-B141B9242407}"/>
    <cellStyle name="Normal 12 2 3 5 5" xfId="10553" xr:uid="{2B472C72-E194-40C1-990E-C77D1D5B7F84}"/>
    <cellStyle name="Normal 12 2 3 6" xfId="2451" xr:uid="{00000000-0005-0000-0000-0000070E0000}"/>
    <cellStyle name="Normal 12 2 3 6 2" xfId="6734" xr:uid="{00000000-0005-0000-0000-0000080E0000}"/>
    <cellStyle name="Normal 12 2 3 6 2 2" xfId="23632" xr:uid="{8D9FE516-F0E1-4101-926B-FF9195E6FDDD}"/>
    <cellStyle name="Normal 12 2 3 6 2 3" xfId="15184" xr:uid="{B6EABE0C-7601-4174-A315-CECFB7EAEAB5}"/>
    <cellStyle name="Normal 12 2 3 6 3" xfId="19414" xr:uid="{B0CEE1D4-C73E-4845-A14C-453B7B601724}"/>
    <cellStyle name="Normal 12 2 3 6 4" xfId="10966" xr:uid="{DF637C65-A336-46DC-9FBA-184AECCC13A3}"/>
    <cellStyle name="Normal 12 2 3 7" xfId="4668" xr:uid="{00000000-0005-0000-0000-0000090E0000}"/>
    <cellStyle name="Normal 12 2 3 7 2" xfId="21566" xr:uid="{7A1CC8C2-D02D-4A36-985B-48EB77800DAB}"/>
    <cellStyle name="Normal 12 2 3 7 3" xfId="13118" xr:uid="{3A2018C7-A18B-4301-970E-8F3F89E598C6}"/>
    <cellStyle name="Normal 12 2 3 8" xfId="17348" xr:uid="{65BF53C5-9661-405B-96F2-3066CB985745}"/>
    <cellStyle name="Normal 12 2 3 9" xfId="8900" xr:uid="{9CCDCECB-8960-4EB6-9E77-7553CCDBD5D3}"/>
    <cellStyle name="Normal 12 2 4" xfId="761" xr:uid="{00000000-0005-0000-0000-00000A0E0000}"/>
    <cellStyle name="Normal 12 2 4 2" xfId="3002" xr:uid="{00000000-0005-0000-0000-00000B0E0000}"/>
    <cellStyle name="Normal 12 2 4 2 2" xfId="7224" xr:uid="{00000000-0005-0000-0000-00000C0E0000}"/>
    <cellStyle name="Normal 12 2 4 2 2 2" xfId="24122" xr:uid="{7442E5AE-4101-4247-BC48-C4AC52B05695}"/>
    <cellStyle name="Normal 12 2 4 2 2 3" xfId="15674" xr:uid="{5CC02FA1-9F9F-4900-902A-38AF8BD2CBDD}"/>
    <cellStyle name="Normal 12 2 4 2 3" xfId="19904" xr:uid="{F56149CB-C4E3-40FD-ADB9-0611FBF56942}"/>
    <cellStyle name="Normal 12 2 4 2 4" xfId="11456" xr:uid="{E58B57A5-3C4B-4D12-BB54-50F452C9BCD5}"/>
    <cellStyle name="Normal 12 2 4 3" xfId="5079" xr:uid="{00000000-0005-0000-0000-00000D0E0000}"/>
    <cellStyle name="Normal 12 2 4 3 2" xfId="21977" xr:uid="{9AC27D9F-156F-4948-B166-F7D83AB19088}"/>
    <cellStyle name="Normal 12 2 4 3 3" xfId="13529" xr:uid="{D12E9FB0-245F-41C4-B68B-90F0C4276909}"/>
    <cellStyle name="Normal 12 2 4 4" xfId="17759" xr:uid="{E354ED68-A513-4596-8C3B-735CA36B522F}"/>
    <cellStyle name="Normal 12 2 4 5" xfId="9311" xr:uid="{92DA9298-562A-4487-BB6E-5BCAC634B292}"/>
    <cellStyle name="Normal 12 2 5" xfId="1184" xr:uid="{00000000-0005-0000-0000-00000E0E0000}"/>
    <cellStyle name="Normal 12 2 5 2" xfId="3415" xr:uid="{00000000-0005-0000-0000-00000F0E0000}"/>
    <cellStyle name="Normal 12 2 5 2 2" xfId="7637" xr:uid="{00000000-0005-0000-0000-0000100E0000}"/>
    <cellStyle name="Normal 12 2 5 2 2 2" xfId="24535" xr:uid="{58AAEC76-B3A9-4EF2-9484-1CB9A4CDAA95}"/>
    <cellStyle name="Normal 12 2 5 2 2 3" xfId="16087" xr:uid="{B5F4A63C-6E40-4400-9725-2F32F128CB02}"/>
    <cellStyle name="Normal 12 2 5 2 3" xfId="20317" xr:uid="{D7E2B276-3618-49EF-9C00-1778F7382A3B}"/>
    <cellStyle name="Normal 12 2 5 2 4" xfId="11869" xr:uid="{3F63A5AF-B206-4CB7-9D64-A2B02F53BC97}"/>
    <cellStyle name="Normal 12 2 5 3" xfId="5492" xr:uid="{00000000-0005-0000-0000-0000110E0000}"/>
    <cellStyle name="Normal 12 2 5 3 2" xfId="22390" xr:uid="{FF8EFF45-EA2F-4D80-88CB-746E460B0C77}"/>
    <cellStyle name="Normal 12 2 5 3 3" xfId="13942" xr:uid="{0BC270B1-6429-4052-8513-EBD46DAAAB1B}"/>
    <cellStyle name="Normal 12 2 5 4" xfId="18172" xr:uid="{281C1CF4-317A-4236-9514-1BB738505EB9}"/>
    <cellStyle name="Normal 12 2 5 5" xfId="9724" xr:uid="{FE2B2923-1E67-4B4B-81C5-5D25D752A265}"/>
    <cellStyle name="Normal 12 2 6" xfId="1598" xr:uid="{00000000-0005-0000-0000-0000120E0000}"/>
    <cellStyle name="Normal 12 2 6 2" xfId="3828" xr:uid="{00000000-0005-0000-0000-0000130E0000}"/>
    <cellStyle name="Normal 12 2 6 2 2" xfId="8050" xr:uid="{00000000-0005-0000-0000-0000140E0000}"/>
    <cellStyle name="Normal 12 2 6 2 2 2" xfId="24948" xr:uid="{0F8A5BB1-D6A6-4BFD-B920-BABBD0D78321}"/>
    <cellStyle name="Normal 12 2 6 2 2 3" xfId="16500" xr:uid="{DFB22C27-D264-4A88-AE7A-C3869B60AE66}"/>
    <cellStyle name="Normal 12 2 6 2 3" xfId="20730" xr:uid="{1CA8F9B3-B814-4FFB-95BD-0BB50D75A1D1}"/>
    <cellStyle name="Normal 12 2 6 2 4" xfId="12282" xr:uid="{EEE78944-540A-4CB1-BAC7-39FF7D7B1BE6}"/>
    <cellStyle name="Normal 12 2 6 3" xfId="5905" xr:uid="{00000000-0005-0000-0000-0000150E0000}"/>
    <cellStyle name="Normal 12 2 6 3 2" xfId="22803" xr:uid="{85F4360B-D93A-449B-9ABF-5B407C655A50}"/>
    <cellStyle name="Normal 12 2 6 3 3" xfId="14355" xr:uid="{C5C2EFA9-897C-4ECC-8935-5833F56A3697}"/>
    <cellStyle name="Normal 12 2 6 4" xfId="18585" xr:uid="{B28E311A-731C-44A0-8DDF-C6CE00E34FBC}"/>
    <cellStyle name="Normal 12 2 6 5" xfId="10137" xr:uid="{13EF7569-6E96-4472-A728-9D0B45B7D5A9}"/>
    <cellStyle name="Normal 12 2 7" xfId="2012" xr:uid="{00000000-0005-0000-0000-0000160E0000}"/>
    <cellStyle name="Normal 12 2 7 2" xfId="4241" xr:uid="{00000000-0005-0000-0000-0000170E0000}"/>
    <cellStyle name="Normal 12 2 7 2 2" xfId="8463" xr:uid="{00000000-0005-0000-0000-0000180E0000}"/>
    <cellStyle name="Normal 12 2 7 2 2 2" xfId="25361" xr:uid="{8453A7CF-A771-4372-AAAA-E71F819F06F3}"/>
    <cellStyle name="Normal 12 2 7 2 2 3" xfId="16913" xr:uid="{8B90A8B2-2B83-4CE1-8FE6-585A70B0365F}"/>
    <cellStyle name="Normal 12 2 7 2 3" xfId="21143" xr:uid="{1C707E35-167F-4842-ABFE-685C5E0975CB}"/>
    <cellStyle name="Normal 12 2 7 2 4" xfId="12695" xr:uid="{93EFFBCE-4819-4061-B6DD-FF2EDA7429CA}"/>
    <cellStyle name="Normal 12 2 7 3" xfId="6318" xr:uid="{00000000-0005-0000-0000-0000190E0000}"/>
    <cellStyle name="Normal 12 2 7 3 2" xfId="23216" xr:uid="{37688E50-73D5-4B12-A9AF-85B96E25491B}"/>
    <cellStyle name="Normal 12 2 7 3 3" xfId="14768" xr:uid="{B2CEF71C-B8D1-42E0-9EAB-83B21081240B}"/>
    <cellStyle name="Normal 12 2 7 4" xfId="18998" xr:uid="{6486115C-340E-4875-97FD-11336D147ABA}"/>
    <cellStyle name="Normal 12 2 7 5" xfId="10550" xr:uid="{144DEC28-4858-43DA-818B-3F19DA31ECD1}"/>
    <cellStyle name="Normal 12 2 8" xfId="2448" xr:uid="{00000000-0005-0000-0000-00001A0E0000}"/>
    <cellStyle name="Normal 12 2 8 2" xfId="6731" xr:uid="{00000000-0005-0000-0000-00001B0E0000}"/>
    <cellStyle name="Normal 12 2 8 2 2" xfId="23629" xr:uid="{F37A5721-5B9E-4650-8D29-3D419FD0181C}"/>
    <cellStyle name="Normal 12 2 8 2 3" xfId="15181" xr:uid="{88245B0B-72EC-4F8B-AB1E-D10CEA732417}"/>
    <cellStyle name="Normal 12 2 8 3" xfId="19411" xr:uid="{96F649E3-CF9F-4995-BD79-FA5EE69DA77C}"/>
    <cellStyle name="Normal 12 2 8 4" xfId="10963" xr:uid="{87879D7E-D74D-4372-BE17-809BB9A32CDE}"/>
    <cellStyle name="Normal 12 2 9" xfId="4665" xr:uid="{00000000-0005-0000-0000-00001C0E0000}"/>
    <cellStyle name="Normal 12 2 9 2" xfId="21563" xr:uid="{5A791612-498E-4DF9-B45E-43B7988534D1}"/>
    <cellStyle name="Normal 12 2 9 3" xfId="13115" xr:uid="{1E4CE768-B49B-4316-B444-AB33FEEBA12A}"/>
    <cellStyle name="Normal 12 3" xfId="264" xr:uid="{00000000-0005-0000-0000-00001D0E0000}"/>
    <cellStyle name="Normal 12 3 10" xfId="8901" xr:uid="{6F009B8E-ADCD-4214-BAEE-54DAD38B5A53}"/>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2 2 2" xfId="24127" xr:uid="{5B0E8F89-BA71-464D-BB9F-B509D017D6A7}"/>
    <cellStyle name="Normal 12 3 2 2 2 2 3" xfId="15679" xr:uid="{F6A161D0-638D-46A6-A563-5147168DB49B}"/>
    <cellStyle name="Normal 12 3 2 2 2 3" xfId="19909" xr:uid="{95F60249-6F3C-46E0-99DA-EB32FADB175D}"/>
    <cellStyle name="Normal 12 3 2 2 2 4" xfId="11461" xr:uid="{F4C62A0D-6E2C-4B83-8CFB-55F24B86982E}"/>
    <cellStyle name="Normal 12 3 2 2 3" xfId="5084" xr:uid="{00000000-0005-0000-0000-0000220E0000}"/>
    <cellStyle name="Normal 12 3 2 2 3 2" xfId="21982" xr:uid="{5B124ED6-7772-44DE-AF78-968C6B856DFE}"/>
    <cellStyle name="Normal 12 3 2 2 3 3" xfId="13534" xr:uid="{827795CA-7741-49D8-95BD-A06699ECA439}"/>
    <cellStyle name="Normal 12 3 2 2 4" xfId="17764" xr:uid="{0C7131F9-1570-43C7-BC23-1B25EC4DB7B3}"/>
    <cellStyle name="Normal 12 3 2 2 5" xfId="9316" xr:uid="{84E79AF4-C2A1-45FE-A41C-B7935115B79A}"/>
    <cellStyle name="Normal 12 3 2 3" xfId="1189" xr:uid="{00000000-0005-0000-0000-0000230E0000}"/>
    <cellStyle name="Normal 12 3 2 3 2" xfId="3420" xr:uid="{00000000-0005-0000-0000-0000240E0000}"/>
    <cellStyle name="Normal 12 3 2 3 2 2" xfId="7642" xr:uid="{00000000-0005-0000-0000-0000250E0000}"/>
    <cellStyle name="Normal 12 3 2 3 2 2 2" xfId="24540" xr:uid="{8D8152BB-47A2-4188-93F0-304F859A7BBA}"/>
    <cellStyle name="Normal 12 3 2 3 2 2 3" xfId="16092" xr:uid="{071FBD2F-5C32-46E3-B44D-7C5B77F89711}"/>
    <cellStyle name="Normal 12 3 2 3 2 3" xfId="20322" xr:uid="{DA3422E2-4DD8-4F8C-98EE-B3C9EE89D2B8}"/>
    <cellStyle name="Normal 12 3 2 3 2 4" xfId="11874" xr:uid="{4836B3A0-095B-4E72-89D2-2423F2662C3F}"/>
    <cellStyle name="Normal 12 3 2 3 3" xfId="5497" xr:uid="{00000000-0005-0000-0000-0000260E0000}"/>
    <cellStyle name="Normal 12 3 2 3 3 2" xfId="22395" xr:uid="{180ECFDE-0026-4589-AA50-C25D875A651A}"/>
    <cellStyle name="Normal 12 3 2 3 3 3" xfId="13947" xr:uid="{54D8396B-162F-4CD6-B9FC-A1E2D61B3D1B}"/>
    <cellStyle name="Normal 12 3 2 3 4" xfId="18177" xr:uid="{76C8318E-8571-4CD3-BA03-16A1217CC015}"/>
    <cellStyle name="Normal 12 3 2 3 5" xfId="9729" xr:uid="{37C35AC0-756B-4DA7-9E49-8E7F38264B37}"/>
    <cellStyle name="Normal 12 3 2 4" xfId="1603" xr:uid="{00000000-0005-0000-0000-0000270E0000}"/>
    <cellStyle name="Normal 12 3 2 4 2" xfId="3833" xr:uid="{00000000-0005-0000-0000-0000280E0000}"/>
    <cellStyle name="Normal 12 3 2 4 2 2" xfId="8055" xr:uid="{00000000-0005-0000-0000-0000290E0000}"/>
    <cellStyle name="Normal 12 3 2 4 2 2 2" xfId="24953" xr:uid="{EC76217B-077D-44A7-B852-BFBE24FF9081}"/>
    <cellStyle name="Normal 12 3 2 4 2 2 3" xfId="16505" xr:uid="{8931F4AF-3915-462A-98F5-06C684EA1858}"/>
    <cellStyle name="Normal 12 3 2 4 2 3" xfId="20735" xr:uid="{0B5EB9D0-0F17-4F19-B262-59C507AAABA2}"/>
    <cellStyle name="Normal 12 3 2 4 2 4" xfId="12287" xr:uid="{CDA0493D-3579-4651-92B5-093026D1925A}"/>
    <cellStyle name="Normal 12 3 2 4 3" xfId="5910" xr:uid="{00000000-0005-0000-0000-00002A0E0000}"/>
    <cellStyle name="Normal 12 3 2 4 3 2" xfId="22808" xr:uid="{7B84F68F-F81C-4F2F-A134-FE3ADFEE00D6}"/>
    <cellStyle name="Normal 12 3 2 4 3 3" xfId="14360" xr:uid="{20288D49-A64A-45F2-966D-2C24EF789A02}"/>
    <cellStyle name="Normal 12 3 2 4 4" xfId="18590" xr:uid="{9B9ADAA5-D114-405E-A601-BB3099BA6938}"/>
    <cellStyle name="Normal 12 3 2 4 5" xfId="10142" xr:uid="{19D47C4F-5303-4AF1-A49E-AB0C44BB9329}"/>
    <cellStyle name="Normal 12 3 2 5" xfId="2017" xr:uid="{00000000-0005-0000-0000-00002B0E0000}"/>
    <cellStyle name="Normal 12 3 2 5 2" xfId="4246" xr:uid="{00000000-0005-0000-0000-00002C0E0000}"/>
    <cellStyle name="Normal 12 3 2 5 2 2" xfId="8468" xr:uid="{00000000-0005-0000-0000-00002D0E0000}"/>
    <cellStyle name="Normal 12 3 2 5 2 2 2" xfId="25366" xr:uid="{260B5EB1-2AF3-46C0-B325-75C1CCEA2277}"/>
    <cellStyle name="Normal 12 3 2 5 2 2 3" xfId="16918" xr:uid="{13FF198E-FCBC-4AC2-91D2-14DBEE44418B}"/>
    <cellStyle name="Normal 12 3 2 5 2 3" xfId="21148" xr:uid="{48962D33-2A11-4606-A1F1-138153CE3B20}"/>
    <cellStyle name="Normal 12 3 2 5 2 4" xfId="12700" xr:uid="{D8885EE5-FF6F-4B11-AB93-7513D78AC289}"/>
    <cellStyle name="Normal 12 3 2 5 3" xfId="6323" xr:uid="{00000000-0005-0000-0000-00002E0E0000}"/>
    <cellStyle name="Normal 12 3 2 5 3 2" xfId="23221" xr:uid="{1B5DA283-7B0D-429B-B888-0C8765F9FECD}"/>
    <cellStyle name="Normal 12 3 2 5 3 3" xfId="14773" xr:uid="{1B39F971-DA11-4755-848D-E66D4A6EE334}"/>
    <cellStyle name="Normal 12 3 2 5 4" xfId="19003" xr:uid="{10FB0F1D-9802-4682-A6D6-8B328CF29EE5}"/>
    <cellStyle name="Normal 12 3 2 5 5" xfId="10555" xr:uid="{990EAF36-0C0B-4EAF-99B2-7268F83E3FA2}"/>
    <cellStyle name="Normal 12 3 2 6" xfId="2453" xr:uid="{00000000-0005-0000-0000-00002F0E0000}"/>
    <cellStyle name="Normal 12 3 2 6 2" xfId="6736" xr:uid="{00000000-0005-0000-0000-0000300E0000}"/>
    <cellStyle name="Normal 12 3 2 6 2 2" xfId="23634" xr:uid="{F8429746-7B1F-43B0-900F-8937FFCA1210}"/>
    <cellStyle name="Normal 12 3 2 6 2 3" xfId="15186" xr:uid="{9DB01B77-EE6F-4F45-9C87-1D0548E22DAB}"/>
    <cellStyle name="Normal 12 3 2 6 3" xfId="19416" xr:uid="{045184DC-3A7A-45AC-B824-CEF803473B53}"/>
    <cellStyle name="Normal 12 3 2 6 4" xfId="10968" xr:uid="{2296A801-A65C-45B9-8921-4DE978B2887B}"/>
    <cellStyle name="Normal 12 3 2 7" xfId="4670" xr:uid="{00000000-0005-0000-0000-0000310E0000}"/>
    <cellStyle name="Normal 12 3 2 7 2" xfId="21568" xr:uid="{E67529B5-AB73-47C2-A79C-340D3B4F7E69}"/>
    <cellStyle name="Normal 12 3 2 7 3" xfId="13120" xr:uid="{EBEA1A98-AB29-4A15-80CB-D564BB99889D}"/>
    <cellStyle name="Normal 12 3 2 8" xfId="17350" xr:uid="{DF2402AC-E225-451B-95B8-5290FF7EC264}"/>
    <cellStyle name="Normal 12 3 2 9" xfId="8902" xr:uid="{84B2076E-E6B3-4CD4-9DA9-D17CC4B098C3}"/>
    <cellStyle name="Normal 12 3 3" xfId="765" xr:uid="{00000000-0005-0000-0000-0000320E0000}"/>
    <cellStyle name="Normal 12 3 3 2" xfId="3006" xr:uid="{00000000-0005-0000-0000-0000330E0000}"/>
    <cellStyle name="Normal 12 3 3 2 2" xfId="7228" xr:uid="{00000000-0005-0000-0000-0000340E0000}"/>
    <cellStyle name="Normal 12 3 3 2 2 2" xfId="24126" xr:uid="{66C693B3-4F1F-47CA-BBEB-C15BE521BDEA}"/>
    <cellStyle name="Normal 12 3 3 2 2 3" xfId="15678" xr:uid="{AABFD908-96FF-4913-8BB0-4CCFDBA2D45F}"/>
    <cellStyle name="Normal 12 3 3 2 3" xfId="19908" xr:uid="{B6F350F1-ACF6-4BDB-9FC1-9020D1FC526A}"/>
    <cellStyle name="Normal 12 3 3 2 4" xfId="11460" xr:uid="{BE78686F-8DFE-4479-8110-B88DFBDA82F2}"/>
    <cellStyle name="Normal 12 3 3 3" xfId="5083" xr:uid="{00000000-0005-0000-0000-0000350E0000}"/>
    <cellStyle name="Normal 12 3 3 3 2" xfId="21981" xr:uid="{18BAC4C3-2957-4876-B6CB-AE82A8067B17}"/>
    <cellStyle name="Normal 12 3 3 3 3" xfId="13533" xr:uid="{772EE10C-2C0C-48EB-8122-9915234D3996}"/>
    <cellStyle name="Normal 12 3 3 4" xfId="17763" xr:uid="{8E4D3754-45EE-4CA0-A05C-42AE534F70C6}"/>
    <cellStyle name="Normal 12 3 3 5" xfId="9315" xr:uid="{3ADBFF0C-12FF-44BF-8F0B-00C2E1FED305}"/>
    <cellStyle name="Normal 12 3 4" xfId="1188" xr:uid="{00000000-0005-0000-0000-0000360E0000}"/>
    <cellStyle name="Normal 12 3 4 2" xfId="3419" xr:uid="{00000000-0005-0000-0000-0000370E0000}"/>
    <cellStyle name="Normal 12 3 4 2 2" xfId="7641" xr:uid="{00000000-0005-0000-0000-0000380E0000}"/>
    <cellStyle name="Normal 12 3 4 2 2 2" xfId="24539" xr:uid="{A42C980E-D3AD-4EB9-BDF0-08DCF7969E01}"/>
    <cellStyle name="Normal 12 3 4 2 2 3" xfId="16091" xr:uid="{151AB774-F847-4BE4-9460-DD259E1C7125}"/>
    <cellStyle name="Normal 12 3 4 2 3" xfId="20321" xr:uid="{7FACA6D9-F757-4E46-B886-9612F2F9023C}"/>
    <cellStyle name="Normal 12 3 4 2 4" xfId="11873" xr:uid="{4D934148-7D2F-4064-B900-942D562B0B88}"/>
    <cellStyle name="Normal 12 3 4 3" xfId="5496" xr:uid="{00000000-0005-0000-0000-0000390E0000}"/>
    <cellStyle name="Normal 12 3 4 3 2" xfId="22394" xr:uid="{7E65419B-4047-4026-A13F-F15EC7958A19}"/>
    <cellStyle name="Normal 12 3 4 3 3" xfId="13946" xr:uid="{2DEC49F4-04A4-49E9-9E8E-BBD309B44049}"/>
    <cellStyle name="Normal 12 3 4 4" xfId="18176" xr:uid="{B413B14F-2A67-4766-BB90-8E64756599C1}"/>
    <cellStyle name="Normal 12 3 4 5" xfId="9728" xr:uid="{36763033-3A6F-436D-B221-DB79502148F2}"/>
    <cellStyle name="Normal 12 3 5" xfId="1602" xr:uid="{00000000-0005-0000-0000-00003A0E0000}"/>
    <cellStyle name="Normal 12 3 5 2" xfId="3832" xr:uid="{00000000-0005-0000-0000-00003B0E0000}"/>
    <cellStyle name="Normal 12 3 5 2 2" xfId="8054" xr:uid="{00000000-0005-0000-0000-00003C0E0000}"/>
    <cellStyle name="Normal 12 3 5 2 2 2" xfId="24952" xr:uid="{DE674FD4-9AF4-481A-BFA9-47151D346F53}"/>
    <cellStyle name="Normal 12 3 5 2 2 3" xfId="16504" xr:uid="{1581E010-538A-48BF-B200-5E2BD1EE983E}"/>
    <cellStyle name="Normal 12 3 5 2 3" xfId="20734" xr:uid="{A1BD7E10-5D08-4BF4-B799-10456FAB9443}"/>
    <cellStyle name="Normal 12 3 5 2 4" xfId="12286" xr:uid="{C6108D88-0CB5-4073-8154-57B9F8922E14}"/>
    <cellStyle name="Normal 12 3 5 3" xfId="5909" xr:uid="{00000000-0005-0000-0000-00003D0E0000}"/>
    <cellStyle name="Normal 12 3 5 3 2" xfId="22807" xr:uid="{C09B7551-A7A0-4513-9556-66306AAD5864}"/>
    <cellStyle name="Normal 12 3 5 3 3" xfId="14359" xr:uid="{01155211-AF16-4751-A8D8-A36AFEF41E42}"/>
    <cellStyle name="Normal 12 3 5 4" xfId="18589" xr:uid="{13828C30-4E9A-4F75-B797-6A29669D881A}"/>
    <cellStyle name="Normal 12 3 5 5" xfId="10141" xr:uid="{7EDF4978-E960-4794-B3DF-76DDC9B02B01}"/>
    <cellStyle name="Normal 12 3 6" xfId="2016" xr:uid="{00000000-0005-0000-0000-00003E0E0000}"/>
    <cellStyle name="Normal 12 3 6 2" xfId="4245" xr:uid="{00000000-0005-0000-0000-00003F0E0000}"/>
    <cellStyle name="Normal 12 3 6 2 2" xfId="8467" xr:uid="{00000000-0005-0000-0000-0000400E0000}"/>
    <cellStyle name="Normal 12 3 6 2 2 2" xfId="25365" xr:uid="{95BBEEC6-A4F3-4349-95A6-C9BBFE08C1C3}"/>
    <cellStyle name="Normal 12 3 6 2 2 3" xfId="16917" xr:uid="{586BD47F-E3C3-4EEB-8C50-2339B87F5A07}"/>
    <cellStyle name="Normal 12 3 6 2 3" xfId="21147" xr:uid="{265018C6-B48E-4E02-85E6-0D26CF4D1CCA}"/>
    <cellStyle name="Normal 12 3 6 2 4" xfId="12699" xr:uid="{54E117D8-407C-43AC-9474-2D5C1A0C6183}"/>
    <cellStyle name="Normal 12 3 6 3" xfId="6322" xr:uid="{00000000-0005-0000-0000-0000410E0000}"/>
    <cellStyle name="Normal 12 3 6 3 2" xfId="23220" xr:uid="{9DBD0273-D90E-45E3-BF71-3F15FC24B688}"/>
    <cellStyle name="Normal 12 3 6 3 3" xfId="14772" xr:uid="{478526A4-D49F-4BB5-8565-43ED9D08DBEB}"/>
    <cellStyle name="Normal 12 3 6 4" xfId="19002" xr:uid="{1A866165-3D50-4891-96BE-7B23B0113297}"/>
    <cellStyle name="Normal 12 3 6 5" xfId="10554" xr:uid="{5DFD5707-BD1F-4CD1-902D-B387D8855791}"/>
    <cellStyle name="Normal 12 3 7" xfId="2452" xr:uid="{00000000-0005-0000-0000-0000420E0000}"/>
    <cellStyle name="Normal 12 3 7 2" xfId="6735" xr:uid="{00000000-0005-0000-0000-0000430E0000}"/>
    <cellStyle name="Normal 12 3 7 2 2" xfId="23633" xr:uid="{54682D34-2D9C-4D51-89AB-67449D2777B3}"/>
    <cellStyle name="Normal 12 3 7 2 3" xfId="15185" xr:uid="{498A7E85-4760-4E0C-803F-31376DC2E58F}"/>
    <cellStyle name="Normal 12 3 7 3" xfId="19415" xr:uid="{97FA6569-DF07-4DDD-9AA0-BBF0756A39FC}"/>
    <cellStyle name="Normal 12 3 7 4" xfId="10967" xr:uid="{EB681538-5DF9-4445-B9BF-6FBD863823CB}"/>
    <cellStyle name="Normal 12 3 8" xfId="4669" xr:uid="{00000000-0005-0000-0000-0000440E0000}"/>
    <cellStyle name="Normal 12 3 8 2" xfId="21567" xr:uid="{F359E046-81ED-424A-A8CE-6884E12B50CD}"/>
    <cellStyle name="Normal 12 3 8 3" xfId="13119" xr:uid="{EF4D01F4-311B-4026-A5BB-4B46DF1DADC4}"/>
    <cellStyle name="Normal 12 3 9" xfId="17349" xr:uid="{C98C2139-C646-4642-8BAB-048AE9949428}"/>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2 2 2" xfId="24128" xr:uid="{2C39D69A-EF99-4765-846E-DFE9259A0A7F}"/>
    <cellStyle name="Normal 12 4 2 2 2 3" xfId="15680" xr:uid="{AF4A08F6-063C-4570-A01A-A35AD199F0E1}"/>
    <cellStyle name="Normal 12 4 2 2 3" xfId="19910" xr:uid="{59B88704-6E3C-438A-9D8B-7DE2D92459BD}"/>
    <cellStyle name="Normal 12 4 2 2 4" xfId="11462" xr:uid="{784FD87F-46A4-4FB0-943D-EFF77A124A5B}"/>
    <cellStyle name="Normal 12 4 2 3" xfId="5085" xr:uid="{00000000-0005-0000-0000-0000490E0000}"/>
    <cellStyle name="Normal 12 4 2 3 2" xfId="21983" xr:uid="{3B09FD27-8F87-415A-8F50-901EE43ECF94}"/>
    <cellStyle name="Normal 12 4 2 3 3" xfId="13535" xr:uid="{6D2460C7-A372-4132-8B66-07F2CC9CFC8E}"/>
    <cellStyle name="Normal 12 4 2 4" xfId="17765" xr:uid="{CFC0D96E-A79B-40AE-83F6-935D5B772BCE}"/>
    <cellStyle name="Normal 12 4 2 5" xfId="9317" xr:uid="{C42EE4A5-3C0B-4BB6-9534-663CF3654E2B}"/>
    <cellStyle name="Normal 12 4 3" xfId="1190" xr:uid="{00000000-0005-0000-0000-00004A0E0000}"/>
    <cellStyle name="Normal 12 4 3 2" xfId="3421" xr:uid="{00000000-0005-0000-0000-00004B0E0000}"/>
    <cellStyle name="Normal 12 4 3 2 2" xfId="7643" xr:uid="{00000000-0005-0000-0000-00004C0E0000}"/>
    <cellStyle name="Normal 12 4 3 2 2 2" xfId="24541" xr:uid="{D25AA75F-6D16-46CA-8B68-CC49EF958F81}"/>
    <cellStyle name="Normal 12 4 3 2 2 3" xfId="16093" xr:uid="{DDEAC69F-F109-4983-B841-AC246BC03334}"/>
    <cellStyle name="Normal 12 4 3 2 3" xfId="20323" xr:uid="{6264EEE4-A96B-4CCF-8745-6D961BDE5897}"/>
    <cellStyle name="Normal 12 4 3 2 4" xfId="11875" xr:uid="{81659CD3-A2EA-4C15-8E2F-B34600D6E587}"/>
    <cellStyle name="Normal 12 4 3 3" xfId="5498" xr:uid="{00000000-0005-0000-0000-00004D0E0000}"/>
    <cellStyle name="Normal 12 4 3 3 2" xfId="22396" xr:uid="{2ED578C6-5460-4C9A-8FA4-3D51A650272C}"/>
    <cellStyle name="Normal 12 4 3 3 3" xfId="13948" xr:uid="{7D455475-995C-4E05-B3E7-E272CF5A7F34}"/>
    <cellStyle name="Normal 12 4 3 4" xfId="18178" xr:uid="{C8514551-47EA-4DD8-9F0F-6C398EE763E5}"/>
    <cellStyle name="Normal 12 4 3 5" xfId="9730" xr:uid="{2FDAAAC7-0EDF-449E-A751-A4D8A34FBA1F}"/>
    <cellStyle name="Normal 12 4 4" xfId="1604" xr:uid="{00000000-0005-0000-0000-00004E0E0000}"/>
    <cellStyle name="Normal 12 4 4 2" xfId="3834" xr:uid="{00000000-0005-0000-0000-00004F0E0000}"/>
    <cellStyle name="Normal 12 4 4 2 2" xfId="8056" xr:uid="{00000000-0005-0000-0000-0000500E0000}"/>
    <cellStyle name="Normal 12 4 4 2 2 2" xfId="24954" xr:uid="{F9A879CA-C5F1-4B3C-AF88-1E5C96FA05F1}"/>
    <cellStyle name="Normal 12 4 4 2 2 3" xfId="16506" xr:uid="{93A58BF9-E6FA-4E36-BBD8-128D268201FB}"/>
    <cellStyle name="Normal 12 4 4 2 3" xfId="20736" xr:uid="{BFD66C33-E6E9-428F-A911-4AE5C15881A6}"/>
    <cellStyle name="Normal 12 4 4 2 4" xfId="12288" xr:uid="{BE202366-9473-406D-AE88-B2D4AE3FFF8F}"/>
    <cellStyle name="Normal 12 4 4 3" xfId="5911" xr:uid="{00000000-0005-0000-0000-0000510E0000}"/>
    <cellStyle name="Normal 12 4 4 3 2" xfId="22809" xr:uid="{785AB060-D28E-4925-9C9E-F9D02716BCF3}"/>
    <cellStyle name="Normal 12 4 4 3 3" xfId="14361" xr:uid="{DE764EC3-DFD7-4A4B-9197-8CD9DDCF60E8}"/>
    <cellStyle name="Normal 12 4 4 4" xfId="18591" xr:uid="{32278E7A-810D-4281-9437-ECD2BC4469B3}"/>
    <cellStyle name="Normal 12 4 4 5" xfId="10143" xr:uid="{00DF9B78-0C6D-41DD-92D8-0740D7E4523D}"/>
    <cellStyle name="Normal 12 4 5" xfId="2018" xr:uid="{00000000-0005-0000-0000-0000520E0000}"/>
    <cellStyle name="Normal 12 4 5 2" xfId="4247" xr:uid="{00000000-0005-0000-0000-0000530E0000}"/>
    <cellStyle name="Normal 12 4 5 2 2" xfId="8469" xr:uid="{00000000-0005-0000-0000-0000540E0000}"/>
    <cellStyle name="Normal 12 4 5 2 2 2" xfId="25367" xr:uid="{2DA8A371-E124-405C-95C7-BB4F66591C23}"/>
    <cellStyle name="Normal 12 4 5 2 2 3" xfId="16919" xr:uid="{B4F06599-2C7E-4EF7-BC3E-98D34BCE1851}"/>
    <cellStyle name="Normal 12 4 5 2 3" xfId="21149" xr:uid="{85080297-53FD-4298-9C73-6D372A0228F6}"/>
    <cellStyle name="Normal 12 4 5 2 4" xfId="12701" xr:uid="{C5DE662A-5759-4C5E-86E9-8FBCEEFF79BC}"/>
    <cellStyle name="Normal 12 4 5 3" xfId="6324" xr:uid="{00000000-0005-0000-0000-0000550E0000}"/>
    <cellStyle name="Normal 12 4 5 3 2" xfId="23222" xr:uid="{8F1F51B4-240F-4F93-95EE-B946FD099FF4}"/>
    <cellStyle name="Normal 12 4 5 3 3" xfId="14774" xr:uid="{CF67E554-587C-4D3D-AD13-AFBF85897CF6}"/>
    <cellStyle name="Normal 12 4 5 4" xfId="19004" xr:uid="{B73E8E82-5545-42BD-84EE-3E5088204DF3}"/>
    <cellStyle name="Normal 12 4 5 5" xfId="10556" xr:uid="{89073569-065C-4B47-AFE4-5B65AEAD1DE0}"/>
    <cellStyle name="Normal 12 4 6" xfId="2454" xr:uid="{00000000-0005-0000-0000-0000560E0000}"/>
    <cellStyle name="Normal 12 4 6 2" xfId="6737" xr:uid="{00000000-0005-0000-0000-0000570E0000}"/>
    <cellStyle name="Normal 12 4 6 2 2" xfId="23635" xr:uid="{4EB48338-F39C-450E-BF24-BCC9E194CDAA}"/>
    <cellStyle name="Normal 12 4 6 2 3" xfId="15187" xr:uid="{877B6122-A76C-4F0B-ADB7-B43BDE2E6118}"/>
    <cellStyle name="Normal 12 4 6 3" xfId="19417" xr:uid="{7EF3DBAA-8D75-4EA9-A583-70FBCEBFE568}"/>
    <cellStyle name="Normal 12 4 6 4" xfId="10969" xr:uid="{680280CC-6D3F-44EA-B35F-0BC2F55B5823}"/>
    <cellStyle name="Normal 12 4 7" xfId="4671" xr:uid="{00000000-0005-0000-0000-0000580E0000}"/>
    <cellStyle name="Normal 12 4 7 2" xfId="21569" xr:uid="{B94FB37F-8696-46DC-BCE6-318EA59558BB}"/>
    <cellStyle name="Normal 12 4 7 3" xfId="13121" xr:uid="{4A29430F-BFE9-40B6-9B11-133165F93A01}"/>
    <cellStyle name="Normal 12 4 8" xfId="17351" xr:uid="{912FD9DB-2B54-4989-B382-4FAEA44B77C6}"/>
    <cellStyle name="Normal 12 4 9" xfId="8903" xr:uid="{BF4A1601-3854-48A1-87FF-270F9CBED2EC}"/>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2 2 2" xfId="24121" xr:uid="{CABC93B7-B14D-484F-AACB-4911D3D83E91}"/>
    <cellStyle name="Normal 12 6 2 2 3" xfId="15673" xr:uid="{EF4BC4E1-A1EF-4A3D-BB96-81E7F12EDBFF}"/>
    <cellStyle name="Normal 12 6 2 3" xfId="19903" xr:uid="{7447A55C-B265-4DDD-9C5A-5115D273E53E}"/>
    <cellStyle name="Normal 12 6 2 4" xfId="11455" xr:uid="{88C7E06C-4919-4569-9B51-1411DC5F61CD}"/>
    <cellStyle name="Normal 12 6 3" xfId="5078" xr:uid="{00000000-0005-0000-0000-00005D0E0000}"/>
    <cellStyle name="Normal 12 6 3 2" xfId="21976" xr:uid="{50653ECD-E659-4CC7-BC78-90DF201F90C8}"/>
    <cellStyle name="Normal 12 6 3 3" xfId="13528" xr:uid="{FDBBE3B2-9CD9-48D8-8FA3-11F6CBB72D91}"/>
    <cellStyle name="Normal 12 6 4" xfId="17758" xr:uid="{127EDB15-B1CE-492F-BA05-834F854D518D}"/>
    <cellStyle name="Normal 12 6 5" xfId="9310" xr:uid="{76544D67-097B-4BA0-BDE2-CD953ABAD88F}"/>
    <cellStyle name="Normal 12 7" xfId="1183" xr:uid="{00000000-0005-0000-0000-00005E0E0000}"/>
    <cellStyle name="Normal 12 7 2" xfId="3414" xr:uid="{00000000-0005-0000-0000-00005F0E0000}"/>
    <cellStyle name="Normal 12 7 2 2" xfId="7636" xr:uid="{00000000-0005-0000-0000-0000600E0000}"/>
    <cellStyle name="Normal 12 7 2 2 2" xfId="24534" xr:uid="{27FB43FC-F987-4848-ACEE-94668ED290F5}"/>
    <cellStyle name="Normal 12 7 2 2 3" xfId="16086" xr:uid="{68C519F8-3FAD-4711-9EEE-2303E56AB63C}"/>
    <cellStyle name="Normal 12 7 2 3" xfId="20316" xr:uid="{63AD2661-D9B4-4AD5-B329-D8D8E8FDFCFA}"/>
    <cellStyle name="Normal 12 7 2 4" xfId="11868" xr:uid="{E8DBF3F0-2827-458F-B884-10C2B7128F70}"/>
    <cellStyle name="Normal 12 7 3" xfId="5491" xr:uid="{00000000-0005-0000-0000-0000610E0000}"/>
    <cellStyle name="Normal 12 7 3 2" xfId="22389" xr:uid="{7B4E6ABD-EE3A-4780-A8E5-336288C6BB60}"/>
    <cellStyle name="Normal 12 7 3 3" xfId="13941" xr:uid="{5D5C44D7-07E7-4D92-8A03-EE0D3F5BBC41}"/>
    <cellStyle name="Normal 12 7 4" xfId="18171" xr:uid="{8FDC5CD8-E614-4428-82F1-C04AD37D2503}"/>
    <cellStyle name="Normal 12 7 5" xfId="9723" xr:uid="{BB3F5D0E-B2E6-4162-BD40-BBC3CC2FBF63}"/>
    <cellStyle name="Normal 12 8" xfId="1597" xr:uid="{00000000-0005-0000-0000-0000620E0000}"/>
    <cellStyle name="Normal 12 8 2" xfId="3827" xr:uid="{00000000-0005-0000-0000-0000630E0000}"/>
    <cellStyle name="Normal 12 8 2 2" xfId="8049" xr:uid="{00000000-0005-0000-0000-0000640E0000}"/>
    <cellStyle name="Normal 12 8 2 2 2" xfId="24947" xr:uid="{F7F12073-40F3-405A-8231-30CE07D3B132}"/>
    <cellStyle name="Normal 12 8 2 2 3" xfId="16499" xr:uid="{82006425-83B0-4B38-83F6-DBDB732B05ED}"/>
    <cellStyle name="Normal 12 8 2 3" xfId="20729" xr:uid="{FDAF99D3-9152-4CD9-BE99-3D54DE5ADA52}"/>
    <cellStyle name="Normal 12 8 2 4" xfId="12281" xr:uid="{A664185D-AB21-43A6-ABE3-90357C27022E}"/>
    <cellStyle name="Normal 12 8 3" xfId="5904" xr:uid="{00000000-0005-0000-0000-0000650E0000}"/>
    <cellStyle name="Normal 12 8 3 2" xfId="22802" xr:uid="{EEBC8B8E-DB1A-4E8A-992C-40250FE06B9D}"/>
    <cellStyle name="Normal 12 8 3 3" xfId="14354" xr:uid="{74EB5AAA-CA6B-4D30-ACBF-A1BDC9F837F4}"/>
    <cellStyle name="Normal 12 8 4" xfId="18584" xr:uid="{D6DF2E96-3C87-4654-9405-34FAF85A6F4D}"/>
    <cellStyle name="Normal 12 8 5" xfId="10136" xr:uid="{2D9FF603-E0D8-4CC0-8B7B-2A7E96BD0EDF}"/>
    <cellStyle name="Normal 12 9" xfId="2011" xr:uid="{00000000-0005-0000-0000-0000660E0000}"/>
    <cellStyle name="Normal 12 9 2" xfId="4240" xr:uid="{00000000-0005-0000-0000-0000670E0000}"/>
    <cellStyle name="Normal 12 9 2 2" xfId="8462" xr:uid="{00000000-0005-0000-0000-0000680E0000}"/>
    <cellStyle name="Normal 12 9 2 2 2" xfId="25360" xr:uid="{BF12EF40-7559-4D76-AF02-E2EA911C3A94}"/>
    <cellStyle name="Normal 12 9 2 2 3" xfId="16912" xr:uid="{B2353013-B626-4922-8C67-A38E13DAD52F}"/>
    <cellStyle name="Normal 12 9 2 3" xfId="21142" xr:uid="{9D6C1A87-38E4-43FB-AE0C-0F442E7634FB}"/>
    <cellStyle name="Normal 12 9 2 4" xfId="12694" xr:uid="{BC920A2A-6476-4407-B89C-2664005A5237}"/>
    <cellStyle name="Normal 12 9 3" xfId="6317" xr:uid="{00000000-0005-0000-0000-0000690E0000}"/>
    <cellStyle name="Normal 12 9 3 2" xfId="23215" xr:uid="{89F7C989-A8D9-4A20-9F3F-37A124B5B0BC}"/>
    <cellStyle name="Normal 12 9 3 3" xfId="14767" xr:uid="{762AD0DE-A890-4038-83CF-1F567C46202B}"/>
    <cellStyle name="Normal 12 9 4" xfId="18997" xr:uid="{97841A90-C76A-435D-BCAB-F2ED6632AD20}"/>
    <cellStyle name="Normal 12 9 5" xfId="10549" xr:uid="{21A3F5A5-CA99-4958-8F74-FCB485E6539A}"/>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2 2 2" xfId="24129" xr:uid="{515EA20F-9CAD-45F7-B9CA-09A0AA8A5673}"/>
    <cellStyle name="Normal 14 2 2 2 3" xfId="15681" xr:uid="{679F370B-99E3-48CD-8C54-F0385DAABC4A}"/>
    <cellStyle name="Normal 14 2 2 3" xfId="19911" xr:uid="{B2C25897-22DB-4751-B767-DD21F735CBE9}"/>
    <cellStyle name="Normal 14 2 2 4" xfId="11463" xr:uid="{656AA087-5A49-46C7-9363-9F67A91F1E9B}"/>
    <cellStyle name="Normal 14 2 3" xfId="5086" xr:uid="{00000000-0005-0000-0000-0000700E0000}"/>
    <cellStyle name="Normal 14 2 3 2" xfId="21984" xr:uid="{ADEA7A2F-B94C-4F38-9385-ADE1B699B743}"/>
    <cellStyle name="Normal 14 2 3 3" xfId="13536" xr:uid="{BBB51C1E-5D2F-41BA-A997-7BCEF68F1313}"/>
    <cellStyle name="Normal 14 2 4" xfId="17766" xr:uid="{F82FDA70-C44E-4FCD-8383-0A9397A493DA}"/>
    <cellStyle name="Normal 14 2 5" xfId="9318" xr:uid="{9431A079-4070-4209-8CB6-48D1B0096802}"/>
    <cellStyle name="Normal 14 3" xfId="1191" xr:uid="{00000000-0005-0000-0000-0000710E0000}"/>
    <cellStyle name="Normal 14 3 2" xfId="3422" xr:uid="{00000000-0005-0000-0000-0000720E0000}"/>
    <cellStyle name="Normal 14 3 2 2" xfId="7644" xr:uid="{00000000-0005-0000-0000-0000730E0000}"/>
    <cellStyle name="Normal 14 3 2 2 2" xfId="24542" xr:uid="{02E4E876-3422-4F12-BA8C-B56B49F26EED}"/>
    <cellStyle name="Normal 14 3 2 2 3" xfId="16094" xr:uid="{13853337-4113-434E-BFD7-C9B3EC71BC62}"/>
    <cellStyle name="Normal 14 3 2 3" xfId="20324" xr:uid="{AF658D6A-2965-49AC-87CC-8C3B5C1AA2A8}"/>
    <cellStyle name="Normal 14 3 2 4" xfId="11876" xr:uid="{C29C0031-0C04-44C7-B305-D989461D6F03}"/>
    <cellStyle name="Normal 14 3 3" xfId="5499" xr:uid="{00000000-0005-0000-0000-0000740E0000}"/>
    <cellStyle name="Normal 14 3 3 2" xfId="22397" xr:uid="{502207C0-EA99-4099-B34B-9AB5757CE52F}"/>
    <cellStyle name="Normal 14 3 3 3" xfId="13949" xr:uid="{3AA7A71C-DF12-4625-870B-1DB1EFC7F2DE}"/>
    <cellStyle name="Normal 14 3 4" xfId="18179" xr:uid="{98A72106-0C53-49B9-9BE6-EE3D21D13600}"/>
    <cellStyle name="Normal 14 3 5" xfId="9731" xr:uid="{0A341B3B-A354-4CE8-BDE0-15A9855A8861}"/>
    <cellStyle name="Normal 14 4" xfId="1605" xr:uid="{00000000-0005-0000-0000-0000750E0000}"/>
    <cellStyle name="Normal 14 4 2" xfId="3835" xr:uid="{00000000-0005-0000-0000-0000760E0000}"/>
    <cellStyle name="Normal 14 4 2 2" xfId="8057" xr:uid="{00000000-0005-0000-0000-0000770E0000}"/>
    <cellStyle name="Normal 14 4 2 2 2" xfId="24955" xr:uid="{9BB89EEF-5E3D-48B5-9B2A-A7D13E2198AD}"/>
    <cellStyle name="Normal 14 4 2 2 3" xfId="16507" xr:uid="{CA5F5F2C-ACAC-4A07-A3C2-0AB08C389DC1}"/>
    <cellStyle name="Normal 14 4 2 3" xfId="20737" xr:uid="{EED9DF31-10B1-4BB8-9D0E-49F79B90874D}"/>
    <cellStyle name="Normal 14 4 2 4" xfId="12289" xr:uid="{BF74C4D4-22C1-4456-BD68-02531FB72FF9}"/>
    <cellStyle name="Normal 14 4 3" xfId="5912" xr:uid="{00000000-0005-0000-0000-0000780E0000}"/>
    <cellStyle name="Normal 14 4 3 2" xfId="22810" xr:uid="{B2DFE422-A90B-4274-AF1D-84B7E770EC42}"/>
    <cellStyle name="Normal 14 4 3 3" xfId="14362" xr:uid="{55DC9910-02F1-4896-B305-B13015291027}"/>
    <cellStyle name="Normal 14 4 4" xfId="18592" xr:uid="{C9C862F4-F446-46E6-8148-6DE3E585FBAF}"/>
    <cellStyle name="Normal 14 4 5" xfId="10144" xr:uid="{9EA146FE-A416-475E-B0CE-17FC239A15DA}"/>
    <cellStyle name="Normal 14 5" xfId="2019" xr:uid="{00000000-0005-0000-0000-0000790E0000}"/>
    <cellStyle name="Normal 14 5 2" xfId="4248" xr:uid="{00000000-0005-0000-0000-00007A0E0000}"/>
    <cellStyle name="Normal 14 5 2 2" xfId="8470" xr:uid="{00000000-0005-0000-0000-00007B0E0000}"/>
    <cellStyle name="Normal 14 5 2 2 2" xfId="25368" xr:uid="{143EED0E-57A7-4AC1-934A-EEE0F59B60E1}"/>
    <cellStyle name="Normal 14 5 2 2 3" xfId="16920" xr:uid="{A6DBEDFA-D532-4C57-97E7-6A49AAF4242D}"/>
    <cellStyle name="Normal 14 5 2 3" xfId="21150" xr:uid="{A7DD4BC3-2B37-455C-9785-2B59133DB5B9}"/>
    <cellStyle name="Normal 14 5 2 4" xfId="12702" xr:uid="{0FAB9C41-761C-44B9-9FDE-1520369EDEBF}"/>
    <cellStyle name="Normal 14 5 3" xfId="6325" xr:uid="{00000000-0005-0000-0000-00007C0E0000}"/>
    <cellStyle name="Normal 14 5 3 2" xfId="23223" xr:uid="{E56DB1A6-F03D-4455-91C7-A36779E06ED5}"/>
    <cellStyle name="Normal 14 5 3 3" xfId="14775" xr:uid="{FB53B0C4-7B2B-477F-8130-D0B9E3E631D2}"/>
    <cellStyle name="Normal 14 5 4" xfId="19005" xr:uid="{198763B3-2FC8-4A74-8E09-2A9D92D0BCF9}"/>
    <cellStyle name="Normal 14 5 5" xfId="10557" xr:uid="{5B119308-313F-4517-AF27-4002DACDC811}"/>
    <cellStyle name="Normal 14 6" xfId="2455" xr:uid="{00000000-0005-0000-0000-00007D0E0000}"/>
    <cellStyle name="Normal 14 6 2" xfId="6738" xr:uid="{00000000-0005-0000-0000-00007E0E0000}"/>
    <cellStyle name="Normal 14 6 2 2" xfId="23636" xr:uid="{B5EAAAA5-C409-425B-B454-2E9FED18CBAC}"/>
    <cellStyle name="Normal 14 6 2 3" xfId="15188" xr:uid="{268387BB-578D-47B2-BA29-A24B992BD5F8}"/>
    <cellStyle name="Normal 14 6 3" xfId="19418" xr:uid="{1FC728AD-0EB8-4E25-84D7-F5E80F333201}"/>
    <cellStyle name="Normal 14 6 4" xfId="10970" xr:uid="{33D86607-0BD7-4375-8243-325C09781E27}"/>
    <cellStyle name="Normal 14 7" xfId="4672" xr:uid="{00000000-0005-0000-0000-00007F0E0000}"/>
    <cellStyle name="Normal 14 7 2" xfId="21570" xr:uid="{B9F02C59-EF52-4280-A1AB-80F1A7587C46}"/>
    <cellStyle name="Normal 14 7 3" xfId="13122" xr:uid="{DD871AA7-E14C-4D22-A165-F92D631C35D9}"/>
    <cellStyle name="Normal 14 8" xfId="17352" xr:uid="{4ED1DC0E-FF14-4508-9697-CFB03AC1B30A}"/>
    <cellStyle name="Normal 14 9" xfId="8904" xr:uid="{BA2920B3-98C1-4D87-BBCC-01586A3F9C8F}"/>
    <cellStyle name="Normal 15" xfId="4496" xr:uid="{00000000-0005-0000-0000-0000800E0000}"/>
    <cellStyle name="Normal 15 2" xfId="21396" xr:uid="{99B87E34-9343-40E2-A808-82D5C563BE79}"/>
    <cellStyle name="Normal 15 3" xfId="12948" xr:uid="{8AE5A0C1-7F7B-4263-BCD3-A8BE3EA3F19D}"/>
    <cellStyle name="Normal 16" xfId="4500" xr:uid="{00000000-0005-0000-0000-0000810E0000}"/>
    <cellStyle name="Normal 16 2" xfId="8715" xr:uid="{00000000-0005-0000-0000-0000820E0000}"/>
    <cellStyle name="Normal 16 2 2" xfId="25613" xr:uid="{76C3928A-C323-4066-906D-51CF4036314C}"/>
    <cellStyle name="Normal 16 2 3" xfId="17165" xr:uid="{52D387C6-07B0-4F10-B638-0433F005EE93}"/>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25629" xr:uid="{9A66F8AD-462A-47F1-BE75-C096250B005F}"/>
    <cellStyle name="Normal 16 3 2 2 2 2 3" xfId="17181" xr:uid="{D2FEAAFC-B283-433D-B8DC-0FDBC4A39E1B}"/>
    <cellStyle name="Normal 16 3 2 2 2 3" xfId="25626" xr:uid="{B1D0E900-6D0A-4C3F-9653-7640CF9068DB}"/>
    <cellStyle name="Normal 16 3 2 2 2 4" xfId="17178" xr:uid="{EA28C10B-C313-414E-ADDC-708151FDD204}"/>
    <cellStyle name="Normal 16 3 2 2 3" xfId="25622" xr:uid="{8458E9DA-8A11-45C2-A80A-AF6D50CDD9C0}"/>
    <cellStyle name="Normal 16 3 2 2 4" xfId="17174" xr:uid="{4FB9E71D-C4A9-4DA1-B44C-FAAD078E82DA}"/>
    <cellStyle name="Normal 16 3 2 3" xfId="25619" xr:uid="{6DEB9AF4-E8BF-46DF-9037-9C4B54A9A32F}"/>
    <cellStyle name="Normal 16 3 2 4" xfId="17171" xr:uid="{C6D51174-B6F2-449B-BA28-11823254AFAC}"/>
    <cellStyle name="Normal 16 3 3" xfId="25616" xr:uid="{873524F7-CF39-48AD-930A-65E6480DA41A}"/>
    <cellStyle name="Normal 16 3 4" xfId="17168" xr:uid="{567116A0-0095-4633-ADC1-4A2D3AD7ABCC}"/>
    <cellStyle name="Normal 16 4" xfId="21399" xr:uid="{E5F8A2AD-8FD1-4EBB-B0F5-1654A5150998}"/>
    <cellStyle name="Normal 16 5" xfId="12951" xr:uid="{534A9D9A-18D1-427D-ACB3-8CDBB7A5163C}"/>
    <cellStyle name="Normal 17" xfId="8728" xr:uid="{3FF0972C-833B-4475-99D8-1A6907499E71}"/>
    <cellStyle name="Normal 17 2" xfId="25625" xr:uid="{84B349A9-CD39-48C1-A0AC-30D3C022BE75}"/>
    <cellStyle name="Normal 17 3" xfId="17177" xr:uid="{87994929-44E7-4E0C-B7A6-1E79A2E909CF}"/>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25369" xr:uid="{56AA9D32-7E77-4383-89BD-20E8257B5F33}"/>
    <cellStyle name="Normal 2 4 2 10 2 2 3" xfId="16921" xr:uid="{9619DEB1-4A18-4093-8283-29942D40121A}"/>
    <cellStyle name="Normal 2 4 2 10 2 3" xfId="21151" xr:uid="{A7096512-775E-4AA5-98A4-206979210B03}"/>
    <cellStyle name="Normal 2 4 2 10 2 4" xfId="12703" xr:uid="{F4CB4F41-3506-4327-A417-4DCD8AF53079}"/>
    <cellStyle name="Normal 2 4 2 10 3" xfId="6326" xr:uid="{00000000-0005-0000-0000-0000910E0000}"/>
    <cellStyle name="Normal 2 4 2 10 3 2" xfId="23224" xr:uid="{6E5B3109-374F-4CC1-B1A0-9ABFE95F6511}"/>
    <cellStyle name="Normal 2 4 2 10 3 3" xfId="14776" xr:uid="{12A84798-B45C-4E71-80BD-D7D8C6F9BA9A}"/>
    <cellStyle name="Normal 2 4 2 10 4" xfId="19006" xr:uid="{9DD4388C-C55D-4101-98C4-CBBAC7980928}"/>
    <cellStyle name="Normal 2 4 2 10 5" xfId="10558" xr:uid="{1C60D49B-D8AC-47F8-8A0A-DC35B0311714}"/>
    <cellStyle name="Normal 2 4 2 11" xfId="2456" xr:uid="{00000000-0005-0000-0000-0000920E0000}"/>
    <cellStyle name="Normal 2 4 2 11 2" xfId="6739" xr:uid="{00000000-0005-0000-0000-0000930E0000}"/>
    <cellStyle name="Normal 2 4 2 11 2 2" xfId="23637" xr:uid="{DB510EE4-96FD-49F7-9023-336E3007095F}"/>
    <cellStyle name="Normal 2 4 2 11 2 3" xfId="15189" xr:uid="{60BFAD20-B83E-4399-A628-F2F5900BF962}"/>
    <cellStyle name="Normal 2 4 2 11 3" xfId="19419" xr:uid="{BF8DFBB5-3C64-405D-9331-01E3121D9002}"/>
    <cellStyle name="Normal 2 4 2 11 4" xfId="10971" xr:uid="{95A7BE19-0FBB-461B-A3E6-59F04FBDD0CB}"/>
    <cellStyle name="Normal 2 4 2 12" xfId="4673" xr:uid="{00000000-0005-0000-0000-0000940E0000}"/>
    <cellStyle name="Normal 2 4 2 12 2" xfId="21571" xr:uid="{47BDEC4E-E8AC-4342-8242-0BF6A716C8C3}"/>
    <cellStyle name="Normal 2 4 2 12 3" xfId="13123" xr:uid="{3940606F-1D28-43BA-A3DF-A872842002E7}"/>
    <cellStyle name="Normal 2 4 2 13" xfId="17353" xr:uid="{733C94C1-2317-46BA-9A63-E6BBA9E82EA3}"/>
    <cellStyle name="Normal 2 4 2 14" xfId="8905" xr:uid="{E563FE95-02C0-4CBC-8C4E-1BF5594F8F0C}"/>
    <cellStyle name="Normal 2 4 2 2" xfId="280" xr:uid="{00000000-0005-0000-0000-0000950E0000}"/>
    <cellStyle name="Normal 2 4 2 3" xfId="281" xr:uid="{00000000-0005-0000-0000-0000960E0000}"/>
    <cellStyle name="Normal 2 4 2 3 10" xfId="4674" xr:uid="{00000000-0005-0000-0000-0000970E0000}"/>
    <cellStyle name="Normal 2 4 2 3 10 2" xfId="21572" xr:uid="{02194BB9-76DD-4D3E-8C02-C57208F548C8}"/>
    <cellStyle name="Normal 2 4 2 3 10 3" xfId="13124" xr:uid="{370B214D-78D7-44AF-8FFF-05A4E16D54FC}"/>
    <cellStyle name="Normal 2 4 2 3 11" xfId="17354" xr:uid="{9AFF7D55-AD8E-4534-87B6-E1F8DD404060}"/>
    <cellStyle name="Normal 2 4 2 3 12" xfId="8906" xr:uid="{7DEBCFE0-C231-40B1-9D16-477936961FC0}"/>
    <cellStyle name="Normal 2 4 2 3 2" xfId="282" xr:uid="{00000000-0005-0000-0000-0000980E0000}"/>
    <cellStyle name="Normal 2 4 2 3 2 10" xfId="17355" xr:uid="{66FB1487-D2C4-4441-8F1C-CCEB8C216065}"/>
    <cellStyle name="Normal 2 4 2 3 2 11" xfId="8907" xr:uid="{3DBFC3D6-3250-47C1-9BCA-5A24B221FF73}"/>
    <cellStyle name="Normal 2 4 2 3 2 2" xfId="283" xr:uid="{00000000-0005-0000-0000-0000990E0000}"/>
    <cellStyle name="Normal 2 4 2 3 2 2 10" xfId="8908" xr:uid="{9ACDA7D3-F8EE-4116-8B70-8F525DD620A5}"/>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24134" xr:uid="{004597EC-DCAE-4853-85D2-76718F8C6E45}"/>
    <cellStyle name="Normal 2 4 2 3 2 2 2 2 2 2 3" xfId="15686" xr:uid="{50374995-55E3-4032-B0E4-B210890AA07A}"/>
    <cellStyle name="Normal 2 4 2 3 2 2 2 2 2 3" xfId="19916" xr:uid="{C9DD84F7-09CC-4CA1-A6BC-C446B5F937E4}"/>
    <cellStyle name="Normal 2 4 2 3 2 2 2 2 2 4" xfId="11468" xr:uid="{147EA9F2-E2A9-4633-80D4-765CEF32C20A}"/>
    <cellStyle name="Normal 2 4 2 3 2 2 2 2 3" xfId="5091" xr:uid="{00000000-0005-0000-0000-00009E0E0000}"/>
    <cellStyle name="Normal 2 4 2 3 2 2 2 2 3 2" xfId="21989" xr:uid="{C1CBE240-7869-4D1F-9670-4BFE31CAE8B8}"/>
    <cellStyle name="Normal 2 4 2 3 2 2 2 2 3 3" xfId="13541" xr:uid="{6B51AE0B-E1A4-49D6-9704-2CFC1F53E6E5}"/>
    <cellStyle name="Normal 2 4 2 3 2 2 2 2 4" xfId="17771" xr:uid="{215EB86D-43D3-43D3-870A-999580746968}"/>
    <cellStyle name="Normal 2 4 2 3 2 2 2 2 5" xfId="9323" xr:uid="{C1F78340-E4C8-48D5-BAC6-BA4C66C43DC3}"/>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24547" xr:uid="{20B2DA6F-D5D3-4BE2-BF71-4E64E4AEB371}"/>
    <cellStyle name="Normal 2 4 2 3 2 2 2 3 2 2 3" xfId="16099" xr:uid="{ED5E6AF7-C0E8-4818-92B4-0E43E3B7FE89}"/>
    <cellStyle name="Normal 2 4 2 3 2 2 2 3 2 3" xfId="20329" xr:uid="{94F2E4DD-41CA-4B8C-99F4-584F53BBD92A}"/>
    <cellStyle name="Normal 2 4 2 3 2 2 2 3 2 4" xfId="11881" xr:uid="{DCA5E079-E1CA-42F4-B113-1FA703AEA4C4}"/>
    <cellStyle name="Normal 2 4 2 3 2 2 2 3 3" xfId="5504" xr:uid="{00000000-0005-0000-0000-0000A20E0000}"/>
    <cellStyle name="Normal 2 4 2 3 2 2 2 3 3 2" xfId="22402" xr:uid="{C01B4954-D284-4B33-95CF-AF4F83F9CAF5}"/>
    <cellStyle name="Normal 2 4 2 3 2 2 2 3 3 3" xfId="13954" xr:uid="{F8CF94D5-325B-4F2E-A158-F8CA33E9D27D}"/>
    <cellStyle name="Normal 2 4 2 3 2 2 2 3 4" xfId="18184" xr:uid="{FB6A8BA4-D7D7-4DD0-95C2-1414F6B013A7}"/>
    <cellStyle name="Normal 2 4 2 3 2 2 2 3 5" xfId="9736" xr:uid="{5021E336-CA21-4FF9-B8A5-3BC0E06E20BF}"/>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24960" xr:uid="{06CFD1B1-047D-4095-B1CF-265A7ACA4BB6}"/>
    <cellStyle name="Normal 2 4 2 3 2 2 2 4 2 2 3" xfId="16512" xr:uid="{042CB08D-DB11-4B57-9159-8A9110E20072}"/>
    <cellStyle name="Normal 2 4 2 3 2 2 2 4 2 3" xfId="20742" xr:uid="{C77CBDBF-32C6-4A6A-8F88-005C81853608}"/>
    <cellStyle name="Normal 2 4 2 3 2 2 2 4 2 4" xfId="12294" xr:uid="{D3541ADE-25CD-4D1D-83A7-8CA74728BF9A}"/>
    <cellStyle name="Normal 2 4 2 3 2 2 2 4 3" xfId="5917" xr:uid="{00000000-0005-0000-0000-0000A60E0000}"/>
    <cellStyle name="Normal 2 4 2 3 2 2 2 4 3 2" xfId="22815" xr:uid="{58F22E67-AE00-4CF1-A351-402C39DCF3DE}"/>
    <cellStyle name="Normal 2 4 2 3 2 2 2 4 3 3" xfId="14367" xr:uid="{B27665F6-BBAD-4E1A-A0CE-89A6DB47BEF0}"/>
    <cellStyle name="Normal 2 4 2 3 2 2 2 4 4" xfId="18597" xr:uid="{D7D73E6F-7A47-4E51-A5E7-356F31F5FEB5}"/>
    <cellStyle name="Normal 2 4 2 3 2 2 2 4 5" xfId="10149" xr:uid="{C0F1432B-C6F9-499A-9F74-23ACD98B3AFD}"/>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25373" xr:uid="{C2DE9844-77B6-45DC-A3C1-4ED17C2DC56F}"/>
    <cellStyle name="Normal 2 4 2 3 2 2 2 5 2 2 3" xfId="16925" xr:uid="{348E2944-5948-4E80-AD1F-2C7981340551}"/>
    <cellStyle name="Normal 2 4 2 3 2 2 2 5 2 3" xfId="21155" xr:uid="{E87E7829-7B28-43D7-BB94-2020D64A5286}"/>
    <cellStyle name="Normal 2 4 2 3 2 2 2 5 2 4" xfId="12707" xr:uid="{436C3CD3-4978-4B86-BD0B-F0FE6E7D63EA}"/>
    <cellStyle name="Normal 2 4 2 3 2 2 2 5 3" xfId="6330" xr:uid="{00000000-0005-0000-0000-0000AA0E0000}"/>
    <cellStyle name="Normal 2 4 2 3 2 2 2 5 3 2" xfId="23228" xr:uid="{188A1398-F636-4A1F-A455-C90AEDD5E52D}"/>
    <cellStyle name="Normal 2 4 2 3 2 2 2 5 3 3" xfId="14780" xr:uid="{0A45921C-CF8B-4F99-BA20-78E8B2950EE3}"/>
    <cellStyle name="Normal 2 4 2 3 2 2 2 5 4" xfId="19010" xr:uid="{D8AC12E2-198E-4953-A6BF-6E0A98E9439A}"/>
    <cellStyle name="Normal 2 4 2 3 2 2 2 5 5" xfId="10562" xr:uid="{7CC18CFB-1B38-40D9-9A9C-39634AB6E303}"/>
    <cellStyle name="Normal 2 4 2 3 2 2 2 6" xfId="2460" xr:uid="{00000000-0005-0000-0000-0000AB0E0000}"/>
    <cellStyle name="Normal 2 4 2 3 2 2 2 6 2" xfId="6743" xr:uid="{00000000-0005-0000-0000-0000AC0E0000}"/>
    <cellStyle name="Normal 2 4 2 3 2 2 2 6 2 2" xfId="23641" xr:uid="{E45D6E84-F7D8-47A0-B378-E6807FCE7877}"/>
    <cellStyle name="Normal 2 4 2 3 2 2 2 6 2 3" xfId="15193" xr:uid="{FDC0747E-8B98-435E-B5B5-2F48F1BEB1EA}"/>
    <cellStyle name="Normal 2 4 2 3 2 2 2 6 3" xfId="19423" xr:uid="{53E2CEBE-EEBE-437E-B603-6B56B7DB6C75}"/>
    <cellStyle name="Normal 2 4 2 3 2 2 2 6 4" xfId="10975" xr:uid="{960F6A91-5E43-4DEC-8437-04D2BDA866BF}"/>
    <cellStyle name="Normal 2 4 2 3 2 2 2 7" xfId="4677" xr:uid="{00000000-0005-0000-0000-0000AD0E0000}"/>
    <cellStyle name="Normal 2 4 2 3 2 2 2 7 2" xfId="21575" xr:uid="{77F34074-346B-4338-AE88-CF783E3F159C}"/>
    <cellStyle name="Normal 2 4 2 3 2 2 2 7 3" xfId="13127" xr:uid="{104EABC1-E218-4FE7-976F-50D70C4F3D0A}"/>
    <cellStyle name="Normal 2 4 2 3 2 2 2 8" xfId="17357" xr:uid="{93D667B0-281E-4B02-9E6E-1DA4E2E8ECF4}"/>
    <cellStyle name="Normal 2 4 2 3 2 2 2 9" xfId="8909" xr:uid="{327BFA50-667E-411B-AE4C-BEAF8ECD08D2}"/>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24133" xr:uid="{7690A220-0977-43B9-B595-5C7E57C390DB}"/>
    <cellStyle name="Normal 2 4 2 3 2 2 3 2 2 3" xfId="15685" xr:uid="{9A73B485-6D13-4B63-81A8-873C41F1D3DF}"/>
    <cellStyle name="Normal 2 4 2 3 2 2 3 2 3" xfId="19915" xr:uid="{FB342666-CC01-4524-A54F-B1603BD42CF8}"/>
    <cellStyle name="Normal 2 4 2 3 2 2 3 2 4" xfId="11467" xr:uid="{410A1FF9-4F9C-4F33-B604-E9689048CEBA}"/>
    <cellStyle name="Normal 2 4 2 3 2 2 3 3" xfId="5090" xr:uid="{00000000-0005-0000-0000-0000B10E0000}"/>
    <cellStyle name="Normal 2 4 2 3 2 2 3 3 2" xfId="21988" xr:uid="{2F20D341-CCDA-4212-99EF-06C95B984B7F}"/>
    <cellStyle name="Normal 2 4 2 3 2 2 3 3 3" xfId="13540" xr:uid="{7AA75186-5E00-4C3C-9497-8EF36C5786AA}"/>
    <cellStyle name="Normal 2 4 2 3 2 2 3 4" xfId="17770" xr:uid="{7C80D720-6AF6-422D-9A0E-71E2D754BC10}"/>
    <cellStyle name="Normal 2 4 2 3 2 2 3 5" xfId="9322" xr:uid="{A7B15B03-AFAF-46BC-8F70-D91CB61CD363}"/>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24546" xr:uid="{106EF49C-58BD-4800-A8C3-D86BC00D28ED}"/>
    <cellStyle name="Normal 2 4 2 3 2 2 4 2 2 3" xfId="16098" xr:uid="{5190E21C-BE43-433A-8D90-60E8F0DFD2AF}"/>
    <cellStyle name="Normal 2 4 2 3 2 2 4 2 3" xfId="20328" xr:uid="{8840959F-3287-4CF2-BD77-405D1C6D10F0}"/>
    <cellStyle name="Normal 2 4 2 3 2 2 4 2 4" xfId="11880" xr:uid="{2469CB6C-F354-4B74-B6AC-59EA9CAAD267}"/>
    <cellStyle name="Normal 2 4 2 3 2 2 4 3" xfId="5503" xr:uid="{00000000-0005-0000-0000-0000B50E0000}"/>
    <cellStyle name="Normal 2 4 2 3 2 2 4 3 2" xfId="22401" xr:uid="{3FE71AD9-97FD-454C-ABD1-C9393DBE6924}"/>
    <cellStyle name="Normal 2 4 2 3 2 2 4 3 3" xfId="13953" xr:uid="{8D23202D-D61B-4AD7-88CE-9B974A88CF6A}"/>
    <cellStyle name="Normal 2 4 2 3 2 2 4 4" xfId="18183" xr:uid="{8373518C-5468-4537-BC56-97A6948B48BD}"/>
    <cellStyle name="Normal 2 4 2 3 2 2 4 5" xfId="9735" xr:uid="{CC5F601B-B8F3-4ED6-9BE9-16B504FC65CE}"/>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24959" xr:uid="{B110EE1D-85E9-48F4-8377-20152F7D33AF}"/>
    <cellStyle name="Normal 2 4 2 3 2 2 5 2 2 3" xfId="16511" xr:uid="{B9D5C0F0-D390-4448-8E21-647B156F5194}"/>
    <cellStyle name="Normal 2 4 2 3 2 2 5 2 3" xfId="20741" xr:uid="{70DB3C32-55E5-494C-9A04-08FE1593AE0E}"/>
    <cellStyle name="Normal 2 4 2 3 2 2 5 2 4" xfId="12293" xr:uid="{595E2BB7-A89E-4C75-8767-10203B637C2C}"/>
    <cellStyle name="Normal 2 4 2 3 2 2 5 3" xfId="5916" xr:uid="{00000000-0005-0000-0000-0000B90E0000}"/>
    <cellStyle name="Normal 2 4 2 3 2 2 5 3 2" xfId="22814" xr:uid="{F858ED9D-4628-4E2C-A04C-737CDED1CF8E}"/>
    <cellStyle name="Normal 2 4 2 3 2 2 5 3 3" xfId="14366" xr:uid="{BE0DDB7E-C63E-4C59-8862-970167135D42}"/>
    <cellStyle name="Normal 2 4 2 3 2 2 5 4" xfId="18596" xr:uid="{258B1133-CC21-4041-83FB-F0DD1B638AE6}"/>
    <cellStyle name="Normal 2 4 2 3 2 2 5 5" xfId="10148" xr:uid="{52C71A1A-7F5D-4FA8-8791-A670127BEC5D}"/>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25372" xr:uid="{6375AD4E-58FB-44CC-A41F-422C12441A57}"/>
    <cellStyle name="Normal 2 4 2 3 2 2 6 2 2 3" xfId="16924" xr:uid="{AE0F9D0A-C31F-429A-AD2C-B412A056E056}"/>
    <cellStyle name="Normal 2 4 2 3 2 2 6 2 3" xfId="21154" xr:uid="{153F85BE-D292-411D-B464-F5BBD57DEAD0}"/>
    <cellStyle name="Normal 2 4 2 3 2 2 6 2 4" xfId="12706" xr:uid="{4F580804-85D2-4437-B464-41C26AAA4B7B}"/>
    <cellStyle name="Normal 2 4 2 3 2 2 6 3" xfId="6329" xr:uid="{00000000-0005-0000-0000-0000BD0E0000}"/>
    <cellStyle name="Normal 2 4 2 3 2 2 6 3 2" xfId="23227" xr:uid="{1D64AC75-5F7A-4B25-A89A-6548D3FE07F1}"/>
    <cellStyle name="Normal 2 4 2 3 2 2 6 3 3" xfId="14779" xr:uid="{4182A291-C0C4-4BE4-BFD8-A7BB9CABC522}"/>
    <cellStyle name="Normal 2 4 2 3 2 2 6 4" xfId="19009" xr:uid="{098CB7DF-B80C-418F-A2F0-E811820DF08C}"/>
    <cellStyle name="Normal 2 4 2 3 2 2 6 5" xfId="10561" xr:uid="{0B4DB902-50ED-4D0B-B04F-63E7644BC42E}"/>
    <cellStyle name="Normal 2 4 2 3 2 2 7" xfId="2459" xr:uid="{00000000-0005-0000-0000-0000BE0E0000}"/>
    <cellStyle name="Normal 2 4 2 3 2 2 7 2" xfId="6742" xr:uid="{00000000-0005-0000-0000-0000BF0E0000}"/>
    <cellStyle name="Normal 2 4 2 3 2 2 7 2 2" xfId="23640" xr:uid="{6BA311AE-7EB8-4D7D-8EF5-DFE31B37AC5F}"/>
    <cellStyle name="Normal 2 4 2 3 2 2 7 2 3" xfId="15192" xr:uid="{0C2DF7DE-1226-4042-89B1-662346AC12BE}"/>
    <cellStyle name="Normal 2 4 2 3 2 2 7 3" xfId="19422" xr:uid="{2D2DD526-3E54-4ED3-A740-2490E694E39B}"/>
    <cellStyle name="Normal 2 4 2 3 2 2 7 4" xfId="10974" xr:uid="{DB5A69A1-993D-4753-9F4C-95886B1C64D7}"/>
    <cellStyle name="Normal 2 4 2 3 2 2 8" xfId="4676" xr:uid="{00000000-0005-0000-0000-0000C00E0000}"/>
    <cellStyle name="Normal 2 4 2 3 2 2 8 2" xfId="21574" xr:uid="{A7AE11CD-B568-47AE-8ECA-F6930B71B38B}"/>
    <cellStyle name="Normal 2 4 2 3 2 2 8 3" xfId="13126" xr:uid="{B1B87F5F-31EB-405D-9768-1C73915E5584}"/>
    <cellStyle name="Normal 2 4 2 3 2 2 9" xfId="17356" xr:uid="{C5EDD016-3444-4254-AB8B-25FB0629C288}"/>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24135" xr:uid="{65AB828D-B133-4B5D-AFE1-4078D0E64827}"/>
    <cellStyle name="Normal 2 4 2 3 2 3 2 2 2 3" xfId="15687" xr:uid="{D3923265-23D9-4896-9721-3FAACB669FE4}"/>
    <cellStyle name="Normal 2 4 2 3 2 3 2 2 3" xfId="19917" xr:uid="{34652C8D-1B69-4526-A286-D92CDA926501}"/>
    <cellStyle name="Normal 2 4 2 3 2 3 2 2 4" xfId="11469" xr:uid="{9EF30015-9DAA-4221-9A80-0670FADCB25A}"/>
    <cellStyle name="Normal 2 4 2 3 2 3 2 3" xfId="5092" xr:uid="{00000000-0005-0000-0000-0000C50E0000}"/>
    <cellStyle name="Normal 2 4 2 3 2 3 2 3 2" xfId="21990" xr:uid="{4D2ED72E-FA5D-49E6-B88A-B5E3468020D9}"/>
    <cellStyle name="Normal 2 4 2 3 2 3 2 3 3" xfId="13542" xr:uid="{9E45AE23-1585-4A08-97B1-2F137BAD6062}"/>
    <cellStyle name="Normal 2 4 2 3 2 3 2 4" xfId="17772" xr:uid="{1B569C5B-D513-409D-B051-E4BF906D2171}"/>
    <cellStyle name="Normal 2 4 2 3 2 3 2 5" xfId="9324" xr:uid="{48761B22-F92B-41B2-83F8-6E6B76507ECF}"/>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24548" xr:uid="{1935ABA6-72F9-40B2-81C3-79B2FBF9AEE8}"/>
    <cellStyle name="Normal 2 4 2 3 2 3 3 2 2 3" xfId="16100" xr:uid="{4636F7F0-2A1F-4A7E-885C-3ED604D1328D}"/>
    <cellStyle name="Normal 2 4 2 3 2 3 3 2 3" xfId="20330" xr:uid="{2E5CD68B-1E66-4D7E-BA41-221F332CBE80}"/>
    <cellStyle name="Normal 2 4 2 3 2 3 3 2 4" xfId="11882" xr:uid="{77042661-B7C4-4A96-A5C2-BCF93EBF9AFA}"/>
    <cellStyle name="Normal 2 4 2 3 2 3 3 3" xfId="5505" xr:uid="{00000000-0005-0000-0000-0000C90E0000}"/>
    <cellStyle name="Normal 2 4 2 3 2 3 3 3 2" xfId="22403" xr:uid="{5992EB41-3824-44BB-98BB-6D85BC792306}"/>
    <cellStyle name="Normal 2 4 2 3 2 3 3 3 3" xfId="13955" xr:uid="{417E68F6-2226-4B0A-92AB-13C43C7A16E2}"/>
    <cellStyle name="Normal 2 4 2 3 2 3 3 4" xfId="18185" xr:uid="{3423276F-8149-433F-B3EE-766629DA0087}"/>
    <cellStyle name="Normal 2 4 2 3 2 3 3 5" xfId="9737" xr:uid="{5EAC10A4-D2FA-479D-8B40-604951E7536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24961" xr:uid="{E1C247D0-4FB6-405D-9B10-948B3593CE26}"/>
    <cellStyle name="Normal 2 4 2 3 2 3 4 2 2 3" xfId="16513" xr:uid="{CEDE2483-A78E-4CBC-B636-052FDF1380F7}"/>
    <cellStyle name="Normal 2 4 2 3 2 3 4 2 3" xfId="20743" xr:uid="{2CA7AFCE-5C0C-43C5-AC62-F22D8D779CDB}"/>
    <cellStyle name="Normal 2 4 2 3 2 3 4 2 4" xfId="12295" xr:uid="{F079FB45-7F47-4997-AEA4-4038166CDF18}"/>
    <cellStyle name="Normal 2 4 2 3 2 3 4 3" xfId="5918" xr:uid="{00000000-0005-0000-0000-0000CD0E0000}"/>
    <cellStyle name="Normal 2 4 2 3 2 3 4 3 2" xfId="22816" xr:uid="{8377E525-0F6B-4C18-9155-BC785101746D}"/>
    <cellStyle name="Normal 2 4 2 3 2 3 4 3 3" xfId="14368" xr:uid="{0939EA22-6074-40D3-9DD2-475E2D83C0CC}"/>
    <cellStyle name="Normal 2 4 2 3 2 3 4 4" xfId="18598" xr:uid="{645F33FD-2D7C-45F9-9918-F119EF2198A8}"/>
    <cellStyle name="Normal 2 4 2 3 2 3 4 5" xfId="10150" xr:uid="{DE730D1A-6503-437F-B268-8DB54D7173E4}"/>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25374" xr:uid="{34353BD0-297D-4882-A2DC-88C11F694D08}"/>
    <cellStyle name="Normal 2 4 2 3 2 3 5 2 2 3" xfId="16926" xr:uid="{7AC93FCA-BE3F-4256-A9BD-F780598D0350}"/>
    <cellStyle name="Normal 2 4 2 3 2 3 5 2 3" xfId="21156" xr:uid="{72731651-274B-454B-8434-7D0F59EC24F1}"/>
    <cellStyle name="Normal 2 4 2 3 2 3 5 2 4" xfId="12708" xr:uid="{7C7B94FE-3CC0-45E7-A1BF-C0615E255989}"/>
    <cellStyle name="Normal 2 4 2 3 2 3 5 3" xfId="6331" xr:uid="{00000000-0005-0000-0000-0000D10E0000}"/>
    <cellStyle name="Normal 2 4 2 3 2 3 5 3 2" xfId="23229" xr:uid="{B199E2C0-A95A-4D56-A111-4356B1CC2EB9}"/>
    <cellStyle name="Normal 2 4 2 3 2 3 5 3 3" xfId="14781" xr:uid="{9415BED4-4628-4091-A8C4-FBB2A7D4AB3A}"/>
    <cellStyle name="Normal 2 4 2 3 2 3 5 4" xfId="19011" xr:uid="{43F017FD-BFF7-4F67-AF4A-2F5B234E5168}"/>
    <cellStyle name="Normal 2 4 2 3 2 3 5 5" xfId="10563" xr:uid="{2AFACD95-D9AE-4D26-98C4-67BCB09E9AB2}"/>
    <cellStyle name="Normal 2 4 2 3 2 3 6" xfId="2461" xr:uid="{00000000-0005-0000-0000-0000D20E0000}"/>
    <cellStyle name="Normal 2 4 2 3 2 3 6 2" xfId="6744" xr:uid="{00000000-0005-0000-0000-0000D30E0000}"/>
    <cellStyle name="Normal 2 4 2 3 2 3 6 2 2" xfId="23642" xr:uid="{1219A280-9CAA-4BF2-870A-91F1104E72DA}"/>
    <cellStyle name="Normal 2 4 2 3 2 3 6 2 3" xfId="15194" xr:uid="{54C7C4B1-EBFC-49A1-A3A7-7541AAB6D786}"/>
    <cellStyle name="Normal 2 4 2 3 2 3 6 3" xfId="19424" xr:uid="{9B41DAE0-CDA4-4036-943D-D17AD33EB4FB}"/>
    <cellStyle name="Normal 2 4 2 3 2 3 6 4" xfId="10976" xr:uid="{A78C492F-B378-470D-A7D3-6F8902CD0D42}"/>
    <cellStyle name="Normal 2 4 2 3 2 3 7" xfId="4678" xr:uid="{00000000-0005-0000-0000-0000D40E0000}"/>
    <cellStyle name="Normal 2 4 2 3 2 3 7 2" xfId="21576" xr:uid="{64F9F401-EA14-4CBE-A6D6-D949ED603A01}"/>
    <cellStyle name="Normal 2 4 2 3 2 3 7 3" xfId="13128" xr:uid="{077F9AC9-24BE-4824-AC4C-14A49A51B4F7}"/>
    <cellStyle name="Normal 2 4 2 3 2 3 8" xfId="17358" xr:uid="{59323C40-9FE4-443E-8487-4BB668AB0E08}"/>
    <cellStyle name="Normal 2 4 2 3 2 3 9" xfId="8910" xr:uid="{4AC866B2-CDF6-4327-853B-282FC48783E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24132" xr:uid="{EB8CF3D8-73D1-422F-A58F-8D455872DD1A}"/>
    <cellStyle name="Normal 2 4 2 3 2 4 2 2 3" xfId="15684" xr:uid="{C361BE4B-FEAC-4844-98C3-F1370DECF643}"/>
    <cellStyle name="Normal 2 4 2 3 2 4 2 3" xfId="19914" xr:uid="{2F30A5EB-0D9C-4819-A83D-1C38A707DCFA}"/>
    <cellStyle name="Normal 2 4 2 3 2 4 2 4" xfId="11466" xr:uid="{B5A0F311-6EB9-45E1-A70A-E99BC5F09F9C}"/>
    <cellStyle name="Normal 2 4 2 3 2 4 3" xfId="5089" xr:uid="{00000000-0005-0000-0000-0000D80E0000}"/>
    <cellStyle name="Normal 2 4 2 3 2 4 3 2" xfId="21987" xr:uid="{4E4425B0-2C16-4A66-A660-0756BEE81C60}"/>
    <cellStyle name="Normal 2 4 2 3 2 4 3 3" xfId="13539" xr:uid="{33BD2C55-44FD-4AE9-A768-4BBF9A3A1DEC}"/>
    <cellStyle name="Normal 2 4 2 3 2 4 4" xfId="17769" xr:uid="{4D1DF9A7-178D-43A7-97FD-F19263F775F7}"/>
    <cellStyle name="Normal 2 4 2 3 2 4 5" xfId="9321" xr:uid="{28123B7C-FCF6-4A27-91D8-AA82EB80D0E2}"/>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24545" xr:uid="{7E267487-FB56-4A2C-B0A2-1587D9A103C7}"/>
    <cellStyle name="Normal 2 4 2 3 2 5 2 2 3" xfId="16097" xr:uid="{B15C4098-D4A4-46D4-BBD4-CE1AD7E9CDB8}"/>
    <cellStyle name="Normal 2 4 2 3 2 5 2 3" xfId="20327" xr:uid="{588B9A14-16CD-49B9-A4DC-95C2F1271FDC}"/>
    <cellStyle name="Normal 2 4 2 3 2 5 2 4" xfId="11879" xr:uid="{5B7C84CC-669A-4910-AB8B-AFD871AECA61}"/>
    <cellStyle name="Normal 2 4 2 3 2 5 3" xfId="5502" xr:uid="{00000000-0005-0000-0000-0000DC0E0000}"/>
    <cellStyle name="Normal 2 4 2 3 2 5 3 2" xfId="22400" xr:uid="{8A6B942A-A1F7-49A2-A55D-4C8E7C4F3C1D}"/>
    <cellStyle name="Normal 2 4 2 3 2 5 3 3" xfId="13952" xr:uid="{58373762-5656-4B09-880A-FC495034416A}"/>
    <cellStyle name="Normal 2 4 2 3 2 5 4" xfId="18182" xr:uid="{647558FB-B874-432D-9A05-EBE7B8BFFD9B}"/>
    <cellStyle name="Normal 2 4 2 3 2 5 5" xfId="9734" xr:uid="{147BE6E2-5BD8-4D1C-B110-DE7A87C6286F}"/>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24958" xr:uid="{F505E203-EB67-4463-A4A3-38BE5F6FF77B}"/>
    <cellStyle name="Normal 2 4 2 3 2 6 2 2 3" xfId="16510" xr:uid="{2B6BCD9B-65EA-45F9-8322-A0FE2ED5EC50}"/>
    <cellStyle name="Normal 2 4 2 3 2 6 2 3" xfId="20740" xr:uid="{666778C9-3F78-475E-984A-DB60587DB55A}"/>
    <cellStyle name="Normal 2 4 2 3 2 6 2 4" xfId="12292" xr:uid="{DEA6A50C-60C2-4E69-BE37-53BED926FD19}"/>
    <cellStyle name="Normal 2 4 2 3 2 6 3" xfId="5915" xr:uid="{00000000-0005-0000-0000-0000E00E0000}"/>
    <cellStyle name="Normal 2 4 2 3 2 6 3 2" xfId="22813" xr:uid="{8E5C69B6-9194-4757-A7A2-4B09A453C06B}"/>
    <cellStyle name="Normal 2 4 2 3 2 6 3 3" xfId="14365" xr:uid="{164A7893-E7B1-458E-A3CB-28C1CCDEDFA0}"/>
    <cellStyle name="Normal 2 4 2 3 2 6 4" xfId="18595" xr:uid="{2E114660-82C2-4661-923E-82C6B1E5A879}"/>
    <cellStyle name="Normal 2 4 2 3 2 6 5" xfId="10147" xr:uid="{FB547499-06C2-4785-A514-D96BADD91F4A}"/>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25371" xr:uid="{D314F2F1-D996-4FB6-8295-F19C1773DCC2}"/>
    <cellStyle name="Normal 2 4 2 3 2 7 2 2 3" xfId="16923" xr:uid="{BD29BCE5-5C91-4297-B75F-0C5224FF18A4}"/>
    <cellStyle name="Normal 2 4 2 3 2 7 2 3" xfId="21153" xr:uid="{4FB99FE6-85E7-4A45-980E-898EAA8F061A}"/>
    <cellStyle name="Normal 2 4 2 3 2 7 2 4" xfId="12705" xr:uid="{EBFE7D34-5E5A-496A-ACEC-AEA896EEBA2D}"/>
    <cellStyle name="Normal 2 4 2 3 2 7 3" xfId="6328" xr:uid="{00000000-0005-0000-0000-0000E40E0000}"/>
    <cellStyle name="Normal 2 4 2 3 2 7 3 2" xfId="23226" xr:uid="{7AA959FB-AAF9-4EFC-B6D3-6BE7C0960A4B}"/>
    <cellStyle name="Normal 2 4 2 3 2 7 3 3" xfId="14778" xr:uid="{0002DC8F-E2C3-424F-ADAF-E3AF380EAD56}"/>
    <cellStyle name="Normal 2 4 2 3 2 7 4" xfId="19008" xr:uid="{1A226FF3-494A-43ED-A390-6480712FFB1C}"/>
    <cellStyle name="Normal 2 4 2 3 2 7 5" xfId="10560" xr:uid="{3E3ADCB8-110A-48A0-BA22-17C8F920C2FF}"/>
    <cellStyle name="Normal 2 4 2 3 2 8" xfId="2458" xr:uid="{00000000-0005-0000-0000-0000E50E0000}"/>
    <cellStyle name="Normal 2 4 2 3 2 8 2" xfId="6741" xr:uid="{00000000-0005-0000-0000-0000E60E0000}"/>
    <cellStyle name="Normal 2 4 2 3 2 8 2 2" xfId="23639" xr:uid="{EC17F9F8-E3C6-4FBC-AA24-29115AC98304}"/>
    <cellStyle name="Normal 2 4 2 3 2 8 2 3" xfId="15191" xr:uid="{4D7AAFC0-7CDD-4ABB-BD2A-9943B29DECD8}"/>
    <cellStyle name="Normal 2 4 2 3 2 8 3" xfId="19421" xr:uid="{F2A0795F-9E86-4B0D-ACA9-B3207AB241B5}"/>
    <cellStyle name="Normal 2 4 2 3 2 8 4" xfId="10973" xr:uid="{AB324294-7CCF-4E76-BC9D-62D033E66BFC}"/>
    <cellStyle name="Normal 2 4 2 3 2 9" xfId="4675" xr:uid="{00000000-0005-0000-0000-0000E70E0000}"/>
    <cellStyle name="Normal 2 4 2 3 2 9 2" xfId="21573" xr:uid="{6B2E1ED7-C0C9-44FF-B8F5-FD0EEA96677D}"/>
    <cellStyle name="Normal 2 4 2 3 2 9 3" xfId="13125" xr:uid="{97B272D5-133A-4DF0-8EC5-115CBC071514}"/>
    <cellStyle name="Normal 2 4 2 3 3" xfId="286" xr:uid="{00000000-0005-0000-0000-0000E80E0000}"/>
    <cellStyle name="Normal 2 4 2 3 3 10" xfId="8911" xr:uid="{0174858B-933A-4D3C-8A33-FD02A546EEE2}"/>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24137" xr:uid="{8A79A97C-4A2A-45BB-B5B6-1D0D5520E773}"/>
    <cellStyle name="Normal 2 4 2 3 3 2 2 2 2 3" xfId="15689" xr:uid="{820B8730-E9E0-469E-8A13-A69B6AD36F64}"/>
    <cellStyle name="Normal 2 4 2 3 3 2 2 2 3" xfId="19919" xr:uid="{A56CD3F2-684B-4556-9A59-20D0F39DA978}"/>
    <cellStyle name="Normal 2 4 2 3 3 2 2 2 4" xfId="11471" xr:uid="{9F900CB6-2B94-4DB4-A7F1-5135631438E6}"/>
    <cellStyle name="Normal 2 4 2 3 3 2 2 3" xfId="5094" xr:uid="{00000000-0005-0000-0000-0000ED0E0000}"/>
    <cellStyle name="Normal 2 4 2 3 3 2 2 3 2" xfId="21992" xr:uid="{B49A03BF-A15F-49DD-8883-375A3A29937D}"/>
    <cellStyle name="Normal 2 4 2 3 3 2 2 3 3" xfId="13544" xr:uid="{A9FB3BE4-755C-4E3E-9A59-4B2FE2DD1E77}"/>
    <cellStyle name="Normal 2 4 2 3 3 2 2 4" xfId="17774" xr:uid="{8ABF65C1-68E6-4F88-A36E-A0AEB92BC869}"/>
    <cellStyle name="Normal 2 4 2 3 3 2 2 5" xfId="9326" xr:uid="{74C7B164-CA2D-4632-95BE-9ABC02BCCDF6}"/>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24550" xr:uid="{7AB0358B-6D6B-45F5-935E-80EEDCAF8C97}"/>
    <cellStyle name="Normal 2 4 2 3 3 2 3 2 2 3" xfId="16102" xr:uid="{5946C95F-6333-4249-AD6B-5A9C36A066C5}"/>
    <cellStyle name="Normal 2 4 2 3 3 2 3 2 3" xfId="20332" xr:uid="{707BF6C1-5A41-40FA-86CD-14CF6F96A8E7}"/>
    <cellStyle name="Normal 2 4 2 3 3 2 3 2 4" xfId="11884" xr:uid="{5CA0B5A8-02A7-4B41-988B-BE376BB1CFA0}"/>
    <cellStyle name="Normal 2 4 2 3 3 2 3 3" xfId="5507" xr:uid="{00000000-0005-0000-0000-0000F10E0000}"/>
    <cellStyle name="Normal 2 4 2 3 3 2 3 3 2" xfId="22405" xr:uid="{BB97C0F4-5B1B-4833-9F64-46D8EAB7A935}"/>
    <cellStyle name="Normal 2 4 2 3 3 2 3 3 3" xfId="13957" xr:uid="{EF2CD3D5-F5A0-4A8A-931C-0A9A20662D28}"/>
    <cellStyle name="Normal 2 4 2 3 3 2 3 4" xfId="18187" xr:uid="{5100F130-8B92-4F91-A35C-12EBB7DCE378}"/>
    <cellStyle name="Normal 2 4 2 3 3 2 3 5" xfId="9739" xr:uid="{44D1CC59-6481-4EA1-9B21-1BFE7B5C10E7}"/>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24963" xr:uid="{8EFCE3BE-D086-4019-A51A-D56CA9EDB886}"/>
    <cellStyle name="Normal 2 4 2 3 3 2 4 2 2 3" xfId="16515" xr:uid="{6C77E253-B9C8-4C5F-8597-2433114EBF8E}"/>
    <cellStyle name="Normal 2 4 2 3 3 2 4 2 3" xfId="20745" xr:uid="{6B36BBEC-D7F5-479F-AE5B-D61A46B088C5}"/>
    <cellStyle name="Normal 2 4 2 3 3 2 4 2 4" xfId="12297" xr:uid="{B5780467-18F3-4E49-A871-716721963BED}"/>
    <cellStyle name="Normal 2 4 2 3 3 2 4 3" xfId="5920" xr:uid="{00000000-0005-0000-0000-0000F50E0000}"/>
    <cellStyle name="Normal 2 4 2 3 3 2 4 3 2" xfId="22818" xr:uid="{B2C4DD34-5D1C-4258-B14D-15716D9DB0C2}"/>
    <cellStyle name="Normal 2 4 2 3 3 2 4 3 3" xfId="14370" xr:uid="{19115C90-371E-47B9-9ECF-9B5DA787B215}"/>
    <cellStyle name="Normal 2 4 2 3 3 2 4 4" xfId="18600" xr:uid="{D6E0AA1F-CC3F-428C-89B0-6D93562E7872}"/>
    <cellStyle name="Normal 2 4 2 3 3 2 4 5" xfId="10152" xr:uid="{486FDF32-9BC8-404A-8862-F4227DE4F4F2}"/>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25376" xr:uid="{878E10B9-2D23-4750-A6D1-A6C0D79D55DD}"/>
    <cellStyle name="Normal 2 4 2 3 3 2 5 2 2 3" xfId="16928" xr:uid="{8546FFD0-433C-4BE5-BF0E-FC15395D50C1}"/>
    <cellStyle name="Normal 2 4 2 3 3 2 5 2 3" xfId="21158" xr:uid="{46449C2A-3C4F-4930-843C-F5E0726413D6}"/>
    <cellStyle name="Normal 2 4 2 3 3 2 5 2 4" xfId="12710" xr:uid="{3492C977-CA04-4769-84C5-B3790EE174E1}"/>
    <cellStyle name="Normal 2 4 2 3 3 2 5 3" xfId="6333" xr:uid="{00000000-0005-0000-0000-0000F90E0000}"/>
    <cellStyle name="Normal 2 4 2 3 3 2 5 3 2" xfId="23231" xr:uid="{FC522F18-44F4-42AB-AEF6-D325EF25DEE4}"/>
    <cellStyle name="Normal 2 4 2 3 3 2 5 3 3" xfId="14783" xr:uid="{C12545BE-83D2-4CD2-AA66-4C36D8960755}"/>
    <cellStyle name="Normal 2 4 2 3 3 2 5 4" xfId="19013" xr:uid="{D8690D20-FDEA-4784-8379-2A9702C88E7C}"/>
    <cellStyle name="Normal 2 4 2 3 3 2 5 5" xfId="10565" xr:uid="{52FD6C6B-E380-447E-865D-C0CE1DE6B2AB}"/>
    <cellStyle name="Normal 2 4 2 3 3 2 6" xfId="2463" xr:uid="{00000000-0005-0000-0000-0000FA0E0000}"/>
    <cellStyle name="Normal 2 4 2 3 3 2 6 2" xfId="6746" xr:uid="{00000000-0005-0000-0000-0000FB0E0000}"/>
    <cellStyle name="Normal 2 4 2 3 3 2 6 2 2" xfId="23644" xr:uid="{41FF0E34-CAAE-4517-9B6D-7FDB4845B1A0}"/>
    <cellStyle name="Normal 2 4 2 3 3 2 6 2 3" xfId="15196" xr:uid="{D99D9777-0E69-4AB1-84F0-A10984D34C03}"/>
    <cellStyle name="Normal 2 4 2 3 3 2 6 3" xfId="19426" xr:uid="{DF76C28F-E33D-47EB-BDA1-5421A0EA16D8}"/>
    <cellStyle name="Normal 2 4 2 3 3 2 6 4" xfId="10978" xr:uid="{3B05F8AF-4315-4F28-ABD3-5B3C7CE3AFE7}"/>
    <cellStyle name="Normal 2 4 2 3 3 2 7" xfId="4680" xr:uid="{00000000-0005-0000-0000-0000FC0E0000}"/>
    <cellStyle name="Normal 2 4 2 3 3 2 7 2" xfId="21578" xr:uid="{AEB07FB7-DE1B-45F0-917D-54EFC5EFFE08}"/>
    <cellStyle name="Normal 2 4 2 3 3 2 7 3" xfId="13130" xr:uid="{8122C929-15E2-4E7C-9856-92B9F04BF78C}"/>
    <cellStyle name="Normal 2 4 2 3 3 2 8" xfId="17360" xr:uid="{694B02D6-88EB-4ADD-91DF-6E2D9690DA71}"/>
    <cellStyle name="Normal 2 4 2 3 3 2 9" xfId="8912" xr:uid="{71C29478-E4BA-42BF-8688-A26320B75DC1}"/>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24136" xr:uid="{C5D84549-108B-4B45-A58C-F153E53821CC}"/>
    <cellStyle name="Normal 2 4 2 3 3 3 2 2 3" xfId="15688" xr:uid="{F4A17E63-F2DE-4B2B-808B-A80F8DB5E9FD}"/>
    <cellStyle name="Normal 2 4 2 3 3 3 2 3" xfId="19918" xr:uid="{85BAEA7C-3C61-4C56-9C98-06B4B1344F99}"/>
    <cellStyle name="Normal 2 4 2 3 3 3 2 4" xfId="11470" xr:uid="{48271D7B-7910-4FF8-AB19-E25C7BC95D88}"/>
    <cellStyle name="Normal 2 4 2 3 3 3 3" xfId="5093" xr:uid="{00000000-0005-0000-0000-0000000F0000}"/>
    <cellStyle name="Normal 2 4 2 3 3 3 3 2" xfId="21991" xr:uid="{9C59A4C2-8883-43A5-9D6D-E9C7DD8F17B1}"/>
    <cellStyle name="Normal 2 4 2 3 3 3 3 3" xfId="13543" xr:uid="{3C03B41A-A955-40FB-81D9-7A3786157651}"/>
    <cellStyle name="Normal 2 4 2 3 3 3 4" xfId="17773" xr:uid="{EED36CD8-943F-4ECA-BB3A-F2FBEDEC6F5F}"/>
    <cellStyle name="Normal 2 4 2 3 3 3 5" xfId="9325" xr:uid="{BA47C358-34EF-406B-926A-4C7C14B39CCB}"/>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24549" xr:uid="{57657706-4CF9-4B02-8503-3FEF769057F0}"/>
    <cellStyle name="Normal 2 4 2 3 3 4 2 2 3" xfId="16101" xr:uid="{9ACCA61E-7D46-4268-93BC-61D6368A3800}"/>
    <cellStyle name="Normal 2 4 2 3 3 4 2 3" xfId="20331" xr:uid="{02BEF46D-8EA0-41D9-AB1A-CA64CC4457CF}"/>
    <cellStyle name="Normal 2 4 2 3 3 4 2 4" xfId="11883" xr:uid="{5829A1E5-DCE7-49C9-93D4-39DDCE7BFB3D}"/>
    <cellStyle name="Normal 2 4 2 3 3 4 3" xfId="5506" xr:uid="{00000000-0005-0000-0000-0000040F0000}"/>
    <cellStyle name="Normal 2 4 2 3 3 4 3 2" xfId="22404" xr:uid="{762BA2ED-1979-4EEC-93C0-493B88C2A58F}"/>
    <cellStyle name="Normal 2 4 2 3 3 4 3 3" xfId="13956" xr:uid="{B89868FC-FD65-454D-A805-DBE0CF04F444}"/>
    <cellStyle name="Normal 2 4 2 3 3 4 4" xfId="18186" xr:uid="{00E00A6C-C4F5-45B7-A26C-73A240572171}"/>
    <cellStyle name="Normal 2 4 2 3 3 4 5" xfId="9738" xr:uid="{180D5186-A600-43AA-A964-24DF9A328248}"/>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24962" xr:uid="{027D0696-15CD-448D-AE76-852E7E0E6265}"/>
    <cellStyle name="Normal 2 4 2 3 3 5 2 2 3" xfId="16514" xr:uid="{2F4CA72E-6CBA-4C78-A877-E647A1BB98E9}"/>
    <cellStyle name="Normal 2 4 2 3 3 5 2 3" xfId="20744" xr:uid="{5ACC1286-3842-4406-AE01-F3F77563E056}"/>
    <cellStyle name="Normal 2 4 2 3 3 5 2 4" xfId="12296" xr:uid="{7E843932-5F8A-4A41-B4C5-2BFF482258A6}"/>
    <cellStyle name="Normal 2 4 2 3 3 5 3" xfId="5919" xr:uid="{00000000-0005-0000-0000-0000080F0000}"/>
    <cellStyle name="Normal 2 4 2 3 3 5 3 2" xfId="22817" xr:uid="{98D7878A-1480-4507-A4D4-7AB9C376E0DF}"/>
    <cellStyle name="Normal 2 4 2 3 3 5 3 3" xfId="14369" xr:uid="{F46604B7-1B4F-4A2B-BBC2-DE750B494037}"/>
    <cellStyle name="Normal 2 4 2 3 3 5 4" xfId="18599" xr:uid="{6D363452-8494-4EF3-9EE4-51216EB270E9}"/>
    <cellStyle name="Normal 2 4 2 3 3 5 5" xfId="10151" xr:uid="{6D6489B2-6FDA-4262-9032-C22B1E0898F6}"/>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25375" xr:uid="{FC4F9295-7534-4053-BA66-593D01884C7B}"/>
    <cellStyle name="Normal 2 4 2 3 3 6 2 2 3" xfId="16927" xr:uid="{97DF0075-0CBA-4622-8CA6-6545A49BAB6F}"/>
    <cellStyle name="Normal 2 4 2 3 3 6 2 3" xfId="21157" xr:uid="{E4A8D1A0-E326-4B09-A904-E1610E0AAAFA}"/>
    <cellStyle name="Normal 2 4 2 3 3 6 2 4" xfId="12709" xr:uid="{70A0B9EF-CFC4-498A-9AAE-21595BB0B9CE}"/>
    <cellStyle name="Normal 2 4 2 3 3 6 3" xfId="6332" xr:uid="{00000000-0005-0000-0000-00000C0F0000}"/>
    <cellStyle name="Normal 2 4 2 3 3 6 3 2" xfId="23230" xr:uid="{F48C3394-7102-41C8-A8C4-EF460B0780F7}"/>
    <cellStyle name="Normal 2 4 2 3 3 6 3 3" xfId="14782" xr:uid="{2436A894-73BB-4340-82DC-59B6D50A35F7}"/>
    <cellStyle name="Normal 2 4 2 3 3 6 4" xfId="19012" xr:uid="{C0A4BE1D-CE30-473D-970C-61F7F0E6F6CB}"/>
    <cellStyle name="Normal 2 4 2 3 3 6 5" xfId="10564" xr:uid="{57C28C5D-EFAA-4309-8E5E-80C4F6EBBAE9}"/>
    <cellStyle name="Normal 2 4 2 3 3 7" xfId="2462" xr:uid="{00000000-0005-0000-0000-00000D0F0000}"/>
    <cellStyle name="Normal 2 4 2 3 3 7 2" xfId="6745" xr:uid="{00000000-0005-0000-0000-00000E0F0000}"/>
    <cellStyle name="Normal 2 4 2 3 3 7 2 2" xfId="23643" xr:uid="{6ABFB251-1A21-45B4-B4B6-FE020A1A8DFD}"/>
    <cellStyle name="Normal 2 4 2 3 3 7 2 3" xfId="15195" xr:uid="{BE80DAE6-1D5A-4C67-B52B-B13BE4D0CE55}"/>
    <cellStyle name="Normal 2 4 2 3 3 7 3" xfId="19425" xr:uid="{961219B5-38D0-4CEF-A087-199650F29F14}"/>
    <cellStyle name="Normal 2 4 2 3 3 7 4" xfId="10977" xr:uid="{A3B4EBA2-8DC2-4807-89B5-C46FB8901F89}"/>
    <cellStyle name="Normal 2 4 2 3 3 8" xfId="4679" xr:uid="{00000000-0005-0000-0000-00000F0F0000}"/>
    <cellStyle name="Normal 2 4 2 3 3 8 2" xfId="21577" xr:uid="{FBC13B38-1A67-4511-B195-2DD57A9CB12D}"/>
    <cellStyle name="Normal 2 4 2 3 3 8 3" xfId="13129" xr:uid="{DE6E0F57-16DB-48E5-BCA8-E68520BD280F}"/>
    <cellStyle name="Normal 2 4 2 3 3 9" xfId="17359" xr:uid="{7ED482C6-A48A-4F44-B942-ACC2A3E9C8A2}"/>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24138" xr:uid="{967C85CB-F512-4727-BC8E-41BC19A84836}"/>
    <cellStyle name="Normal 2 4 2 3 4 2 2 2 3" xfId="15690" xr:uid="{D8DEC9F2-9608-46CA-A9D2-B0067EF4E5F0}"/>
    <cellStyle name="Normal 2 4 2 3 4 2 2 3" xfId="19920" xr:uid="{15A18507-6967-4D8D-8726-574D631DA9CF}"/>
    <cellStyle name="Normal 2 4 2 3 4 2 2 4" xfId="11472" xr:uid="{14710D85-A6EF-4714-9049-8477E4A1C6AF}"/>
    <cellStyle name="Normal 2 4 2 3 4 2 3" xfId="5095" xr:uid="{00000000-0005-0000-0000-0000140F0000}"/>
    <cellStyle name="Normal 2 4 2 3 4 2 3 2" xfId="21993" xr:uid="{CA2A928D-9E6C-4FEF-98C7-06DF5A7BE3DF}"/>
    <cellStyle name="Normal 2 4 2 3 4 2 3 3" xfId="13545" xr:uid="{9BB9E5E0-027E-43D5-A59E-26C757FBAA85}"/>
    <cellStyle name="Normal 2 4 2 3 4 2 4" xfId="17775" xr:uid="{47C59BE5-7BDC-47EB-A3F0-8F454BD5540D}"/>
    <cellStyle name="Normal 2 4 2 3 4 2 5" xfId="9327" xr:uid="{EAA8728A-5FD7-45EB-A8EB-5FB833E1FEB8}"/>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24551" xr:uid="{6955FF3C-A56D-4EC1-90D0-ABC152A57CE5}"/>
    <cellStyle name="Normal 2 4 2 3 4 3 2 2 3" xfId="16103" xr:uid="{74C1EE4D-771B-4BF7-AA60-5D1913C5EC7E}"/>
    <cellStyle name="Normal 2 4 2 3 4 3 2 3" xfId="20333" xr:uid="{829C27B5-71FB-4DCE-AF71-6D609E83920B}"/>
    <cellStyle name="Normal 2 4 2 3 4 3 2 4" xfId="11885" xr:uid="{608EB8B2-B202-4B24-A496-843F46CE4306}"/>
    <cellStyle name="Normal 2 4 2 3 4 3 3" xfId="5508" xr:uid="{00000000-0005-0000-0000-0000180F0000}"/>
    <cellStyle name="Normal 2 4 2 3 4 3 3 2" xfId="22406" xr:uid="{B2876284-70E1-4F97-8074-5D0162E04B24}"/>
    <cellStyle name="Normal 2 4 2 3 4 3 3 3" xfId="13958" xr:uid="{5D0232F6-4C89-4E45-814C-4E59F9D3FE42}"/>
    <cellStyle name="Normal 2 4 2 3 4 3 4" xfId="18188" xr:uid="{BF4B1F53-2028-4C7C-990D-30678CB03276}"/>
    <cellStyle name="Normal 2 4 2 3 4 3 5" xfId="9740" xr:uid="{5CBCA5FF-8AB7-4EDD-A26C-430EAA2D8422}"/>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24964" xr:uid="{87AE7B25-B708-407E-8B71-F1BC9E964C8E}"/>
    <cellStyle name="Normal 2 4 2 3 4 4 2 2 3" xfId="16516" xr:uid="{1DD4B152-804F-4838-BA60-1CADDF97B4C7}"/>
    <cellStyle name="Normal 2 4 2 3 4 4 2 3" xfId="20746" xr:uid="{34CA8B17-4A84-49BD-8390-049A2E46B6DF}"/>
    <cellStyle name="Normal 2 4 2 3 4 4 2 4" xfId="12298" xr:uid="{36F849EB-BC61-42DA-8640-CA742D213168}"/>
    <cellStyle name="Normal 2 4 2 3 4 4 3" xfId="5921" xr:uid="{00000000-0005-0000-0000-00001C0F0000}"/>
    <cellStyle name="Normal 2 4 2 3 4 4 3 2" xfId="22819" xr:uid="{815536D3-55E1-487D-859C-9BDEFB686DFD}"/>
    <cellStyle name="Normal 2 4 2 3 4 4 3 3" xfId="14371" xr:uid="{F4E2FD59-CFD3-42A9-93CE-64A4788A6384}"/>
    <cellStyle name="Normal 2 4 2 3 4 4 4" xfId="18601" xr:uid="{C9E0F741-F79E-43AD-90B5-F1D406827936}"/>
    <cellStyle name="Normal 2 4 2 3 4 4 5" xfId="10153" xr:uid="{8E2B95FD-8B4B-49C6-88B2-C61F2778AC21}"/>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25377" xr:uid="{46B370E5-642B-4F45-9F6B-A28E24546E4C}"/>
    <cellStyle name="Normal 2 4 2 3 4 5 2 2 3" xfId="16929" xr:uid="{E52AD875-DAD3-4254-AEF1-F9AF23ABAB39}"/>
    <cellStyle name="Normal 2 4 2 3 4 5 2 3" xfId="21159" xr:uid="{1C464685-8F5A-4C78-BF7C-A77707FDF663}"/>
    <cellStyle name="Normal 2 4 2 3 4 5 2 4" xfId="12711" xr:uid="{7CF0F62C-BE20-4890-BD52-E0D7C64B9255}"/>
    <cellStyle name="Normal 2 4 2 3 4 5 3" xfId="6334" xr:uid="{00000000-0005-0000-0000-0000200F0000}"/>
    <cellStyle name="Normal 2 4 2 3 4 5 3 2" xfId="23232" xr:uid="{C57CBA6F-B235-4C05-A978-7404F1F57CD8}"/>
    <cellStyle name="Normal 2 4 2 3 4 5 3 3" xfId="14784" xr:uid="{D6AF3ADD-7CF5-4627-B215-CDD7213F4B1A}"/>
    <cellStyle name="Normal 2 4 2 3 4 5 4" xfId="19014" xr:uid="{2C389D82-3BC9-4BF2-995C-69CB070F6C6C}"/>
    <cellStyle name="Normal 2 4 2 3 4 5 5" xfId="10566" xr:uid="{6287256E-44BE-4F70-956E-6BEA9EB8CD92}"/>
    <cellStyle name="Normal 2 4 2 3 4 6" xfId="2464" xr:uid="{00000000-0005-0000-0000-0000210F0000}"/>
    <cellStyle name="Normal 2 4 2 3 4 6 2" xfId="6747" xr:uid="{00000000-0005-0000-0000-0000220F0000}"/>
    <cellStyle name="Normal 2 4 2 3 4 6 2 2" xfId="23645" xr:uid="{2C708217-B655-416E-8D0A-1180BE1CC39C}"/>
    <cellStyle name="Normal 2 4 2 3 4 6 2 3" xfId="15197" xr:uid="{6C3F07AE-6084-4C2E-8B48-C998B9154660}"/>
    <cellStyle name="Normal 2 4 2 3 4 6 3" xfId="19427" xr:uid="{C8737FE7-E08C-40CB-9FA0-5F4B14C50F77}"/>
    <cellStyle name="Normal 2 4 2 3 4 6 4" xfId="10979" xr:uid="{BF1A0CEB-76C1-4D03-912A-95118D079B57}"/>
    <cellStyle name="Normal 2 4 2 3 4 7" xfId="4681" xr:uid="{00000000-0005-0000-0000-0000230F0000}"/>
    <cellStyle name="Normal 2 4 2 3 4 7 2" xfId="21579" xr:uid="{A78355C3-2B6D-4B45-8B03-69F77208DF48}"/>
    <cellStyle name="Normal 2 4 2 3 4 7 3" xfId="13131" xr:uid="{88310E10-AD78-44FD-B286-82065582BE15}"/>
    <cellStyle name="Normal 2 4 2 3 4 8" xfId="17361" xr:uid="{E58DD118-B4A6-460D-9526-D161713D6A14}"/>
    <cellStyle name="Normal 2 4 2 3 4 9" xfId="8913" xr:uid="{4009EBC0-6E8F-40C6-8C4C-2530C96E10E8}"/>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24131" xr:uid="{1B80077B-C111-4AC6-B273-6DEF359E4800}"/>
    <cellStyle name="Normal 2 4 2 3 5 2 2 3" xfId="15683" xr:uid="{33833773-4843-44DD-95B5-C50D682FC3F6}"/>
    <cellStyle name="Normal 2 4 2 3 5 2 3" xfId="19913" xr:uid="{580A5F2B-BE82-4F99-AA1C-F53004E9CAED}"/>
    <cellStyle name="Normal 2 4 2 3 5 2 4" xfId="11465" xr:uid="{299DF656-3B50-4CC6-A861-34E09655ECF2}"/>
    <cellStyle name="Normal 2 4 2 3 5 3" xfId="5088" xr:uid="{00000000-0005-0000-0000-0000270F0000}"/>
    <cellStyle name="Normal 2 4 2 3 5 3 2" xfId="21986" xr:uid="{7B970E23-1649-4D3A-AB86-B676999C52D2}"/>
    <cellStyle name="Normal 2 4 2 3 5 3 3" xfId="13538" xr:uid="{07D8AE0D-1784-4941-AE9C-DACF51CD99AE}"/>
    <cellStyle name="Normal 2 4 2 3 5 4" xfId="17768" xr:uid="{BDE13082-608C-4A4E-8864-EE4C46C2E3F0}"/>
    <cellStyle name="Normal 2 4 2 3 5 5" xfId="9320" xr:uid="{6BFC79C2-6D6D-452E-A5B4-E686968EBC22}"/>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24544" xr:uid="{C6CAF7B7-9AE7-42EB-AC73-28F273E3AC30}"/>
    <cellStyle name="Normal 2 4 2 3 6 2 2 3" xfId="16096" xr:uid="{AA77BC0C-FAC5-4F7A-BFED-9B878B85304B}"/>
    <cellStyle name="Normal 2 4 2 3 6 2 3" xfId="20326" xr:uid="{00BC143B-5E16-4628-9DF9-FDC7B5DE536D}"/>
    <cellStyle name="Normal 2 4 2 3 6 2 4" xfId="11878" xr:uid="{6F824835-37EB-4373-90B9-4BED1F6B8F52}"/>
    <cellStyle name="Normal 2 4 2 3 6 3" xfId="5501" xr:uid="{00000000-0005-0000-0000-00002B0F0000}"/>
    <cellStyle name="Normal 2 4 2 3 6 3 2" xfId="22399" xr:uid="{244AA897-C65F-410A-AD37-110CC33EF30D}"/>
    <cellStyle name="Normal 2 4 2 3 6 3 3" xfId="13951" xr:uid="{EB160B63-835E-4F2E-B62F-E8A7F3F45DE3}"/>
    <cellStyle name="Normal 2 4 2 3 6 4" xfId="18181" xr:uid="{6DC7CC8B-E9F5-43E7-8DC2-7592B6D6FA22}"/>
    <cellStyle name="Normal 2 4 2 3 6 5" xfId="9733" xr:uid="{385469ED-7E23-4E08-9983-E4F497F3D18F}"/>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24957" xr:uid="{C9FA131F-2207-418D-BD7F-09082D035779}"/>
    <cellStyle name="Normal 2 4 2 3 7 2 2 3" xfId="16509" xr:uid="{D8A43B84-FAE5-407D-A85F-0CECA55BE01F}"/>
    <cellStyle name="Normal 2 4 2 3 7 2 3" xfId="20739" xr:uid="{F55D673D-B306-458A-97B7-BED7901141B0}"/>
    <cellStyle name="Normal 2 4 2 3 7 2 4" xfId="12291" xr:uid="{B59E31D3-25D2-442B-92B0-F044A0F602BE}"/>
    <cellStyle name="Normal 2 4 2 3 7 3" xfId="5914" xr:uid="{00000000-0005-0000-0000-00002F0F0000}"/>
    <cellStyle name="Normal 2 4 2 3 7 3 2" xfId="22812" xr:uid="{33420D39-5B08-4F66-8FC5-BF62ED20EB41}"/>
    <cellStyle name="Normal 2 4 2 3 7 3 3" xfId="14364" xr:uid="{92C36776-3061-46B7-ACD5-95B478D2047E}"/>
    <cellStyle name="Normal 2 4 2 3 7 4" xfId="18594" xr:uid="{F445B355-4480-456E-8F9C-DE165F9FA0D5}"/>
    <cellStyle name="Normal 2 4 2 3 7 5" xfId="10146" xr:uid="{4FAFEFE4-D993-47B9-8E5C-E8812854AC91}"/>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25370" xr:uid="{37675A6E-0DE3-4654-BFE6-239485743E48}"/>
    <cellStyle name="Normal 2 4 2 3 8 2 2 3" xfId="16922" xr:uid="{877C346C-7540-42BC-AEB1-6AF7000809DC}"/>
    <cellStyle name="Normal 2 4 2 3 8 2 3" xfId="21152" xr:uid="{E7959A7B-69BF-41BE-A00E-72ADA2DAFE8D}"/>
    <cellStyle name="Normal 2 4 2 3 8 2 4" xfId="12704" xr:uid="{F745A258-0F25-4311-98B6-AD2A736C6CDC}"/>
    <cellStyle name="Normal 2 4 2 3 8 3" xfId="6327" xr:uid="{00000000-0005-0000-0000-0000330F0000}"/>
    <cellStyle name="Normal 2 4 2 3 8 3 2" xfId="23225" xr:uid="{10F457F4-06EA-42BF-8953-F784AC348A36}"/>
    <cellStyle name="Normal 2 4 2 3 8 3 3" xfId="14777" xr:uid="{75AF24B3-57EB-486F-B29C-2762DA12F330}"/>
    <cellStyle name="Normal 2 4 2 3 8 4" xfId="19007" xr:uid="{A2EF6EE6-5F5F-4310-8A99-4FBF16792383}"/>
    <cellStyle name="Normal 2 4 2 3 8 5" xfId="10559" xr:uid="{118A3750-D7DC-4331-9E4E-BED914CF759B}"/>
    <cellStyle name="Normal 2 4 2 3 9" xfId="2457" xr:uid="{00000000-0005-0000-0000-0000340F0000}"/>
    <cellStyle name="Normal 2 4 2 3 9 2" xfId="6740" xr:uid="{00000000-0005-0000-0000-0000350F0000}"/>
    <cellStyle name="Normal 2 4 2 3 9 2 2" xfId="23638" xr:uid="{B3A4B8DD-2CCB-4447-94BE-378B6680B976}"/>
    <cellStyle name="Normal 2 4 2 3 9 2 3" xfId="15190" xr:uid="{471A84FC-487E-48FA-9E95-61763613A993}"/>
    <cellStyle name="Normal 2 4 2 3 9 3" xfId="19420" xr:uid="{0ED6D0F6-6CFD-4089-B144-E8366878D982}"/>
    <cellStyle name="Normal 2 4 2 3 9 4" xfId="10972" xr:uid="{AF6F3CAC-873D-41C8-AE18-6E26F70F6140}"/>
    <cellStyle name="Normal 2 4 2 4" xfId="289" xr:uid="{00000000-0005-0000-0000-0000360F0000}"/>
    <cellStyle name="Normal 2 4 2 4 10" xfId="17362" xr:uid="{F5592186-A263-438A-8DA4-8A9E4FF2EBB2}"/>
    <cellStyle name="Normal 2 4 2 4 11" xfId="8914" xr:uid="{94F41AF8-8FF3-49C6-AF3F-2D57A4CFF457}"/>
    <cellStyle name="Normal 2 4 2 4 2" xfId="290" xr:uid="{00000000-0005-0000-0000-0000370F0000}"/>
    <cellStyle name="Normal 2 4 2 4 2 10" xfId="8915" xr:uid="{0BB74F79-E87B-48AC-ABD7-24609C014113}"/>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24141" xr:uid="{1D0E9134-9364-4FA7-9F6E-4574C939F5D1}"/>
    <cellStyle name="Normal 2 4 2 4 2 2 2 2 2 3" xfId="15693" xr:uid="{23CA4BFA-15DB-4647-922A-761D1B5DE32A}"/>
    <cellStyle name="Normal 2 4 2 4 2 2 2 2 3" xfId="19923" xr:uid="{1C8534D8-D562-4D4E-A702-53F35162ECF7}"/>
    <cellStyle name="Normal 2 4 2 4 2 2 2 2 4" xfId="11475" xr:uid="{20397B8B-250E-4499-A7E3-20A538A750D2}"/>
    <cellStyle name="Normal 2 4 2 4 2 2 2 3" xfId="5098" xr:uid="{00000000-0005-0000-0000-00003C0F0000}"/>
    <cellStyle name="Normal 2 4 2 4 2 2 2 3 2" xfId="21996" xr:uid="{0549954B-95B0-4DB4-AE8E-F5054CBD1991}"/>
    <cellStyle name="Normal 2 4 2 4 2 2 2 3 3" xfId="13548" xr:uid="{3815B9BC-0E27-474E-B14D-FA5486DAA880}"/>
    <cellStyle name="Normal 2 4 2 4 2 2 2 4" xfId="17778" xr:uid="{95D4881E-3EC9-4787-A48E-E47D957325A3}"/>
    <cellStyle name="Normal 2 4 2 4 2 2 2 5" xfId="9330" xr:uid="{7DB3E5A6-73DF-4EC2-8B0C-055939F67654}"/>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24554" xr:uid="{D0352A47-01A0-4B28-8FE9-2A5DABA728D6}"/>
    <cellStyle name="Normal 2 4 2 4 2 2 3 2 2 3" xfId="16106" xr:uid="{F57BFEF1-07C4-40CA-A39B-1FB6790F31D3}"/>
    <cellStyle name="Normal 2 4 2 4 2 2 3 2 3" xfId="20336" xr:uid="{6681B3B0-63CE-4D37-B9DA-0FB6E63D42E6}"/>
    <cellStyle name="Normal 2 4 2 4 2 2 3 2 4" xfId="11888" xr:uid="{ADD643FB-7898-4B4C-B464-FD1771676434}"/>
    <cellStyle name="Normal 2 4 2 4 2 2 3 3" xfId="5511" xr:uid="{00000000-0005-0000-0000-0000400F0000}"/>
    <cellStyle name="Normal 2 4 2 4 2 2 3 3 2" xfId="22409" xr:uid="{BBC93C72-FEA2-4699-9259-3B06556EE288}"/>
    <cellStyle name="Normal 2 4 2 4 2 2 3 3 3" xfId="13961" xr:uid="{FB5BCB48-1AC1-4505-9268-F2DA6EB2D261}"/>
    <cellStyle name="Normal 2 4 2 4 2 2 3 4" xfId="18191" xr:uid="{D84E4ADC-E2D4-477E-BBC5-30D3AA77134A}"/>
    <cellStyle name="Normal 2 4 2 4 2 2 3 5" xfId="9743" xr:uid="{B28DB8D7-8D85-4C08-9BC1-7F911F57EB85}"/>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24967" xr:uid="{2806D411-2151-4D0F-B15C-8CC762FDFD02}"/>
    <cellStyle name="Normal 2 4 2 4 2 2 4 2 2 3" xfId="16519" xr:uid="{7727DD66-DE39-427F-A9BB-FA8F7E35922E}"/>
    <cellStyle name="Normal 2 4 2 4 2 2 4 2 3" xfId="20749" xr:uid="{FD099ED9-46A8-48D7-B5BF-16CA6A382103}"/>
    <cellStyle name="Normal 2 4 2 4 2 2 4 2 4" xfId="12301" xr:uid="{F48A5EB6-8C54-4699-A2AB-E375253CAEFC}"/>
    <cellStyle name="Normal 2 4 2 4 2 2 4 3" xfId="5924" xr:uid="{00000000-0005-0000-0000-0000440F0000}"/>
    <cellStyle name="Normal 2 4 2 4 2 2 4 3 2" xfId="22822" xr:uid="{D32A3825-05B2-498D-A41E-35BCFE3ADEB2}"/>
    <cellStyle name="Normal 2 4 2 4 2 2 4 3 3" xfId="14374" xr:uid="{BFE14FF3-42E5-481D-ABAD-DC91844CE694}"/>
    <cellStyle name="Normal 2 4 2 4 2 2 4 4" xfId="18604" xr:uid="{FC43B56E-2544-40F3-81B4-8C79E0218A62}"/>
    <cellStyle name="Normal 2 4 2 4 2 2 4 5" xfId="10156" xr:uid="{390BB1BD-EEF7-4EC1-ABD3-550212CC43A4}"/>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25380" xr:uid="{38B598B0-4484-4029-8BB0-D04DC9C4FF36}"/>
    <cellStyle name="Normal 2 4 2 4 2 2 5 2 2 3" xfId="16932" xr:uid="{40C4B85A-27F5-493E-AF28-FE661040D54E}"/>
    <cellStyle name="Normal 2 4 2 4 2 2 5 2 3" xfId="21162" xr:uid="{6C3C9CA5-DD09-4554-8FA9-285A9E7B6D87}"/>
    <cellStyle name="Normal 2 4 2 4 2 2 5 2 4" xfId="12714" xr:uid="{B0446846-5207-400C-B3DC-CA6115416BEC}"/>
    <cellStyle name="Normal 2 4 2 4 2 2 5 3" xfId="6337" xr:uid="{00000000-0005-0000-0000-0000480F0000}"/>
    <cellStyle name="Normal 2 4 2 4 2 2 5 3 2" xfId="23235" xr:uid="{9B92ADAB-AF15-4A8C-A835-E865E6751DDE}"/>
    <cellStyle name="Normal 2 4 2 4 2 2 5 3 3" xfId="14787" xr:uid="{D65A2E55-0BEC-4953-BBF2-E9C65ED56370}"/>
    <cellStyle name="Normal 2 4 2 4 2 2 5 4" xfId="19017" xr:uid="{1547985B-B1BC-4AD4-98AA-57038D108B4F}"/>
    <cellStyle name="Normal 2 4 2 4 2 2 5 5" xfId="10569" xr:uid="{6B32E137-C638-4EB5-8FA4-C6E1E9519A8B}"/>
    <cellStyle name="Normal 2 4 2 4 2 2 6" xfId="2467" xr:uid="{00000000-0005-0000-0000-0000490F0000}"/>
    <cellStyle name="Normal 2 4 2 4 2 2 6 2" xfId="6750" xr:uid="{00000000-0005-0000-0000-00004A0F0000}"/>
    <cellStyle name="Normal 2 4 2 4 2 2 6 2 2" xfId="23648" xr:uid="{2CCD9919-2958-474D-84A9-320F374F1FB8}"/>
    <cellStyle name="Normal 2 4 2 4 2 2 6 2 3" xfId="15200" xr:uid="{BBEA5932-DEAB-4F83-9A3E-81D6F9F6A9A4}"/>
    <cellStyle name="Normal 2 4 2 4 2 2 6 3" xfId="19430" xr:uid="{41076C9D-F01C-48A9-AADF-66DB63EE65E9}"/>
    <cellStyle name="Normal 2 4 2 4 2 2 6 4" xfId="10982" xr:uid="{E6E82BDE-73D5-4F26-909C-30BCC5288936}"/>
    <cellStyle name="Normal 2 4 2 4 2 2 7" xfId="4684" xr:uid="{00000000-0005-0000-0000-00004B0F0000}"/>
    <cellStyle name="Normal 2 4 2 4 2 2 7 2" xfId="21582" xr:uid="{79B52111-1D25-431A-93D7-AC059E0A3D3A}"/>
    <cellStyle name="Normal 2 4 2 4 2 2 7 3" xfId="13134" xr:uid="{9508C2AB-EE16-4D46-98A9-28E7B613C5BB}"/>
    <cellStyle name="Normal 2 4 2 4 2 2 8" xfId="17364" xr:uid="{B98EA878-4451-4FF9-8836-92B4A675A6A4}"/>
    <cellStyle name="Normal 2 4 2 4 2 2 9" xfId="8916" xr:uid="{ADCFFD2C-F8E1-4A14-B94C-623F6749158E}"/>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24140" xr:uid="{168A1566-F0DD-4D4B-A324-8EAB045CF9FA}"/>
    <cellStyle name="Normal 2 4 2 4 2 3 2 2 3" xfId="15692" xr:uid="{44A482CB-6604-4EB5-B66E-F1594A557917}"/>
    <cellStyle name="Normal 2 4 2 4 2 3 2 3" xfId="19922" xr:uid="{C7319A94-B843-4544-A25C-DBB96BE8EFA6}"/>
    <cellStyle name="Normal 2 4 2 4 2 3 2 4" xfId="11474" xr:uid="{574189D8-E167-47E1-9530-2B817D2E2DBB}"/>
    <cellStyle name="Normal 2 4 2 4 2 3 3" xfId="5097" xr:uid="{00000000-0005-0000-0000-00004F0F0000}"/>
    <cellStyle name="Normal 2 4 2 4 2 3 3 2" xfId="21995" xr:uid="{E41939EF-E4E9-42A7-A581-D5ED76F2D160}"/>
    <cellStyle name="Normal 2 4 2 4 2 3 3 3" xfId="13547" xr:uid="{A64256E3-79C7-42A5-BB03-C6AB2C491B7B}"/>
    <cellStyle name="Normal 2 4 2 4 2 3 4" xfId="17777" xr:uid="{EA18CE1E-3B57-48CA-9CAE-7E6699CD7B6A}"/>
    <cellStyle name="Normal 2 4 2 4 2 3 5" xfId="9329" xr:uid="{CC55B1FA-7934-4421-AC63-8EAE3E2CEF9E}"/>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24553" xr:uid="{93859F48-1DF5-457A-B068-02E79591D401}"/>
    <cellStyle name="Normal 2 4 2 4 2 4 2 2 3" xfId="16105" xr:uid="{13B745D3-87BF-4E3E-A400-30B73E7A1780}"/>
    <cellStyle name="Normal 2 4 2 4 2 4 2 3" xfId="20335" xr:uid="{242FAE57-20A8-4963-BE40-768EEDC8FB57}"/>
    <cellStyle name="Normal 2 4 2 4 2 4 2 4" xfId="11887" xr:uid="{F92F3B78-09C5-4616-81AF-954FAE623A7A}"/>
    <cellStyle name="Normal 2 4 2 4 2 4 3" xfId="5510" xr:uid="{00000000-0005-0000-0000-0000530F0000}"/>
    <cellStyle name="Normal 2 4 2 4 2 4 3 2" xfId="22408" xr:uid="{C4EC7720-4B9B-465B-9F17-343AA21BF539}"/>
    <cellStyle name="Normal 2 4 2 4 2 4 3 3" xfId="13960" xr:uid="{4AE5E417-0007-4DDE-BFCE-3E1C4449FF73}"/>
    <cellStyle name="Normal 2 4 2 4 2 4 4" xfId="18190" xr:uid="{9D6A893A-3BED-411A-A70F-F4BC8FA138D4}"/>
    <cellStyle name="Normal 2 4 2 4 2 4 5" xfId="9742" xr:uid="{93622244-04BC-4165-BEB0-E4ECB47AC73F}"/>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24966" xr:uid="{EDFF8CE6-DFE9-4629-8D2F-C8DD70A4CB0C}"/>
    <cellStyle name="Normal 2 4 2 4 2 5 2 2 3" xfId="16518" xr:uid="{68BD9CE9-462F-4D33-BA50-A0F045FD2E23}"/>
    <cellStyle name="Normal 2 4 2 4 2 5 2 3" xfId="20748" xr:uid="{AC935506-05D0-4005-A136-21AA184F8417}"/>
    <cellStyle name="Normal 2 4 2 4 2 5 2 4" xfId="12300" xr:uid="{6380331A-06E6-48EF-8840-E6B5BE5AFC7D}"/>
    <cellStyle name="Normal 2 4 2 4 2 5 3" xfId="5923" xr:uid="{00000000-0005-0000-0000-0000570F0000}"/>
    <cellStyle name="Normal 2 4 2 4 2 5 3 2" xfId="22821" xr:uid="{03062DCB-5DC0-443F-9718-82DBC47733D7}"/>
    <cellStyle name="Normal 2 4 2 4 2 5 3 3" xfId="14373" xr:uid="{4CD5240F-D7AB-4C25-8079-9CEDDE01EFA6}"/>
    <cellStyle name="Normal 2 4 2 4 2 5 4" xfId="18603" xr:uid="{B42C30D3-96E4-4249-B414-1B4BE898E790}"/>
    <cellStyle name="Normal 2 4 2 4 2 5 5" xfId="10155" xr:uid="{B27DD722-1768-4A99-BA1F-B6AE7890A0CD}"/>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25379" xr:uid="{D5CD1D54-FF76-49F2-A1DA-DF683CAC8CCF}"/>
    <cellStyle name="Normal 2 4 2 4 2 6 2 2 3" xfId="16931" xr:uid="{2F190C5F-62F5-4BC1-A666-FDD42551F6F3}"/>
    <cellStyle name="Normal 2 4 2 4 2 6 2 3" xfId="21161" xr:uid="{B623E8AA-29A4-42D1-9D9C-6D3935BD668C}"/>
    <cellStyle name="Normal 2 4 2 4 2 6 2 4" xfId="12713" xr:uid="{4138A9AA-9D07-4DFC-AABE-765C5AB0898D}"/>
    <cellStyle name="Normal 2 4 2 4 2 6 3" xfId="6336" xr:uid="{00000000-0005-0000-0000-00005B0F0000}"/>
    <cellStyle name="Normal 2 4 2 4 2 6 3 2" xfId="23234" xr:uid="{FAC67406-C149-4357-86C3-BF2A089FA850}"/>
    <cellStyle name="Normal 2 4 2 4 2 6 3 3" xfId="14786" xr:uid="{F2A351FE-45B0-4227-8586-8FEC522C209A}"/>
    <cellStyle name="Normal 2 4 2 4 2 6 4" xfId="19016" xr:uid="{D5E3DFBC-8DBF-4B84-B9AD-D127CCFFF751}"/>
    <cellStyle name="Normal 2 4 2 4 2 6 5" xfId="10568" xr:uid="{99F0D845-9894-4673-A9EC-789C3C40E35F}"/>
    <cellStyle name="Normal 2 4 2 4 2 7" xfId="2466" xr:uid="{00000000-0005-0000-0000-00005C0F0000}"/>
    <cellStyle name="Normal 2 4 2 4 2 7 2" xfId="6749" xr:uid="{00000000-0005-0000-0000-00005D0F0000}"/>
    <cellStyle name="Normal 2 4 2 4 2 7 2 2" xfId="23647" xr:uid="{C9703548-BA92-4D9D-A0B9-0AB22468CCB9}"/>
    <cellStyle name="Normal 2 4 2 4 2 7 2 3" xfId="15199" xr:uid="{027CD72F-6015-45EF-8D9D-F4FBBC8B57EE}"/>
    <cellStyle name="Normal 2 4 2 4 2 7 3" xfId="19429" xr:uid="{7681EBFC-6DA5-4B95-968B-64AE8871FA6C}"/>
    <cellStyle name="Normal 2 4 2 4 2 7 4" xfId="10981" xr:uid="{7A5E0EF7-E737-45DB-9062-E4976037CDBB}"/>
    <cellStyle name="Normal 2 4 2 4 2 8" xfId="4683" xr:uid="{00000000-0005-0000-0000-00005E0F0000}"/>
    <cellStyle name="Normal 2 4 2 4 2 8 2" xfId="21581" xr:uid="{57512E31-99FF-4C9C-A099-7E8D1B257F9B}"/>
    <cellStyle name="Normal 2 4 2 4 2 8 3" xfId="13133" xr:uid="{2DEF3D27-743A-453D-9873-346833CA29C9}"/>
    <cellStyle name="Normal 2 4 2 4 2 9" xfId="17363" xr:uid="{11B3C20F-458D-4AAF-9412-225F2CDE53CB}"/>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24142" xr:uid="{437D5213-093E-4DCD-846F-FF24939CA0BD}"/>
    <cellStyle name="Normal 2 4 2 4 3 2 2 2 3" xfId="15694" xr:uid="{A6844F09-CBC0-4061-9901-5479A4C0333B}"/>
    <cellStyle name="Normal 2 4 2 4 3 2 2 3" xfId="19924" xr:uid="{B8BE8D31-85F2-453F-8A06-E2E518DCA929}"/>
    <cellStyle name="Normal 2 4 2 4 3 2 2 4" xfId="11476" xr:uid="{8AD9C200-FE8B-40A9-9CDA-D994FB1DCB3D}"/>
    <cellStyle name="Normal 2 4 2 4 3 2 3" xfId="5099" xr:uid="{00000000-0005-0000-0000-0000630F0000}"/>
    <cellStyle name="Normal 2 4 2 4 3 2 3 2" xfId="21997" xr:uid="{DE5A6566-5C59-4C37-850C-ECB9A4596AA3}"/>
    <cellStyle name="Normal 2 4 2 4 3 2 3 3" xfId="13549" xr:uid="{7C70F2F1-468E-479F-B164-732122EB1CBF}"/>
    <cellStyle name="Normal 2 4 2 4 3 2 4" xfId="17779" xr:uid="{E27BF8E5-2945-4C93-A5A6-017E7D32224F}"/>
    <cellStyle name="Normal 2 4 2 4 3 2 5" xfId="9331" xr:uid="{FD2DD3FD-3E3F-4B3E-82AF-DFE3469D02C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24555" xr:uid="{65EF354F-6C5F-4DEA-B455-BE29B6976BDA}"/>
    <cellStyle name="Normal 2 4 2 4 3 3 2 2 3" xfId="16107" xr:uid="{841B80B3-E19C-4FA9-897D-240951F2B80E}"/>
    <cellStyle name="Normal 2 4 2 4 3 3 2 3" xfId="20337" xr:uid="{2B34E50C-90F8-4BD0-80AA-19D2A10C1BFA}"/>
    <cellStyle name="Normal 2 4 2 4 3 3 2 4" xfId="11889" xr:uid="{7D5C0035-0C61-47D4-862C-6EC6A0D7B1CC}"/>
    <cellStyle name="Normal 2 4 2 4 3 3 3" xfId="5512" xr:uid="{00000000-0005-0000-0000-0000670F0000}"/>
    <cellStyle name="Normal 2 4 2 4 3 3 3 2" xfId="22410" xr:uid="{7A4DF05C-89FB-4974-BC20-87B7B65778B2}"/>
    <cellStyle name="Normal 2 4 2 4 3 3 3 3" xfId="13962" xr:uid="{F3AC50DC-4330-4949-9913-A320BFCED3A8}"/>
    <cellStyle name="Normal 2 4 2 4 3 3 4" xfId="18192" xr:uid="{E521E221-6C7B-4778-84F5-AD62E9B70C0E}"/>
    <cellStyle name="Normal 2 4 2 4 3 3 5" xfId="9744" xr:uid="{8D0DD38F-DE6E-4082-9FC6-8C216CAE46A1}"/>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24968" xr:uid="{0025EE5C-6659-4165-AF97-27E2CFE3B6D3}"/>
    <cellStyle name="Normal 2 4 2 4 3 4 2 2 3" xfId="16520" xr:uid="{2FCBDDDC-BEB6-4260-83D8-13B98B0BAB95}"/>
    <cellStyle name="Normal 2 4 2 4 3 4 2 3" xfId="20750" xr:uid="{24E04437-2B80-43AF-89C7-542AABE070A3}"/>
    <cellStyle name="Normal 2 4 2 4 3 4 2 4" xfId="12302" xr:uid="{4B82780D-AC83-40DF-B074-3F5751F62BD2}"/>
    <cellStyle name="Normal 2 4 2 4 3 4 3" xfId="5925" xr:uid="{00000000-0005-0000-0000-00006B0F0000}"/>
    <cellStyle name="Normal 2 4 2 4 3 4 3 2" xfId="22823" xr:uid="{C98A7364-D1C2-4B23-B218-74AC7E5B173F}"/>
    <cellStyle name="Normal 2 4 2 4 3 4 3 3" xfId="14375" xr:uid="{778202F5-6D24-499F-823F-2797571E8303}"/>
    <cellStyle name="Normal 2 4 2 4 3 4 4" xfId="18605" xr:uid="{1FFDC1B2-2581-40FF-BC95-A0D27F6AD139}"/>
    <cellStyle name="Normal 2 4 2 4 3 4 5" xfId="10157" xr:uid="{7DDD9EF9-2988-4D83-B425-2783168E63EC}"/>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25381" xr:uid="{A7D6EC17-EE02-4DAA-9E19-36F51B312ACF}"/>
    <cellStyle name="Normal 2 4 2 4 3 5 2 2 3" xfId="16933" xr:uid="{5BE459B8-962A-4CE8-9027-0741407DD4E6}"/>
    <cellStyle name="Normal 2 4 2 4 3 5 2 3" xfId="21163" xr:uid="{96F3C996-94C9-47CF-A5E5-DAB113B834E8}"/>
    <cellStyle name="Normal 2 4 2 4 3 5 2 4" xfId="12715" xr:uid="{045A5CBA-9370-4B32-A77C-D806CE63B962}"/>
    <cellStyle name="Normal 2 4 2 4 3 5 3" xfId="6338" xr:uid="{00000000-0005-0000-0000-00006F0F0000}"/>
    <cellStyle name="Normal 2 4 2 4 3 5 3 2" xfId="23236" xr:uid="{08EF361C-CE6A-46F6-B852-4266C7877836}"/>
    <cellStyle name="Normal 2 4 2 4 3 5 3 3" xfId="14788" xr:uid="{2BE9376A-7CC3-4C9E-AD4C-5CFA3DAB90BF}"/>
    <cellStyle name="Normal 2 4 2 4 3 5 4" xfId="19018" xr:uid="{64EA2B37-DF28-44F8-A31E-4A4D9A02AC22}"/>
    <cellStyle name="Normal 2 4 2 4 3 5 5" xfId="10570" xr:uid="{D929A298-F66E-443F-80B7-EEDA2B62BC9A}"/>
    <cellStyle name="Normal 2 4 2 4 3 6" xfId="2468" xr:uid="{00000000-0005-0000-0000-0000700F0000}"/>
    <cellStyle name="Normal 2 4 2 4 3 6 2" xfId="6751" xr:uid="{00000000-0005-0000-0000-0000710F0000}"/>
    <cellStyle name="Normal 2 4 2 4 3 6 2 2" xfId="23649" xr:uid="{43E7296D-9E94-4C4E-9625-7AE86A8ED19B}"/>
    <cellStyle name="Normal 2 4 2 4 3 6 2 3" xfId="15201" xr:uid="{5DE6B14D-1C3B-4808-88B3-408D8CDBD5B0}"/>
    <cellStyle name="Normal 2 4 2 4 3 6 3" xfId="19431" xr:uid="{36D2D14E-0DB0-4842-A61C-ED69E8F22747}"/>
    <cellStyle name="Normal 2 4 2 4 3 6 4" xfId="10983" xr:uid="{D3810A18-BEB2-44F8-B652-6B94353706EB}"/>
    <cellStyle name="Normal 2 4 2 4 3 7" xfId="4685" xr:uid="{00000000-0005-0000-0000-0000720F0000}"/>
    <cellStyle name="Normal 2 4 2 4 3 7 2" xfId="21583" xr:uid="{C1685CD5-8242-472C-8744-50C5DFDC9037}"/>
    <cellStyle name="Normal 2 4 2 4 3 7 3" xfId="13135" xr:uid="{AF891F15-9AB8-4BAC-91E5-5FF8E9E1D8AB}"/>
    <cellStyle name="Normal 2 4 2 4 3 8" xfId="17365" xr:uid="{5EA05037-5704-4986-A225-A8599EC21775}"/>
    <cellStyle name="Normal 2 4 2 4 3 9" xfId="8917" xr:uid="{769EF930-9614-4E52-AD29-99FAC11C13D8}"/>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24139" xr:uid="{DC595817-8B45-4D19-82A0-408DAA66AEEC}"/>
    <cellStyle name="Normal 2 4 2 4 4 2 2 3" xfId="15691" xr:uid="{F36B984E-67DE-4555-AB08-5300C33983A1}"/>
    <cellStyle name="Normal 2 4 2 4 4 2 3" xfId="19921" xr:uid="{4729A6C0-1FB7-4444-8D08-B54C58D1993C}"/>
    <cellStyle name="Normal 2 4 2 4 4 2 4" xfId="11473" xr:uid="{BAA1E1B2-41BE-4C27-B619-15CEA3C7569F}"/>
    <cellStyle name="Normal 2 4 2 4 4 3" xfId="5096" xr:uid="{00000000-0005-0000-0000-0000760F0000}"/>
    <cellStyle name="Normal 2 4 2 4 4 3 2" xfId="21994" xr:uid="{2064FD22-B69A-4BE4-AF64-49FA482EBBCC}"/>
    <cellStyle name="Normal 2 4 2 4 4 3 3" xfId="13546" xr:uid="{BAA7533E-09CA-4DE8-B604-3A5C1D9520DA}"/>
    <cellStyle name="Normal 2 4 2 4 4 4" xfId="17776" xr:uid="{C2704843-64E4-41AE-8FAA-8BE4B66752FF}"/>
    <cellStyle name="Normal 2 4 2 4 4 5" xfId="9328" xr:uid="{0DD7EAC6-F868-47B5-8B1C-EAD226F342D8}"/>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24552" xr:uid="{173A5D5E-D28E-48C7-AA02-299437319A8C}"/>
    <cellStyle name="Normal 2 4 2 4 5 2 2 3" xfId="16104" xr:uid="{037B206A-348C-4E00-8136-A428FF063178}"/>
    <cellStyle name="Normal 2 4 2 4 5 2 3" xfId="20334" xr:uid="{4D9E20D2-991A-4204-A6BA-C2655BA75756}"/>
    <cellStyle name="Normal 2 4 2 4 5 2 4" xfId="11886" xr:uid="{EF9ACDFE-264F-42E1-8F88-48F763533BA3}"/>
    <cellStyle name="Normal 2 4 2 4 5 3" xfId="5509" xr:uid="{00000000-0005-0000-0000-00007A0F0000}"/>
    <cellStyle name="Normal 2 4 2 4 5 3 2" xfId="22407" xr:uid="{35B342E6-726F-4482-B5B8-83AC5D5F4AD3}"/>
    <cellStyle name="Normal 2 4 2 4 5 3 3" xfId="13959" xr:uid="{C5E2A7B6-F31F-4B0C-8933-5AA8BA41FF02}"/>
    <cellStyle name="Normal 2 4 2 4 5 4" xfId="18189" xr:uid="{49F7FF0F-0438-4DD7-B6E0-81D716263A8A}"/>
    <cellStyle name="Normal 2 4 2 4 5 5" xfId="9741" xr:uid="{EB3AA7AF-FDBD-4A63-B7D2-B9547EE320E6}"/>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24965" xr:uid="{4B4EF132-1C25-47E5-8A3A-6412B7EA87F5}"/>
    <cellStyle name="Normal 2 4 2 4 6 2 2 3" xfId="16517" xr:uid="{EE4EADCC-61F5-4D3C-9C7E-64D24E893FAD}"/>
    <cellStyle name="Normal 2 4 2 4 6 2 3" xfId="20747" xr:uid="{D543887A-7AEF-4F69-8BF4-C237D9762789}"/>
    <cellStyle name="Normal 2 4 2 4 6 2 4" xfId="12299" xr:uid="{154E2EC3-F44D-482C-B563-564860E35F34}"/>
    <cellStyle name="Normal 2 4 2 4 6 3" xfId="5922" xr:uid="{00000000-0005-0000-0000-00007E0F0000}"/>
    <cellStyle name="Normal 2 4 2 4 6 3 2" xfId="22820" xr:uid="{3D215294-1652-4AF3-9D9E-3B76DBF69475}"/>
    <cellStyle name="Normal 2 4 2 4 6 3 3" xfId="14372" xr:uid="{11C1445D-5DA4-46A9-B906-74E65BF761EC}"/>
    <cellStyle name="Normal 2 4 2 4 6 4" xfId="18602" xr:uid="{76ECA39D-2CB1-41CB-9091-A79724B9DB04}"/>
    <cellStyle name="Normal 2 4 2 4 6 5" xfId="10154" xr:uid="{8AA859C6-2600-49F2-8288-4881A666BC70}"/>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25378" xr:uid="{0626C7B5-BE31-46AD-9B16-AA245EE7FFF3}"/>
    <cellStyle name="Normal 2 4 2 4 7 2 2 3" xfId="16930" xr:uid="{436CDBD5-3E4E-427A-A235-F6476A2E8D98}"/>
    <cellStyle name="Normal 2 4 2 4 7 2 3" xfId="21160" xr:uid="{67B1B74C-0FF3-406B-BAFE-46CE53C6A1F9}"/>
    <cellStyle name="Normal 2 4 2 4 7 2 4" xfId="12712" xr:uid="{559137E2-9131-4582-9CDF-A9EB8AD87F41}"/>
    <cellStyle name="Normal 2 4 2 4 7 3" xfId="6335" xr:uid="{00000000-0005-0000-0000-0000820F0000}"/>
    <cellStyle name="Normal 2 4 2 4 7 3 2" xfId="23233" xr:uid="{F0695C53-3132-43F9-B53D-87A21E343E4F}"/>
    <cellStyle name="Normal 2 4 2 4 7 3 3" xfId="14785" xr:uid="{4E5986A1-5042-437B-B5BA-F5CC612DE497}"/>
    <cellStyle name="Normal 2 4 2 4 7 4" xfId="19015" xr:uid="{95B0EB90-832F-4511-B989-1F5941350783}"/>
    <cellStyle name="Normal 2 4 2 4 7 5" xfId="10567" xr:uid="{6BBDB421-04D6-4BCA-A367-51A5B10144DB}"/>
    <cellStyle name="Normal 2 4 2 4 8" xfId="2465" xr:uid="{00000000-0005-0000-0000-0000830F0000}"/>
    <cellStyle name="Normal 2 4 2 4 8 2" xfId="6748" xr:uid="{00000000-0005-0000-0000-0000840F0000}"/>
    <cellStyle name="Normal 2 4 2 4 8 2 2" xfId="23646" xr:uid="{5F7E16A8-4161-4950-B24E-AFA02FB64CB3}"/>
    <cellStyle name="Normal 2 4 2 4 8 2 3" xfId="15198" xr:uid="{23C78DAB-A979-4BB6-9CCA-49330D1893C4}"/>
    <cellStyle name="Normal 2 4 2 4 8 3" xfId="19428" xr:uid="{9A743EBA-3BDD-4102-8C5C-B26DECA3F22C}"/>
    <cellStyle name="Normal 2 4 2 4 8 4" xfId="10980" xr:uid="{819646C3-4446-4D75-8876-7CB5EB45C86B}"/>
    <cellStyle name="Normal 2 4 2 4 9" xfId="4682" xr:uid="{00000000-0005-0000-0000-0000850F0000}"/>
    <cellStyle name="Normal 2 4 2 4 9 2" xfId="21580" xr:uid="{DA47D51F-5532-4BE2-BE1D-76AE0C7F540A}"/>
    <cellStyle name="Normal 2 4 2 4 9 3" xfId="13132" xr:uid="{78B982A1-DDBC-423D-B005-CA28F2155164}"/>
    <cellStyle name="Normal 2 4 2 5" xfId="293" xr:uid="{00000000-0005-0000-0000-0000860F0000}"/>
    <cellStyle name="Normal 2 4 2 5 10" xfId="8918" xr:uid="{176C6FFA-EAF3-40BD-B97F-8AE9FF2143E4}"/>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24144" xr:uid="{5C1398A3-6832-42D4-A18D-CFB8E175454F}"/>
    <cellStyle name="Normal 2 4 2 5 2 2 2 2 3" xfId="15696" xr:uid="{87C5BE15-5C0E-436E-A3BE-73FA0FC08256}"/>
    <cellStyle name="Normal 2 4 2 5 2 2 2 3" xfId="19926" xr:uid="{164AFA02-E99C-42EA-867A-E1301776EEEC}"/>
    <cellStyle name="Normal 2 4 2 5 2 2 2 4" xfId="11478" xr:uid="{657A319B-D1F0-4233-A8B3-36B40C0A0F52}"/>
    <cellStyle name="Normal 2 4 2 5 2 2 3" xfId="5101" xr:uid="{00000000-0005-0000-0000-00008B0F0000}"/>
    <cellStyle name="Normal 2 4 2 5 2 2 3 2" xfId="21999" xr:uid="{0D1BA451-F6A6-4883-8250-63A65B81DF45}"/>
    <cellStyle name="Normal 2 4 2 5 2 2 3 3" xfId="13551" xr:uid="{66D0FDF9-86B7-4874-90FA-AD071A3A9970}"/>
    <cellStyle name="Normal 2 4 2 5 2 2 4" xfId="17781" xr:uid="{A5071F4B-61E7-45B6-AA01-757011F9420F}"/>
    <cellStyle name="Normal 2 4 2 5 2 2 5" xfId="9333" xr:uid="{7F4A9852-2B43-4A30-95F5-2D29EB067D11}"/>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24557" xr:uid="{7CE93DBB-F740-44AA-8AA3-5D35B183DEA2}"/>
    <cellStyle name="Normal 2 4 2 5 2 3 2 2 3" xfId="16109" xr:uid="{24D800AD-A844-4D9C-B6CD-9442A99CA7AD}"/>
    <cellStyle name="Normal 2 4 2 5 2 3 2 3" xfId="20339" xr:uid="{B191A3C0-69F5-4D22-BBDF-57AB6170A267}"/>
    <cellStyle name="Normal 2 4 2 5 2 3 2 4" xfId="11891" xr:uid="{88F23CCA-BEED-4092-9C56-578D4F99E707}"/>
    <cellStyle name="Normal 2 4 2 5 2 3 3" xfId="5514" xr:uid="{00000000-0005-0000-0000-00008F0F0000}"/>
    <cellStyle name="Normal 2 4 2 5 2 3 3 2" xfId="22412" xr:uid="{EF9BF6FD-A2DA-42CF-BC1E-C34D0AF89D68}"/>
    <cellStyle name="Normal 2 4 2 5 2 3 3 3" xfId="13964" xr:uid="{752E7D5E-A4E2-476F-8C04-27E11EC06DC8}"/>
    <cellStyle name="Normal 2 4 2 5 2 3 4" xfId="18194" xr:uid="{ACAF6749-AA39-403A-9DF6-55DBC0EE6F33}"/>
    <cellStyle name="Normal 2 4 2 5 2 3 5" xfId="9746" xr:uid="{A2007E63-BF29-4AA5-9E22-EA84B76566B2}"/>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24970" xr:uid="{DD2F6E0C-A7B3-47CD-9478-B822C69F2BDB}"/>
    <cellStyle name="Normal 2 4 2 5 2 4 2 2 3" xfId="16522" xr:uid="{BE9A8859-0A9B-4067-A6BB-0C4582CAA635}"/>
    <cellStyle name="Normal 2 4 2 5 2 4 2 3" xfId="20752" xr:uid="{BFD75837-E9CD-42A6-B311-3653289186D5}"/>
    <cellStyle name="Normal 2 4 2 5 2 4 2 4" xfId="12304" xr:uid="{BC1C5390-B300-4024-80E6-72C324F479B4}"/>
    <cellStyle name="Normal 2 4 2 5 2 4 3" xfId="5927" xr:uid="{00000000-0005-0000-0000-0000930F0000}"/>
    <cellStyle name="Normal 2 4 2 5 2 4 3 2" xfId="22825" xr:uid="{958D9613-6F3D-4388-91A6-C4A3F0DC1CEF}"/>
    <cellStyle name="Normal 2 4 2 5 2 4 3 3" xfId="14377" xr:uid="{F6356898-2B89-4FED-B3CC-32AC7E259D66}"/>
    <cellStyle name="Normal 2 4 2 5 2 4 4" xfId="18607" xr:uid="{99E15B9B-09CC-499B-9078-BDB26596D40B}"/>
    <cellStyle name="Normal 2 4 2 5 2 4 5" xfId="10159" xr:uid="{F8B83CD6-E71D-45CB-95E8-A1D46846995F}"/>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25383" xr:uid="{0227E3C9-7C2C-46E2-A20C-57571A617FD3}"/>
    <cellStyle name="Normal 2 4 2 5 2 5 2 2 3" xfId="16935" xr:uid="{47B76F46-EC3A-4E95-B916-10D9CF0CBF2A}"/>
    <cellStyle name="Normal 2 4 2 5 2 5 2 3" xfId="21165" xr:uid="{D380BD4D-5FF3-4FD8-A9E0-CA86282F4D80}"/>
    <cellStyle name="Normal 2 4 2 5 2 5 2 4" xfId="12717" xr:uid="{B087CCB0-0DC2-43F3-A9C4-C939A84F1EFA}"/>
    <cellStyle name="Normal 2 4 2 5 2 5 3" xfId="6340" xr:uid="{00000000-0005-0000-0000-0000970F0000}"/>
    <cellStyle name="Normal 2 4 2 5 2 5 3 2" xfId="23238" xr:uid="{CEE04E3F-34A0-4333-BE81-7E9A87C2B432}"/>
    <cellStyle name="Normal 2 4 2 5 2 5 3 3" xfId="14790" xr:uid="{22B9E48C-85A1-4D02-B433-6A4A9440F0C7}"/>
    <cellStyle name="Normal 2 4 2 5 2 5 4" xfId="19020" xr:uid="{666F9E3C-B4D7-40DA-9E79-0CBED66CC9F5}"/>
    <cellStyle name="Normal 2 4 2 5 2 5 5" xfId="10572" xr:uid="{D6A4B185-8B4F-4105-A148-AACE2FE6F372}"/>
    <cellStyle name="Normal 2 4 2 5 2 6" xfId="2470" xr:uid="{00000000-0005-0000-0000-0000980F0000}"/>
    <cellStyle name="Normal 2 4 2 5 2 6 2" xfId="6753" xr:uid="{00000000-0005-0000-0000-0000990F0000}"/>
    <cellStyle name="Normal 2 4 2 5 2 6 2 2" xfId="23651" xr:uid="{3259C5C7-EE99-471B-A8E7-619FDE15310C}"/>
    <cellStyle name="Normal 2 4 2 5 2 6 2 3" xfId="15203" xr:uid="{DF8E0A87-44C6-44F6-8A07-5913DEE78CA6}"/>
    <cellStyle name="Normal 2 4 2 5 2 6 3" xfId="19433" xr:uid="{353C1A6F-03ED-4FC9-A5D6-08F6DAC34E97}"/>
    <cellStyle name="Normal 2 4 2 5 2 6 4" xfId="10985" xr:uid="{FFFDAC47-7E06-4A88-AB69-300BF1B82CCE}"/>
    <cellStyle name="Normal 2 4 2 5 2 7" xfId="4687" xr:uid="{00000000-0005-0000-0000-00009A0F0000}"/>
    <cellStyle name="Normal 2 4 2 5 2 7 2" xfId="21585" xr:uid="{F8390E8D-D7CB-4A1B-BB52-09BBF1B009A7}"/>
    <cellStyle name="Normal 2 4 2 5 2 7 3" xfId="13137" xr:uid="{9EEACDB5-FF57-42EE-87BA-173D928EB6EC}"/>
    <cellStyle name="Normal 2 4 2 5 2 8" xfId="17367" xr:uid="{EB35E9D3-BC22-43D3-BE94-C6C1CBF634B0}"/>
    <cellStyle name="Normal 2 4 2 5 2 9" xfId="8919" xr:uid="{5D4859EB-EEBC-42BC-AAE2-EFD0613856B8}"/>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24143" xr:uid="{375A72EF-15C2-4FA4-909C-776E06F2AF39}"/>
    <cellStyle name="Normal 2 4 2 5 3 2 2 3" xfId="15695" xr:uid="{1F8BC487-36B3-4712-8674-65D38E221475}"/>
    <cellStyle name="Normal 2 4 2 5 3 2 3" xfId="19925" xr:uid="{D65CC099-BBCF-40A3-9A72-E54DDC64BACA}"/>
    <cellStyle name="Normal 2 4 2 5 3 2 4" xfId="11477" xr:uid="{BFA540BC-CCFE-403C-BA6C-C9DB586CE3E5}"/>
    <cellStyle name="Normal 2 4 2 5 3 3" xfId="5100" xr:uid="{00000000-0005-0000-0000-00009E0F0000}"/>
    <cellStyle name="Normal 2 4 2 5 3 3 2" xfId="21998" xr:uid="{C1E8602C-BEE3-47EB-AC05-B55AC311C5E9}"/>
    <cellStyle name="Normal 2 4 2 5 3 3 3" xfId="13550" xr:uid="{18B123CB-889E-4BFF-AD15-F6AE5C454A91}"/>
    <cellStyle name="Normal 2 4 2 5 3 4" xfId="17780" xr:uid="{036212A2-8E5C-46EB-9C28-AF2DD53A1D8D}"/>
    <cellStyle name="Normal 2 4 2 5 3 5" xfId="9332" xr:uid="{BAF49E27-8889-41A3-B32E-1F5F325F5841}"/>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24556" xr:uid="{94C94177-7C58-4BC4-A2D1-E3EAE9943F3D}"/>
    <cellStyle name="Normal 2 4 2 5 4 2 2 3" xfId="16108" xr:uid="{500D3912-D7DC-49EB-8E83-E0762BB1F1AC}"/>
    <cellStyle name="Normal 2 4 2 5 4 2 3" xfId="20338" xr:uid="{7C28DE84-2B89-4B65-B7BB-1442B4CD6FBF}"/>
    <cellStyle name="Normal 2 4 2 5 4 2 4" xfId="11890" xr:uid="{940CFBA6-5A77-4DE0-804C-C22FDEFE2329}"/>
    <cellStyle name="Normal 2 4 2 5 4 3" xfId="5513" xr:uid="{00000000-0005-0000-0000-0000A20F0000}"/>
    <cellStyle name="Normal 2 4 2 5 4 3 2" xfId="22411" xr:uid="{4BDA953E-B8C0-40E9-952D-B4F65ABDA2FB}"/>
    <cellStyle name="Normal 2 4 2 5 4 3 3" xfId="13963" xr:uid="{0CF0B57D-E705-493C-985E-626D5F64B17E}"/>
    <cellStyle name="Normal 2 4 2 5 4 4" xfId="18193" xr:uid="{F95D1CCD-BD97-4981-A7D4-DCA6827D81D8}"/>
    <cellStyle name="Normal 2 4 2 5 4 5" xfId="9745" xr:uid="{1A36A4E1-0463-4C1A-9C96-073C9096592F}"/>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24969" xr:uid="{D67CD0A7-3AC1-4824-815E-C7B3B06A3EDE}"/>
    <cellStyle name="Normal 2 4 2 5 5 2 2 3" xfId="16521" xr:uid="{9F911373-BF3E-4647-8474-E52A1B58E1A3}"/>
    <cellStyle name="Normal 2 4 2 5 5 2 3" xfId="20751" xr:uid="{EDE72DA5-7492-4B76-978E-CB479747D0D7}"/>
    <cellStyle name="Normal 2 4 2 5 5 2 4" xfId="12303" xr:uid="{D98AE6C8-ECA3-4178-BEE8-2BD91B227C79}"/>
    <cellStyle name="Normal 2 4 2 5 5 3" xfId="5926" xr:uid="{00000000-0005-0000-0000-0000A60F0000}"/>
    <cellStyle name="Normal 2 4 2 5 5 3 2" xfId="22824" xr:uid="{D8A98540-3B93-448C-A86C-2A776874DE08}"/>
    <cellStyle name="Normal 2 4 2 5 5 3 3" xfId="14376" xr:uid="{C8242D7E-F157-4184-80F3-9385E0A6A3B6}"/>
    <cellStyle name="Normal 2 4 2 5 5 4" xfId="18606" xr:uid="{C4049A46-257D-404E-B6E1-951F3ED73A2A}"/>
    <cellStyle name="Normal 2 4 2 5 5 5" xfId="10158" xr:uid="{A487607B-74A5-453D-B17F-3B51F2BBAD4C}"/>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25382" xr:uid="{C295ED92-19D0-4E02-9342-C82C93F17F4D}"/>
    <cellStyle name="Normal 2 4 2 5 6 2 2 3" xfId="16934" xr:uid="{7BA8E0BD-9521-459D-AA7D-2F108D2F42B4}"/>
    <cellStyle name="Normal 2 4 2 5 6 2 3" xfId="21164" xr:uid="{EF7205CA-9B50-4B8D-BC30-6C14BD6CDE59}"/>
    <cellStyle name="Normal 2 4 2 5 6 2 4" xfId="12716" xr:uid="{0CCBB87C-E863-4175-8945-F9FD4F06C1AF}"/>
    <cellStyle name="Normal 2 4 2 5 6 3" xfId="6339" xr:uid="{00000000-0005-0000-0000-0000AA0F0000}"/>
    <cellStyle name="Normal 2 4 2 5 6 3 2" xfId="23237" xr:uid="{DE13F547-8B63-4FA2-922F-D1E9C4B13BBC}"/>
    <cellStyle name="Normal 2 4 2 5 6 3 3" xfId="14789" xr:uid="{69128BCF-239D-4538-8309-7F709626FBCD}"/>
    <cellStyle name="Normal 2 4 2 5 6 4" xfId="19019" xr:uid="{3D4329E2-A550-4EE8-8B91-B2128EC74F46}"/>
    <cellStyle name="Normal 2 4 2 5 6 5" xfId="10571" xr:uid="{F08EC982-7E73-4A38-8390-E2E9D7759EBF}"/>
    <cellStyle name="Normal 2 4 2 5 7" xfId="2469" xr:uid="{00000000-0005-0000-0000-0000AB0F0000}"/>
    <cellStyle name="Normal 2 4 2 5 7 2" xfId="6752" xr:uid="{00000000-0005-0000-0000-0000AC0F0000}"/>
    <cellStyle name="Normal 2 4 2 5 7 2 2" xfId="23650" xr:uid="{9ED4D205-D47C-44C1-BE39-69C292431F54}"/>
    <cellStyle name="Normal 2 4 2 5 7 2 3" xfId="15202" xr:uid="{50C1DCC3-0D17-4F2C-ABB6-908B33CD9528}"/>
    <cellStyle name="Normal 2 4 2 5 7 3" xfId="19432" xr:uid="{2BC7FDD3-03DD-465C-B13E-CC00131D6F96}"/>
    <cellStyle name="Normal 2 4 2 5 7 4" xfId="10984" xr:uid="{6BDB9462-9A22-433B-A741-1894114AAC42}"/>
    <cellStyle name="Normal 2 4 2 5 8" xfId="4686" xr:uid="{00000000-0005-0000-0000-0000AD0F0000}"/>
    <cellStyle name="Normal 2 4 2 5 8 2" xfId="21584" xr:uid="{665D6FEA-773E-47F2-BB70-1F604C7AA75A}"/>
    <cellStyle name="Normal 2 4 2 5 8 3" xfId="13136" xr:uid="{6A7480DB-270D-432F-B689-C6FB456FD6CC}"/>
    <cellStyle name="Normal 2 4 2 5 9" xfId="17366" xr:uid="{FF79AA32-A39B-4206-B6A4-E1D27E78FFE1}"/>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24145" xr:uid="{A7714C9C-3CC4-4121-9D5A-97224A90D07B}"/>
    <cellStyle name="Normal 2 4 2 6 2 2 2 3" xfId="15697" xr:uid="{B7AB8141-3659-40CE-A3B3-489A09EE8D9F}"/>
    <cellStyle name="Normal 2 4 2 6 2 2 3" xfId="19927" xr:uid="{3E4E3812-1D33-47B7-8BEB-CB01B3CB5B4E}"/>
    <cellStyle name="Normal 2 4 2 6 2 2 4" xfId="11479" xr:uid="{07A63FEE-765A-4C73-BF41-09694921F2BA}"/>
    <cellStyle name="Normal 2 4 2 6 2 3" xfId="5102" xr:uid="{00000000-0005-0000-0000-0000B20F0000}"/>
    <cellStyle name="Normal 2 4 2 6 2 3 2" xfId="22000" xr:uid="{CE08C2DC-54DA-4FEB-BF57-2508957C90EB}"/>
    <cellStyle name="Normal 2 4 2 6 2 3 3" xfId="13552" xr:uid="{722E4981-1217-4F7D-9240-F85923A86089}"/>
    <cellStyle name="Normal 2 4 2 6 2 4" xfId="17782" xr:uid="{2943FACC-2EC1-47B2-A632-856FAA530247}"/>
    <cellStyle name="Normal 2 4 2 6 2 5" xfId="9334" xr:uid="{86CE1F58-008B-459A-8928-2783BF1E4613}"/>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24558" xr:uid="{FCEFDA04-B837-4578-A0CA-198914BCCB8D}"/>
    <cellStyle name="Normal 2 4 2 6 3 2 2 3" xfId="16110" xr:uid="{9952CDB5-E67F-42E9-A418-A405F768B1E5}"/>
    <cellStyle name="Normal 2 4 2 6 3 2 3" xfId="20340" xr:uid="{9448CE2F-20B1-4082-8857-3E6099D065EE}"/>
    <cellStyle name="Normal 2 4 2 6 3 2 4" xfId="11892" xr:uid="{008C291A-347D-4DC5-9861-9624E093BA94}"/>
    <cellStyle name="Normal 2 4 2 6 3 3" xfId="5515" xr:uid="{00000000-0005-0000-0000-0000B60F0000}"/>
    <cellStyle name="Normal 2 4 2 6 3 3 2" xfId="22413" xr:uid="{50439E9B-1D52-4E47-A7AB-BABE118AB761}"/>
    <cellStyle name="Normal 2 4 2 6 3 3 3" xfId="13965" xr:uid="{08E4B44B-6B6C-4162-9B75-6210E79E137F}"/>
    <cellStyle name="Normal 2 4 2 6 3 4" xfId="18195" xr:uid="{2C9AF271-68B1-4AE2-B268-A6EE546AA82D}"/>
    <cellStyle name="Normal 2 4 2 6 3 5" xfId="9747" xr:uid="{88E796C1-D6CB-468B-AA78-D3740EBE9499}"/>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24971" xr:uid="{8D9BE230-977C-4494-9427-3D87335131DD}"/>
    <cellStyle name="Normal 2 4 2 6 4 2 2 3" xfId="16523" xr:uid="{789DD7C7-893D-44A4-B600-186834387D59}"/>
    <cellStyle name="Normal 2 4 2 6 4 2 3" xfId="20753" xr:uid="{FAF0845C-8924-42F2-AD27-73AB3A4719C3}"/>
    <cellStyle name="Normal 2 4 2 6 4 2 4" xfId="12305" xr:uid="{E936E812-4AA4-4576-8B16-AAE955368A46}"/>
    <cellStyle name="Normal 2 4 2 6 4 3" xfId="5928" xr:uid="{00000000-0005-0000-0000-0000BA0F0000}"/>
    <cellStyle name="Normal 2 4 2 6 4 3 2" xfId="22826" xr:uid="{FB8DB25A-7B52-4477-AFCB-D3B31EF93BA6}"/>
    <cellStyle name="Normal 2 4 2 6 4 3 3" xfId="14378" xr:uid="{C906DBD4-DA15-4A85-A5C0-7F892603AE02}"/>
    <cellStyle name="Normal 2 4 2 6 4 4" xfId="18608" xr:uid="{D4E80F99-DA8F-4BC6-BACC-AD99F449D4D8}"/>
    <cellStyle name="Normal 2 4 2 6 4 5" xfId="10160" xr:uid="{46017FF5-13B5-4DD9-833D-EEB49FFEB3FA}"/>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25384" xr:uid="{BD0CA9D0-E4CD-4E61-A35C-18BBECCCAE7D}"/>
    <cellStyle name="Normal 2 4 2 6 5 2 2 3" xfId="16936" xr:uid="{6172272F-62B3-4DB2-9353-A2197D7A6474}"/>
    <cellStyle name="Normal 2 4 2 6 5 2 3" xfId="21166" xr:uid="{A426B94F-09A7-4565-B52B-6FE0A824E9F8}"/>
    <cellStyle name="Normal 2 4 2 6 5 2 4" xfId="12718" xr:uid="{982B946E-516D-4F5B-93CE-EE74A9CEB8E7}"/>
    <cellStyle name="Normal 2 4 2 6 5 3" xfId="6341" xr:uid="{00000000-0005-0000-0000-0000BE0F0000}"/>
    <cellStyle name="Normal 2 4 2 6 5 3 2" xfId="23239" xr:uid="{075C6D97-DF24-4EEE-85C7-A7E69F8FB0CF}"/>
    <cellStyle name="Normal 2 4 2 6 5 3 3" xfId="14791" xr:uid="{C27C0E6A-7BAF-4E3F-B280-3B4B62607AC2}"/>
    <cellStyle name="Normal 2 4 2 6 5 4" xfId="19021" xr:uid="{00E1E43F-885C-44F9-BFD4-6DAFFB0D4F7A}"/>
    <cellStyle name="Normal 2 4 2 6 5 5" xfId="10573" xr:uid="{08DABD11-EF0D-42AC-B607-6CB1F755C4CE}"/>
    <cellStyle name="Normal 2 4 2 6 6" xfId="2471" xr:uid="{00000000-0005-0000-0000-0000BF0F0000}"/>
    <cellStyle name="Normal 2 4 2 6 6 2" xfId="6754" xr:uid="{00000000-0005-0000-0000-0000C00F0000}"/>
    <cellStyle name="Normal 2 4 2 6 6 2 2" xfId="23652" xr:uid="{C56D0B3B-229A-4C0B-A01E-3BF8E458E689}"/>
    <cellStyle name="Normal 2 4 2 6 6 2 3" xfId="15204" xr:uid="{9FD24F16-74F1-4C97-92B6-CB9B24391842}"/>
    <cellStyle name="Normal 2 4 2 6 6 3" xfId="19434" xr:uid="{E934A898-79E2-467B-9C24-2055D281C11C}"/>
    <cellStyle name="Normal 2 4 2 6 6 4" xfId="10986" xr:uid="{C4B0EDB6-A454-467C-842D-59418A1BB67E}"/>
    <cellStyle name="Normal 2 4 2 6 7" xfId="4688" xr:uid="{00000000-0005-0000-0000-0000C10F0000}"/>
    <cellStyle name="Normal 2 4 2 6 7 2" xfId="21586" xr:uid="{126619E8-158E-4478-8A6D-3C2E07DC9575}"/>
    <cellStyle name="Normal 2 4 2 6 7 3" xfId="13138" xr:uid="{9CC34F82-C3F4-4362-B1EA-763BA1491DA0}"/>
    <cellStyle name="Normal 2 4 2 6 8" xfId="17368" xr:uid="{E36598EC-5807-4781-8A91-5A5CEC7C5F8A}"/>
    <cellStyle name="Normal 2 4 2 6 9" xfId="8920" xr:uid="{268DD11E-3F6F-427E-B974-E33AE43436AB}"/>
    <cellStyle name="Normal 2 4 2 7" xfId="771" xr:uid="{00000000-0005-0000-0000-0000C20F0000}"/>
    <cellStyle name="Normal 2 4 2 7 2" xfId="3010" xr:uid="{00000000-0005-0000-0000-0000C30F0000}"/>
    <cellStyle name="Normal 2 4 2 7 2 2" xfId="7232" xr:uid="{00000000-0005-0000-0000-0000C40F0000}"/>
    <cellStyle name="Normal 2 4 2 7 2 2 2" xfId="24130" xr:uid="{42EFCDF3-5479-45CD-BEB2-6D5CE5B9E2C7}"/>
    <cellStyle name="Normal 2 4 2 7 2 2 3" xfId="15682" xr:uid="{A4AD5121-D8E2-4C0C-A5DC-DFFD88787024}"/>
    <cellStyle name="Normal 2 4 2 7 2 3" xfId="19912" xr:uid="{2EFC1C52-FDB1-462D-977D-CDD86C2EF4AC}"/>
    <cellStyle name="Normal 2 4 2 7 2 4" xfId="11464" xr:uid="{299F8D26-F0E5-48AD-8BD7-AB4EBE218763}"/>
    <cellStyle name="Normal 2 4 2 7 3" xfId="5087" xr:uid="{00000000-0005-0000-0000-0000C50F0000}"/>
    <cellStyle name="Normal 2 4 2 7 3 2" xfId="21985" xr:uid="{E7D2FFDA-B850-44C3-AC86-0B5B1F86E0B8}"/>
    <cellStyle name="Normal 2 4 2 7 3 3" xfId="13537" xr:uid="{7F051F38-3107-4C97-B76F-EC7469100FCC}"/>
    <cellStyle name="Normal 2 4 2 7 4" xfId="17767" xr:uid="{0B306626-AE04-4D5B-A18C-2DAB137513CD}"/>
    <cellStyle name="Normal 2 4 2 7 5" xfId="9319" xr:uid="{767CCAC6-AAD9-4FB6-A64A-D052867A3B54}"/>
    <cellStyle name="Normal 2 4 2 8" xfId="1193" xr:uid="{00000000-0005-0000-0000-0000C60F0000}"/>
    <cellStyle name="Normal 2 4 2 8 2" xfId="3423" xr:uid="{00000000-0005-0000-0000-0000C70F0000}"/>
    <cellStyle name="Normal 2 4 2 8 2 2" xfId="7645" xr:uid="{00000000-0005-0000-0000-0000C80F0000}"/>
    <cellStyle name="Normal 2 4 2 8 2 2 2" xfId="24543" xr:uid="{FDDD4DFD-4A99-45B6-9967-193FD59EEFEC}"/>
    <cellStyle name="Normal 2 4 2 8 2 2 3" xfId="16095" xr:uid="{44210A8B-07AD-48EB-A4A6-708CD79D00D8}"/>
    <cellStyle name="Normal 2 4 2 8 2 3" xfId="20325" xr:uid="{E5BB6836-F889-45A5-A5FE-9870B6BF9089}"/>
    <cellStyle name="Normal 2 4 2 8 2 4" xfId="11877" xr:uid="{15B68EDB-666D-4FD8-B58F-743C7E32F313}"/>
    <cellStyle name="Normal 2 4 2 8 3" xfId="5500" xr:uid="{00000000-0005-0000-0000-0000C90F0000}"/>
    <cellStyle name="Normal 2 4 2 8 3 2" xfId="22398" xr:uid="{4C4858E6-DAD8-4271-A7CF-FB44E9FD9A9C}"/>
    <cellStyle name="Normal 2 4 2 8 3 3" xfId="13950" xr:uid="{5846D3C9-34FA-446F-B782-D8C5B6D3DFE0}"/>
    <cellStyle name="Normal 2 4 2 8 4" xfId="18180" xr:uid="{052775B2-49FD-452E-A96F-DE81BDD671DE}"/>
    <cellStyle name="Normal 2 4 2 8 5" xfId="9732" xr:uid="{C0635DCA-E968-4A0C-9EFF-2663E5258ED2}"/>
    <cellStyle name="Normal 2 4 2 9" xfId="1606" xr:uid="{00000000-0005-0000-0000-0000CA0F0000}"/>
    <cellStyle name="Normal 2 4 2 9 2" xfId="3836" xr:uid="{00000000-0005-0000-0000-0000CB0F0000}"/>
    <cellStyle name="Normal 2 4 2 9 2 2" xfId="8058" xr:uid="{00000000-0005-0000-0000-0000CC0F0000}"/>
    <cellStyle name="Normal 2 4 2 9 2 2 2" xfId="24956" xr:uid="{9A856E91-D2FD-4C1D-82CB-E7BD6B379A37}"/>
    <cellStyle name="Normal 2 4 2 9 2 2 3" xfId="16508" xr:uid="{769F8D52-492A-4134-9FB9-1A2FE90F83A4}"/>
    <cellStyle name="Normal 2 4 2 9 2 3" xfId="20738" xr:uid="{7ECE9F4A-B7A1-4960-8219-D6F7A8AAAE10}"/>
    <cellStyle name="Normal 2 4 2 9 2 4" xfId="12290" xr:uid="{0EE7273D-46E5-4D8B-A76F-602E0605C09B}"/>
    <cellStyle name="Normal 2 4 2 9 3" xfId="5913" xr:uid="{00000000-0005-0000-0000-0000CD0F0000}"/>
    <cellStyle name="Normal 2 4 2 9 3 2" xfId="22811" xr:uid="{FE391774-451A-4F5A-B4F8-95C36F085AE5}"/>
    <cellStyle name="Normal 2 4 2 9 3 3" xfId="14363" xr:uid="{0066EEB2-E03D-4F64-931E-AC96FF5737B0}"/>
    <cellStyle name="Normal 2 4 2 9 4" xfId="18593" xr:uid="{43040C36-A7E2-4514-82DE-F2DB6543D499}"/>
    <cellStyle name="Normal 2 4 2 9 5" xfId="10145" xr:uid="{546D149F-0CD3-44B6-943A-6B54B361483F}"/>
    <cellStyle name="Normal 2 4 3" xfId="296" xr:uid="{00000000-0005-0000-0000-0000CE0F0000}"/>
    <cellStyle name="Normal 2 4 3 10" xfId="17369" xr:uid="{BFBD63A3-B359-4777-B97A-27D59668B012}"/>
    <cellStyle name="Normal 2 4 3 11" xfId="8921" xr:uid="{BD190C15-C753-4005-BD9C-C7F80156CC9D}"/>
    <cellStyle name="Normal 2 4 3 2" xfId="297" xr:uid="{00000000-0005-0000-0000-0000CF0F0000}"/>
    <cellStyle name="Normal 2 4 3 3" xfId="298" xr:uid="{00000000-0005-0000-0000-0000D00F0000}"/>
    <cellStyle name="Normal 2 4 3 3 10" xfId="17370" xr:uid="{70FF9019-9E43-400A-9B33-F5F497C2735F}"/>
    <cellStyle name="Normal 2 4 3 3 11" xfId="8922" xr:uid="{0F62C343-2C5B-4C1E-9126-C6E4165BDFB1}"/>
    <cellStyle name="Normal 2 4 3 3 2" xfId="299" xr:uid="{00000000-0005-0000-0000-0000D10F0000}"/>
    <cellStyle name="Normal 2 4 3 3 2 10" xfId="8923" xr:uid="{03B8260C-D78B-4669-AE4F-31B9A50646B9}"/>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24149" xr:uid="{76FEFD43-513A-4F25-9BDC-F3CD88E98940}"/>
    <cellStyle name="Normal 2 4 3 3 2 2 2 2 2 3" xfId="15701" xr:uid="{5DBB5F37-0F47-4B84-B884-B372E54EE9DF}"/>
    <cellStyle name="Normal 2 4 3 3 2 2 2 2 3" xfId="19931" xr:uid="{ACB961F2-3C8D-49C1-BC13-361005BC53F0}"/>
    <cellStyle name="Normal 2 4 3 3 2 2 2 2 4" xfId="11483" xr:uid="{32C8EF98-E79F-46F6-9EE6-42881B8962A8}"/>
    <cellStyle name="Normal 2 4 3 3 2 2 2 3" xfId="5106" xr:uid="{00000000-0005-0000-0000-0000D60F0000}"/>
    <cellStyle name="Normal 2 4 3 3 2 2 2 3 2" xfId="22004" xr:uid="{5D278F2C-8867-4F1A-AF9D-796499675A03}"/>
    <cellStyle name="Normal 2 4 3 3 2 2 2 3 3" xfId="13556" xr:uid="{6002005D-CC8F-4EB3-B5D0-BA287E163001}"/>
    <cellStyle name="Normal 2 4 3 3 2 2 2 4" xfId="17786" xr:uid="{51024D8E-34E6-453D-ADFE-4119FC299ED6}"/>
    <cellStyle name="Normal 2 4 3 3 2 2 2 5" xfId="9338" xr:uid="{53D4F593-4F27-47B3-908E-E2B2AC283676}"/>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24562" xr:uid="{DFF0EBB1-E17E-4DB6-A601-8C98F1050A03}"/>
    <cellStyle name="Normal 2 4 3 3 2 2 3 2 2 3" xfId="16114" xr:uid="{AFC4E8B0-D8E9-40C9-A24D-851753AF004A}"/>
    <cellStyle name="Normal 2 4 3 3 2 2 3 2 3" xfId="20344" xr:uid="{1043600F-5DB7-4151-BDC3-D1694DE7C210}"/>
    <cellStyle name="Normal 2 4 3 3 2 2 3 2 4" xfId="11896" xr:uid="{EAF74365-57D4-4C46-A9DC-C070CE474704}"/>
    <cellStyle name="Normal 2 4 3 3 2 2 3 3" xfId="5519" xr:uid="{00000000-0005-0000-0000-0000DA0F0000}"/>
    <cellStyle name="Normal 2 4 3 3 2 2 3 3 2" xfId="22417" xr:uid="{A62F8F7F-F2E8-4868-ABAD-EB6577BE5CFC}"/>
    <cellStyle name="Normal 2 4 3 3 2 2 3 3 3" xfId="13969" xr:uid="{C1E70335-683A-41ED-ADA8-915EA8498A73}"/>
    <cellStyle name="Normal 2 4 3 3 2 2 3 4" xfId="18199" xr:uid="{3EFF094D-176E-49B2-9F95-9F4D5FD40CA1}"/>
    <cellStyle name="Normal 2 4 3 3 2 2 3 5" xfId="9751" xr:uid="{763A4359-9A1D-4F94-90FF-C2E8AA609518}"/>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24975" xr:uid="{57584EE8-81D6-4F15-91C6-862CBE32DA84}"/>
    <cellStyle name="Normal 2 4 3 3 2 2 4 2 2 3" xfId="16527" xr:uid="{BBDA192A-E05C-4D97-96F2-76BA967A108F}"/>
    <cellStyle name="Normal 2 4 3 3 2 2 4 2 3" xfId="20757" xr:uid="{745D52A1-57FB-4B38-85D8-ACB94EF3267C}"/>
    <cellStyle name="Normal 2 4 3 3 2 2 4 2 4" xfId="12309" xr:uid="{2D6AA8A0-6502-4769-8CEA-F8926C56BB01}"/>
    <cellStyle name="Normal 2 4 3 3 2 2 4 3" xfId="5932" xr:uid="{00000000-0005-0000-0000-0000DE0F0000}"/>
    <cellStyle name="Normal 2 4 3 3 2 2 4 3 2" xfId="22830" xr:uid="{E92A38B8-8384-4F0D-9DCB-1EAC8A1A5742}"/>
    <cellStyle name="Normal 2 4 3 3 2 2 4 3 3" xfId="14382" xr:uid="{8B014AA4-485A-4FE3-B8EA-B5689351E1AD}"/>
    <cellStyle name="Normal 2 4 3 3 2 2 4 4" xfId="18612" xr:uid="{8A151CCA-0768-4EF9-8221-31653138C9F4}"/>
    <cellStyle name="Normal 2 4 3 3 2 2 4 5" xfId="10164" xr:uid="{6676634B-11E4-4624-92BD-B9B5F3FC7715}"/>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25388" xr:uid="{C493F38F-F26C-4511-8613-4D7CBF1684BF}"/>
    <cellStyle name="Normal 2 4 3 3 2 2 5 2 2 3" xfId="16940" xr:uid="{AFD3EB58-A473-4F5B-8C78-EEB91B78555C}"/>
    <cellStyle name="Normal 2 4 3 3 2 2 5 2 3" xfId="21170" xr:uid="{51865928-FC46-4B5E-BF97-762BF9981954}"/>
    <cellStyle name="Normal 2 4 3 3 2 2 5 2 4" xfId="12722" xr:uid="{B9C63466-26D4-4582-97F7-920B1488084F}"/>
    <cellStyle name="Normal 2 4 3 3 2 2 5 3" xfId="6345" xr:uid="{00000000-0005-0000-0000-0000E20F0000}"/>
    <cellStyle name="Normal 2 4 3 3 2 2 5 3 2" xfId="23243" xr:uid="{A667846D-8073-4DB9-BF19-F8CD09C5EDE6}"/>
    <cellStyle name="Normal 2 4 3 3 2 2 5 3 3" xfId="14795" xr:uid="{BFB87C74-9996-40D1-AFFC-666A05734B91}"/>
    <cellStyle name="Normal 2 4 3 3 2 2 5 4" xfId="19025" xr:uid="{EEECEDD2-8F4F-4830-9B05-EF1F22D4ACE9}"/>
    <cellStyle name="Normal 2 4 3 3 2 2 5 5" xfId="10577" xr:uid="{255E9CD4-79C0-433B-9F20-375025810D0E}"/>
    <cellStyle name="Normal 2 4 3 3 2 2 6" xfId="2475" xr:uid="{00000000-0005-0000-0000-0000E30F0000}"/>
    <cellStyle name="Normal 2 4 3 3 2 2 6 2" xfId="6758" xr:uid="{00000000-0005-0000-0000-0000E40F0000}"/>
    <cellStyle name="Normal 2 4 3 3 2 2 6 2 2" xfId="23656" xr:uid="{79D1CD11-B579-494A-9D64-09C14A2069A7}"/>
    <cellStyle name="Normal 2 4 3 3 2 2 6 2 3" xfId="15208" xr:uid="{727BA64C-99E3-458A-8970-120757615595}"/>
    <cellStyle name="Normal 2 4 3 3 2 2 6 3" xfId="19438" xr:uid="{8315460B-D991-4091-9566-C3EAA1C08F4A}"/>
    <cellStyle name="Normal 2 4 3 3 2 2 6 4" xfId="10990" xr:uid="{B7D01694-0734-457B-8C5A-75904F38EF06}"/>
    <cellStyle name="Normal 2 4 3 3 2 2 7" xfId="4692" xr:uid="{00000000-0005-0000-0000-0000E50F0000}"/>
    <cellStyle name="Normal 2 4 3 3 2 2 7 2" xfId="21590" xr:uid="{042619F1-D93C-425A-9F2E-751589473CD7}"/>
    <cellStyle name="Normal 2 4 3 3 2 2 7 3" xfId="13142" xr:uid="{E4F5E597-3A42-4D33-BF4B-EA874A688AF6}"/>
    <cellStyle name="Normal 2 4 3 3 2 2 8" xfId="17372" xr:uid="{75265234-2CF6-41AD-8246-FC20B4DAAF4A}"/>
    <cellStyle name="Normal 2 4 3 3 2 2 9" xfId="8924" xr:uid="{41A074B0-FE8F-40EE-8EC1-7C116A1DFCA9}"/>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24148" xr:uid="{B350A840-C30A-499F-8C07-9E96BA724334}"/>
    <cellStyle name="Normal 2 4 3 3 2 3 2 2 3" xfId="15700" xr:uid="{5C9A57B3-109A-4E31-93E1-7007D383DC78}"/>
    <cellStyle name="Normal 2 4 3 3 2 3 2 3" xfId="19930" xr:uid="{1459B68E-5552-4E9E-852A-B4CB6E558455}"/>
    <cellStyle name="Normal 2 4 3 3 2 3 2 4" xfId="11482" xr:uid="{FD26CCDF-3103-490A-9EDA-80CDB2EBDB69}"/>
    <cellStyle name="Normal 2 4 3 3 2 3 3" xfId="5105" xr:uid="{00000000-0005-0000-0000-0000E90F0000}"/>
    <cellStyle name="Normal 2 4 3 3 2 3 3 2" xfId="22003" xr:uid="{DAA8835B-EE84-4212-961A-7A5464BD1FBF}"/>
    <cellStyle name="Normal 2 4 3 3 2 3 3 3" xfId="13555" xr:uid="{C0AA14DC-0107-4000-AD6B-45847B78706D}"/>
    <cellStyle name="Normal 2 4 3 3 2 3 4" xfId="17785" xr:uid="{D49EA6E5-9A40-407B-9282-08858B394BCB}"/>
    <cellStyle name="Normal 2 4 3 3 2 3 5" xfId="9337" xr:uid="{D059DB0C-A0CB-405F-9ACE-7C3239AD1F65}"/>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24561" xr:uid="{502C19F8-CD27-4CB7-9170-870FBD3FDC4F}"/>
    <cellStyle name="Normal 2 4 3 3 2 4 2 2 3" xfId="16113" xr:uid="{3C3F53A9-A707-4666-86DC-16835A7F8FCC}"/>
    <cellStyle name="Normal 2 4 3 3 2 4 2 3" xfId="20343" xr:uid="{0A2D8CF0-CBC8-49AC-8303-4E2587F6F8D1}"/>
    <cellStyle name="Normal 2 4 3 3 2 4 2 4" xfId="11895" xr:uid="{8FA0423E-248F-44EF-B7A1-CCA7513EA9EC}"/>
    <cellStyle name="Normal 2 4 3 3 2 4 3" xfId="5518" xr:uid="{00000000-0005-0000-0000-0000ED0F0000}"/>
    <cellStyle name="Normal 2 4 3 3 2 4 3 2" xfId="22416" xr:uid="{BC7A7400-BE83-4B6F-A942-1B35E935FDA4}"/>
    <cellStyle name="Normal 2 4 3 3 2 4 3 3" xfId="13968" xr:uid="{1CA07CBD-9E33-414F-A808-437CE45966B7}"/>
    <cellStyle name="Normal 2 4 3 3 2 4 4" xfId="18198" xr:uid="{3FB64D55-D4B6-467C-8A30-96492C075070}"/>
    <cellStyle name="Normal 2 4 3 3 2 4 5" xfId="9750" xr:uid="{796C5072-E9B3-4EE2-A80B-088D171B3C5B}"/>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24974" xr:uid="{778C41B0-B58C-48A8-9DAF-AC2DFA2EC742}"/>
    <cellStyle name="Normal 2 4 3 3 2 5 2 2 3" xfId="16526" xr:uid="{EC2DA0A0-0711-4361-9B76-E5EE22D05E73}"/>
    <cellStyle name="Normal 2 4 3 3 2 5 2 3" xfId="20756" xr:uid="{58BCE0ED-5706-4A3E-A734-F051519AF58A}"/>
    <cellStyle name="Normal 2 4 3 3 2 5 2 4" xfId="12308" xr:uid="{0A6112A1-25F2-45AA-A0AE-0BE3293FCA0F}"/>
    <cellStyle name="Normal 2 4 3 3 2 5 3" xfId="5931" xr:uid="{00000000-0005-0000-0000-0000F10F0000}"/>
    <cellStyle name="Normal 2 4 3 3 2 5 3 2" xfId="22829" xr:uid="{2177BD3C-930D-4812-9BCA-4D810B168FE8}"/>
    <cellStyle name="Normal 2 4 3 3 2 5 3 3" xfId="14381" xr:uid="{5336AEA8-DC85-4F9D-89CC-729232C7CB5B}"/>
    <cellStyle name="Normal 2 4 3 3 2 5 4" xfId="18611" xr:uid="{A3745F29-AB3F-4AD1-86EA-7D8E885BB868}"/>
    <cellStyle name="Normal 2 4 3 3 2 5 5" xfId="10163" xr:uid="{CF84A43F-A5E1-4E7A-AE09-C1313ECD1D6C}"/>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25387" xr:uid="{58250AAC-296E-4D23-BC28-77DEA951B04C}"/>
    <cellStyle name="Normal 2 4 3 3 2 6 2 2 3" xfId="16939" xr:uid="{39B1EA33-298F-4676-A7E7-45474018484E}"/>
    <cellStyle name="Normal 2 4 3 3 2 6 2 3" xfId="21169" xr:uid="{6C023370-525C-4B47-8D17-D15FE8664F93}"/>
    <cellStyle name="Normal 2 4 3 3 2 6 2 4" xfId="12721" xr:uid="{56A073FE-448D-4949-9BB6-A61CBB192D8A}"/>
    <cellStyle name="Normal 2 4 3 3 2 6 3" xfId="6344" xr:uid="{00000000-0005-0000-0000-0000F50F0000}"/>
    <cellStyle name="Normal 2 4 3 3 2 6 3 2" xfId="23242" xr:uid="{93B8BE9C-2B35-4877-8B78-3A8530E14258}"/>
    <cellStyle name="Normal 2 4 3 3 2 6 3 3" xfId="14794" xr:uid="{AED06CC2-303E-437A-B1E6-43359B33FD52}"/>
    <cellStyle name="Normal 2 4 3 3 2 6 4" xfId="19024" xr:uid="{CE69924C-2C8E-44D0-8C71-2D1F74E7E6F8}"/>
    <cellStyle name="Normal 2 4 3 3 2 6 5" xfId="10576" xr:uid="{CF2EB983-7449-493B-BBAA-A72DB5771C41}"/>
    <cellStyle name="Normal 2 4 3 3 2 7" xfId="2474" xr:uid="{00000000-0005-0000-0000-0000F60F0000}"/>
    <cellStyle name="Normal 2 4 3 3 2 7 2" xfId="6757" xr:uid="{00000000-0005-0000-0000-0000F70F0000}"/>
    <cellStyle name="Normal 2 4 3 3 2 7 2 2" xfId="23655" xr:uid="{8330CD62-31EC-4FF4-A71D-856AE9B5376F}"/>
    <cellStyle name="Normal 2 4 3 3 2 7 2 3" xfId="15207" xr:uid="{EB1DA4F1-BCD6-4A14-A1B5-38C56880F95D}"/>
    <cellStyle name="Normal 2 4 3 3 2 7 3" xfId="19437" xr:uid="{01D732AA-6BF4-4707-B325-10CCCBC81571}"/>
    <cellStyle name="Normal 2 4 3 3 2 7 4" xfId="10989" xr:uid="{A7D7C271-641E-4E0B-81DE-A649304F8937}"/>
    <cellStyle name="Normal 2 4 3 3 2 8" xfId="4691" xr:uid="{00000000-0005-0000-0000-0000F80F0000}"/>
    <cellStyle name="Normal 2 4 3 3 2 8 2" xfId="21589" xr:uid="{0F71BD41-B191-42D0-BFD3-234FDC8167DE}"/>
    <cellStyle name="Normal 2 4 3 3 2 8 3" xfId="13141" xr:uid="{F99730AF-60B7-41E2-A76F-1B1AE5F1D5E2}"/>
    <cellStyle name="Normal 2 4 3 3 2 9" xfId="17371" xr:uid="{B9A81797-4CA6-44F7-9364-3E29D0FDD49A}"/>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24150" xr:uid="{0443C5B1-8AB1-4E76-8705-6C32E91E2A1F}"/>
    <cellStyle name="Normal 2 4 3 3 3 2 2 2 3" xfId="15702" xr:uid="{E80E2FDB-13B7-4BA9-B9ED-1A08B46C1FC3}"/>
    <cellStyle name="Normal 2 4 3 3 3 2 2 3" xfId="19932" xr:uid="{C361266F-C837-438A-84AB-4E9F8111DEE2}"/>
    <cellStyle name="Normal 2 4 3 3 3 2 2 4" xfId="11484" xr:uid="{4F855E4D-2138-4170-A691-18B7D3DCB7EA}"/>
    <cellStyle name="Normal 2 4 3 3 3 2 3" xfId="5107" xr:uid="{00000000-0005-0000-0000-0000FD0F0000}"/>
    <cellStyle name="Normal 2 4 3 3 3 2 3 2" xfId="22005" xr:uid="{CC1686BE-BD6F-494F-A25C-B11091027FFD}"/>
    <cellStyle name="Normal 2 4 3 3 3 2 3 3" xfId="13557" xr:uid="{D0AA2399-7E26-4012-89E0-C28ACB7813C4}"/>
    <cellStyle name="Normal 2 4 3 3 3 2 4" xfId="17787" xr:uid="{869E6389-D074-43C8-AAED-649F4B4C9CEF}"/>
    <cellStyle name="Normal 2 4 3 3 3 2 5" xfId="9339" xr:uid="{3CDC06D5-86E1-4854-A799-D0D711DEC74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24563" xr:uid="{5710B117-CAB7-4C14-93F2-FE21E57FE7C8}"/>
    <cellStyle name="Normal 2 4 3 3 3 3 2 2 3" xfId="16115" xr:uid="{E83F746A-2471-43A8-B0AD-9C2BEA0EDDD1}"/>
    <cellStyle name="Normal 2 4 3 3 3 3 2 3" xfId="20345" xr:uid="{8EE53080-B01C-4EBC-B239-0FE6C122E22C}"/>
    <cellStyle name="Normal 2 4 3 3 3 3 2 4" xfId="11897" xr:uid="{159A18E8-F154-4A44-8FD5-0F999D356427}"/>
    <cellStyle name="Normal 2 4 3 3 3 3 3" xfId="5520" xr:uid="{00000000-0005-0000-0000-000001100000}"/>
    <cellStyle name="Normal 2 4 3 3 3 3 3 2" xfId="22418" xr:uid="{5575076A-C497-47A2-A11D-24E85F065F18}"/>
    <cellStyle name="Normal 2 4 3 3 3 3 3 3" xfId="13970" xr:uid="{1EA9B9EE-05D4-4A36-AAF5-38A05F525A82}"/>
    <cellStyle name="Normal 2 4 3 3 3 3 4" xfId="18200" xr:uid="{A68C5002-A239-4BFC-AFAB-9123975D4248}"/>
    <cellStyle name="Normal 2 4 3 3 3 3 5" xfId="9752" xr:uid="{B184F642-E710-43AA-A658-A0CB081C1371}"/>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24976" xr:uid="{9938D55F-A144-4DBB-9C57-F4BE8B91B795}"/>
    <cellStyle name="Normal 2 4 3 3 3 4 2 2 3" xfId="16528" xr:uid="{9F92E348-86C7-42CB-8399-3756B649A7BB}"/>
    <cellStyle name="Normal 2 4 3 3 3 4 2 3" xfId="20758" xr:uid="{CA849A23-9B8B-4F6B-9D51-30AF5E99B551}"/>
    <cellStyle name="Normal 2 4 3 3 3 4 2 4" xfId="12310" xr:uid="{41B8C808-683B-46C9-85C9-C7C567A49FF2}"/>
    <cellStyle name="Normal 2 4 3 3 3 4 3" xfId="5933" xr:uid="{00000000-0005-0000-0000-000005100000}"/>
    <cellStyle name="Normal 2 4 3 3 3 4 3 2" xfId="22831" xr:uid="{94B1B6CC-31AD-470F-97F3-EB0148B3A17B}"/>
    <cellStyle name="Normal 2 4 3 3 3 4 3 3" xfId="14383" xr:uid="{C15E96D6-49B7-434F-B4AF-EA8F59855EE1}"/>
    <cellStyle name="Normal 2 4 3 3 3 4 4" xfId="18613" xr:uid="{C081A066-0928-48DD-BA2D-2250AD49E841}"/>
    <cellStyle name="Normal 2 4 3 3 3 4 5" xfId="10165" xr:uid="{2495F48E-A79B-4C63-8CAE-BEFF5328ECE8}"/>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25389" xr:uid="{B6BA4AF9-8886-45A2-B65F-F5E07783420A}"/>
    <cellStyle name="Normal 2 4 3 3 3 5 2 2 3" xfId="16941" xr:uid="{E653E601-D8E8-46DB-843F-6BCCD78DD98F}"/>
    <cellStyle name="Normal 2 4 3 3 3 5 2 3" xfId="21171" xr:uid="{A46FA62E-987E-424A-989D-2A268E5053C7}"/>
    <cellStyle name="Normal 2 4 3 3 3 5 2 4" xfId="12723" xr:uid="{4BAE19E5-AF8A-41BA-B28B-102760C44750}"/>
    <cellStyle name="Normal 2 4 3 3 3 5 3" xfId="6346" xr:uid="{00000000-0005-0000-0000-000009100000}"/>
    <cellStyle name="Normal 2 4 3 3 3 5 3 2" xfId="23244" xr:uid="{FF880BFB-B57C-40FC-9B46-9406987B8C62}"/>
    <cellStyle name="Normal 2 4 3 3 3 5 3 3" xfId="14796" xr:uid="{59D22F58-8D5E-4FDF-A559-CD2E347F4E71}"/>
    <cellStyle name="Normal 2 4 3 3 3 5 4" xfId="19026" xr:uid="{8807F8E6-CE37-46C7-BF05-82CFF8413A7D}"/>
    <cellStyle name="Normal 2 4 3 3 3 5 5" xfId="10578" xr:uid="{65BF5EB0-93BD-4805-AB89-C1C17296E519}"/>
    <cellStyle name="Normal 2 4 3 3 3 6" xfId="2476" xr:uid="{00000000-0005-0000-0000-00000A100000}"/>
    <cellStyle name="Normal 2 4 3 3 3 6 2" xfId="6759" xr:uid="{00000000-0005-0000-0000-00000B100000}"/>
    <cellStyle name="Normal 2 4 3 3 3 6 2 2" xfId="23657" xr:uid="{FD5AB19E-5A0B-4708-B0BE-54055B69EA2E}"/>
    <cellStyle name="Normal 2 4 3 3 3 6 2 3" xfId="15209" xr:uid="{008D1C7B-6141-4B71-9827-D31C5FB75C51}"/>
    <cellStyle name="Normal 2 4 3 3 3 6 3" xfId="19439" xr:uid="{3A76464F-D9F7-4A07-B188-A6B9B20EC642}"/>
    <cellStyle name="Normal 2 4 3 3 3 6 4" xfId="10991" xr:uid="{475EC51D-7844-4974-A9FF-F391B8F04771}"/>
    <cellStyle name="Normal 2 4 3 3 3 7" xfId="4693" xr:uid="{00000000-0005-0000-0000-00000C100000}"/>
    <cellStyle name="Normal 2 4 3 3 3 7 2" xfId="21591" xr:uid="{CCFD9B7E-FFC7-4392-AA04-9D065E93D4EB}"/>
    <cellStyle name="Normal 2 4 3 3 3 7 3" xfId="13143" xr:uid="{823998C3-D20F-46A7-ACB6-EA5871A49624}"/>
    <cellStyle name="Normal 2 4 3 3 3 8" xfId="17373" xr:uid="{DB5B1FEB-59BE-4BC9-8614-5C8C42493A44}"/>
    <cellStyle name="Normal 2 4 3 3 3 9" xfId="8925" xr:uid="{863CA24E-32B7-4EE2-AF6A-8F6F20F2E2D2}"/>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24147" xr:uid="{E84936DA-9B92-4236-BED3-9BF39F7B64B8}"/>
    <cellStyle name="Normal 2 4 3 3 4 2 2 3" xfId="15699" xr:uid="{F8CD6F4C-594B-4B55-AD15-3D3EC6E550B9}"/>
    <cellStyle name="Normal 2 4 3 3 4 2 3" xfId="19929" xr:uid="{0847507C-D0AF-496F-83B8-0921A6B1762A}"/>
    <cellStyle name="Normal 2 4 3 3 4 2 4" xfId="11481" xr:uid="{C8FBF99F-F88C-4576-8C21-0AC7676E25C4}"/>
    <cellStyle name="Normal 2 4 3 3 4 3" xfId="5104" xr:uid="{00000000-0005-0000-0000-000010100000}"/>
    <cellStyle name="Normal 2 4 3 3 4 3 2" xfId="22002" xr:uid="{CC0FCC96-B8B5-400E-926F-5705F9176EDC}"/>
    <cellStyle name="Normal 2 4 3 3 4 3 3" xfId="13554" xr:uid="{FC89D8C8-A707-45F9-A567-6E5EA6444116}"/>
    <cellStyle name="Normal 2 4 3 3 4 4" xfId="17784" xr:uid="{1B5E797A-6B1B-4D1A-BCC7-296AA20DC81A}"/>
    <cellStyle name="Normal 2 4 3 3 4 5" xfId="9336" xr:uid="{F2D6E9E5-9CDC-4F7C-BD8F-6CB081BF616E}"/>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24560" xr:uid="{EEE27EF3-A59D-4E81-A340-5D291CEC2E73}"/>
    <cellStyle name="Normal 2 4 3 3 5 2 2 3" xfId="16112" xr:uid="{947D445A-5260-4086-B386-A5A9A0F04A7E}"/>
    <cellStyle name="Normal 2 4 3 3 5 2 3" xfId="20342" xr:uid="{EBB6A08F-28BB-498C-AA65-6663D35247E7}"/>
    <cellStyle name="Normal 2 4 3 3 5 2 4" xfId="11894" xr:uid="{5C0E56C5-0CD8-471E-99CC-146D79CDC2B1}"/>
    <cellStyle name="Normal 2 4 3 3 5 3" xfId="5517" xr:uid="{00000000-0005-0000-0000-000014100000}"/>
    <cellStyle name="Normal 2 4 3 3 5 3 2" xfId="22415" xr:uid="{4263986B-3147-438B-B139-9E2915FE0FAC}"/>
    <cellStyle name="Normal 2 4 3 3 5 3 3" xfId="13967" xr:uid="{19E26158-56EC-4A48-AAD3-D03C2ED55CC0}"/>
    <cellStyle name="Normal 2 4 3 3 5 4" xfId="18197" xr:uid="{4FF05AFD-E41F-4EB4-997D-6C6B0EE5ACFC}"/>
    <cellStyle name="Normal 2 4 3 3 5 5" xfId="9749" xr:uid="{34BD559D-89FC-42D7-A1A2-23F150049C81}"/>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24973" xr:uid="{517619A2-F07E-4A43-B072-59A6DA1235C8}"/>
    <cellStyle name="Normal 2 4 3 3 6 2 2 3" xfId="16525" xr:uid="{F8A80EB9-9D08-410F-B583-E9E39C8463C0}"/>
    <cellStyle name="Normal 2 4 3 3 6 2 3" xfId="20755" xr:uid="{4C70FE6D-B180-49A5-A78C-C9B02FB82DF2}"/>
    <cellStyle name="Normal 2 4 3 3 6 2 4" xfId="12307" xr:uid="{348ED7EE-E53B-4E8A-8F71-B28C78BFE3DA}"/>
    <cellStyle name="Normal 2 4 3 3 6 3" xfId="5930" xr:uid="{00000000-0005-0000-0000-000018100000}"/>
    <cellStyle name="Normal 2 4 3 3 6 3 2" xfId="22828" xr:uid="{D6D23697-A419-41C7-BCE3-BC98862F992C}"/>
    <cellStyle name="Normal 2 4 3 3 6 3 3" xfId="14380" xr:uid="{5CA67A59-3F9C-464D-A923-4E2C786DF8EB}"/>
    <cellStyle name="Normal 2 4 3 3 6 4" xfId="18610" xr:uid="{70DCDEFD-1B4E-4F43-BA21-ED51DE6413A1}"/>
    <cellStyle name="Normal 2 4 3 3 6 5" xfId="10162" xr:uid="{086370B7-CD3E-45A8-9EB6-F8AEB5E167C9}"/>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25386" xr:uid="{AAE73C9E-6695-41EF-8981-C20535364893}"/>
    <cellStyle name="Normal 2 4 3 3 7 2 2 3" xfId="16938" xr:uid="{ECB46F65-F082-4194-A4B6-BB8FFED2C19F}"/>
    <cellStyle name="Normal 2 4 3 3 7 2 3" xfId="21168" xr:uid="{DC730D45-9135-4A6E-AF6B-5C5A5C780882}"/>
    <cellStyle name="Normal 2 4 3 3 7 2 4" xfId="12720" xr:uid="{022246D8-01DA-49E9-8D88-4979BAC2DCD2}"/>
    <cellStyle name="Normal 2 4 3 3 7 3" xfId="6343" xr:uid="{00000000-0005-0000-0000-00001C100000}"/>
    <cellStyle name="Normal 2 4 3 3 7 3 2" xfId="23241" xr:uid="{85DA9661-2152-4A30-B73A-964153EB8A02}"/>
    <cellStyle name="Normal 2 4 3 3 7 3 3" xfId="14793" xr:uid="{7D6B08C2-17FF-4F89-B5BA-F2E172523243}"/>
    <cellStyle name="Normal 2 4 3 3 7 4" xfId="19023" xr:uid="{1A1302D7-B309-48FE-8DBF-AC1FC83DBF66}"/>
    <cellStyle name="Normal 2 4 3 3 7 5" xfId="10575" xr:uid="{9EED0A9F-0A05-4C6C-A76F-0B173D9D5B1E}"/>
    <cellStyle name="Normal 2 4 3 3 8" xfId="2473" xr:uid="{00000000-0005-0000-0000-00001D100000}"/>
    <cellStyle name="Normal 2 4 3 3 8 2" xfId="6756" xr:uid="{00000000-0005-0000-0000-00001E100000}"/>
    <cellStyle name="Normal 2 4 3 3 8 2 2" xfId="23654" xr:uid="{6E666F4C-AD1B-439F-B38E-78EEA9E8C62E}"/>
    <cellStyle name="Normal 2 4 3 3 8 2 3" xfId="15206" xr:uid="{923BF0CF-1732-4D34-BEDA-F5D46F20B191}"/>
    <cellStyle name="Normal 2 4 3 3 8 3" xfId="19436" xr:uid="{8BDBD3BB-584A-47CC-B5B6-83679D99E796}"/>
    <cellStyle name="Normal 2 4 3 3 8 4" xfId="10988" xr:uid="{E61017A9-DC74-49FC-BBA0-286CC8870C5D}"/>
    <cellStyle name="Normal 2 4 3 3 9" xfId="4690" xr:uid="{00000000-0005-0000-0000-00001F100000}"/>
    <cellStyle name="Normal 2 4 3 3 9 2" xfId="21588" xr:uid="{143D8832-2A91-43A8-9846-9C2FA84796BD}"/>
    <cellStyle name="Normal 2 4 3 3 9 3" xfId="13140" xr:uid="{EB3EA646-7F2C-4B0B-86E6-5360ECC355D2}"/>
    <cellStyle name="Normal 2 4 3 4" xfId="787" xr:uid="{00000000-0005-0000-0000-000020100000}"/>
    <cellStyle name="Normal 2 4 3 4 2" xfId="3026" xr:uid="{00000000-0005-0000-0000-000021100000}"/>
    <cellStyle name="Normal 2 4 3 4 2 2" xfId="7248" xr:uid="{00000000-0005-0000-0000-000022100000}"/>
    <cellStyle name="Normal 2 4 3 4 2 2 2" xfId="24146" xr:uid="{F157282B-4EEC-49B8-8367-A45C2037CE17}"/>
    <cellStyle name="Normal 2 4 3 4 2 2 3" xfId="15698" xr:uid="{D4D236B0-8D30-41B0-A079-1659B8D6F929}"/>
    <cellStyle name="Normal 2 4 3 4 2 3" xfId="19928" xr:uid="{04D87097-0816-4C57-94E5-3829472A7826}"/>
    <cellStyle name="Normal 2 4 3 4 2 4" xfId="11480" xr:uid="{E90F5EC5-3F89-4DE1-8AC9-B52914751B11}"/>
    <cellStyle name="Normal 2 4 3 4 3" xfId="5103" xr:uid="{00000000-0005-0000-0000-000023100000}"/>
    <cellStyle name="Normal 2 4 3 4 3 2" xfId="22001" xr:uid="{8E01D8C0-C091-49B5-B9B2-24F8213436DE}"/>
    <cellStyle name="Normal 2 4 3 4 3 3" xfId="13553" xr:uid="{90BD9A16-08EA-4F3A-854E-8D6FEBFC2E2F}"/>
    <cellStyle name="Normal 2 4 3 4 4" xfId="17783" xr:uid="{EE81BFE3-6838-48BA-B19A-90DAEFC22175}"/>
    <cellStyle name="Normal 2 4 3 4 5" xfId="9335" xr:uid="{571620EA-8E84-4445-A7B7-EB66041B80C0}"/>
    <cellStyle name="Normal 2 4 3 5" xfId="1209" xr:uid="{00000000-0005-0000-0000-000024100000}"/>
    <cellStyle name="Normal 2 4 3 5 2" xfId="3439" xr:uid="{00000000-0005-0000-0000-000025100000}"/>
    <cellStyle name="Normal 2 4 3 5 2 2" xfId="7661" xr:uid="{00000000-0005-0000-0000-000026100000}"/>
    <cellStyle name="Normal 2 4 3 5 2 2 2" xfId="24559" xr:uid="{D9926C4E-932D-4FA4-9FD8-FC0EC88FB251}"/>
    <cellStyle name="Normal 2 4 3 5 2 2 3" xfId="16111" xr:uid="{C887BD53-6792-4EFC-8729-DAF73796A201}"/>
    <cellStyle name="Normal 2 4 3 5 2 3" xfId="20341" xr:uid="{7E685FE2-FAF7-49EB-B41B-6B4B1DE3897A}"/>
    <cellStyle name="Normal 2 4 3 5 2 4" xfId="11893" xr:uid="{930874A9-4A18-4D58-9975-A0A02FF1A15A}"/>
    <cellStyle name="Normal 2 4 3 5 3" xfId="5516" xr:uid="{00000000-0005-0000-0000-000027100000}"/>
    <cellStyle name="Normal 2 4 3 5 3 2" xfId="22414" xr:uid="{1D46FDE5-CE2D-4420-8A74-247D181BF5B3}"/>
    <cellStyle name="Normal 2 4 3 5 3 3" xfId="13966" xr:uid="{6C6FD8DD-48B6-455E-9D95-8B868F3039F3}"/>
    <cellStyle name="Normal 2 4 3 5 4" xfId="18196" xr:uid="{2DEBCB32-C58B-43FC-9907-442169EF28CA}"/>
    <cellStyle name="Normal 2 4 3 5 5" xfId="9748" xr:uid="{1954DD8B-EE3B-4D5C-A38D-7FBF836903CF}"/>
    <cellStyle name="Normal 2 4 3 6" xfId="1622" xr:uid="{00000000-0005-0000-0000-000028100000}"/>
    <cellStyle name="Normal 2 4 3 6 2" xfId="3852" xr:uid="{00000000-0005-0000-0000-000029100000}"/>
    <cellStyle name="Normal 2 4 3 6 2 2" xfId="8074" xr:uid="{00000000-0005-0000-0000-00002A100000}"/>
    <cellStyle name="Normal 2 4 3 6 2 2 2" xfId="24972" xr:uid="{72334E89-FD18-47D2-9811-EC4A42005365}"/>
    <cellStyle name="Normal 2 4 3 6 2 2 3" xfId="16524" xr:uid="{5628E72D-0F29-437A-8E3B-17D9E634DE55}"/>
    <cellStyle name="Normal 2 4 3 6 2 3" xfId="20754" xr:uid="{44115C0A-67BF-44F7-A32B-550541F34B16}"/>
    <cellStyle name="Normal 2 4 3 6 2 4" xfId="12306" xr:uid="{9B9D2FA9-9D4B-4B4C-9F04-CF55E53BD25C}"/>
    <cellStyle name="Normal 2 4 3 6 3" xfId="5929" xr:uid="{00000000-0005-0000-0000-00002B100000}"/>
    <cellStyle name="Normal 2 4 3 6 3 2" xfId="22827" xr:uid="{06DFA74D-1A68-488B-8705-D43CC1B1AE85}"/>
    <cellStyle name="Normal 2 4 3 6 3 3" xfId="14379" xr:uid="{4DD28747-DC0F-45EC-B92C-A5A0F91D2CC0}"/>
    <cellStyle name="Normal 2 4 3 6 4" xfId="18609" xr:uid="{DE2296FF-25D4-411F-8062-CAE54145ED09}"/>
    <cellStyle name="Normal 2 4 3 6 5" xfId="10161" xr:uid="{3CBE7EED-51A1-4ED2-9893-0328FE81C95F}"/>
    <cellStyle name="Normal 2 4 3 7" xfId="2036" xr:uid="{00000000-0005-0000-0000-00002C100000}"/>
    <cellStyle name="Normal 2 4 3 7 2" xfId="4265" xr:uid="{00000000-0005-0000-0000-00002D100000}"/>
    <cellStyle name="Normal 2 4 3 7 2 2" xfId="8487" xr:uid="{00000000-0005-0000-0000-00002E100000}"/>
    <cellStyle name="Normal 2 4 3 7 2 2 2" xfId="25385" xr:uid="{FD1E24AD-6DD0-4C28-9F2C-AE4C6DADE7EA}"/>
    <cellStyle name="Normal 2 4 3 7 2 2 3" xfId="16937" xr:uid="{3E221DEC-B1E5-41B0-B65A-BB0D6C4E3DF4}"/>
    <cellStyle name="Normal 2 4 3 7 2 3" xfId="21167" xr:uid="{C678E29D-BA34-446A-945C-A26BA2483DCB}"/>
    <cellStyle name="Normal 2 4 3 7 2 4" xfId="12719" xr:uid="{A7DAFF41-7F0C-43EB-BEA8-D0080A9BD42C}"/>
    <cellStyle name="Normal 2 4 3 7 3" xfId="6342" xr:uid="{00000000-0005-0000-0000-00002F100000}"/>
    <cellStyle name="Normal 2 4 3 7 3 2" xfId="23240" xr:uid="{1EB94C43-F130-4824-B1D2-87796B42DC8E}"/>
    <cellStyle name="Normal 2 4 3 7 3 3" xfId="14792" xr:uid="{C18CA961-9C71-4BB3-81C2-DD312DD02D43}"/>
    <cellStyle name="Normal 2 4 3 7 4" xfId="19022" xr:uid="{D61FEB55-AC8C-4E52-BEB4-3E8C29EF74F3}"/>
    <cellStyle name="Normal 2 4 3 7 5" xfId="10574" xr:uid="{5F392402-AFBB-464B-B7ED-8101635B9592}"/>
    <cellStyle name="Normal 2 4 3 8" xfId="2472" xr:uid="{00000000-0005-0000-0000-000030100000}"/>
    <cellStyle name="Normal 2 4 3 8 2" xfId="6755" xr:uid="{00000000-0005-0000-0000-000031100000}"/>
    <cellStyle name="Normal 2 4 3 8 2 2" xfId="23653" xr:uid="{04BF13DD-8108-46F6-9ABC-040083F716FB}"/>
    <cellStyle name="Normal 2 4 3 8 2 3" xfId="15205" xr:uid="{19B7ECB1-624C-45F5-83F8-F0C9DBFF45D0}"/>
    <cellStyle name="Normal 2 4 3 8 3" xfId="19435" xr:uid="{CB73D093-A4DC-4163-AA3B-2D2E2160F131}"/>
    <cellStyle name="Normal 2 4 3 8 4" xfId="10987" xr:uid="{9A1289EF-BA79-4342-B385-BB62423E9336}"/>
    <cellStyle name="Normal 2 4 3 9" xfId="4689" xr:uid="{00000000-0005-0000-0000-000032100000}"/>
    <cellStyle name="Normal 2 4 3 9 2" xfId="21587" xr:uid="{1439BC41-9A39-4BAB-A852-568A26838977}"/>
    <cellStyle name="Normal 2 4 3 9 3" xfId="13139" xr:uid="{C85624E4-8C15-4FC7-975A-302D1DF5CA74}"/>
    <cellStyle name="Normal 2 4 4" xfId="302" xr:uid="{00000000-0005-0000-0000-000033100000}"/>
    <cellStyle name="Normal 2 4 5" xfId="303" xr:uid="{00000000-0005-0000-0000-000034100000}"/>
    <cellStyle name="Normal 2 4 5 10" xfId="4694" xr:uid="{00000000-0005-0000-0000-000035100000}"/>
    <cellStyle name="Normal 2 4 5 10 2" xfId="21592" xr:uid="{93ED8DF7-7C22-4B44-B1A6-CA5A2B0BE3BF}"/>
    <cellStyle name="Normal 2 4 5 10 3" xfId="13144" xr:uid="{55709C24-5B98-45E5-9922-B095CD4DC073}"/>
    <cellStyle name="Normal 2 4 5 11" xfId="17374" xr:uid="{245FAF57-9FB7-4EA7-B0CD-9730091AA16B}"/>
    <cellStyle name="Normal 2 4 5 12" xfId="8926" xr:uid="{BDE5CDCB-65E2-4A91-A623-477EAD23D2E5}"/>
    <cellStyle name="Normal 2 4 5 2" xfId="304" xr:uid="{00000000-0005-0000-0000-000036100000}"/>
    <cellStyle name="Normal 2 4 5 2 10" xfId="17375" xr:uid="{A7FB325C-64B7-499C-80AE-E77B4AAC6253}"/>
    <cellStyle name="Normal 2 4 5 2 11" xfId="8927" xr:uid="{2B3E045C-4287-434E-9A70-5DFF97C5903D}"/>
    <cellStyle name="Normal 2 4 5 2 2" xfId="305" xr:uid="{00000000-0005-0000-0000-000037100000}"/>
    <cellStyle name="Normal 2 4 5 2 2 10" xfId="8928" xr:uid="{B4FB48B2-A115-444D-8597-41A56746560D}"/>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24154" xr:uid="{C2FEF749-9285-45EE-A7A7-10B833800228}"/>
    <cellStyle name="Normal 2 4 5 2 2 2 2 2 2 3" xfId="15706" xr:uid="{DD423D15-9309-4FF1-BCB5-9EAD1D9D1BF3}"/>
    <cellStyle name="Normal 2 4 5 2 2 2 2 2 3" xfId="19936" xr:uid="{FC8E7F7A-A427-423D-A572-B534ECA74C43}"/>
    <cellStyle name="Normal 2 4 5 2 2 2 2 2 4" xfId="11488" xr:uid="{DF2B8785-BC1B-42CC-96BA-DDF623554BF3}"/>
    <cellStyle name="Normal 2 4 5 2 2 2 2 3" xfId="5111" xr:uid="{00000000-0005-0000-0000-00003C100000}"/>
    <cellStyle name="Normal 2 4 5 2 2 2 2 3 2" xfId="22009" xr:uid="{DFC54435-6C1D-4F96-95E2-5BB802F0F730}"/>
    <cellStyle name="Normal 2 4 5 2 2 2 2 3 3" xfId="13561" xr:uid="{7D7D3198-96C0-4CA3-BAB1-1108B20A541C}"/>
    <cellStyle name="Normal 2 4 5 2 2 2 2 4" xfId="17791" xr:uid="{59363C4B-9A3C-45F8-B816-F310C0E5F856}"/>
    <cellStyle name="Normal 2 4 5 2 2 2 2 5" xfId="9343" xr:uid="{065A990E-B7B0-4B10-8E5F-3FE29E03F6AF}"/>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24567" xr:uid="{3B394162-5DE5-486C-97D9-97123D5DD048}"/>
    <cellStyle name="Normal 2 4 5 2 2 2 3 2 2 3" xfId="16119" xr:uid="{9AB613AC-080C-4094-9999-8C5B61859CC7}"/>
    <cellStyle name="Normal 2 4 5 2 2 2 3 2 3" xfId="20349" xr:uid="{EAF07508-5079-4E88-86E1-57E78F90B91C}"/>
    <cellStyle name="Normal 2 4 5 2 2 2 3 2 4" xfId="11901" xr:uid="{9E734BE1-AE3D-40CB-9410-805B33036BB6}"/>
    <cellStyle name="Normal 2 4 5 2 2 2 3 3" xfId="5524" xr:uid="{00000000-0005-0000-0000-000040100000}"/>
    <cellStyle name="Normal 2 4 5 2 2 2 3 3 2" xfId="22422" xr:uid="{EF682AED-116C-4725-9DC1-05FDCD94C35C}"/>
    <cellStyle name="Normal 2 4 5 2 2 2 3 3 3" xfId="13974" xr:uid="{97D0ACA8-1E90-4382-B94D-09031D6CB5B0}"/>
    <cellStyle name="Normal 2 4 5 2 2 2 3 4" xfId="18204" xr:uid="{A0B268C7-A2D3-48BF-802E-9AF5830A11D4}"/>
    <cellStyle name="Normal 2 4 5 2 2 2 3 5" xfId="9756" xr:uid="{C5F9D607-5B6F-4E23-973F-D762374D863E}"/>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24980" xr:uid="{7CD7C59A-3898-423B-9294-2E0293E3B9C5}"/>
    <cellStyle name="Normal 2 4 5 2 2 2 4 2 2 3" xfId="16532" xr:uid="{DBCF388C-C6FB-4205-BCAA-F860D0024B89}"/>
    <cellStyle name="Normal 2 4 5 2 2 2 4 2 3" xfId="20762" xr:uid="{F958AB5B-8BA1-4B31-9592-99E0539D3C5D}"/>
    <cellStyle name="Normal 2 4 5 2 2 2 4 2 4" xfId="12314" xr:uid="{B3D20054-B7E8-4E73-B0F3-3397DBA2BE6F}"/>
    <cellStyle name="Normal 2 4 5 2 2 2 4 3" xfId="5937" xr:uid="{00000000-0005-0000-0000-000044100000}"/>
    <cellStyle name="Normal 2 4 5 2 2 2 4 3 2" xfId="22835" xr:uid="{02E6E0E2-2E28-4C18-80F5-CF4D6A20D37D}"/>
    <cellStyle name="Normal 2 4 5 2 2 2 4 3 3" xfId="14387" xr:uid="{804AB4A1-2FE7-4A10-AD74-003FFFE09CA2}"/>
    <cellStyle name="Normal 2 4 5 2 2 2 4 4" xfId="18617" xr:uid="{E697A385-E5C8-4867-883D-CDB1C4852C25}"/>
    <cellStyle name="Normal 2 4 5 2 2 2 4 5" xfId="10169" xr:uid="{C5425387-FA30-4E25-9D0E-FADA7462E615}"/>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25393" xr:uid="{41004D76-5FCD-4E90-912C-5C6A1419DC84}"/>
    <cellStyle name="Normal 2 4 5 2 2 2 5 2 2 3" xfId="16945" xr:uid="{7421E5F0-AA00-4C6E-83E8-8E2434BBB421}"/>
    <cellStyle name="Normal 2 4 5 2 2 2 5 2 3" xfId="21175" xr:uid="{6F83F3A0-C881-4F2F-A70D-D4D84CDF5270}"/>
    <cellStyle name="Normal 2 4 5 2 2 2 5 2 4" xfId="12727" xr:uid="{92CD5484-9F8C-46BD-A878-38B3A64F1D3C}"/>
    <cellStyle name="Normal 2 4 5 2 2 2 5 3" xfId="6350" xr:uid="{00000000-0005-0000-0000-000048100000}"/>
    <cellStyle name="Normal 2 4 5 2 2 2 5 3 2" xfId="23248" xr:uid="{2AE5C33D-06CD-47B3-9D98-75EA6CC8691D}"/>
    <cellStyle name="Normal 2 4 5 2 2 2 5 3 3" xfId="14800" xr:uid="{98C5B7D4-ABD6-48D6-B8E4-FE3A1C75E821}"/>
    <cellStyle name="Normal 2 4 5 2 2 2 5 4" xfId="19030" xr:uid="{31A972AA-430B-4C35-BA37-AA36213339EC}"/>
    <cellStyle name="Normal 2 4 5 2 2 2 5 5" xfId="10582" xr:uid="{E93879F6-B86F-4D1F-82A0-BBD7BDDBE200}"/>
    <cellStyle name="Normal 2 4 5 2 2 2 6" xfId="2480" xr:uid="{00000000-0005-0000-0000-000049100000}"/>
    <cellStyle name="Normal 2 4 5 2 2 2 6 2" xfId="6763" xr:uid="{00000000-0005-0000-0000-00004A100000}"/>
    <cellStyle name="Normal 2 4 5 2 2 2 6 2 2" xfId="23661" xr:uid="{AFDCA7CF-7BA2-4F67-855F-416C1DC431C5}"/>
    <cellStyle name="Normal 2 4 5 2 2 2 6 2 3" xfId="15213" xr:uid="{3619312E-A8EF-404D-B4BB-9329935942C7}"/>
    <cellStyle name="Normal 2 4 5 2 2 2 6 3" xfId="19443" xr:uid="{10A56A1E-55A8-4AF0-8E6F-A0B225AFC247}"/>
    <cellStyle name="Normal 2 4 5 2 2 2 6 4" xfId="10995" xr:uid="{77EBE44B-B8E9-4C88-8CA8-8AAF38C877E1}"/>
    <cellStyle name="Normal 2 4 5 2 2 2 7" xfId="4697" xr:uid="{00000000-0005-0000-0000-00004B100000}"/>
    <cellStyle name="Normal 2 4 5 2 2 2 7 2" xfId="21595" xr:uid="{E4A6D337-8945-4C04-A769-96949689DB2F}"/>
    <cellStyle name="Normal 2 4 5 2 2 2 7 3" xfId="13147" xr:uid="{F195AAE6-E548-4F6F-AA72-6CD63F90FDC4}"/>
    <cellStyle name="Normal 2 4 5 2 2 2 8" xfId="17377" xr:uid="{90C0037B-ED03-44CC-83EF-7BC76E27C870}"/>
    <cellStyle name="Normal 2 4 5 2 2 2 9" xfId="8929" xr:uid="{099D3B95-B9D7-4374-AF3C-2B433593FF93}"/>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24153" xr:uid="{0B90E92F-61BA-462D-B6C0-542CFAB2A831}"/>
    <cellStyle name="Normal 2 4 5 2 2 3 2 2 3" xfId="15705" xr:uid="{47128792-504B-414F-99F9-3D1C65258BDF}"/>
    <cellStyle name="Normal 2 4 5 2 2 3 2 3" xfId="19935" xr:uid="{8EBFDCB2-E67C-4F65-B6DD-A29A54EE82B2}"/>
    <cellStyle name="Normal 2 4 5 2 2 3 2 4" xfId="11487" xr:uid="{B20FFA1B-F3C2-44E2-BCA5-023CED4D31D4}"/>
    <cellStyle name="Normal 2 4 5 2 2 3 3" xfId="5110" xr:uid="{00000000-0005-0000-0000-00004F100000}"/>
    <cellStyle name="Normal 2 4 5 2 2 3 3 2" xfId="22008" xr:uid="{726AB718-B625-4190-8B54-4EAE2DFA6496}"/>
    <cellStyle name="Normal 2 4 5 2 2 3 3 3" xfId="13560" xr:uid="{70618542-BE6A-4912-83CF-6777532A50E3}"/>
    <cellStyle name="Normal 2 4 5 2 2 3 4" xfId="17790" xr:uid="{AFC6C8DB-9DEE-44E1-BB08-BC7984583C0A}"/>
    <cellStyle name="Normal 2 4 5 2 2 3 5" xfId="9342" xr:uid="{B46E6FC1-092D-4BC3-8105-3999ADE9CDC7}"/>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24566" xr:uid="{17712985-868F-4ED3-90BA-AC199521C400}"/>
    <cellStyle name="Normal 2 4 5 2 2 4 2 2 3" xfId="16118" xr:uid="{2C7415EA-EA66-4D7F-A144-A4AD88482061}"/>
    <cellStyle name="Normal 2 4 5 2 2 4 2 3" xfId="20348" xr:uid="{D3E51799-7788-4998-B592-5B9215108741}"/>
    <cellStyle name="Normal 2 4 5 2 2 4 2 4" xfId="11900" xr:uid="{14E3A0A0-AD38-4A89-95D8-736FE89129DF}"/>
    <cellStyle name="Normal 2 4 5 2 2 4 3" xfId="5523" xr:uid="{00000000-0005-0000-0000-000053100000}"/>
    <cellStyle name="Normal 2 4 5 2 2 4 3 2" xfId="22421" xr:uid="{C0A7A121-9DA5-409A-95EF-95E23A9ED85B}"/>
    <cellStyle name="Normal 2 4 5 2 2 4 3 3" xfId="13973" xr:uid="{8521FCE9-22FB-47B6-AD98-8A520FCBCF8D}"/>
    <cellStyle name="Normal 2 4 5 2 2 4 4" xfId="18203" xr:uid="{318C4866-40B6-4C12-ADD7-77EF2918A96F}"/>
    <cellStyle name="Normal 2 4 5 2 2 4 5" xfId="9755" xr:uid="{22BC2A9D-4E3E-4BA8-BFAF-221F399DFAF2}"/>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24979" xr:uid="{73BEFAC9-4ACA-4518-9FCD-811CA380C25F}"/>
    <cellStyle name="Normal 2 4 5 2 2 5 2 2 3" xfId="16531" xr:uid="{FB45D463-2DCE-4DFD-9C3C-5F8F5C5A71D2}"/>
    <cellStyle name="Normal 2 4 5 2 2 5 2 3" xfId="20761" xr:uid="{863697FA-A8F8-4AB6-ABFE-38770830191A}"/>
    <cellStyle name="Normal 2 4 5 2 2 5 2 4" xfId="12313" xr:uid="{ACBF5EEE-6E93-453F-9E31-8F32BBB3DA19}"/>
    <cellStyle name="Normal 2 4 5 2 2 5 3" xfId="5936" xr:uid="{00000000-0005-0000-0000-000057100000}"/>
    <cellStyle name="Normal 2 4 5 2 2 5 3 2" xfId="22834" xr:uid="{286E6623-458F-454E-BCEE-9B9F1A399339}"/>
    <cellStyle name="Normal 2 4 5 2 2 5 3 3" xfId="14386" xr:uid="{D4B2170F-927A-4F49-A61B-00C42EBD8A4C}"/>
    <cellStyle name="Normal 2 4 5 2 2 5 4" xfId="18616" xr:uid="{33F1B1D4-893B-4A2F-BF72-DC161276D28C}"/>
    <cellStyle name="Normal 2 4 5 2 2 5 5" xfId="10168" xr:uid="{A3677A07-36FE-4B7C-A020-598FA7AABDA1}"/>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25392" xr:uid="{CAA2F174-0248-443C-B4CC-79936693109D}"/>
    <cellStyle name="Normal 2 4 5 2 2 6 2 2 3" xfId="16944" xr:uid="{2B38CB00-892F-4B06-945A-18F023082EAB}"/>
    <cellStyle name="Normal 2 4 5 2 2 6 2 3" xfId="21174" xr:uid="{7306D404-6891-479D-BCF2-B81302E15CC6}"/>
    <cellStyle name="Normal 2 4 5 2 2 6 2 4" xfId="12726" xr:uid="{3EF43B1C-DAB8-43B1-8692-9A4251B8F57D}"/>
    <cellStyle name="Normal 2 4 5 2 2 6 3" xfId="6349" xr:uid="{00000000-0005-0000-0000-00005B100000}"/>
    <cellStyle name="Normal 2 4 5 2 2 6 3 2" xfId="23247" xr:uid="{4D1142F2-0B8E-4091-B1AD-43C587B11757}"/>
    <cellStyle name="Normal 2 4 5 2 2 6 3 3" xfId="14799" xr:uid="{54A7ECFE-302E-49A0-9163-10BB88AED721}"/>
    <cellStyle name="Normal 2 4 5 2 2 6 4" xfId="19029" xr:uid="{DD290AF0-679D-402A-B30D-4A3E395C57AD}"/>
    <cellStyle name="Normal 2 4 5 2 2 6 5" xfId="10581" xr:uid="{914B259F-96C0-4128-9E40-C8451023415B}"/>
    <cellStyle name="Normal 2 4 5 2 2 7" xfId="2479" xr:uid="{00000000-0005-0000-0000-00005C100000}"/>
    <cellStyle name="Normal 2 4 5 2 2 7 2" xfId="6762" xr:uid="{00000000-0005-0000-0000-00005D100000}"/>
    <cellStyle name="Normal 2 4 5 2 2 7 2 2" xfId="23660" xr:uid="{50A812FF-E0DA-4CF6-97B2-1A60023E1E5D}"/>
    <cellStyle name="Normal 2 4 5 2 2 7 2 3" xfId="15212" xr:uid="{CC43B664-50D2-4CCA-B081-6096FA5B9246}"/>
    <cellStyle name="Normal 2 4 5 2 2 7 3" xfId="19442" xr:uid="{3DA3172D-0D24-4AE0-998D-A62DEC46771E}"/>
    <cellStyle name="Normal 2 4 5 2 2 7 4" xfId="10994" xr:uid="{AB137150-B9FD-4B1E-B003-93AF6CD588C5}"/>
    <cellStyle name="Normal 2 4 5 2 2 8" xfId="4696" xr:uid="{00000000-0005-0000-0000-00005E100000}"/>
    <cellStyle name="Normal 2 4 5 2 2 8 2" xfId="21594" xr:uid="{91B1C28A-A4A0-45D0-A60D-35E667A72D40}"/>
    <cellStyle name="Normal 2 4 5 2 2 8 3" xfId="13146" xr:uid="{36240F31-D87E-4099-A4C1-3A0CD376F668}"/>
    <cellStyle name="Normal 2 4 5 2 2 9" xfId="17376" xr:uid="{B427F119-567A-474D-9A0C-6963D378917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24155" xr:uid="{797385C9-E75A-480E-88A2-3302C1F948A1}"/>
    <cellStyle name="Normal 2 4 5 2 3 2 2 2 3" xfId="15707" xr:uid="{4D028CD4-197E-412D-A7BF-75CE94C07232}"/>
    <cellStyle name="Normal 2 4 5 2 3 2 2 3" xfId="19937" xr:uid="{7E53EA56-D5A7-4167-8F3C-32F891F4D1BD}"/>
    <cellStyle name="Normal 2 4 5 2 3 2 2 4" xfId="11489" xr:uid="{17AB6A50-5558-4DA4-9E85-D06FC577EE74}"/>
    <cellStyle name="Normal 2 4 5 2 3 2 3" xfId="5112" xr:uid="{00000000-0005-0000-0000-000063100000}"/>
    <cellStyle name="Normal 2 4 5 2 3 2 3 2" xfId="22010" xr:uid="{0454A4EC-B212-4101-836D-376B6EEBB5CF}"/>
    <cellStyle name="Normal 2 4 5 2 3 2 3 3" xfId="13562" xr:uid="{08852208-1053-4522-B477-A0AF76C3A87E}"/>
    <cellStyle name="Normal 2 4 5 2 3 2 4" xfId="17792" xr:uid="{FB1533F5-A720-4C6A-BDE6-E6F1716F151E}"/>
    <cellStyle name="Normal 2 4 5 2 3 2 5" xfId="9344" xr:uid="{7ABFEC3D-75E1-4C0C-8D6E-5AC2A4D7C8E7}"/>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24568" xr:uid="{13100C2C-E847-41E5-97F6-D0611FA147A7}"/>
    <cellStyle name="Normal 2 4 5 2 3 3 2 2 3" xfId="16120" xr:uid="{39867D04-9AAE-46F3-9FAA-2E791899AFAF}"/>
    <cellStyle name="Normal 2 4 5 2 3 3 2 3" xfId="20350" xr:uid="{A184BCA8-854C-4AD8-B074-F28E412F35AB}"/>
    <cellStyle name="Normal 2 4 5 2 3 3 2 4" xfId="11902" xr:uid="{B6814E1F-B4B9-4E88-87D1-BFA5F5277312}"/>
    <cellStyle name="Normal 2 4 5 2 3 3 3" xfId="5525" xr:uid="{00000000-0005-0000-0000-000067100000}"/>
    <cellStyle name="Normal 2 4 5 2 3 3 3 2" xfId="22423" xr:uid="{0B876E21-9D58-4576-9199-CEE1E8B01623}"/>
    <cellStyle name="Normal 2 4 5 2 3 3 3 3" xfId="13975" xr:uid="{404409CC-B7FA-497A-9554-9B04FA23F887}"/>
    <cellStyle name="Normal 2 4 5 2 3 3 4" xfId="18205" xr:uid="{5F9CCA18-6FBF-41CA-8527-687E48E581AE}"/>
    <cellStyle name="Normal 2 4 5 2 3 3 5" xfId="9757" xr:uid="{EAB13EB5-9701-4224-B922-6243C6DEFC85}"/>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24981" xr:uid="{4A48CA05-2CE0-4A56-B9A7-F3A68A12C6DD}"/>
    <cellStyle name="Normal 2 4 5 2 3 4 2 2 3" xfId="16533" xr:uid="{FE5E4DA8-B150-4E4B-ABE9-7E49228A5C9B}"/>
    <cellStyle name="Normal 2 4 5 2 3 4 2 3" xfId="20763" xr:uid="{DAA2FF01-F3A7-459D-B9C0-B47DDBC130AF}"/>
    <cellStyle name="Normal 2 4 5 2 3 4 2 4" xfId="12315" xr:uid="{80C2D60E-BFAD-4B19-A3F6-1D3A4CC236C6}"/>
    <cellStyle name="Normal 2 4 5 2 3 4 3" xfId="5938" xr:uid="{00000000-0005-0000-0000-00006B100000}"/>
    <cellStyle name="Normal 2 4 5 2 3 4 3 2" xfId="22836" xr:uid="{2AD97932-2CCE-4476-9E35-CA5B2CA9F17D}"/>
    <cellStyle name="Normal 2 4 5 2 3 4 3 3" xfId="14388" xr:uid="{A174F50A-8551-40FA-9F06-76AA29A4DD2A}"/>
    <cellStyle name="Normal 2 4 5 2 3 4 4" xfId="18618" xr:uid="{EC1EA47D-B85D-40D9-B3D6-5065D06F6D39}"/>
    <cellStyle name="Normal 2 4 5 2 3 4 5" xfId="10170" xr:uid="{6944DB8D-EDE4-493E-8186-B56EB97F7118}"/>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25394" xr:uid="{7FF77C89-B120-4A30-99C5-26E07A22BE5D}"/>
    <cellStyle name="Normal 2 4 5 2 3 5 2 2 3" xfId="16946" xr:uid="{E66D9992-FE1E-4E1F-9BE9-361692CB5143}"/>
    <cellStyle name="Normal 2 4 5 2 3 5 2 3" xfId="21176" xr:uid="{633BAB79-2C54-47E2-B7C9-75E81A97BB1B}"/>
    <cellStyle name="Normal 2 4 5 2 3 5 2 4" xfId="12728" xr:uid="{31615D1C-B563-4BE1-918F-7135A0F8A85B}"/>
    <cellStyle name="Normal 2 4 5 2 3 5 3" xfId="6351" xr:uid="{00000000-0005-0000-0000-00006F100000}"/>
    <cellStyle name="Normal 2 4 5 2 3 5 3 2" xfId="23249" xr:uid="{99C81C1E-D7F5-4056-96FF-F81F7DF14FF7}"/>
    <cellStyle name="Normal 2 4 5 2 3 5 3 3" xfId="14801" xr:uid="{543E28B6-54C6-4DB5-AE82-6477C3701BE2}"/>
    <cellStyle name="Normal 2 4 5 2 3 5 4" xfId="19031" xr:uid="{56AD80BC-CE54-4826-B675-8B7902847755}"/>
    <cellStyle name="Normal 2 4 5 2 3 5 5" xfId="10583" xr:uid="{EF09C7C9-2592-4E77-8F71-F660FD6B5DA7}"/>
    <cellStyle name="Normal 2 4 5 2 3 6" xfId="2481" xr:uid="{00000000-0005-0000-0000-000070100000}"/>
    <cellStyle name="Normal 2 4 5 2 3 6 2" xfId="6764" xr:uid="{00000000-0005-0000-0000-000071100000}"/>
    <cellStyle name="Normal 2 4 5 2 3 6 2 2" xfId="23662" xr:uid="{34FC1A83-F7A3-4056-8F27-0E68A59F0AA5}"/>
    <cellStyle name="Normal 2 4 5 2 3 6 2 3" xfId="15214" xr:uid="{E226666B-0627-43D0-BCEC-327245B3C77C}"/>
    <cellStyle name="Normal 2 4 5 2 3 6 3" xfId="19444" xr:uid="{98625C00-390E-4FBD-A549-6518EA260F62}"/>
    <cellStyle name="Normal 2 4 5 2 3 6 4" xfId="10996" xr:uid="{9BB755C4-61F7-4813-9CB1-73C2C5440457}"/>
    <cellStyle name="Normal 2 4 5 2 3 7" xfId="4698" xr:uid="{00000000-0005-0000-0000-000072100000}"/>
    <cellStyle name="Normal 2 4 5 2 3 7 2" xfId="21596" xr:uid="{C3913F40-138A-47ED-A193-C63F6A492BD7}"/>
    <cellStyle name="Normal 2 4 5 2 3 7 3" xfId="13148" xr:uid="{9932F9E0-F38E-4434-BB6A-0123F16D708A}"/>
    <cellStyle name="Normal 2 4 5 2 3 8" xfId="17378" xr:uid="{F93A44D5-8247-40CD-896E-9917B3AFC767}"/>
    <cellStyle name="Normal 2 4 5 2 3 9" xfId="8930" xr:uid="{C0C1EE20-3B31-49B9-81CE-FE50FD1A5E69}"/>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24152" xr:uid="{8636ECF0-4992-4A47-A82F-77EF7FC3A172}"/>
    <cellStyle name="Normal 2 4 5 2 4 2 2 3" xfId="15704" xr:uid="{ECEA24FB-387B-4266-A029-24E96A8B3E18}"/>
    <cellStyle name="Normal 2 4 5 2 4 2 3" xfId="19934" xr:uid="{C15C92F0-8C86-4ADD-878A-B3B6571BD940}"/>
    <cellStyle name="Normal 2 4 5 2 4 2 4" xfId="11486" xr:uid="{3FA35BFE-4B95-470B-AD6C-A81130742489}"/>
    <cellStyle name="Normal 2 4 5 2 4 3" xfId="5109" xr:uid="{00000000-0005-0000-0000-000076100000}"/>
    <cellStyle name="Normal 2 4 5 2 4 3 2" xfId="22007" xr:uid="{A9AC6975-1C86-441B-AFA4-F407B68A4D02}"/>
    <cellStyle name="Normal 2 4 5 2 4 3 3" xfId="13559" xr:uid="{25983FBA-0B5D-4C66-8A5B-60B2D7CD8EAB}"/>
    <cellStyle name="Normal 2 4 5 2 4 4" xfId="17789" xr:uid="{04527007-F85E-4EED-88E5-45F782FFBF5F}"/>
    <cellStyle name="Normal 2 4 5 2 4 5" xfId="9341" xr:uid="{96807ECE-12E1-4CD6-83EF-C2987F94FC3A}"/>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24565" xr:uid="{0FB29EB3-9EEB-4584-B93F-0183EBF2CDF0}"/>
    <cellStyle name="Normal 2 4 5 2 5 2 2 3" xfId="16117" xr:uid="{B8FB465A-FB30-43D0-A222-7B248F497024}"/>
    <cellStyle name="Normal 2 4 5 2 5 2 3" xfId="20347" xr:uid="{829B163D-325D-4B1B-BD37-D024DA565261}"/>
    <cellStyle name="Normal 2 4 5 2 5 2 4" xfId="11899" xr:uid="{AEB3AE61-D062-4E2F-86A2-5E7ED80A920E}"/>
    <cellStyle name="Normal 2 4 5 2 5 3" xfId="5522" xr:uid="{00000000-0005-0000-0000-00007A100000}"/>
    <cellStyle name="Normal 2 4 5 2 5 3 2" xfId="22420" xr:uid="{DE108F69-D475-4153-B916-31B2100AF8CC}"/>
    <cellStyle name="Normal 2 4 5 2 5 3 3" xfId="13972" xr:uid="{2516B9E7-14DB-4259-8670-DA5ACE0BB0A5}"/>
    <cellStyle name="Normal 2 4 5 2 5 4" xfId="18202" xr:uid="{A8F8A06C-DB10-421D-BA1F-7788B67F764B}"/>
    <cellStyle name="Normal 2 4 5 2 5 5" xfId="9754" xr:uid="{6129B80D-640C-41BE-A79C-8DC4AED27ABF}"/>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24978" xr:uid="{2B6DFD6D-BE71-4F34-B085-2609D3B041AB}"/>
    <cellStyle name="Normal 2 4 5 2 6 2 2 3" xfId="16530" xr:uid="{56CBE4B7-B4B5-49EF-9D48-0602DF34F95A}"/>
    <cellStyle name="Normal 2 4 5 2 6 2 3" xfId="20760" xr:uid="{6D8672D7-1700-479C-B0A0-026E6E90F8A0}"/>
    <cellStyle name="Normal 2 4 5 2 6 2 4" xfId="12312" xr:uid="{D3A3B0EF-BCB7-425D-B08B-B149BBFEA8DD}"/>
    <cellStyle name="Normal 2 4 5 2 6 3" xfId="5935" xr:uid="{00000000-0005-0000-0000-00007E100000}"/>
    <cellStyle name="Normal 2 4 5 2 6 3 2" xfId="22833" xr:uid="{15F04E7E-5909-4E53-9884-967289BE4905}"/>
    <cellStyle name="Normal 2 4 5 2 6 3 3" xfId="14385" xr:uid="{469EF5B8-27C7-4EAA-BD23-093A73297FB5}"/>
    <cellStyle name="Normal 2 4 5 2 6 4" xfId="18615" xr:uid="{A201AC0F-70C7-47BA-B403-380D36F89F7B}"/>
    <cellStyle name="Normal 2 4 5 2 6 5" xfId="10167" xr:uid="{0AE3087D-92F1-4CB4-A229-695C2EB18336}"/>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25391" xr:uid="{EB872740-BABF-40D7-883B-D3DFF9F11827}"/>
    <cellStyle name="Normal 2 4 5 2 7 2 2 3" xfId="16943" xr:uid="{1A4E6434-8C21-4B8A-9D48-FBA288583D05}"/>
    <cellStyle name="Normal 2 4 5 2 7 2 3" xfId="21173" xr:uid="{A37ED6BA-27F4-4262-8779-0084FD928BBF}"/>
    <cellStyle name="Normal 2 4 5 2 7 2 4" xfId="12725" xr:uid="{22391181-97D5-4464-BB30-9FA1EC3243AF}"/>
    <cellStyle name="Normal 2 4 5 2 7 3" xfId="6348" xr:uid="{00000000-0005-0000-0000-000082100000}"/>
    <cellStyle name="Normal 2 4 5 2 7 3 2" xfId="23246" xr:uid="{F3ED998B-C360-42E1-972A-67AC0B407A78}"/>
    <cellStyle name="Normal 2 4 5 2 7 3 3" xfId="14798" xr:uid="{475FE9B0-323E-4616-AAAA-915EB1BEE550}"/>
    <cellStyle name="Normal 2 4 5 2 7 4" xfId="19028" xr:uid="{F82A0E20-1695-4EBF-A9A1-891ADA193B6C}"/>
    <cellStyle name="Normal 2 4 5 2 7 5" xfId="10580" xr:uid="{6855D136-0D15-4F2E-A5C5-241B5F3D81B0}"/>
    <cellStyle name="Normal 2 4 5 2 8" xfId="2478" xr:uid="{00000000-0005-0000-0000-000083100000}"/>
    <cellStyle name="Normal 2 4 5 2 8 2" xfId="6761" xr:uid="{00000000-0005-0000-0000-000084100000}"/>
    <cellStyle name="Normal 2 4 5 2 8 2 2" xfId="23659" xr:uid="{3855C332-35C7-4328-873B-EA2D5E82C6AB}"/>
    <cellStyle name="Normal 2 4 5 2 8 2 3" xfId="15211" xr:uid="{85418A08-E720-4314-A487-C097C11D1637}"/>
    <cellStyle name="Normal 2 4 5 2 8 3" xfId="19441" xr:uid="{38DCBBBB-BF8A-45AB-9AE2-B5CE3D39F254}"/>
    <cellStyle name="Normal 2 4 5 2 8 4" xfId="10993" xr:uid="{005ABF05-221C-484A-900E-17B3485DE126}"/>
    <cellStyle name="Normal 2 4 5 2 9" xfId="4695" xr:uid="{00000000-0005-0000-0000-000085100000}"/>
    <cellStyle name="Normal 2 4 5 2 9 2" xfId="21593" xr:uid="{A2B172A9-5E13-43F4-8F04-7AA89999F154}"/>
    <cellStyle name="Normal 2 4 5 2 9 3" xfId="13145" xr:uid="{79398CCB-922F-4BA0-8F51-05B2CDD644AD}"/>
    <cellStyle name="Normal 2 4 5 3" xfId="308" xr:uid="{00000000-0005-0000-0000-000086100000}"/>
    <cellStyle name="Normal 2 4 5 3 10" xfId="8931" xr:uid="{E48C4323-BC2A-4A61-A687-853120756F8E}"/>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24157" xr:uid="{B39E82EC-639D-4EEA-9EF8-4385A0E938A6}"/>
    <cellStyle name="Normal 2 4 5 3 2 2 2 2 3" xfId="15709" xr:uid="{B733D518-3DFF-4E19-95BE-CB54A8AF47AE}"/>
    <cellStyle name="Normal 2 4 5 3 2 2 2 3" xfId="19939" xr:uid="{22887FF8-EE74-4445-BA9A-FB86D57CAD17}"/>
    <cellStyle name="Normal 2 4 5 3 2 2 2 4" xfId="11491" xr:uid="{8998CEB5-FA35-4839-BB1A-5EA09501469D}"/>
    <cellStyle name="Normal 2 4 5 3 2 2 3" xfId="5114" xr:uid="{00000000-0005-0000-0000-00008B100000}"/>
    <cellStyle name="Normal 2 4 5 3 2 2 3 2" xfId="22012" xr:uid="{CD39304A-096C-432A-AE4E-B8CCBE2CE43D}"/>
    <cellStyle name="Normal 2 4 5 3 2 2 3 3" xfId="13564" xr:uid="{E6E6636F-F67A-4357-B783-45CC573A33BD}"/>
    <cellStyle name="Normal 2 4 5 3 2 2 4" xfId="17794" xr:uid="{58375257-37C8-4076-9E99-D77E64BB615F}"/>
    <cellStyle name="Normal 2 4 5 3 2 2 5" xfId="9346" xr:uid="{E033A166-B27D-41C0-8BB9-F94390742EE1}"/>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24570" xr:uid="{294EAFB7-6F64-4266-B6EF-F902E46C08DC}"/>
    <cellStyle name="Normal 2 4 5 3 2 3 2 2 3" xfId="16122" xr:uid="{35A66B53-C5EE-4533-B6AA-45D99B6BBE6C}"/>
    <cellStyle name="Normal 2 4 5 3 2 3 2 3" xfId="20352" xr:uid="{6E480472-EE41-4155-9E4D-251841189CAA}"/>
    <cellStyle name="Normal 2 4 5 3 2 3 2 4" xfId="11904" xr:uid="{2961D37B-480F-4A96-9078-4CEC32E274C6}"/>
    <cellStyle name="Normal 2 4 5 3 2 3 3" xfId="5527" xr:uid="{00000000-0005-0000-0000-00008F100000}"/>
    <cellStyle name="Normal 2 4 5 3 2 3 3 2" xfId="22425" xr:uid="{6FED6751-1945-4FE1-AC1D-504C69DCCB75}"/>
    <cellStyle name="Normal 2 4 5 3 2 3 3 3" xfId="13977" xr:uid="{FF203C46-5A9F-4912-B4C3-2E7C7E1F2D7D}"/>
    <cellStyle name="Normal 2 4 5 3 2 3 4" xfId="18207" xr:uid="{837CB6D0-EF5E-4145-9433-ED857F9B95E1}"/>
    <cellStyle name="Normal 2 4 5 3 2 3 5" xfId="9759" xr:uid="{7B9618F5-4A44-4082-A2B5-EF6353E987C4}"/>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24983" xr:uid="{CF41354B-7BFB-42ED-9B50-08C67969160C}"/>
    <cellStyle name="Normal 2 4 5 3 2 4 2 2 3" xfId="16535" xr:uid="{DF11D405-D21A-4942-9A58-6F468F0C1A1F}"/>
    <cellStyle name="Normal 2 4 5 3 2 4 2 3" xfId="20765" xr:uid="{955A988A-AF8D-45AB-909A-63334907884A}"/>
    <cellStyle name="Normal 2 4 5 3 2 4 2 4" xfId="12317" xr:uid="{19038585-D7A4-436F-BF24-1FBD22F82393}"/>
    <cellStyle name="Normal 2 4 5 3 2 4 3" xfId="5940" xr:uid="{00000000-0005-0000-0000-000093100000}"/>
    <cellStyle name="Normal 2 4 5 3 2 4 3 2" xfId="22838" xr:uid="{8594F7D3-929D-4EE4-988C-0B7D1A3530E1}"/>
    <cellStyle name="Normal 2 4 5 3 2 4 3 3" xfId="14390" xr:uid="{1C6F27AD-6C32-44A0-83A7-655C54D2D50E}"/>
    <cellStyle name="Normal 2 4 5 3 2 4 4" xfId="18620" xr:uid="{BF963D07-32AD-4ABD-9D4A-8D1845F1AE00}"/>
    <cellStyle name="Normal 2 4 5 3 2 4 5" xfId="10172" xr:uid="{A1B38A75-8C81-4286-A6E8-CC0BCA1B94A3}"/>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25396" xr:uid="{C892805B-D2C2-4B67-933C-FB3653BC02B5}"/>
    <cellStyle name="Normal 2 4 5 3 2 5 2 2 3" xfId="16948" xr:uid="{70C6E250-F51E-4F96-9A1E-DDD3F086CBB3}"/>
    <cellStyle name="Normal 2 4 5 3 2 5 2 3" xfId="21178" xr:uid="{56D4B0D6-6725-4FF8-81BE-2B94DCF5AAF1}"/>
    <cellStyle name="Normal 2 4 5 3 2 5 2 4" xfId="12730" xr:uid="{2ECDFDAE-6935-4626-9168-85AB7E63C47E}"/>
    <cellStyle name="Normal 2 4 5 3 2 5 3" xfId="6353" xr:uid="{00000000-0005-0000-0000-000097100000}"/>
    <cellStyle name="Normal 2 4 5 3 2 5 3 2" xfId="23251" xr:uid="{EF88913A-CFF3-47D7-921B-8972316D6665}"/>
    <cellStyle name="Normal 2 4 5 3 2 5 3 3" xfId="14803" xr:uid="{C0F68429-F5D3-4CC3-9233-99B060BB7E6B}"/>
    <cellStyle name="Normal 2 4 5 3 2 5 4" xfId="19033" xr:uid="{B7DE3D69-9099-4341-BAF0-007D4ECC9283}"/>
    <cellStyle name="Normal 2 4 5 3 2 5 5" xfId="10585" xr:uid="{8374AB5F-34F3-46CB-BADD-4493CCD29D46}"/>
    <cellStyle name="Normal 2 4 5 3 2 6" xfId="2483" xr:uid="{00000000-0005-0000-0000-000098100000}"/>
    <cellStyle name="Normal 2 4 5 3 2 6 2" xfId="6766" xr:uid="{00000000-0005-0000-0000-000099100000}"/>
    <cellStyle name="Normal 2 4 5 3 2 6 2 2" xfId="23664" xr:uid="{7BB967A0-40B8-4FA2-9552-3822C13F4A92}"/>
    <cellStyle name="Normal 2 4 5 3 2 6 2 3" xfId="15216" xr:uid="{D90371A2-6672-4DFE-8485-41A4BC033392}"/>
    <cellStyle name="Normal 2 4 5 3 2 6 3" xfId="19446" xr:uid="{2DCC31ED-EBCB-42A4-949C-BC16A50DB9FF}"/>
    <cellStyle name="Normal 2 4 5 3 2 6 4" xfId="10998" xr:uid="{F3FA82C5-256D-482A-A036-20045E190D65}"/>
    <cellStyle name="Normal 2 4 5 3 2 7" xfId="4700" xr:uid="{00000000-0005-0000-0000-00009A100000}"/>
    <cellStyle name="Normal 2 4 5 3 2 7 2" xfId="21598" xr:uid="{8B9231A2-48F1-4A46-ACE4-E40129FE084E}"/>
    <cellStyle name="Normal 2 4 5 3 2 7 3" xfId="13150" xr:uid="{FE9D1E8D-86DB-46F3-8777-64C59C243564}"/>
    <cellStyle name="Normal 2 4 5 3 2 8" xfId="17380" xr:uid="{DFDD7CAE-6CD6-4ADB-964A-0B1E2A034A84}"/>
    <cellStyle name="Normal 2 4 5 3 2 9" xfId="8932" xr:uid="{460065D3-FA68-41FF-BB4C-DFEBBCA1FE24}"/>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24156" xr:uid="{FFDD01D7-17E0-4C5D-967D-0B02FBC33D6D}"/>
    <cellStyle name="Normal 2 4 5 3 3 2 2 3" xfId="15708" xr:uid="{3790FAF3-EB9F-4688-91BB-5BBBAFC6D204}"/>
    <cellStyle name="Normal 2 4 5 3 3 2 3" xfId="19938" xr:uid="{DD35B8DD-1BCE-42C1-BDC3-21A29A55EBCE}"/>
    <cellStyle name="Normal 2 4 5 3 3 2 4" xfId="11490" xr:uid="{490F3341-0FC8-4C12-985A-7D3938334D2F}"/>
    <cellStyle name="Normal 2 4 5 3 3 3" xfId="5113" xr:uid="{00000000-0005-0000-0000-00009E100000}"/>
    <cellStyle name="Normal 2 4 5 3 3 3 2" xfId="22011" xr:uid="{AC24D988-E5CC-4A0A-9687-26CE0D362307}"/>
    <cellStyle name="Normal 2 4 5 3 3 3 3" xfId="13563" xr:uid="{CC949109-7868-4ACF-BD23-AC8B2D9D904E}"/>
    <cellStyle name="Normal 2 4 5 3 3 4" xfId="17793" xr:uid="{F530B551-25CC-4508-9BFA-EB85B1700258}"/>
    <cellStyle name="Normal 2 4 5 3 3 5" xfId="9345" xr:uid="{0D281763-5916-4EA0-A2AE-02B6BC97762A}"/>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24569" xr:uid="{60670B46-66E0-4214-A0E3-E75C784BD88E}"/>
    <cellStyle name="Normal 2 4 5 3 4 2 2 3" xfId="16121" xr:uid="{0896663B-69E1-4497-803E-AE3074294CAF}"/>
    <cellStyle name="Normal 2 4 5 3 4 2 3" xfId="20351" xr:uid="{35A5E04B-3CE2-4138-8F00-76164D8E524E}"/>
    <cellStyle name="Normal 2 4 5 3 4 2 4" xfId="11903" xr:uid="{48958663-029A-49DE-A15E-F946EC4A4CAC}"/>
    <cellStyle name="Normal 2 4 5 3 4 3" xfId="5526" xr:uid="{00000000-0005-0000-0000-0000A2100000}"/>
    <cellStyle name="Normal 2 4 5 3 4 3 2" xfId="22424" xr:uid="{81D2DAA4-007B-4171-96C9-0CC251B1F6C2}"/>
    <cellStyle name="Normal 2 4 5 3 4 3 3" xfId="13976" xr:uid="{F382846E-D698-429C-B41D-5D8680AA32E5}"/>
    <cellStyle name="Normal 2 4 5 3 4 4" xfId="18206" xr:uid="{F9674B60-A38F-41D6-8A0D-86E44399E729}"/>
    <cellStyle name="Normal 2 4 5 3 4 5" xfId="9758" xr:uid="{D149C3EB-8D3A-44CE-AB0C-18A0984C9860}"/>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24982" xr:uid="{3333C9CD-D2D5-4690-BF96-D0E28CC806FC}"/>
    <cellStyle name="Normal 2 4 5 3 5 2 2 3" xfId="16534" xr:uid="{CBCC4350-DE3E-4628-B724-8386EBF424A0}"/>
    <cellStyle name="Normal 2 4 5 3 5 2 3" xfId="20764" xr:uid="{390B1215-5273-4637-B357-338925C6F492}"/>
    <cellStyle name="Normal 2 4 5 3 5 2 4" xfId="12316" xr:uid="{5BFA9549-3B93-414D-991F-2862092FECFC}"/>
    <cellStyle name="Normal 2 4 5 3 5 3" xfId="5939" xr:uid="{00000000-0005-0000-0000-0000A6100000}"/>
    <cellStyle name="Normal 2 4 5 3 5 3 2" xfId="22837" xr:uid="{A138101E-04FB-46E5-BFCD-17DA887CA76E}"/>
    <cellStyle name="Normal 2 4 5 3 5 3 3" xfId="14389" xr:uid="{AF2A4453-2FB4-4297-B2CA-3D0E7E970A42}"/>
    <cellStyle name="Normal 2 4 5 3 5 4" xfId="18619" xr:uid="{69381F6F-CA3B-4BD4-A260-934248F312A6}"/>
    <cellStyle name="Normal 2 4 5 3 5 5" xfId="10171" xr:uid="{25114237-8C85-45E9-95DD-A85D8EBED3C7}"/>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25395" xr:uid="{8832D2AD-3FA7-4C17-AF1F-29D1F99A6724}"/>
    <cellStyle name="Normal 2 4 5 3 6 2 2 3" xfId="16947" xr:uid="{50F5A13E-2C2B-4F41-A874-DDA0B2880064}"/>
    <cellStyle name="Normal 2 4 5 3 6 2 3" xfId="21177" xr:uid="{6579165E-FBDC-4686-9F69-BE4BED9FCBB4}"/>
    <cellStyle name="Normal 2 4 5 3 6 2 4" xfId="12729" xr:uid="{D67F7BDA-0726-44C1-B9B6-ED6EE3B85CA7}"/>
    <cellStyle name="Normal 2 4 5 3 6 3" xfId="6352" xr:uid="{00000000-0005-0000-0000-0000AA100000}"/>
    <cellStyle name="Normal 2 4 5 3 6 3 2" xfId="23250" xr:uid="{F4F51EEA-C005-4EAC-95D9-4478BC20AD8C}"/>
    <cellStyle name="Normal 2 4 5 3 6 3 3" xfId="14802" xr:uid="{2797DADE-6B91-46F3-AD0B-E26D0D47944A}"/>
    <cellStyle name="Normal 2 4 5 3 6 4" xfId="19032" xr:uid="{4CE3138C-97AB-4EF3-82CE-5BC8B16C7029}"/>
    <cellStyle name="Normal 2 4 5 3 6 5" xfId="10584" xr:uid="{3611C525-F411-4B9A-8616-58C021C02EEE}"/>
    <cellStyle name="Normal 2 4 5 3 7" xfId="2482" xr:uid="{00000000-0005-0000-0000-0000AB100000}"/>
    <cellStyle name="Normal 2 4 5 3 7 2" xfId="6765" xr:uid="{00000000-0005-0000-0000-0000AC100000}"/>
    <cellStyle name="Normal 2 4 5 3 7 2 2" xfId="23663" xr:uid="{5092B494-5B78-48D2-91B6-F6EC6D713A4B}"/>
    <cellStyle name="Normal 2 4 5 3 7 2 3" xfId="15215" xr:uid="{A9F442A4-0937-4DB4-B955-0671F56CF537}"/>
    <cellStyle name="Normal 2 4 5 3 7 3" xfId="19445" xr:uid="{EA763DB1-4577-4D2F-929A-D7B048BC5236}"/>
    <cellStyle name="Normal 2 4 5 3 7 4" xfId="10997" xr:uid="{CEE508F3-C20C-47A0-BA1B-9A144ABA884A}"/>
    <cellStyle name="Normal 2 4 5 3 8" xfId="4699" xr:uid="{00000000-0005-0000-0000-0000AD100000}"/>
    <cellStyle name="Normal 2 4 5 3 8 2" xfId="21597" xr:uid="{90F2831A-9572-4A49-9971-F0EC1FB1E339}"/>
    <cellStyle name="Normal 2 4 5 3 8 3" xfId="13149" xr:uid="{DB0829DF-2209-4637-A4D8-818A974B6BD5}"/>
    <cellStyle name="Normal 2 4 5 3 9" xfId="17379" xr:uid="{9647413C-CF05-4A5D-BF29-77824F421AFA}"/>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24158" xr:uid="{FC2E3621-8795-4A5F-B4F9-DE9DCEC19A58}"/>
    <cellStyle name="Normal 2 4 5 4 2 2 2 3" xfId="15710" xr:uid="{CB9F2A4E-851D-43F6-81A4-C3E4A1B2714B}"/>
    <cellStyle name="Normal 2 4 5 4 2 2 3" xfId="19940" xr:uid="{E37AA5FB-F03A-494E-8A23-ACD9D38B039D}"/>
    <cellStyle name="Normal 2 4 5 4 2 2 4" xfId="11492" xr:uid="{A1F6A0AE-89D3-4D45-9AED-FE26F5385548}"/>
    <cellStyle name="Normal 2 4 5 4 2 3" xfId="5115" xr:uid="{00000000-0005-0000-0000-0000B2100000}"/>
    <cellStyle name="Normal 2 4 5 4 2 3 2" xfId="22013" xr:uid="{36FCC0B6-B3D2-4233-8B45-29CC1A27918E}"/>
    <cellStyle name="Normal 2 4 5 4 2 3 3" xfId="13565" xr:uid="{01C9A3C0-404A-497C-A1A2-7113B848A57E}"/>
    <cellStyle name="Normal 2 4 5 4 2 4" xfId="17795" xr:uid="{B3C8B8C1-4532-462A-9F37-35042D1B3EBB}"/>
    <cellStyle name="Normal 2 4 5 4 2 5" xfId="9347" xr:uid="{76BC8495-81E8-45C3-97B5-2EE82A6DCF0B}"/>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24571" xr:uid="{8076A35C-E01C-409F-A5E9-24DB5C9793D9}"/>
    <cellStyle name="Normal 2 4 5 4 3 2 2 3" xfId="16123" xr:uid="{777BF75B-2C91-4E85-85A8-B4A849B73301}"/>
    <cellStyle name="Normal 2 4 5 4 3 2 3" xfId="20353" xr:uid="{B3DB5F1A-DB9F-4A46-9025-5E7129E7D0A2}"/>
    <cellStyle name="Normal 2 4 5 4 3 2 4" xfId="11905" xr:uid="{848E5B72-7AAF-4019-B5EE-362A14FD87FB}"/>
    <cellStyle name="Normal 2 4 5 4 3 3" xfId="5528" xr:uid="{00000000-0005-0000-0000-0000B6100000}"/>
    <cellStyle name="Normal 2 4 5 4 3 3 2" xfId="22426" xr:uid="{B3B47703-82F4-486E-B09A-8DD16BC1BFF7}"/>
    <cellStyle name="Normal 2 4 5 4 3 3 3" xfId="13978" xr:uid="{A9AB0646-D69C-4BF0-AA73-5499E6610A77}"/>
    <cellStyle name="Normal 2 4 5 4 3 4" xfId="18208" xr:uid="{4CA281DC-14B5-4E8A-A461-AC4D1BDC8E1C}"/>
    <cellStyle name="Normal 2 4 5 4 3 5" xfId="9760" xr:uid="{8FDE55DD-72F6-4D44-9626-2A1AB81EFA39}"/>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24984" xr:uid="{EF892847-E715-475F-83C6-D24BBC067B52}"/>
    <cellStyle name="Normal 2 4 5 4 4 2 2 3" xfId="16536" xr:uid="{6C2C59DA-930D-4C7C-A69E-1453E4995292}"/>
    <cellStyle name="Normal 2 4 5 4 4 2 3" xfId="20766" xr:uid="{18D5ED0E-A4A5-4B7D-9AC3-CF5FC79FB148}"/>
    <cellStyle name="Normal 2 4 5 4 4 2 4" xfId="12318" xr:uid="{0BFDC4ED-AD23-44AD-9D3F-02A0AE263AA2}"/>
    <cellStyle name="Normal 2 4 5 4 4 3" xfId="5941" xr:uid="{00000000-0005-0000-0000-0000BA100000}"/>
    <cellStyle name="Normal 2 4 5 4 4 3 2" xfId="22839" xr:uid="{465B4FBD-C92D-4819-A6EF-BD5A74090EAF}"/>
    <cellStyle name="Normal 2 4 5 4 4 3 3" xfId="14391" xr:uid="{B2B91A49-EBC2-45E2-9875-8BDC93449BC7}"/>
    <cellStyle name="Normal 2 4 5 4 4 4" xfId="18621" xr:uid="{7A6F7191-D4EC-4A31-BB38-0E25AE3882F1}"/>
    <cellStyle name="Normal 2 4 5 4 4 5" xfId="10173" xr:uid="{41E08CBA-3572-46B1-9F4C-4563ADD2DE09}"/>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25397" xr:uid="{0C7B1A35-2B04-41CF-9F21-9768E054C434}"/>
    <cellStyle name="Normal 2 4 5 4 5 2 2 3" xfId="16949" xr:uid="{A56297B9-6DA9-41B2-B8F9-68F7FE6C13B9}"/>
    <cellStyle name="Normal 2 4 5 4 5 2 3" xfId="21179" xr:uid="{7E7B9EB6-E2F4-48E5-B9CD-D31EA2FE498B}"/>
    <cellStyle name="Normal 2 4 5 4 5 2 4" xfId="12731" xr:uid="{53AEBA80-7795-4F0C-9EFC-53DEE7C9D245}"/>
    <cellStyle name="Normal 2 4 5 4 5 3" xfId="6354" xr:uid="{00000000-0005-0000-0000-0000BE100000}"/>
    <cellStyle name="Normal 2 4 5 4 5 3 2" xfId="23252" xr:uid="{FB5A5687-61F5-428D-B64C-1A9B79C2C4EE}"/>
    <cellStyle name="Normal 2 4 5 4 5 3 3" xfId="14804" xr:uid="{16577750-CC69-47E6-96B5-45CB2C3795E0}"/>
    <cellStyle name="Normal 2 4 5 4 5 4" xfId="19034" xr:uid="{B9A5E8B2-EFA1-425D-BAB2-F60EE355D79D}"/>
    <cellStyle name="Normal 2 4 5 4 5 5" xfId="10586" xr:uid="{B2E3AD08-8F80-495B-B8C7-75541FE79A31}"/>
    <cellStyle name="Normal 2 4 5 4 6" xfId="2484" xr:uid="{00000000-0005-0000-0000-0000BF100000}"/>
    <cellStyle name="Normal 2 4 5 4 6 2" xfId="6767" xr:uid="{00000000-0005-0000-0000-0000C0100000}"/>
    <cellStyle name="Normal 2 4 5 4 6 2 2" xfId="23665" xr:uid="{B3AAABE6-6365-45BB-9F7E-7BF201BDB931}"/>
    <cellStyle name="Normal 2 4 5 4 6 2 3" xfId="15217" xr:uid="{A886FD89-1C07-4C4B-8CB9-860510D2A9DB}"/>
    <cellStyle name="Normal 2 4 5 4 6 3" xfId="19447" xr:uid="{EE02128A-A09D-480A-B0FD-A28CE7989AB4}"/>
    <cellStyle name="Normal 2 4 5 4 6 4" xfId="10999" xr:uid="{300821F8-13DD-4072-A57D-953712A223FD}"/>
    <cellStyle name="Normal 2 4 5 4 7" xfId="4701" xr:uid="{00000000-0005-0000-0000-0000C1100000}"/>
    <cellStyle name="Normal 2 4 5 4 7 2" xfId="21599" xr:uid="{9B216B78-A5A4-47BB-A379-284CCCC55D4C}"/>
    <cellStyle name="Normal 2 4 5 4 7 3" xfId="13151" xr:uid="{6E35D910-8F63-4F3B-8E8B-67560D6B6146}"/>
    <cellStyle name="Normal 2 4 5 4 8" xfId="17381" xr:uid="{273A90D4-1678-470D-B267-D75790A21661}"/>
    <cellStyle name="Normal 2 4 5 4 9" xfId="8933" xr:uid="{867C2952-97A1-45D5-AC30-3BF8ADA83D4E}"/>
    <cellStyle name="Normal 2 4 5 5" xfId="792" xr:uid="{00000000-0005-0000-0000-0000C2100000}"/>
    <cellStyle name="Normal 2 4 5 5 2" xfId="3031" xr:uid="{00000000-0005-0000-0000-0000C3100000}"/>
    <cellStyle name="Normal 2 4 5 5 2 2" xfId="7253" xr:uid="{00000000-0005-0000-0000-0000C4100000}"/>
    <cellStyle name="Normal 2 4 5 5 2 2 2" xfId="24151" xr:uid="{A34F390D-3502-4E22-8B97-02A40C07C749}"/>
    <cellStyle name="Normal 2 4 5 5 2 2 3" xfId="15703" xr:uid="{D9EB9715-14B2-4594-A8E9-2D28A45E92FD}"/>
    <cellStyle name="Normal 2 4 5 5 2 3" xfId="19933" xr:uid="{1938FA58-1F1F-4E12-AC75-9561CDB6A003}"/>
    <cellStyle name="Normal 2 4 5 5 2 4" xfId="11485" xr:uid="{0066B3D3-932D-47B5-8387-ADAAB1AA9A25}"/>
    <cellStyle name="Normal 2 4 5 5 3" xfId="5108" xr:uid="{00000000-0005-0000-0000-0000C5100000}"/>
    <cellStyle name="Normal 2 4 5 5 3 2" xfId="22006" xr:uid="{F3AB6967-475F-4DB6-9780-68FB41298350}"/>
    <cellStyle name="Normal 2 4 5 5 3 3" xfId="13558" xr:uid="{D3A660D8-ACE5-49A9-A454-7BB8002E32A4}"/>
    <cellStyle name="Normal 2 4 5 5 4" xfId="17788" xr:uid="{AA5CA234-4435-411B-A2A4-DF431AFC4D27}"/>
    <cellStyle name="Normal 2 4 5 5 5" xfId="9340" xr:uid="{6B5F4EB9-0166-4266-91D5-0FCEB46ACE40}"/>
    <cellStyle name="Normal 2 4 5 6" xfId="1214" xr:uid="{00000000-0005-0000-0000-0000C6100000}"/>
    <cellStyle name="Normal 2 4 5 6 2" xfId="3444" xr:uid="{00000000-0005-0000-0000-0000C7100000}"/>
    <cellStyle name="Normal 2 4 5 6 2 2" xfId="7666" xr:uid="{00000000-0005-0000-0000-0000C8100000}"/>
    <cellStyle name="Normal 2 4 5 6 2 2 2" xfId="24564" xr:uid="{6274C424-1519-48AA-BEFD-131D3C49CC5E}"/>
    <cellStyle name="Normal 2 4 5 6 2 2 3" xfId="16116" xr:uid="{CD9B13D9-260F-4C45-B4B8-230C8B429FD3}"/>
    <cellStyle name="Normal 2 4 5 6 2 3" xfId="20346" xr:uid="{677C9FD8-5E15-4834-AF68-7F303D7FC93A}"/>
    <cellStyle name="Normal 2 4 5 6 2 4" xfId="11898" xr:uid="{F0725959-F731-4C7E-95BF-D0E6D180F51F}"/>
    <cellStyle name="Normal 2 4 5 6 3" xfId="5521" xr:uid="{00000000-0005-0000-0000-0000C9100000}"/>
    <cellStyle name="Normal 2 4 5 6 3 2" xfId="22419" xr:uid="{DF300B33-55A3-48F8-AF08-7C954D4A1C9C}"/>
    <cellStyle name="Normal 2 4 5 6 3 3" xfId="13971" xr:uid="{D35827C3-7F1B-45B7-B1A9-C3093ADB44FE}"/>
    <cellStyle name="Normal 2 4 5 6 4" xfId="18201" xr:uid="{8E4BF022-0392-4A09-9B6B-79E8165060FB}"/>
    <cellStyle name="Normal 2 4 5 6 5" xfId="9753" xr:uid="{A1AF3835-5079-44A5-98B8-5E980DBBE79E}"/>
    <cellStyle name="Normal 2 4 5 7" xfId="1627" xr:uid="{00000000-0005-0000-0000-0000CA100000}"/>
    <cellStyle name="Normal 2 4 5 7 2" xfId="3857" xr:uid="{00000000-0005-0000-0000-0000CB100000}"/>
    <cellStyle name="Normal 2 4 5 7 2 2" xfId="8079" xr:uid="{00000000-0005-0000-0000-0000CC100000}"/>
    <cellStyle name="Normal 2 4 5 7 2 2 2" xfId="24977" xr:uid="{568CC0DE-C711-44DB-BCAB-946EE3179B52}"/>
    <cellStyle name="Normal 2 4 5 7 2 2 3" xfId="16529" xr:uid="{2BEEA593-8F06-4849-BC59-340F0642D6FC}"/>
    <cellStyle name="Normal 2 4 5 7 2 3" xfId="20759" xr:uid="{0D7800B9-DB99-4D74-A742-47B009EE2355}"/>
    <cellStyle name="Normal 2 4 5 7 2 4" xfId="12311" xr:uid="{BEAFE79B-FA7F-4DC5-8127-FE5D18FB5249}"/>
    <cellStyle name="Normal 2 4 5 7 3" xfId="5934" xr:uid="{00000000-0005-0000-0000-0000CD100000}"/>
    <cellStyle name="Normal 2 4 5 7 3 2" xfId="22832" xr:uid="{85E4589B-4121-4E01-A4C2-0407D36B5180}"/>
    <cellStyle name="Normal 2 4 5 7 3 3" xfId="14384" xr:uid="{91AB0DD1-F998-466C-B5CD-ABC3D7820315}"/>
    <cellStyle name="Normal 2 4 5 7 4" xfId="18614" xr:uid="{E834CB15-6DCC-487B-B2F3-A0E1E48402B4}"/>
    <cellStyle name="Normal 2 4 5 7 5" xfId="10166" xr:uid="{4CC44526-CC41-4268-9DFD-870C1CDAFEDF}"/>
    <cellStyle name="Normal 2 4 5 8" xfId="2041" xr:uid="{00000000-0005-0000-0000-0000CE100000}"/>
    <cellStyle name="Normal 2 4 5 8 2" xfId="4270" xr:uid="{00000000-0005-0000-0000-0000CF100000}"/>
    <cellStyle name="Normal 2 4 5 8 2 2" xfId="8492" xr:uid="{00000000-0005-0000-0000-0000D0100000}"/>
    <cellStyle name="Normal 2 4 5 8 2 2 2" xfId="25390" xr:uid="{8EDFD2AE-35AB-4EB5-917C-E685CBEC86ED}"/>
    <cellStyle name="Normal 2 4 5 8 2 2 3" xfId="16942" xr:uid="{23B6A8BF-BF63-42DB-A585-3FCD308EE15A}"/>
    <cellStyle name="Normal 2 4 5 8 2 3" xfId="21172" xr:uid="{13FC2E4F-21CD-408B-ABA5-4AC760BE00EB}"/>
    <cellStyle name="Normal 2 4 5 8 2 4" xfId="12724" xr:uid="{F431A7AD-AE68-40C4-9E83-6F0D4A17B33C}"/>
    <cellStyle name="Normal 2 4 5 8 3" xfId="6347" xr:uid="{00000000-0005-0000-0000-0000D1100000}"/>
    <cellStyle name="Normal 2 4 5 8 3 2" xfId="23245" xr:uid="{0EB0E594-DA4C-45F1-BFC8-AA56FEBDAD01}"/>
    <cellStyle name="Normal 2 4 5 8 3 3" xfId="14797" xr:uid="{33B572FB-1ABF-4292-9BC7-6304F69527E1}"/>
    <cellStyle name="Normal 2 4 5 8 4" xfId="19027" xr:uid="{F3B14D9E-36C7-4AC9-8D7B-2801B0885559}"/>
    <cellStyle name="Normal 2 4 5 8 5" xfId="10579" xr:uid="{1CD4F672-DECF-4555-851D-EE5CEB18E803}"/>
    <cellStyle name="Normal 2 4 5 9" xfId="2477" xr:uid="{00000000-0005-0000-0000-0000D2100000}"/>
    <cellStyle name="Normal 2 4 5 9 2" xfId="6760" xr:uid="{00000000-0005-0000-0000-0000D3100000}"/>
    <cellStyle name="Normal 2 4 5 9 2 2" xfId="23658" xr:uid="{5EF59934-D9E1-46CC-BA24-180EBC4E7C94}"/>
    <cellStyle name="Normal 2 4 5 9 2 3" xfId="15210" xr:uid="{FF81A1A6-019A-49A8-88C4-F3E269A29DBE}"/>
    <cellStyle name="Normal 2 4 5 9 3" xfId="19440" xr:uid="{7B948D4D-375B-411D-9C97-6B0BE59B2187}"/>
    <cellStyle name="Normal 2 4 5 9 4" xfId="10992" xr:uid="{BBF38582-E83C-4F8A-8A5B-AFEDD5F74DD2}"/>
    <cellStyle name="Normal 2 4 6" xfId="311" xr:uid="{00000000-0005-0000-0000-0000D4100000}"/>
    <cellStyle name="Normal 2 4 7" xfId="312" xr:uid="{00000000-0005-0000-0000-0000D5100000}"/>
    <cellStyle name="Normal 2 4 7 10" xfId="8934" xr:uid="{61C8F23D-C269-4B67-AED5-7CF6969D0DA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24160" xr:uid="{F85F4A42-CAB3-4EA4-B6B0-C21A8A4804B2}"/>
    <cellStyle name="Normal 2 4 7 2 2 2 2 3" xfId="15712" xr:uid="{3A1AA138-6A09-469B-900A-B903E9FAFD68}"/>
    <cellStyle name="Normal 2 4 7 2 2 2 3" xfId="19942" xr:uid="{6BE4A3D3-D64B-424B-BF80-967F6FCB0B43}"/>
    <cellStyle name="Normal 2 4 7 2 2 2 4" xfId="11494" xr:uid="{8BF224A7-601F-476C-905A-C94E24B5A00C}"/>
    <cellStyle name="Normal 2 4 7 2 2 3" xfId="5117" xr:uid="{00000000-0005-0000-0000-0000DA100000}"/>
    <cellStyle name="Normal 2 4 7 2 2 3 2" xfId="22015" xr:uid="{81638F3D-1A24-41FC-A64D-0847C94467D9}"/>
    <cellStyle name="Normal 2 4 7 2 2 3 3" xfId="13567" xr:uid="{DCB5C5A0-8014-4653-BC6E-2E6209BC5BD7}"/>
    <cellStyle name="Normal 2 4 7 2 2 4" xfId="17797" xr:uid="{D1686621-4FA9-48CA-B056-558867C5F6F7}"/>
    <cellStyle name="Normal 2 4 7 2 2 5" xfId="9349" xr:uid="{3C3AFA19-129C-420D-AB03-E45D5AEDBEBD}"/>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24573" xr:uid="{A065D87F-6166-47E4-84A1-6E9812C4B007}"/>
    <cellStyle name="Normal 2 4 7 2 3 2 2 3" xfId="16125" xr:uid="{6CF9BB99-0817-4B43-9883-654644C77AB3}"/>
    <cellStyle name="Normal 2 4 7 2 3 2 3" xfId="20355" xr:uid="{F1230A23-F07D-49EC-AE2A-23C1ECF13541}"/>
    <cellStyle name="Normal 2 4 7 2 3 2 4" xfId="11907" xr:uid="{4675C4B1-4192-411F-B45C-7C9327B8C03F}"/>
    <cellStyle name="Normal 2 4 7 2 3 3" xfId="5530" xr:uid="{00000000-0005-0000-0000-0000DE100000}"/>
    <cellStyle name="Normal 2 4 7 2 3 3 2" xfId="22428" xr:uid="{B52F02C2-D366-4F52-85F1-B63BEB3CEACA}"/>
    <cellStyle name="Normal 2 4 7 2 3 3 3" xfId="13980" xr:uid="{EF10ACD8-B889-4014-BF27-CF79747530FF}"/>
    <cellStyle name="Normal 2 4 7 2 3 4" xfId="18210" xr:uid="{F9B70021-5F5C-4184-86D5-8945987D2525}"/>
    <cellStyle name="Normal 2 4 7 2 3 5" xfId="9762" xr:uid="{348D675B-4165-4ADF-9F3C-BB7854388D8A}"/>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24986" xr:uid="{17CAF514-D48B-428A-99E7-38D0E3239AA0}"/>
    <cellStyle name="Normal 2 4 7 2 4 2 2 3" xfId="16538" xr:uid="{4FF53ED3-207F-42E9-9674-F121D80AF6DD}"/>
    <cellStyle name="Normal 2 4 7 2 4 2 3" xfId="20768" xr:uid="{ECCC75CD-0D0E-436A-AB50-2D60754BF30C}"/>
    <cellStyle name="Normal 2 4 7 2 4 2 4" xfId="12320" xr:uid="{144DD741-4A95-4829-B019-BEEFE0F4E348}"/>
    <cellStyle name="Normal 2 4 7 2 4 3" xfId="5943" xr:uid="{00000000-0005-0000-0000-0000E2100000}"/>
    <cellStyle name="Normal 2 4 7 2 4 3 2" xfId="22841" xr:uid="{21865F95-22A5-4DB5-BBC7-1C4F1EEE275B}"/>
    <cellStyle name="Normal 2 4 7 2 4 3 3" xfId="14393" xr:uid="{868C64E1-5DEC-484A-B586-AFAC4D6B8DA7}"/>
    <cellStyle name="Normal 2 4 7 2 4 4" xfId="18623" xr:uid="{4F9D7E4D-EBD7-48D8-858D-13DE2C7B56BF}"/>
    <cellStyle name="Normal 2 4 7 2 4 5" xfId="10175" xr:uid="{1AD290C0-BDEF-4739-89EB-CCF47890FACE}"/>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25399" xr:uid="{7E07FE24-04FA-4B49-A1FA-853182DE2774}"/>
    <cellStyle name="Normal 2 4 7 2 5 2 2 3" xfId="16951" xr:uid="{B5EA4DA0-FD98-4B5D-9F29-5854466573F2}"/>
    <cellStyle name="Normal 2 4 7 2 5 2 3" xfId="21181" xr:uid="{F2FA377C-9EEE-4F27-9078-82D62500D9C8}"/>
    <cellStyle name="Normal 2 4 7 2 5 2 4" xfId="12733" xr:uid="{B922AC5A-07A6-423E-9391-F21CB2404DF1}"/>
    <cellStyle name="Normal 2 4 7 2 5 3" xfId="6356" xr:uid="{00000000-0005-0000-0000-0000E6100000}"/>
    <cellStyle name="Normal 2 4 7 2 5 3 2" xfId="23254" xr:uid="{90DE9A78-2B54-4C32-9B61-04E4BF33B24E}"/>
    <cellStyle name="Normal 2 4 7 2 5 3 3" xfId="14806" xr:uid="{6A76F9C4-57AF-4BE4-869D-89D5953CB698}"/>
    <cellStyle name="Normal 2 4 7 2 5 4" xfId="19036" xr:uid="{16BCB33D-071E-4CBB-8DB4-2221F0ECE513}"/>
    <cellStyle name="Normal 2 4 7 2 5 5" xfId="10588" xr:uid="{38DA3FFB-4625-4728-A486-F664014C8824}"/>
    <cellStyle name="Normal 2 4 7 2 6" xfId="2486" xr:uid="{00000000-0005-0000-0000-0000E7100000}"/>
    <cellStyle name="Normal 2 4 7 2 6 2" xfId="6769" xr:uid="{00000000-0005-0000-0000-0000E8100000}"/>
    <cellStyle name="Normal 2 4 7 2 6 2 2" xfId="23667" xr:uid="{2FAEE5C0-CDA2-4783-B154-672037500E2A}"/>
    <cellStyle name="Normal 2 4 7 2 6 2 3" xfId="15219" xr:uid="{D2EDADD3-C0F5-4FD5-B630-B4C7EF4C3950}"/>
    <cellStyle name="Normal 2 4 7 2 6 3" xfId="19449" xr:uid="{A43FD181-6E01-4CE5-9110-B272ECE522E4}"/>
    <cellStyle name="Normal 2 4 7 2 6 4" xfId="11001" xr:uid="{4292C63B-5644-4200-A501-EC47571413C2}"/>
    <cellStyle name="Normal 2 4 7 2 7" xfId="4703" xr:uid="{00000000-0005-0000-0000-0000E9100000}"/>
    <cellStyle name="Normal 2 4 7 2 7 2" xfId="21601" xr:uid="{C9171C0A-9197-4FFE-98B8-D72956CE022D}"/>
    <cellStyle name="Normal 2 4 7 2 7 3" xfId="13153" xr:uid="{821B07DA-6183-4DF8-8ED8-0A35D3CE431C}"/>
    <cellStyle name="Normal 2 4 7 2 8" xfId="17383" xr:uid="{847EB8BE-09D5-483C-8443-416437E6833C}"/>
    <cellStyle name="Normal 2 4 7 2 9" xfId="8935" xr:uid="{E6675C98-565B-42A6-81A4-F23C7C5CEB78}"/>
    <cellStyle name="Normal 2 4 7 3" xfId="800" xr:uid="{00000000-0005-0000-0000-0000EA100000}"/>
    <cellStyle name="Normal 2 4 7 3 2" xfId="3039" xr:uid="{00000000-0005-0000-0000-0000EB100000}"/>
    <cellStyle name="Normal 2 4 7 3 2 2" xfId="7261" xr:uid="{00000000-0005-0000-0000-0000EC100000}"/>
    <cellStyle name="Normal 2 4 7 3 2 2 2" xfId="24159" xr:uid="{2D34E61A-9321-4267-820C-1831241FDF41}"/>
    <cellStyle name="Normal 2 4 7 3 2 2 3" xfId="15711" xr:uid="{B80501FC-3B94-4E86-B482-C2174CE7FD99}"/>
    <cellStyle name="Normal 2 4 7 3 2 3" xfId="19941" xr:uid="{D78CAB8A-4BC5-4AAF-9CB9-BF51393D9AB9}"/>
    <cellStyle name="Normal 2 4 7 3 2 4" xfId="11493" xr:uid="{390F6B72-6D25-41CE-BFDA-B47361A09ABB}"/>
    <cellStyle name="Normal 2 4 7 3 3" xfId="5116" xr:uid="{00000000-0005-0000-0000-0000ED100000}"/>
    <cellStyle name="Normal 2 4 7 3 3 2" xfId="22014" xr:uid="{1567BEE9-4B5B-427B-B5BD-0357ACE6F147}"/>
    <cellStyle name="Normal 2 4 7 3 3 3" xfId="13566" xr:uid="{A468BFB6-C2D7-45C2-A88B-83D8600CDA33}"/>
    <cellStyle name="Normal 2 4 7 3 4" xfId="17796" xr:uid="{8F3EA898-2491-4115-AC1B-9337F9CD9CC6}"/>
    <cellStyle name="Normal 2 4 7 3 5" xfId="9348" xr:uid="{B3EDBDED-AA73-49B8-A4FD-B95D906ABB2D}"/>
    <cellStyle name="Normal 2 4 7 4" xfId="1222" xr:uid="{00000000-0005-0000-0000-0000EE100000}"/>
    <cellStyle name="Normal 2 4 7 4 2" xfId="3452" xr:uid="{00000000-0005-0000-0000-0000EF100000}"/>
    <cellStyle name="Normal 2 4 7 4 2 2" xfId="7674" xr:uid="{00000000-0005-0000-0000-0000F0100000}"/>
    <cellStyle name="Normal 2 4 7 4 2 2 2" xfId="24572" xr:uid="{4E10B825-3E01-4D9A-933C-C7E7E8DBC88A}"/>
    <cellStyle name="Normal 2 4 7 4 2 2 3" xfId="16124" xr:uid="{3BEF1EB8-54C8-4B4F-B11C-04908970B55D}"/>
    <cellStyle name="Normal 2 4 7 4 2 3" xfId="20354" xr:uid="{6F0D3E28-D184-4DD5-BF22-1833D64F78D6}"/>
    <cellStyle name="Normal 2 4 7 4 2 4" xfId="11906" xr:uid="{5485081C-C6B9-41AA-B14C-EEF3D4479AB9}"/>
    <cellStyle name="Normal 2 4 7 4 3" xfId="5529" xr:uid="{00000000-0005-0000-0000-0000F1100000}"/>
    <cellStyle name="Normal 2 4 7 4 3 2" xfId="22427" xr:uid="{F100FC67-FC98-44AE-BFC8-0AA15ACB9D6C}"/>
    <cellStyle name="Normal 2 4 7 4 3 3" xfId="13979" xr:uid="{0621FC94-F3E4-47DA-8E4E-496E5354F6F5}"/>
    <cellStyle name="Normal 2 4 7 4 4" xfId="18209" xr:uid="{17A54C82-4800-431A-A72B-CAF39E3B06E9}"/>
    <cellStyle name="Normal 2 4 7 4 5" xfId="9761" xr:uid="{08051162-DFF3-428A-BB1F-E397402EA80D}"/>
    <cellStyle name="Normal 2 4 7 5" xfId="1635" xr:uid="{00000000-0005-0000-0000-0000F2100000}"/>
    <cellStyle name="Normal 2 4 7 5 2" xfId="3865" xr:uid="{00000000-0005-0000-0000-0000F3100000}"/>
    <cellStyle name="Normal 2 4 7 5 2 2" xfId="8087" xr:uid="{00000000-0005-0000-0000-0000F4100000}"/>
    <cellStyle name="Normal 2 4 7 5 2 2 2" xfId="24985" xr:uid="{BB4BF7C4-AB07-48FE-B4E0-DEC54EA44A80}"/>
    <cellStyle name="Normal 2 4 7 5 2 2 3" xfId="16537" xr:uid="{9701791C-DEEE-4A52-873C-B29F85820715}"/>
    <cellStyle name="Normal 2 4 7 5 2 3" xfId="20767" xr:uid="{E8E2BB85-B702-4A6C-BCF1-1C72F801285C}"/>
    <cellStyle name="Normal 2 4 7 5 2 4" xfId="12319" xr:uid="{35F0001F-655C-4F91-B619-60EBE9981009}"/>
    <cellStyle name="Normal 2 4 7 5 3" xfId="5942" xr:uid="{00000000-0005-0000-0000-0000F5100000}"/>
    <cellStyle name="Normal 2 4 7 5 3 2" xfId="22840" xr:uid="{C208C660-C370-45FB-859B-60436D4EA2D7}"/>
    <cellStyle name="Normal 2 4 7 5 3 3" xfId="14392" xr:uid="{544C7D3A-8C9E-45DC-B967-958ECC570014}"/>
    <cellStyle name="Normal 2 4 7 5 4" xfId="18622" xr:uid="{7F030D37-13F0-4BD3-9526-7D3ED6CE9BC2}"/>
    <cellStyle name="Normal 2 4 7 5 5" xfId="10174" xr:uid="{A8FB0FDB-7A0D-495E-9E4F-A23A74818AC5}"/>
    <cellStyle name="Normal 2 4 7 6" xfId="2049" xr:uid="{00000000-0005-0000-0000-0000F6100000}"/>
    <cellStyle name="Normal 2 4 7 6 2" xfId="4278" xr:uid="{00000000-0005-0000-0000-0000F7100000}"/>
    <cellStyle name="Normal 2 4 7 6 2 2" xfId="8500" xr:uid="{00000000-0005-0000-0000-0000F8100000}"/>
    <cellStyle name="Normal 2 4 7 6 2 2 2" xfId="25398" xr:uid="{B6526ECA-A561-4070-A1BE-A0695B19FADD}"/>
    <cellStyle name="Normal 2 4 7 6 2 2 3" xfId="16950" xr:uid="{98E8D1A4-11D3-42D0-84BC-2AF6377F85AE}"/>
    <cellStyle name="Normal 2 4 7 6 2 3" xfId="21180" xr:uid="{A2585677-7986-416D-818C-60761C2B7265}"/>
    <cellStyle name="Normal 2 4 7 6 2 4" xfId="12732" xr:uid="{658915C3-91D4-48AC-8E57-5E0B410458B5}"/>
    <cellStyle name="Normal 2 4 7 6 3" xfId="6355" xr:uid="{00000000-0005-0000-0000-0000F9100000}"/>
    <cellStyle name="Normal 2 4 7 6 3 2" xfId="23253" xr:uid="{404DEAC7-7979-46AE-8BB0-6020B0F61357}"/>
    <cellStyle name="Normal 2 4 7 6 3 3" xfId="14805" xr:uid="{33071A5C-70F3-4DF9-9323-7438758003B6}"/>
    <cellStyle name="Normal 2 4 7 6 4" xfId="19035" xr:uid="{6CD48C7E-FCAA-4CCE-A845-8DA0495914C1}"/>
    <cellStyle name="Normal 2 4 7 6 5" xfId="10587" xr:uid="{F3CA3D87-079B-4F05-9047-11F6490F070F}"/>
    <cellStyle name="Normal 2 4 7 7" xfId="2485" xr:uid="{00000000-0005-0000-0000-0000FA100000}"/>
    <cellStyle name="Normal 2 4 7 7 2" xfId="6768" xr:uid="{00000000-0005-0000-0000-0000FB100000}"/>
    <cellStyle name="Normal 2 4 7 7 2 2" xfId="23666" xr:uid="{375B4009-5FF6-4C24-8F53-C429738CF48E}"/>
    <cellStyle name="Normal 2 4 7 7 2 3" xfId="15218" xr:uid="{FA511271-821E-48C7-8297-CEA1AE6ED707}"/>
    <cellStyle name="Normal 2 4 7 7 3" xfId="19448" xr:uid="{EC26C103-C7DE-4E5E-9E89-BBC9911C3DC8}"/>
    <cellStyle name="Normal 2 4 7 7 4" xfId="11000" xr:uid="{7A70D002-4F7B-4908-9474-5DB1B0E0EE79}"/>
    <cellStyle name="Normal 2 4 7 8" xfId="4702" xr:uid="{00000000-0005-0000-0000-0000FC100000}"/>
    <cellStyle name="Normal 2 4 7 8 2" xfId="21600" xr:uid="{E5B6FFAD-0ECD-4B53-A699-B5F941D58563}"/>
    <cellStyle name="Normal 2 4 7 8 3" xfId="13152" xr:uid="{2F93BE27-F7AE-45A1-843A-15ACF7141D9A}"/>
    <cellStyle name="Normal 2 4 7 9" xfId="17382" xr:uid="{7655EB25-0732-4532-8E63-512C79A84692}"/>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2 2 2" xfId="24161" xr:uid="{98DCD399-4CEA-4666-B944-74A42E1D03E2}"/>
    <cellStyle name="Normal 2 4 8 2 2 2 3" xfId="15713" xr:uid="{139504FA-E62C-4996-BD47-6F9F3E7E538F}"/>
    <cellStyle name="Normal 2 4 8 2 2 3" xfId="19943" xr:uid="{892CCBAD-A090-4D99-A7DF-676703698B75}"/>
    <cellStyle name="Normal 2 4 8 2 2 4" xfId="11495" xr:uid="{AB4D16CD-4311-4385-87B9-9FF7F8585170}"/>
    <cellStyle name="Normal 2 4 8 2 3" xfId="5118" xr:uid="{00000000-0005-0000-0000-000001110000}"/>
    <cellStyle name="Normal 2 4 8 2 3 2" xfId="22016" xr:uid="{27F23366-ECEE-4D73-A6DB-4E6C4F6CB219}"/>
    <cellStyle name="Normal 2 4 8 2 3 3" xfId="13568" xr:uid="{C80BC7F7-70E4-437D-B637-158A55B1DE58}"/>
    <cellStyle name="Normal 2 4 8 2 4" xfId="17798" xr:uid="{94D002AB-B153-48D7-936C-7148A44ECF17}"/>
    <cellStyle name="Normal 2 4 8 2 5" xfId="9350" xr:uid="{BF65B5B8-1D21-4EE6-B3BB-8972C2799B31}"/>
    <cellStyle name="Normal 2 4 8 3" xfId="1224" xr:uid="{00000000-0005-0000-0000-000002110000}"/>
    <cellStyle name="Normal 2 4 8 3 2" xfId="3454" xr:uid="{00000000-0005-0000-0000-000003110000}"/>
    <cellStyle name="Normal 2 4 8 3 2 2" xfId="7676" xr:uid="{00000000-0005-0000-0000-000004110000}"/>
    <cellStyle name="Normal 2 4 8 3 2 2 2" xfId="24574" xr:uid="{E3CF9095-973F-4384-A2CC-01B6E6A0AD69}"/>
    <cellStyle name="Normal 2 4 8 3 2 2 3" xfId="16126" xr:uid="{7F45774F-6DAF-43C7-A301-5D5505729974}"/>
    <cellStyle name="Normal 2 4 8 3 2 3" xfId="20356" xr:uid="{59F15892-38BF-4680-8DFC-02CB142E334E}"/>
    <cellStyle name="Normal 2 4 8 3 2 4" xfId="11908" xr:uid="{727A9031-8BF1-4678-8B5D-A0165FAAA8F4}"/>
    <cellStyle name="Normal 2 4 8 3 3" xfId="5531" xr:uid="{00000000-0005-0000-0000-000005110000}"/>
    <cellStyle name="Normal 2 4 8 3 3 2" xfId="22429" xr:uid="{2EC730B7-4FDF-4423-B9AA-0134CE8B1F84}"/>
    <cellStyle name="Normal 2 4 8 3 3 3" xfId="13981" xr:uid="{26AF2AD0-1B2E-4EAC-83EF-378DC7C04726}"/>
    <cellStyle name="Normal 2 4 8 3 4" xfId="18211" xr:uid="{9A5AEF71-293F-4AB4-A63A-31A2AD240B8F}"/>
    <cellStyle name="Normal 2 4 8 3 5" xfId="9763" xr:uid="{09F57E61-5EFB-4037-BCE9-06B082F4F025}"/>
    <cellStyle name="Normal 2 4 8 4" xfId="1637" xr:uid="{00000000-0005-0000-0000-000006110000}"/>
    <cellStyle name="Normal 2 4 8 4 2" xfId="3867" xr:uid="{00000000-0005-0000-0000-000007110000}"/>
    <cellStyle name="Normal 2 4 8 4 2 2" xfId="8089" xr:uid="{00000000-0005-0000-0000-000008110000}"/>
    <cellStyle name="Normal 2 4 8 4 2 2 2" xfId="24987" xr:uid="{728BD909-7543-413A-950B-BC60CA5E9561}"/>
    <cellStyle name="Normal 2 4 8 4 2 2 3" xfId="16539" xr:uid="{54D49720-B10D-42A5-A179-A08068BEBCBB}"/>
    <cellStyle name="Normal 2 4 8 4 2 3" xfId="20769" xr:uid="{1CEB8B22-57DC-4AF9-AEE8-9BBD32C29C27}"/>
    <cellStyle name="Normal 2 4 8 4 2 4" xfId="12321" xr:uid="{A2A420DA-CF38-4008-BEBB-DDE2A1ADAFEA}"/>
    <cellStyle name="Normal 2 4 8 4 3" xfId="5944" xr:uid="{00000000-0005-0000-0000-000009110000}"/>
    <cellStyle name="Normal 2 4 8 4 3 2" xfId="22842" xr:uid="{337A16CF-D4D0-4DB8-B4DF-E32EB7F12724}"/>
    <cellStyle name="Normal 2 4 8 4 3 3" xfId="14394" xr:uid="{814218FA-65D6-47A6-A9FB-3E841CB808FF}"/>
    <cellStyle name="Normal 2 4 8 4 4" xfId="18624" xr:uid="{64686C08-9DAA-4AD1-98FE-26BB531F2B90}"/>
    <cellStyle name="Normal 2 4 8 4 5" xfId="10176" xr:uid="{241D5FDC-7C8E-410D-A655-4BBBCB4F11BF}"/>
    <cellStyle name="Normal 2 4 8 5" xfId="2051" xr:uid="{00000000-0005-0000-0000-00000A110000}"/>
    <cellStyle name="Normal 2 4 8 5 2" xfId="4280" xr:uid="{00000000-0005-0000-0000-00000B110000}"/>
    <cellStyle name="Normal 2 4 8 5 2 2" xfId="8502" xr:uid="{00000000-0005-0000-0000-00000C110000}"/>
    <cellStyle name="Normal 2 4 8 5 2 2 2" xfId="25400" xr:uid="{95C1F18F-3268-4DB2-9270-A5673FD24256}"/>
    <cellStyle name="Normal 2 4 8 5 2 2 3" xfId="16952" xr:uid="{E44F024D-8096-49B6-BC3B-18BB5A8CD363}"/>
    <cellStyle name="Normal 2 4 8 5 2 3" xfId="21182" xr:uid="{F6C06F92-DDD5-418C-AC1D-BD17691CDA9D}"/>
    <cellStyle name="Normal 2 4 8 5 2 4" xfId="12734" xr:uid="{18E6B756-D61B-46A7-BBCB-C71471D0B428}"/>
    <cellStyle name="Normal 2 4 8 5 3" xfId="6357" xr:uid="{00000000-0005-0000-0000-00000D110000}"/>
    <cellStyle name="Normal 2 4 8 5 3 2" xfId="23255" xr:uid="{3141BCE0-F3AF-4D46-B00C-AB978A960F13}"/>
    <cellStyle name="Normal 2 4 8 5 3 3" xfId="14807" xr:uid="{949910AC-78D6-4F7E-BDD2-07E43C774D0E}"/>
    <cellStyle name="Normal 2 4 8 5 4" xfId="19037" xr:uid="{46673703-6D18-4BA9-9B6B-53059FA64D6C}"/>
    <cellStyle name="Normal 2 4 8 5 5" xfId="10589" xr:uid="{BB8FDA9D-C329-4C91-B9BD-52C4E953405A}"/>
    <cellStyle name="Normal 2 4 8 6" xfId="2487" xr:uid="{00000000-0005-0000-0000-00000E110000}"/>
    <cellStyle name="Normal 2 4 8 6 2" xfId="6770" xr:uid="{00000000-0005-0000-0000-00000F110000}"/>
    <cellStyle name="Normal 2 4 8 6 2 2" xfId="23668" xr:uid="{6372AF2E-B63B-4CA6-9973-287BE81BD04D}"/>
    <cellStyle name="Normal 2 4 8 6 2 3" xfId="15220" xr:uid="{6CB6D3C5-3ABC-4845-B5DB-6311FF7E678C}"/>
    <cellStyle name="Normal 2 4 8 6 3" xfId="19450" xr:uid="{52FAF83F-62D3-42EB-802D-E913CF753201}"/>
    <cellStyle name="Normal 2 4 8 6 4" xfId="11002" xr:uid="{4A082D91-75D5-41F5-AA7E-7DD8A822E928}"/>
    <cellStyle name="Normal 2 4 8 7" xfId="4704" xr:uid="{00000000-0005-0000-0000-000010110000}"/>
    <cellStyle name="Normal 2 4 8 7 2" xfId="21602" xr:uid="{8E43C2BE-D7B0-4F1B-8FB0-512A3C32AF94}"/>
    <cellStyle name="Normal 2 4 8 7 3" xfId="13154" xr:uid="{30F0413D-331E-4C28-A6D1-FDA1EAD76408}"/>
    <cellStyle name="Normal 2 4 8 8" xfId="17384" xr:uid="{57F3C857-908D-42E3-876A-B9FD23F662BE}"/>
    <cellStyle name="Normal 2 4 8 9" xfId="8936" xr:uid="{9FDF0141-A976-4016-8A3C-F166C07110FF}"/>
    <cellStyle name="Normal 2 5" xfId="315" xr:uid="{00000000-0005-0000-0000-000011110000}"/>
    <cellStyle name="Normal 2 5 10" xfId="4705" xr:uid="{00000000-0005-0000-0000-000012110000}"/>
    <cellStyle name="Normal 2 5 10 2" xfId="21603" xr:uid="{26BE57DD-4FF7-42DA-81D2-E662406A48DE}"/>
    <cellStyle name="Normal 2 5 10 3" xfId="13155" xr:uid="{257F050C-C483-4EDF-82D2-709D8E36B471}"/>
    <cellStyle name="Normal 2 5 11" xfId="17385" xr:uid="{EA7C2591-C062-4EA5-8EED-A0125234600E}"/>
    <cellStyle name="Normal 2 5 12" xfId="8937" xr:uid="{6D9D3CAB-C19C-4993-A9F5-54DAED06FB3C}"/>
    <cellStyle name="Normal 2 5 2" xfId="316" xr:uid="{00000000-0005-0000-0000-000013110000}"/>
    <cellStyle name="Normal 2 5 3" xfId="317" xr:uid="{00000000-0005-0000-0000-000014110000}"/>
    <cellStyle name="Normal 2 5 4" xfId="318" xr:uid="{00000000-0005-0000-0000-000015110000}"/>
    <cellStyle name="Normal 2 5 4 10" xfId="17386" xr:uid="{87D2A256-A9A8-4595-A695-77D25F7F150D}"/>
    <cellStyle name="Normal 2 5 4 11" xfId="8938" xr:uid="{6D78C922-9180-4DCF-87D7-8BA35BD568FC}"/>
    <cellStyle name="Normal 2 5 4 2" xfId="319" xr:uid="{00000000-0005-0000-0000-000016110000}"/>
    <cellStyle name="Normal 2 5 4 2 10" xfId="8939" xr:uid="{528C8D01-97C8-42D1-801B-F807BEA1CFE5}"/>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24165" xr:uid="{8CA3A59C-2212-4513-9B99-EA4CBE3160E4}"/>
    <cellStyle name="Normal 2 5 4 2 2 2 2 2 3" xfId="15717" xr:uid="{3FE6B6E0-10C1-4BB1-AB00-0CA4B79F32FC}"/>
    <cellStyle name="Normal 2 5 4 2 2 2 2 3" xfId="19947" xr:uid="{883B02DF-686E-4234-BC3A-FA185CD05D49}"/>
    <cellStyle name="Normal 2 5 4 2 2 2 2 4" xfId="11499" xr:uid="{82FA8143-19D9-4CD6-9579-C7ECCEB4C3FA}"/>
    <cellStyle name="Normal 2 5 4 2 2 2 3" xfId="5122" xr:uid="{00000000-0005-0000-0000-00001B110000}"/>
    <cellStyle name="Normal 2 5 4 2 2 2 3 2" xfId="22020" xr:uid="{AD5B997B-15C6-4B85-BB97-B1CAE64A579F}"/>
    <cellStyle name="Normal 2 5 4 2 2 2 3 3" xfId="13572" xr:uid="{5D278A4B-D755-4B43-9AEC-41D82BB9C5AE}"/>
    <cellStyle name="Normal 2 5 4 2 2 2 4" xfId="17802" xr:uid="{128C7336-12B1-48DF-952F-21D98048A763}"/>
    <cellStyle name="Normal 2 5 4 2 2 2 5" xfId="9354" xr:uid="{AF3F1A5D-30B7-4EEE-BDDC-AAC027FF7C2C}"/>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24578" xr:uid="{0F5D6100-1847-4302-8FD8-0ECA4185B545}"/>
    <cellStyle name="Normal 2 5 4 2 2 3 2 2 3" xfId="16130" xr:uid="{D8CD5567-356F-45C1-82DA-A47DDF46D3D7}"/>
    <cellStyle name="Normal 2 5 4 2 2 3 2 3" xfId="20360" xr:uid="{47711F2A-20BA-4287-B44C-414100612FE7}"/>
    <cellStyle name="Normal 2 5 4 2 2 3 2 4" xfId="11912" xr:uid="{678C7F2E-ADB4-4AF4-91D2-3D528EE0947E}"/>
    <cellStyle name="Normal 2 5 4 2 2 3 3" xfId="5535" xr:uid="{00000000-0005-0000-0000-00001F110000}"/>
    <cellStyle name="Normal 2 5 4 2 2 3 3 2" xfId="22433" xr:uid="{EB1F3CBD-9DD3-4279-9FC3-6848C9AB817D}"/>
    <cellStyle name="Normal 2 5 4 2 2 3 3 3" xfId="13985" xr:uid="{172B9D8F-A9AD-4236-9A90-7B31DB90216F}"/>
    <cellStyle name="Normal 2 5 4 2 2 3 4" xfId="18215" xr:uid="{CFFB962C-F632-46DE-8FFA-8B6F8E155469}"/>
    <cellStyle name="Normal 2 5 4 2 2 3 5" xfId="9767" xr:uid="{C884635A-E7E7-42F8-A43D-0801198B36D7}"/>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24991" xr:uid="{8950BBDA-2951-42DA-93A0-B78228A9EF14}"/>
    <cellStyle name="Normal 2 5 4 2 2 4 2 2 3" xfId="16543" xr:uid="{9F06E475-41F6-4007-B825-FE9C6288693C}"/>
    <cellStyle name="Normal 2 5 4 2 2 4 2 3" xfId="20773" xr:uid="{FBD850BD-995C-4E4E-930B-722DE2B490C8}"/>
    <cellStyle name="Normal 2 5 4 2 2 4 2 4" xfId="12325" xr:uid="{9C405D48-51B7-4047-970D-BA96FE1D92D2}"/>
    <cellStyle name="Normal 2 5 4 2 2 4 3" xfId="5948" xr:uid="{00000000-0005-0000-0000-000023110000}"/>
    <cellStyle name="Normal 2 5 4 2 2 4 3 2" xfId="22846" xr:uid="{ECC750D5-4088-4445-8514-DB900F29B728}"/>
    <cellStyle name="Normal 2 5 4 2 2 4 3 3" xfId="14398" xr:uid="{52A5EF5A-8877-4C7F-A050-6624750ACB59}"/>
    <cellStyle name="Normal 2 5 4 2 2 4 4" xfId="18628" xr:uid="{FD7F6FEC-A24C-4EB1-8E1F-32E491593AE7}"/>
    <cellStyle name="Normal 2 5 4 2 2 4 5" xfId="10180" xr:uid="{CE38ADDB-C0D3-45BE-AED3-DF46B39B362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25404" xr:uid="{D43E3235-8FC8-4F6C-8666-A9F32943348D}"/>
    <cellStyle name="Normal 2 5 4 2 2 5 2 2 3" xfId="16956" xr:uid="{BB2948DC-970F-4252-9FD3-33582E8E18D3}"/>
    <cellStyle name="Normal 2 5 4 2 2 5 2 3" xfId="21186" xr:uid="{C282950C-8E48-4EB1-BD65-C5039552E68C}"/>
    <cellStyle name="Normal 2 5 4 2 2 5 2 4" xfId="12738" xr:uid="{73D9555D-204C-4AA5-8FCE-25FF643EA2BC}"/>
    <cellStyle name="Normal 2 5 4 2 2 5 3" xfId="6361" xr:uid="{00000000-0005-0000-0000-000027110000}"/>
    <cellStyle name="Normal 2 5 4 2 2 5 3 2" xfId="23259" xr:uid="{6D08F171-CCB1-4D6F-BAD9-634F4ADB6931}"/>
    <cellStyle name="Normal 2 5 4 2 2 5 3 3" xfId="14811" xr:uid="{093B35A2-9051-49E0-BEB1-7512EFC723CD}"/>
    <cellStyle name="Normal 2 5 4 2 2 5 4" xfId="19041" xr:uid="{D5209357-79F8-41B1-9100-DD13E39C569C}"/>
    <cellStyle name="Normal 2 5 4 2 2 5 5" xfId="10593" xr:uid="{C10CFA94-4E61-49CF-BEFB-E8B14FDC8144}"/>
    <cellStyle name="Normal 2 5 4 2 2 6" xfId="2491" xr:uid="{00000000-0005-0000-0000-000028110000}"/>
    <cellStyle name="Normal 2 5 4 2 2 6 2" xfId="6774" xr:uid="{00000000-0005-0000-0000-000029110000}"/>
    <cellStyle name="Normal 2 5 4 2 2 6 2 2" xfId="23672" xr:uid="{C9981A1C-8411-4B8A-A4AA-686F77D960EF}"/>
    <cellStyle name="Normal 2 5 4 2 2 6 2 3" xfId="15224" xr:uid="{55BC0F82-D7A2-4A4F-BF39-A8B05A040CF9}"/>
    <cellStyle name="Normal 2 5 4 2 2 6 3" xfId="19454" xr:uid="{7F9634A6-0CCD-4236-9D6A-FAB2D8F38242}"/>
    <cellStyle name="Normal 2 5 4 2 2 6 4" xfId="11006" xr:uid="{39ED9E73-010B-4CB6-9B62-2E18517CCE5A}"/>
    <cellStyle name="Normal 2 5 4 2 2 7" xfId="4708" xr:uid="{00000000-0005-0000-0000-00002A110000}"/>
    <cellStyle name="Normal 2 5 4 2 2 7 2" xfId="21606" xr:uid="{1727D3AE-20C3-4AD3-B9B4-B11754FEAF33}"/>
    <cellStyle name="Normal 2 5 4 2 2 7 3" xfId="13158" xr:uid="{9AA8E8B4-42B7-4C48-804F-380679587F0A}"/>
    <cellStyle name="Normal 2 5 4 2 2 8" xfId="17388" xr:uid="{152B56BD-2B5C-4C74-B4D8-9A270CF6E03A}"/>
    <cellStyle name="Normal 2 5 4 2 2 9" xfId="8940" xr:uid="{79A2AFBB-B36F-4A63-AAD1-83DE2124699A}"/>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24164" xr:uid="{837165A4-492F-4AE4-94AA-6FEC21278843}"/>
    <cellStyle name="Normal 2 5 4 2 3 2 2 3" xfId="15716" xr:uid="{4B7B21C6-E286-4320-BAC4-1395B00CA52E}"/>
    <cellStyle name="Normal 2 5 4 2 3 2 3" xfId="19946" xr:uid="{34A5CC98-624F-480E-B801-9683402077A2}"/>
    <cellStyle name="Normal 2 5 4 2 3 2 4" xfId="11498" xr:uid="{F8E272A0-7220-4707-A728-79C60F88F2A8}"/>
    <cellStyle name="Normal 2 5 4 2 3 3" xfId="5121" xr:uid="{00000000-0005-0000-0000-00002E110000}"/>
    <cellStyle name="Normal 2 5 4 2 3 3 2" xfId="22019" xr:uid="{9659E4B5-64B1-4073-8805-1F6C45663384}"/>
    <cellStyle name="Normal 2 5 4 2 3 3 3" xfId="13571" xr:uid="{2A4C8A1B-7186-4648-8F80-86781D862CD9}"/>
    <cellStyle name="Normal 2 5 4 2 3 4" xfId="17801" xr:uid="{49DBDEC2-F812-4A21-86F8-D06E2141223D}"/>
    <cellStyle name="Normal 2 5 4 2 3 5" xfId="9353" xr:uid="{E72819B0-CC22-4077-B47C-280201891CBB}"/>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24577" xr:uid="{4CF7834D-BB3F-49F8-BE35-4BE51F275FB5}"/>
    <cellStyle name="Normal 2 5 4 2 4 2 2 3" xfId="16129" xr:uid="{72C3DA7C-D350-4960-8128-DD5939CAE540}"/>
    <cellStyle name="Normal 2 5 4 2 4 2 3" xfId="20359" xr:uid="{E7821F3B-2B26-4D9A-86C9-497F12954600}"/>
    <cellStyle name="Normal 2 5 4 2 4 2 4" xfId="11911" xr:uid="{23FD4648-7B17-4741-8336-24D6C28226F4}"/>
    <cellStyle name="Normal 2 5 4 2 4 3" xfId="5534" xr:uid="{00000000-0005-0000-0000-000032110000}"/>
    <cellStyle name="Normal 2 5 4 2 4 3 2" xfId="22432" xr:uid="{45643BBE-C577-4423-96CD-432D4F94EF5F}"/>
    <cellStyle name="Normal 2 5 4 2 4 3 3" xfId="13984" xr:uid="{B443F130-9A34-40CD-BB8E-557B83C1B63D}"/>
    <cellStyle name="Normal 2 5 4 2 4 4" xfId="18214" xr:uid="{B346ACE9-E364-4E79-8559-C1DAEF16B40E}"/>
    <cellStyle name="Normal 2 5 4 2 4 5" xfId="9766" xr:uid="{F1936BE4-2DEB-45B5-9150-BB4C0DBED48A}"/>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24990" xr:uid="{DB295633-243A-44B4-9D90-F325B7311168}"/>
    <cellStyle name="Normal 2 5 4 2 5 2 2 3" xfId="16542" xr:uid="{3F4B36F0-83DF-4ACB-9187-F55EEB410F46}"/>
    <cellStyle name="Normal 2 5 4 2 5 2 3" xfId="20772" xr:uid="{EFED44AA-760E-425C-AD3E-2EB32E10E799}"/>
    <cellStyle name="Normal 2 5 4 2 5 2 4" xfId="12324" xr:uid="{11EADAB6-264E-4918-946C-31FDC3864E46}"/>
    <cellStyle name="Normal 2 5 4 2 5 3" xfId="5947" xr:uid="{00000000-0005-0000-0000-000036110000}"/>
    <cellStyle name="Normal 2 5 4 2 5 3 2" xfId="22845" xr:uid="{44D75467-D7BF-4958-AF2F-A27C27CEFD06}"/>
    <cellStyle name="Normal 2 5 4 2 5 3 3" xfId="14397" xr:uid="{6F7E5FAC-53BA-4CBC-94C0-E733955D944A}"/>
    <cellStyle name="Normal 2 5 4 2 5 4" xfId="18627" xr:uid="{95083EA1-01A9-44B6-B553-ED2A6DD9E192}"/>
    <cellStyle name="Normal 2 5 4 2 5 5" xfId="10179" xr:uid="{0C513AFE-81F8-409D-9883-CF683205B534}"/>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25403" xr:uid="{A12D851E-D71D-478C-B52D-125F6F23953E}"/>
    <cellStyle name="Normal 2 5 4 2 6 2 2 3" xfId="16955" xr:uid="{FA3FC78F-6C15-4BDB-A446-2D50B8F831B2}"/>
    <cellStyle name="Normal 2 5 4 2 6 2 3" xfId="21185" xr:uid="{C1FF5FD0-AAE4-4BE0-B762-DCCC823C3FC9}"/>
    <cellStyle name="Normal 2 5 4 2 6 2 4" xfId="12737" xr:uid="{303CDDCF-F97D-4B25-962C-FFD46510DC86}"/>
    <cellStyle name="Normal 2 5 4 2 6 3" xfId="6360" xr:uid="{00000000-0005-0000-0000-00003A110000}"/>
    <cellStyle name="Normal 2 5 4 2 6 3 2" xfId="23258" xr:uid="{CE6D5452-EDD0-42BB-AB37-3ED3F900D404}"/>
    <cellStyle name="Normal 2 5 4 2 6 3 3" xfId="14810" xr:uid="{C0DC2C3A-ECC3-4DF7-8674-59CD54A8D578}"/>
    <cellStyle name="Normal 2 5 4 2 6 4" xfId="19040" xr:uid="{C0D2891D-2C87-4BC8-824A-E79E67EA871F}"/>
    <cellStyle name="Normal 2 5 4 2 6 5" xfId="10592" xr:uid="{D91637B4-8EDD-473A-AA65-398C2B55083F}"/>
    <cellStyle name="Normal 2 5 4 2 7" xfId="2490" xr:uid="{00000000-0005-0000-0000-00003B110000}"/>
    <cellStyle name="Normal 2 5 4 2 7 2" xfId="6773" xr:uid="{00000000-0005-0000-0000-00003C110000}"/>
    <cellStyle name="Normal 2 5 4 2 7 2 2" xfId="23671" xr:uid="{A034541B-E04A-4C11-A79A-E650EFBE38E4}"/>
    <cellStyle name="Normal 2 5 4 2 7 2 3" xfId="15223" xr:uid="{E0504CC8-9ADD-4993-AC18-3987706144CB}"/>
    <cellStyle name="Normal 2 5 4 2 7 3" xfId="19453" xr:uid="{311F7C4A-8A8A-450D-A1B2-2137885CA92C}"/>
    <cellStyle name="Normal 2 5 4 2 7 4" xfId="11005" xr:uid="{76963941-BEB1-48F3-B0F4-B7F498972AE5}"/>
    <cellStyle name="Normal 2 5 4 2 8" xfId="4707" xr:uid="{00000000-0005-0000-0000-00003D110000}"/>
    <cellStyle name="Normal 2 5 4 2 8 2" xfId="21605" xr:uid="{416E7AAE-9DEA-456B-8890-37AB0CB27983}"/>
    <cellStyle name="Normal 2 5 4 2 8 3" xfId="13157" xr:uid="{5C639CF1-EE1D-4135-B0B5-C140D71DB52D}"/>
    <cellStyle name="Normal 2 5 4 2 9" xfId="17387" xr:uid="{9DAD24DF-948C-4167-AC82-E9F77EFD0FCB}"/>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24166" xr:uid="{8449C78D-F62E-43E5-A6ED-362A13093976}"/>
    <cellStyle name="Normal 2 5 4 3 2 2 2 3" xfId="15718" xr:uid="{7A7A608C-997E-4E75-B42E-41A9BC8E4981}"/>
    <cellStyle name="Normal 2 5 4 3 2 2 3" xfId="19948" xr:uid="{23D82563-9590-4C0F-AC53-B61B510E7696}"/>
    <cellStyle name="Normal 2 5 4 3 2 2 4" xfId="11500" xr:uid="{19A02898-9171-414B-8824-545188321C44}"/>
    <cellStyle name="Normal 2 5 4 3 2 3" xfId="5123" xr:uid="{00000000-0005-0000-0000-000042110000}"/>
    <cellStyle name="Normal 2 5 4 3 2 3 2" xfId="22021" xr:uid="{7984868D-9F1B-4470-A1BF-8DCF1606D5DF}"/>
    <cellStyle name="Normal 2 5 4 3 2 3 3" xfId="13573" xr:uid="{B9B206CA-820A-4A31-BA77-E20DF567BAFF}"/>
    <cellStyle name="Normal 2 5 4 3 2 4" xfId="17803" xr:uid="{3459B886-F9FE-45AE-AD6F-09C214936B90}"/>
    <cellStyle name="Normal 2 5 4 3 2 5" xfId="9355" xr:uid="{0FB039E0-4FEA-439E-833C-5CE70DBC5DFD}"/>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24579" xr:uid="{C90C212E-0176-4EE4-82B4-501A45C12F1E}"/>
    <cellStyle name="Normal 2 5 4 3 3 2 2 3" xfId="16131" xr:uid="{2C4C7A1B-4C12-4005-A16B-9D0D6169B4A4}"/>
    <cellStyle name="Normal 2 5 4 3 3 2 3" xfId="20361" xr:uid="{A0A7BE8A-8125-4A95-80E3-7D1B5D9563EC}"/>
    <cellStyle name="Normal 2 5 4 3 3 2 4" xfId="11913" xr:uid="{5AFB551C-586E-43D4-906E-0FB1A91B8F44}"/>
    <cellStyle name="Normal 2 5 4 3 3 3" xfId="5536" xr:uid="{00000000-0005-0000-0000-000046110000}"/>
    <cellStyle name="Normal 2 5 4 3 3 3 2" xfId="22434" xr:uid="{6879E816-4B36-47CF-AB8B-3E02E51CBFE7}"/>
    <cellStyle name="Normal 2 5 4 3 3 3 3" xfId="13986" xr:uid="{BD5C1F34-3529-4737-85A1-3523EC2B1296}"/>
    <cellStyle name="Normal 2 5 4 3 3 4" xfId="18216" xr:uid="{D7E34384-BFFD-48E9-9EB9-F800A95F3F51}"/>
    <cellStyle name="Normal 2 5 4 3 3 5" xfId="9768" xr:uid="{F32D3C07-ED71-49C5-A10A-7AE1B3E613A1}"/>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24992" xr:uid="{B56C69D8-A9A0-4951-AF3F-6A10D7F5FA65}"/>
    <cellStyle name="Normal 2 5 4 3 4 2 2 3" xfId="16544" xr:uid="{8FF6312A-5B9E-42D2-84A9-1C79147E7BE3}"/>
    <cellStyle name="Normal 2 5 4 3 4 2 3" xfId="20774" xr:uid="{0814A8E8-E66F-4416-A21A-2E321DF85831}"/>
    <cellStyle name="Normal 2 5 4 3 4 2 4" xfId="12326" xr:uid="{8AA5B13A-F5FC-458C-8528-21AC1F5195FB}"/>
    <cellStyle name="Normal 2 5 4 3 4 3" xfId="5949" xr:uid="{00000000-0005-0000-0000-00004A110000}"/>
    <cellStyle name="Normal 2 5 4 3 4 3 2" xfId="22847" xr:uid="{E5CDE496-09F9-4B57-A35B-2676EC3D4663}"/>
    <cellStyle name="Normal 2 5 4 3 4 3 3" xfId="14399" xr:uid="{8CDA08D8-F55F-4B83-BF81-0EB188509C52}"/>
    <cellStyle name="Normal 2 5 4 3 4 4" xfId="18629" xr:uid="{66535728-44EB-4A46-970A-474F77D3B19B}"/>
    <cellStyle name="Normal 2 5 4 3 4 5" xfId="10181" xr:uid="{E6FC96EE-B8EC-4E9C-87D4-E28881B99104}"/>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25405" xr:uid="{A34E1384-B6EF-46A9-85EB-FF38E7172175}"/>
    <cellStyle name="Normal 2 5 4 3 5 2 2 3" xfId="16957" xr:uid="{1FA49558-2AE3-4296-B4F8-1D2F584B34F7}"/>
    <cellStyle name="Normal 2 5 4 3 5 2 3" xfId="21187" xr:uid="{18BF4723-1899-4836-968E-A5BFD47E92E5}"/>
    <cellStyle name="Normal 2 5 4 3 5 2 4" xfId="12739" xr:uid="{CA974812-E39E-4AD9-870D-7239706CE1A8}"/>
    <cellStyle name="Normal 2 5 4 3 5 3" xfId="6362" xr:uid="{00000000-0005-0000-0000-00004E110000}"/>
    <cellStyle name="Normal 2 5 4 3 5 3 2" xfId="23260" xr:uid="{0AFFF419-D283-43A2-A814-B0CBE6308A8D}"/>
    <cellStyle name="Normal 2 5 4 3 5 3 3" xfId="14812" xr:uid="{9496D17F-FFC4-4965-9B3F-57EB876085B4}"/>
    <cellStyle name="Normal 2 5 4 3 5 4" xfId="19042" xr:uid="{E451C0DF-351D-45DD-95C7-601FD51766E4}"/>
    <cellStyle name="Normal 2 5 4 3 5 5" xfId="10594" xr:uid="{58BB41A0-8CE7-4ED6-87CE-D9C58F8DD879}"/>
    <cellStyle name="Normal 2 5 4 3 6" xfId="2492" xr:uid="{00000000-0005-0000-0000-00004F110000}"/>
    <cellStyle name="Normal 2 5 4 3 6 2" xfId="6775" xr:uid="{00000000-0005-0000-0000-000050110000}"/>
    <cellStyle name="Normal 2 5 4 3 6 2 2" xfId="23673" xr:uid="{F6C866B4-FC12-4B43-B7B0-E63EC957FCBA}"/>
    <cellStyle name="Normal 2 5 4 3 6 2 3" xfId="15225" xr:uid="{5AC8611A-A158-498C-B690-9833DD9570EB}"/>
    <cellStyle name="Normal 2 5 4 3 6 3" xfId="19455" xr:uid="{287BBB53-60E0-4C51-8339-3881C13DAC60}"/>
    <cellStyle name="Normal 2 5 4 3 6 4" xfId="11007" xr:uid="{0CC26263-F5C2-4D15-B552-ABF7CF290BA3}"/>
    <cellStyle name="Normal 2 5 4 3 7" xfId="4709" xr:uid="{00000000-0005-0000-0000-000051110000}"/>
    <cellStyle name="Normal 2 5 4 3 7 2" xfId="21607" xr:uid="{5421726C-CD90-407D-891B-30CBAB455EDB}"/>
    <cellStyle name="Normal 2 5 4 3 7 3" xfId="13159" xr:uid="{E77D5053-861F-4F8A-9225-E875E2569B65}"/>
    <cellStyle name="Normal 2 5 4 3 8" xfId="17389" xr:uid="{2953BC51-704C-4E23-BA24-67E4096FE123}"/>
    <cellStyle name="Normal 2 5 4 3 9" xfId="8941" xr:uid="{27953532-3ECE-4EFC-A571-381FCA1CA916}"/>
    <cellStyle name="Normal 2 5 4 4" xfId="804" xr:uid="{00000000-0005-0000-0000-000052110000}"/>
    <cellStyle name="Normal 2 5 4 4 2" xfId="3043" xr:uid="{00000000-0005-0000-0000-000053110000}"/>
    <cellStyle name="Normal 2 5 4 4 2 2" xfId="7265" xr:uid="{00000000-0005-0000-0000-000054110000}"/>
    <cellStyle name="Normal 2 5 4 4 2 2 2" xfId="24163" xr:uid="{FE00D870-330F-4FEA-ADBA-14FF5CC91458}"/>
    <cellStyle name="Normal 2 5 4 4 2 2 3" xfId="15715" xr:uid="{22385420-726B-459F-A2CD-7A0B5EA4C5ED}"/>
    <cellStyle name="Normal 2 5 4 4 2 3" xfId="19945" xr:uid="{6EAA70A9-BB70-4784-8B4A-872102E4ABE7}"/>
    <cellStyle name="Normal 2 5 4 4 2 4" xfId="11497" xr:uid="{A19DB67D-4D50-4888-92DC-FD5D0F142483}"/>
    <cellStyle name="Normal 2 5 4 4 3" xfId="5120" xr:uid="{00000000-0005-0000-0000-000055110000}"/>
    <cellStyle name="Normal 2 5 4 4 3 2" xfId="22018" xr:uid="{B2C0C5FC-1E29-4C1C-839A-0542D45DD8FD}"/>
    <cellStyle name="Normal 2 5 4 4 3 3" xfId="13570" xr:uid="{3D54FF91-E764-44E2-A0F2-BCE01ADAE694}"/>
    <cellStyle name="Normal 2 5 4 4 4" xfId="17800" xr:uid="{DACB3CFB-D650-43D0-AA82-C2F1F4544E0B}"/>
    <cellStyle name="Normal 2 5 4 4 5" xfId="9352" xr:uid="{A7094417-D3FF-4112-89D5-45A75354D5B8}"/>
    <cellStyle name="Normal 2 5 4 5" xfId="1226" xr:uid="{00000000-0005-0000-0000-000056110000}"/>
    <cellStyle name="Normal 2 5 4 5 2" xfId="3456" xr:uid="{00000000-0005-0000-0000-000057110000}"/>
    <cellStyle name="Normal 2 5 4 5 2 2" xfId="7678" xr:uid="{00000000-0005-0000-0000-000058110000}"/>
    <cellStyle name="Normal 2 5 4 5 2 2 2" xfId="24576" xr:uid="{3F7CE229-0EB1-4EC1-9FB4-42361AEDDFCD}"/>
    <cellStyle name="Normal 2 5 4 5 2 2 3" xfId="16128" xr:uid="{A4D28E29-5944-4E24-B773-BC41CD8121EB}"/>
    <cellStyle name="Normal 2 5 4 5 2 3" xfId="20358" xr:uid="{BCCD756D-94DE-42E3-95BE-D06DBF118395}"/>
    <cellStyle name="Normal 2 5 4 5 2 4" xfId="11910" xr:uid="{36662C5D-44BA-4531-86F9-F3324D6B56BC}"/>
    <cellStyle name="Normal 2 5 4 5 3" xfId="5533" xr:uid="{00000000-0005-0000-0000-000059110000}"/>
    <cellStyle name="Normal 2 5 4 5 3 2" xfId="22431" xr:uid="{52767C67-4742-4B01-9E3C-0D0097D0C9C6}"/>
    <cellStyle name="Normal 2 5 4 5 3 3" xfId="13983" xr:uid="{C2639663-33DC-4AE5-96AD-25C30B8C6D78}"/>
    <cellStyle name="Normal 2 5 4 5 4" xfId="18213" xr:uid="{4173DA9F-A3AB-426F-ADD1-91BAB54F87D8}"/>
    <cellStyle name="Normal 2 5 4 5 5" xfId="9765" xr:uid="{2CB84FB5-ABE9-4063-A30E-0BBDE36AE154}"/>
    <cellStyle name="Normal 2 5 4 6" xfId="1639" xr:uid="{00000000-0005-0000-0000-00005A110000}"/>
    <cellStyle name="Normal 2 5 4 6 2" xfId="3869" xr:uid="{00000000-0005-0000-0000-00005B110000}"/>
    <cellStyle name="Normal 2 5 4 6 2 2" xfId="8091" xr:uid="{00000000-0005-0000-0000-00005C110000}"/>
    <cellStyle name="Normal 2 5 4 6 2 2 2" xfId="24989" xr:uid="{D91187C9-487E-4006-8CA8-24CBE27E49FE}"/>
    <cellStyle name="Normal 2 5 4 6 2 2 3" xfId="16541" xr:uid="{99A645C4-8E6A-4237-B424-A31AE1B42C97}"/>
    <cellStyle name="Normal 2 5 4 6 2 3" xfId="20771" xr:uid="{AEE4B208-8DCC-4BC1-959A-D460D63CDB97}"/>
    <cellStyle name="Normal 2 5 4 6 2 4" xfId="12323" xr:uid="{5D1B2293-F12E-4F61-9D42-295DEFE1B7BF}"/>
    <cellStyle name="Normal 2 5 4 6 3" xfId="5946" xr:uid="{00000000-0005-0000-0000-00005D110000}"/>
    <cellStyle name="Normal 2 5 4 6 3 2" xfId="22844" xr:uid="{1ADE6539-10E3-49E7-A774-7D629556B4C2}"/>
    <cellStyle name="Normal 2 5 4 6 3 3" xfId="14396" xr:uid="{9A1E4F9A-93C4-429E-92E4-D93F319D54DB}"/>
    <cellStyle name="Normal 2 5 4 6 4" xfId="18626" xr:uid="{2C134598-4D54-46B6-B1A9-60CD8F3029F6}"/>
    <cellStyle name="Normal 2 5 4 6 5" xfId="10178" xr:uid="{D6F2EBDD-EC1E-411B-BC21-4016322528E8}"/>
    <cellStyle name="Normal 2 5 4 7" xfId="2053" xr:uid="{00000000-0005-0000-0000-00005E110000}"/>
    <cellStyle name="Normal 2 5 4 7 2" xfId="4282" xr:uid="{00000000-0005-0000-0000-00005F110000}"/>
    <cellStyle name="Normal 2 5 4 7 2 2" xfId="8504" xr:uid="{00000000-0005-0000-0000-000060110000}"/>
    <cellStyle name="Normal 2 5 4 7 2 2 2" xfId="25402" xr:uid="{F1A08A80-31AF-440E-9062-D3FA88C86756}"/>
    <cellStyle name="Normal 2 5 4 7 2 2 3" xfId="16954" xr:uid="{8FE0C4B9-5FC3-4B73-A2F4-13CD9AB80DD3}"/>
    <cellStyle name="Normal 2 5 4 7 2 3" xfId="21184" xr:uid="{14E91251-49B2-4EC1-8B2B-067F11100889}"/>
    <cellStyle name="Normal 2 5 4 7 2 4" xfId="12736" xr:uid="{93321EA1-BBE5-430D-99A9-BE54D86AC8F9}"/>
    <cellStyle name="Normal 2 5 4 7 3" xfId="6359" xr:uid="{00000000-0005-0000-0000-000061110000}"/>
    <cellStyle name="Normal 2 5 4 7 3 2" xfId="23257" xr:uid="{7F0E8740-2262-4C6C-8B55-57593E07C08B}"/>
    <cellStyle name="Normal 2 5 4 7 3 3" xfId="14809" xr:uid="{1138A615-4B15-4C70-96A1-481D4BA16D09}"/>
    <cellStyle name="Normal 2 5 4 7 4" xfId="19039" xr:uid="{3706FBE6-A72F-42EC-A17C-1BA8816CA685}"/>
    <cellStyle name="Normal 2 5 4 7 5" xfId="10591" xr:uid="{ED4EA11F-A77F-44E8-99F0-7205A96ADBEC}"/>
    <cellStyle name="Normal 2 5 4 8" xfId="2489" xr:uid="{00000000-0005-0000-0000-000062110000}"/>
    <cellStyle name="Normal 2 5 4 8 2" xfId="6772" xr:uid="{00000000-0005-0000-0000-000063110000}"/>
    <cellStyle name="Normal 2 5 4 8 2 2" xfId="23670" xr:uid="{995A6FDB-FCAE-405C-B0F7-2FBCF632DE95}"/>
    <cellStyle name="Normal 2 5 4 8 2 3" xfId="15222" xr:uid="{1AD5087E-AB86-4795-9E44-7AE22A7F3657}"/>
    <cellStyle name="Normal 2 5 4 8 3" xfId="19452" xr:uid="{FAA520FD-2270-463B-AFF8-2B3DEDC7958E}"/>
    <cellStyle name="Normal 2 5 4 8 4" xfId="11004" xr:uid="{571BBB45-9F6A-40CC-B618-DAC657D835CC}"/>
    <cellStyle name="Normal 2 5 4 9" xfId="4706" xr:uid="{00000000-0005-0000-0000-000064110000}"/>
    <cellStyle name="Normal 2 5 4 9 2" xfId="21604" xr:uid="{AD9DC5E4-9460-4FC3-9531-5C56E464B1C4}"/>
    <cellStyle name="Normal 2 5 4 9 3" xfId="13156" xr:uid="{D7802306-6EE5-4DDC-B71E-1D0EF12278BB}"/>
    <cellStyle name="Normal 2 5 5" xfId="803" xr:uid="{00000000-0005-0000-0000-000065110000}"/>
    <cellStyle name="Normal 2 5 5 2" xfId="3042" xr:uid="{00000000-0005-0000-0000-000066110000}"/>
    <cellStyle name="Normal 2 5 5 2 2" xfId="7264" xr:uid="{00000000-0005-0000-0000-000067110000}"/>
    <cellStyle name="Normal 2 5 5 2 2 2" xfId="24162" xr:uid="{7F23BAF0-C78B-4921-8E60-9E0554D5D841}"/>
    <cellStyle name="Normal 2 5 5 2 2 3" xfId="15714" xr:uid="{05D58505-2342-411A-B5A1-7D2DC2FE3833}"/>
    <cellStyle name="Normal 2 5 5 2 3" xfId="19944" xr:uid="{5CF1C16D-DAA4-4ABD-BD94-CE7AD22D32EC}"/>
    <cellStyle name="Normal 2 5 5 2 4" xfId="11496" xr:uid="{8953D701-2EC1-4770-B825-1B96C914D38A}"/>
    <cellStyle name="Normal 2 5 5 3" xfId="5119" xr:uid="{00000000-0005-0000-0000-000068110000}"/>
    <cellStyle name="Normal 2 5 5 3 2" xfId="22017" xr:uid="{D15F1BDE-AA6F-4BB9-8223-EFCDAB933FC2}"/>
    <cellStyle name="Normal 2 5 5 3 3" xfId="13569" xr:uid="{EE6D08C1-760E-4F22-AFB4-9547C5BCB11C}"/>
    <cellStyle name="Normal 2 5 5 4" xfId="17799" xr:uid="{EB5A8A93-A465-4F02-92D6-A6B2777A435C}"/>
    <cellStyle name="Normal 2 5 5 5" xfId="9351" xr:uid="{C6CF71D0-9FE9-4F62-8EEA-05A35FA4A955}"/>
    <cellStyle name="Normal 2 5 6" xfId="1225" xr:uid="{00000000-0005-0000-0000-000069110000}"/>
    <cellStyle name="Normal 2 5 6 2" xfId="3455" xr:uid="{00000000-0005-0000-0000-00006A110000}"/>
    <cellStyle name="Normal 2 5 6 2 2" xfId="7677" xr:uid="{00000000-0005-0000-0000-00006B110000}"/>
    <cellStyle name="Normal 2 5 6 2 2 2" xfId="24575" xr:uid="{A4A41199-14E1-4664-AFB8-CC5F2B724185}"/>
    <cellStyle name="Normal 2 5 6 2 2 3" xfId="16127" xr:uid="{0F9E5FCC-E75C-4615-A541-7234538C0522}"/>
    <cellStyle name="Normal 2 5 6 2 3" xfId="20357" xr:uid="{E3C6D77E-CA7D-4170-AEE9-91D9815C3690}"/>
    <cellStyle name="Normal 2 5 6 2 4" xfId="11909" xr:uid="{68C95BD1-258A-4542-AA10-E49EAA996BCD}"/>
    <cellStyle name="Normal 2 5 6 3" xfId="5532" xr:uid="{00000000-0005-0000-0000-00006C110000}"/>
    <cellStyle name="Normal 2 5 6 3 2" xfId="22430" xr:uid="{03C679F9-AF39-4F24-B97D-56B6DE309367}"/>
    <cellStyle name="Normal 2 5 6 3 3" xfId="13982" xr:uid="{17BA72AB-EE4B-4650-97F6-1FE418C01AA6}"/>
    <cellStyle name="Normal 2 5 6 4" xfId="18212" xr:uid="{7E0BD3DD-7C75-4F45-B72A-39FA9DACA83D}"/>
    <cellStyle name="Normal 2 5 6 5" xfId="9764" xr:uid="{AC18AD57-0ED8-4C22-B296-60E89C79332B}"/>
    <cellStyle name="Normal 2 5 7" xfId="1638" xr:uid="{00000000-0005-0000-0000-00006D110000}"/>
    <cellStyle name="Normal 2 5 7 2" xfId="3868" xr:uid="{00000000-0005-0000-0000-00006E110000}"/>
    <cellStyle name="Normal 2 5 7 2 2" xfId="8090" xr:uid="{00000000-0005-0000-0000-00006F110000}"/>
    <cellStyle name="Normal 2 5 7 2 2 2" xfId="24988" xr:uid="{E4D1CE54-F8A8-4DAD-98F0-6E557D319FDB}"/>
    <cellStyle name="Normal 2 5 7 2 2 3" xfId="16540" xr:uid="{E469BEA3-275E-4EE2-B90A-3C20CD90990A}"/>
    <cellStyle name="Normal 2 5 7 2 3" xfId="20770" xr:uid="{D8F7806D-52A0-4209-B3AC-F9124F16FD36}"/>
    <cellStyle name="Normal 2 5 7 2 4" xfId="12322" xr:uid="{4D6FDD81-1AC4-4D7E-B987-01319FD4A81F}"/>
    <cellStyle name="Normal 2 5 7 3" xfId="5945" xr:uid="{00000000-0005-0000-0000-000070110000}"/>
    <cellStyle name="Normal 2 5 7 3 2" xfId="22843" xr:uid="{F33592CE-559D-409C-AA9D-20AFF40357D5}"/>
    <cellStyle name="Normal 2 5 7 3 3" xfId="14395" xr:uid="{95DA905B-A66F-4515-8289-4784633E952C}"/>
    <cellStyle name="Normal 2 5 7 4" xfId="18625" xr:uid="{6167C638-D591-40BB-BA2F-96E824807CF5}"/>
    <cellStyle name="Normal 2 5 7 5" xfId="10177" xr:uid="{0E61C72C-60ED-4AC3-8A1B-8B06905AD32B}"/>
    <cellStyle name="Normal 2 5 8" xfId="2052" xr:uid="{00000000-0005-0000-0000-000071110000}"/>
    <cellStyle name="Normal 2 5 8 2" xfId="4281" xr:uid="{00000000-0005-0000-0000-000072110000}"/>
    <cellStyle name="Normal 2 5 8 2 2" xfId="8503" xr:uid="{00000000-0005-0000-0000-000073110000}"/>
    <cellStyle name="Normal 2 5 8 2 2 2" xfId="25401" xr:uid="{642B1F81-0623-41DA-B615-1A867272B5DB}"/>
    <cellStyle name="Normal 2 5 8 2 2 3" xfId="16953" xr:uid="{DD6B611C-4067-4EA1-87D4-771252011670}"/>
    <cellStyle name="Normal 2 5 8 2 3" xfId="21183" xr:uid="{BB012BDC-CF59-4BB2-825E-32CB71B2C752}"/>
    <cellStyle name="Normal 2 5 8 2 4" xfId="12735" xr:uid="{85C06B48-6F06-49B8-B7E9-3AE68F28810A}"/>
    <cellStyle name="Normal 2 5 8 3" xfId="6358" xr:uid="{00000000-0005-0000-0000-000074110000}"/>
    <cellStyle name="Normal 2 5 8 3 2" xfId="23256" xr:uid="{11B2D2BA-5356-444E-BDEE-393E3EFBB2DD}"/>
    <cellStyle name="Normal 2 5 8 3 3" xfId="14808" xr:uid="{3DBD3C3F-BC49-46C8-BAD9-670E606BE48D}"/>
    <cellStyle name="Normal 2 5 8 4" xfId="19038" xr:uid="{18C76609-93C1-4043-BC43-129A4571F193}"/>
    <cellStyle name="Normal 2 5 8 5" xfId="10590" xr:uid="{7DF06572-0FE1-4CAB-9195-BB53771BB8A4}"/>
    <cellStyle name="Normal 2 5 9" xfId="2488" xr:uid="{00000000-0005-0000-0000-000075110000}"/>
    <cellStyle name="Normal 2 5 9 2" xfId="6771" xr:uid="{00000000-0005-0000-0000-000076110000}"/>
    <cellStyle name="Normal 2 5 9 2 2" xfId="23669" xr:uid="{228500BA-6971-4C8F-A67E-3F2C4CFF544B}"/>
    <cellStyle name="Normal 2 5 9 2 3" xfId="15221" xr:uid="{BC3F7945-62A1-4EBF-9FFF-46398D5499DD}"/>
    <cellStyle name="Normal 2 5 9 3" xfId="19451" xr:uid="{190A79E3-C52A-4759-9075-53F54B730D72}"/>
    <cellStyle name="Normal 2 5 9 4" xfId="11003" xr:uid="{C7A83A0E-9CD5-488E-8B9A-C50115541A73}"/>
    <cellStyle name="Normal 2 6" xfId="322" xr:uid="{00000000-0005-0000-0000-000077110000}"/>
    <cellStyle name="Normal 2 7" xfId="769" xr:uid="{00000000-0005-0000-0000-000078110000}"/>
    <cellStyle name="Normal 2 8" xfId="4495" xr:uid="{00000000-0005-0000-0000-000079110000}"/>
    <cellStyle name="Normal 2 8 2" xfId="21395" xr:uid="{743E6FB6-A392-4CA3-9D3B-9562F4AA55D5}"/>
    <cellStyle name="Normal 2 8 3" xfId="12947" xr:uid="{1FABDDDF-9AEF-4BF7-BCA1-A2A72FB6E63B}"/>
    <cellStyle name="Normal 3" xfId="323" xr:uid="{00000000-0005-0000-0000-00007A110000}"/>
    <cellStyle name="Normal 3 2" xfId="324" xr:uid="{00000000-0005-0000-0000-00007B110000}"/>
    <cellStyle name="Normal 3 2 10" xfId="17390" xr:uid="{531D97D9-857C-488C-8086-798072DF7F46}"/>
    <cellStyle name="Normal 3 2 11" xfId="8942" xr:uid="{D1150125-96DD-4DE5-B87A-346F403B3E08}"/>
    <cellStyle name="Normal 3 2 2" xfId="325" xr:uid="{00000000-0005-0000-0000-00007C110000}"/>
    <cellStyle name="Normal 3 2 2 2" xfId="810" xr:uid="{00000000-0005-0000-0000-00007D110000}"/>
    <cellStyle name="Normal 3 2 3" xfId="326" xr:uid="{00000000-0005-0000-0000-00007E110000}"/>
    <cellStyle name="Normal 3 2 3 10" xfId="17391" xr:uid="{B72BFCDA-0B43-4026-B32C-5CC49E059E8B}"/>
    <cellStyle name="Normal 3 2 3 11" xfId="8943" xr:uid="{5A3E45D1-5AA3-4BDC-A946-DDA85DC6CEDF}"/>
    <cellStyle name="Normal 3 2 3 2" xfId="327" xr:uid="{00000000-0005-0000-0000-00007F110000}"/>
    <cellStyle name="Normal 3 2 3 2 10" xfId="8944" xr:uid="{B3C1E673-40DF-4544-BA8D-676BF1274691}"/>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24170" xr:uid="{D1FBDA15-5B29-4545-B867-E0F51F28EDEF}"/>
    <cellStyle name="Normal 3 2 3 2 2 2 2 2 3" xfId="15722" xr:uid="{A14F10D1-F3DF-44E3-ABED-E2E708E31C07}"/>
    <cellStyle name="Normal 3 2 3 2 2 2 2 3" xfId="19952" xr:uid="{F3C61CD1-3392-4FFE-AB87-67563984CE4E}"/>
    <cellStyle name="Normal 3 2 3 2 2 2 2 4" xfId="11504" xr:uid="{3A740700-F000-4762-AD86-E53E3C79068F}"/>
    <cellStyle name="Normal 3 2 3 2 2 2 3" xfId="5127" xr:uid="{00000000-0005-0000-0000-000084110000}"/>
    <cellStyle name="Normal 3 2 3 2 2 2 3 2" xfId="22025" xr:uid="{5FBF3C47-4643-4D7C-AB60-2846C69278FE}"/>
    <cellStyle name="Normal 3 2 3 2 2 2 3 3" xfId="13577" xr:uid="{A4D2CA87-1E8D-421E-80C5-ECC421252268}"/>
    <cellStyle name="Normal 3 2 3 2 2 2 4" xfId="17807" xr:uid="{8A8EAD23-85E4-4DE0-B2BD-69946B391F7C}"/>
    <cellStyle name="Normal 3 2 3 2 2 2 5" xfId="9359" xr:uid="{9C39ADDC-779B-4CFC-9EE3-FB4A3F149221}"/>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24583" xr:uid="{5A1BEB94-157D-4C03-8996-20FA10496F5C}"/>
    <cellStyle name="Normal 3 2 3 2 2 3 2 2 3" xfId="16135" xr:uid="{6D8F89DC-B831-4F01-9660-CC9C9162E993}"/>
    <cellStyle name="Normal 3 2 3 2 2 3 2 3" xfId="20365" xr:uid="{E0BC71EE-8824-4AD9-B4D4-FAE907244638}"/>
    <cellStyle name="Normal 3 2 3 2 2 3 2 4" xfId="11917" xr:uid="{01CB869F-942A-4AF8-9267-E053CC5181DB}"/>
    <cellStyle name="Normal 3 2 3 2 2 3 3" xfId="5540" xr:uid="{00000000-0005-0000-0000-000088110000}"/>
    <cellStyle name="Normal 3 2 3 2 2 3 3 2" xfId="22438" xr:uid="{22F9A8BF-A4DF-4886-BE45-B6E3B35A3991}"/>
    <cellStyle name="Normal 3 2 3 2 2 3 3 3" xfId="13990" xr:uid="{7EDF68C1-5D5F-4E0C-BC71-93DF23116759}"/>
    <cellStyle name="Normal 3 2 3 2 2 3 4" xfId="18220" xr:uid="{8C400B9A-CE7D-4AC2-9499-E97751640194}"/>
    <cellStyle name="Normal 3 2 3 2 2 3 5" xfId="9772" xr:uid="{B729F6DF-3901-44B6-8320-0FA3032F932D}"/>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24996" xr:uid="{D71F1410-0C6C-4C9E-8A44-6D2CC2FEA1F3}"/>
    <cellStyle name="Normal 3 2 3 2 2 4 2 2 3" xfId="16548" xr:uid="{B11F64FC-69D4-4019-8A17-4BD8AA7A5781}"/>
    <cellStyle name="Normal 3 2 3 2 2 4 2 3" xfId="20778" xr:uid="{A237B78E-8CFF-45B7-9F1A-D8A0450FE39E}"/>
    <cellStyle name="Normal 3 2 3 2 2 4 2 4" xfId="12330" xr:uid="{644151E9-3F62-443C-BDFD-0D3C79253F55}"/>
    <cellStyle name="Normal 3 2 3 2 2 4 3" xfId="5953" xr:uid="{00000000-0005-0000-0000-00008C110000}"/>
    <cellStyle name="Normal 3 2 3 2 2 4 3 2" xfId="22851" xr:uid="{D83A268B-EAE7-40E2-AF33-6311A37BB9DA}"/>
    <cellStyle name="Normal 3 2 3 2 2 4 3 3" xfId="14403" xr:uid="{A70729CD-7BE1-48EB-8CB0-C659FC8F32F7}"/>
    <cellStyle name="Normal 3 2 3 2 2 4 4" xfId="18633" xr:uid="{ADDB60ED-8035-4B0F-8FFB-5477DEE31365}"/>
    <cellStyle name="Normal 3 2 3 2 2 4 5" xfId="10185" xr:uid="{D46071FA-F748-4D3C-A781-7F40CAC9212B}"/>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25409" xr:uid="{C3F3D0CD-D938-4504-AFF7-E105F3D77CAF}"/>
    <cellStyle name="Normal 3 2 3 2 2 5 2 2 3" xfId="16961" xr:uid="{538B18B6-A30F-4AE0-8B56-9652517E9CC9}"/>
    <cellStyle name="Normal 3 2 3 2 2 5 2 3" xfId="21191" xr:uid="{5AE032FF-EE92-46ED-9289-914EB87022A9}"/>
    <cellStyle name="Normal 3 2 3 2 2 5 2 4" xfId="12743" xr:uid="{6BB38118-C8C3-4B84-8F9E-20B3080CCEE0}"/>
    <cellStyle name="Normal 3 2 3 2 2 5 3" xfId="6366" xr:uid="{00000000-0005-0000-0000-000090110000}"/>
    <cellStyle name="Normal 3 2 3 2 2 5 3 2" xfId="23264" xr:uid="{A6388D8E-474A-49EB-B0C2-5D7F07D9EC23}"/>
    <cellStyle name="Normal 3 2 3 2 2 5 3 3" xfId="14816" xr:uid="{E3B8F435-7418-4DBD-9831-956760F7BF7A}"/>
    <cellStyle name="Normal 3 2 3 2 2 5 4" xfId="19046" xr:uid="{0B1B5646-E70E-4E21-9711-506BD85D4E8E}"/>
    <cellStyle name="Normal 3 2 3 2 2 5 5" xfId="10598" xr:uid="{C650F5A8-4BE2-4015-A1BC-8D5C4BA1A7F0}"/>
    <cellStyle name="Normal 3 2 3 2 2 6" xfId="2496" xr:uid="{00000000-0005-0000-0000-000091110000}"/>
    <cellStyle name="Normal 3 2 3 2 2 6 2" xfId="6779" xr:uid="{00000000-0005-0000-0000-000092110000}"/>
    <cellStyle name="Normal 3 2 3 2 2 6 2 2" xfId="23677" xr:uid="{6078DC97-6DFD-4960-A550-4599D16EADC6}"/>
    <cellStyle name="Normal 3 2 3 2 2 6 2 3" xfId="15229" xr:uid="{3B631372-4DA2-4D59-A82C-A4DEFFA86A38}"/>
    <cellStyle name="Normal 3 2 3 2 2 6 3" xfId="19459" xr:uid="{54EF79E8-B931-499D-BB70-AC3AA810E9EA}"/>
    <cellStyle name="Normal 3 2 3 2 2 6 4" xfId="11011" xr:uid="{683CF9E7-E1D9-48D9-A410-09F837596A6A}"/>
    <cellStyle name="Normal 3 2 3 2 2 7" xfId="4713" xr:uid="{00000000-0005-0000-0000-000093110000}"/>
    <cellStyle name="Normal 3 2 3 2 2 7 2" xfId="21611" xr:uid="{DFC3633F-B1FC-4D08-8E3D-48CE30C20FA0}"/>
    <cellStyle name="Normal 3 2 3 2 2 7 3" xfId="13163" xr:uid="{4A7708CB-5588-4FC4-9554-FAF26A6F8805}"/>
    <cellStyle name="Normal 3 2 3 2 2 8" xfId="17393" xr:uid="{96BAD878-5AE6-4D85-A6E4-BF5DD9F679C0}"/>
    <cellStyle name="Normal 3 2 3 2 2 9" xfId="8945" xr:uid="{BC2E66C1-1219-4A66-A2DC-0F0D37636D43}"/>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24169" xr:uid="{981695CB-F776-46DC-A74E-D29072B72ECF}"/>
    <cellStyle name="Normal 3 2 3 2 3 2 2 3" xfId="15721" xr:uid="{C182CF25-DC9F-4FA2-B1BB-E6ACA1AE66D8}"/>
    <cellStyle name="Normal 3 2 3 2 3 2 3" xfId="19951" xr:uid="{F69F3697-E2EC-483D-A85C-D9FFFB09D0AB}"/>
    <cellStyle name="Normal 3 2 3 2 3 2 4" xfId="11503" xr:uid="{1F35CD8A-D0BE-4BEB-939B-048359134E2E}"/>
    <cellStyle name="Normal 3 2 3 2 3 3" xfId="5126" xr:uid="{00000000-0005-0000-0000-000097110000}"/>
    <cellStyle name="Normal 3 2 3 2 3 3 2" xfId="22024" xr:uid="{711BFF81-FB01-4EC3-BDBA-7AB5043C30EF}"/>
    <cellStyle name="Normal 3 2 3 2 3 3 3" xfId="13576" xr:uid="{39453208-6BDD-4E4F-AE65-EC071786FB3A}"/>
    <cellStyle name="Normal 3 2 3 2 3 4" xfId="17806" xr:uid="{D854BA72-3D14-4A8C-96EE-813742F713BD}"/>
    <cellStyle name="Normal 3 2 3 2 3 5" xfId="9358" xr:uid="{FCBF0CEC-8D09-4229-96A5-239BD75E19C9}"/>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24582" xr:uid="{F3B0994D-7143-4665-860B-80300ABAAA0B}"/>
    <cellStyle name="Normal 3 2 3 2 4 2 2 3" xfId="16134" xr:uid="{162BEEA9-CBF2-448E-9E0E-3D09C2767D6E}"/>
    <cellStyle name="Normal 3 2 3 2 4 2 3" xfId="20364" xr:uid="{42F45312-7F66-44C0-ABED-DB77053D7461}"/>
    <cellStyle name="Normal 3 2 3 2 4 2 4" xfId="11916" xr:uid="{2D858B8E-7D62-4D0E-9856-8EBB4750CDEC}"/>
    <cellStyle name="Normal 3 2 3 2 4 3" xfId="5539" xr:uid="{00000000-0005-0000-0000-00009B110000}"/>
    <cellStyle name="Normal 3 2 3 2 4 3 2" xfId="22437" xr:uid="{49DD103B-7EBA-4F3F-BA72-D8CE40366D5E}"/>
    <cellStyle name="Normal 3 2 3 2 4 3 3" xfId="13989" xr:uid="{1347EA89-4D5B-4FC3-89B5-0F895780A247}"/>
    <cellStyle name="Normal 3 2 3 2 4 4" xfId="18219" xr:uid="{B5C513D0-10B4-4732-94CC-3CA9C005FEFC}"/>
    <cellStyle name="Normal 3 2 3 2 4 5" xfId="9771" xr:uid="{3113F725-C56B-4632-8724-3D0CDD235071}"/>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24995" xr:uid="{D568DEDA-C62D-4F26-81DE-B1A5C6DA26E6}"/>
    <cellStyle name="Normal 3 2 3 2 5 2 2 3" xfId="16547" xr:uid="{773FA969-9814-40E2-AA58-E425FD55125B}"/>
    <cellStyle name="Normal 3 2 3 2 5 2 3" xfId="20777" xr:uid="{1B44BBBC-5888-46A6-86A9-84AEBDD3BA7F}"/>
    <cellStyle name="Normal 3 2 3 2 5 2 4" xfId="12329" xr:uid="{2261AE6A-E880-495C-A71E-31A6335E1014}"/>
    <cellStyle name="Normal 3 2 3 2 5 3" xfId="5952" xr:uid="{00000000-0005-0000-0000-00009F110000}"/>
    <cellStyle name="Normal 3 2 3 2 5 3 2" xfId="22850" xr:uid="{057BE547-19D0-43F2-964B-EDC23827E379}"/>
    <cellStyle name="Normal 3 2 3 2 5 3 3" xfId="14402" xr:uid="{56CDB111-C1DA-497B-BDBB-AAFB41D55452}"/>
    <cellStyle name="Normal 3 2 3 2 5 4" xfId="18632" xr:uid="{DCF2D0E0-B713-431F-8202-DB636489F70D}"/>
    <cellStyle name="Normal 3 2 3 2 5 5" xfId="10184" xr:uid="{C152E2A1-D22F-468B-9660-839B6DA387CB}"/>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25408" xr:uid="{6A60E5D6-841C-4CD4-BD8C-4DBE0E54FF45}"/>
    <cellStyle name="Normal 3 2 3 2 6 2 2 3" xfId="16960" xr:uid="{4C63C004-4034-434C-B078-551924311FCC}"/>
    <cellStyle name="Normal 3 2 3 2 6 2 3" xfId="21190" xr:uid="{B5A76AB4-AF88-4AA0-A61A-66B05CA62B4C}"/>
    <cellStyle name="Normal 3 2 3 2 6 2 4" xfId="12742" xr:uid="{BA019271-3227-4100-A384-D09FC02927D2}"/>
    <cellStyle name="Normal 3 2 3 2 6 3" xfId="6365" xr:uid="{00000000-0005-0000-0000-0000A3110000}"/>
    <cellStyle name="Normal 3 2 3 2 6 3 2" xfId="23263" xr:uid="{BC0DB95A-DBD8-4E73-A3E6-17AB0565084E}"/>
    <cellStyle name="Normal 3 2 3 2 6 3 3" xfId="14815" xr:uid="{D441B6B6-EA64-46CC-A9B2-18A6271C953D}"/>
    <cellStyle name="Normal 3 2 3 2 6 4" xfId="19045" xr:uid="{2E2C6663-BE34-4F01-8209-2AD0EFFF57A0}"/>
    <cellStyle name="Normal 3 2 3 2 6 5" xfId="10597" xr:uid="{806318BB-FA0D-4CDD-933B-9A666C974F2D}"/>
    <cellStyle name="Normal 3 2 3 2 7" xfId="2495" xr:uid="{00000000-0005-0000-0000-0000A4110000}"/>
    <cellStyle name="Normal 3 2 3 2 7 2" xfId="6778" xr:uid="{00000000-0005-0000-0000-0000A5110000}"/>
    <cellStyle name="Normal 3 2 3 2 7 2 2" xfId="23676" xr:uid="{DB755B36-518F-4091-8926-BB612988D912}"/>
    <cellStyle name="Normal 3 2 3 2 7 2 3" xfId="15228" xr:uid="{1F5B7527-5100-47D6-B347-32C224888D98}"/>
    <cellStyle name="Normal 3 2 3 2 7 3" xfId="19458" xr:uid="{995D3F2B-6A0E-430E-BABD-1894F6EE5691}"/>
    <cellStyle name="Normal 3 2 3 2 7 4" xfId="11010" xr:uid="{B16034AC-16C0-4E78-98F5-D3095F679070}"/>
    <cellStyle name="Normal 3 2 3 2 8" xfId="4712" xr:uid="{00000000-0005-0000-0000-0000A6110000}"/>
    <cellStyle name="Normal 3 2 3 2 8 2" xfId="21610" xr:uid="{B5A8D955-625C-4196-A691-D87EA0B8B844}"/>
    <cellStyle name="Normal 3 2 3 2 8 3" xfId="13162" xr:uid="{CD67BEBB-779E-41B4-B41A-76B94070E789}"/>
    <cellStyle name="Normal 3 2 3 2 9" xfId="17392" xr:uid="{D2AF76CE-168D-409C-9ED1-FCC1A4D583AA}"/>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24171" xr:uid="{283FA862-F284-473F-B158-12B6EBBDFDCC}"/>
    <cellStyle name="Normal 3 2 3 3 2 2 2 3" xfId="15723" xr:uid="{D1B2661F-EA98-4695-B85A-1BC8BCBF9557}"/>
    <cellStyle name="Normal 3 2 3 3 2 2 3" xfId="19953" xr:uid="{579328AE-9B4D-4D61-BDD7-59B0F86B1954}"/>
    <cellStyle name="Normal 3 2 3 3 2 2 4" xfId="11505" xr:uid="{9B53F9FC-EE55-4AA4-8A89-FA0E241341D6}"/>
    <cellStyle name="Normal 3 2 3 3 2 3" xfId="5128" xr:uid="{00000000-0005-0000-0000-0000AB110000}"/>
    <cellStyle name="Normal 3 2 3 3 2 3 2" xfId="22026" xr:uid="{064850D1-30B7-4F57-B089-1B3565166AA2}"/>
    <cellStyle name="Normal 3 2 3 3 2 3 3" xfId="13578" xr:uid="{D087BF12-5845-40B3-9E1D-55F35AD54711}"/>
    <cellStyle name="Normal 3 2 3 3 2 4" xfId="17808" xr:uid="{91A0B8BD-56CA-4857-95DC-3DF1C1083FCA}"/>
    <cellStyle name="Normal 3 2 3 3 2 5" xfId="9360" xr:uid="{95E3D074-129D-4FB2-B764-710B9B737826}"/>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24584" xr:uid="{AAAA1FFC-0FEF-4955-99C9-6F79E524EE2F}"/>
    <cellStyle name="Normal 3 2 3 3 3 2 2 3" xfId="16136" xr:uid="{E4CB45EF-3798-4D58-BCC4-F70B64AD43DA}"/>
    <cellStyle name="Normal 3 2 3 3 3 2 3" xfId="20366" xr:uid="{F6762DF6-1B8C-4B8C-8B99-B11B9D14019D}"/>
    <cellStyle name="Normal 3 2 3 3 3 2 4" xfId="11918" xr:uid="{A7C3CFAC-60D5-48C6-9D24-B2B8BC131E0E}"/>
    <cellStyle name="Normal 3 2 3 3 3 3" xfId="5541" xr:uid="{00000000-0005-0000-0000-0000AF110000}"/>
    <cellStyle name="Normal 3 2 3 3 3 3 2" xfId="22439" xr:uid="{016AB8FF-89DD-4898-9F7F-17B67035D6CB}"/>
    <cellStyle name="Normal 3 2 3 3 3 3 3" xfId="13991" xr:uid="{D6C3ED0B-4B7F-455D-A63D-2C70ABEE0146}"/>
    <cellStyle name="Normal 3 2 3 3 3 4" xfId="18221" xr:uid="{BB1B1905-01B8-4621-832A-4C4E6CDD62D8}"/>
    <cellStyle name="Normal 3 2 3 3 3 5" xfId="9773" xr:uid="{2FDD2831-EB71-4468-9C3D-CF775545F604}"/>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24997" xr:uid="{ADD9EEC9-15E7-436B-AFBE-716CA514CB33}"/>
    <cellStyle name="Normal 3 2 3 3 4 2 2 3" xfId="16549" xr:uid="{95075EDD-9FE8-4A1F-8CAF-0B5437D701D3}"/>
    <cellStyle name="Normal 3 2 3 3 4 2 3" xfId="20779" xr:uid="{06C5B8A6-4769-4C13-BBBF-F1C69067C7CA}"/>
    <cellStyle name="Normal 3 2 3 3 4 2 4" xfId="12331" xr:uid="{2431F413-9CCF-4FBE-AE08-5E1EEE69A9B7}"/>
    <cellStyle name="Normal 3 2 3 3 4 3" xfId="5954" xr:uid="{00000000-0005-0000-0000-0000B3110000}"/>
    <cellStyle name="Normal 3 2 3 3 4 3 2" xfId="22852" xr:uid="{CE5ACEBD-63DF-4185-B842-2C374788C2DA}"/>
    <cellStyle name="Normal 3 2 3 3 4 3 3" xfId="14404" xr:uid="{313FA75A-F00D-488C-8928-F7887E01C09B}"/>
    <cellStyle name="Normal 3 2 3 3 4 4" xfId="18634" xr:uid="{6E51866C-3D37-4B4E-974C-0714372D44D2}"/>
    <cellStyle name="Normal 3 2 3 3 4 5" xfId="10186" xr:uid="{AD0480B5-8837-4081-9592-796BDD1929EB}"/>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25410" xr:uid="{B06C2DB0-044D-49C7-A8CA-D8EE7070A024}"/>
    <cellStyle name="Normal 3 2 3 3 5 2 2 3" xfId="16962" xr:uid="{487212D6-2587-4AE1-85C3-6EF756259FAE}"/>
    <cellStyle name="Normal 3 2 3 3 5 2 3" xfId="21192" xr:uid="{2732A5E1-156E-4A3F-B6CE-D04FFFC3011C}"/>
    <cellStyle name="Normal 3 2 3 3 5 2 4" xfId="12744" xr:uid="{95865CC1-212C-4918-8B71-328D1B198C96}"/>
    <cellStyle name="Normal 3 2 3 3 5 3" xfId="6367" xr:uid="{00000000-0005-0000-0000-0000B7110000}"/>
    <cellStyle name="Normal 3 2 3 3 5 3 2" xfId="23265" xr:uid="{BAE8D516-B98E-47C6-8603-7586656E9301}"/>
    <cellStyle name="Normal 3 2 3 3 5 3 3" xfId="14817" xr:uid="{A806471D-4236-45AF-96EE-DAA68021C99C}"/>
    <cellStyle name="Normal 3 2 3 3 5 4" xfId="19047" xr:uid="{BE3CA257-7CF2-4249-AB2A-17013452542A}"/>
    <cellStyle name="Normal 3 2 3 3 5 5" xfId="10599" xr:uid="{C7976028-0673-48C2-A50C-302D9C9FB6F9}"/>
    <cellStyle name="Normal 3 2 3 3 6" xfId="2497" xr:uid="{00000000-0005-0000-0000-0000B8110000}"/>
    <cellStyle name="Normal 3 2 3 3 6 2" xfId="6780" xr:uid="{00000000-0005-0000-0000-0000B9110000}"/>
    <cellStyle name="Normal 3 2 3 3 6 2 2" xfId="23678" xr:uid="{C1C94E75-587E-466D-B760-36F452FBBF49}"/>
    <cellStyle name="Normal 3 2 3 3 6 2 3" xfId="15230" xr:uid="{24E43881-4698-438B-B935-4C2A3B5C0722}"/>
    <cellStyle name="Normal 3 2 3 3 6 3" xfId="19460" xr:uid="{461581A5-7906-48DA-9542-B6EEFA363C91}"/>
    <cellStyle name="Normal 3 2 3 3 6 4" xfId="11012" xr:uid="{51FC8A9F-0CAD-4CF0-9AC1-98F56869F167}"/>
    <cellStyle name="Normal 3 2 3 3 7" xfId="4714" xr:uid="{00000000-0005-0000-0000-0000BA110000}"/>
    <cellStyle name="Normal 3 2 3 3 7 2" xfId="21612" xr:uid="{8151B785-427B-4153-AC5B-B8E7506966C5}"/>
    <cellStyle name="Normal 3 2 3 3 7 3" xfId="13164" xr:uid="{FCF164CD-2F1F-4FB5-A3EA-814331197432}"/>
    <cellStyle name="Normal 3 2 3 3 8" xfId="17394" xr:uid="{35E42FC7-A47B-45CF-A553-A7AE7733CDC4}"/>
    <cellStyle name="Normal 3 2 3 3 9" xfId="8946" xr:uid="{82978454-5404-4DAB-8771-AA3BE26AC331}"/>
    <cellStyle name="Normal 3 2 3 4" xfId="811" xr:uid="{00000000-0005-0000-0000-0000BB110000}"/>
    <cellStyle name="Normal 3 2 3 4 2" xfId="3048" xr:uid="{00000000-0005-0000-0000-0000BC110000}"/>
    <cellStyle name="Normal 3 2 3 4 2 2" xfId="7270" xr:uid="{00000000-0005-0000-0000-0000BD110000}"/>
    <cellStyle name="Normal 3 2 3 4 2 2 2" xfId="24168" xr:uid="{EBD654EB-A9AF-4EF5-8C37-DB87B1D65D73}"/>
    <cellStyle name="Normal 3 2 3 4 2 2 3" xfId="15720" xr:uid="{51C7405B-8A40-4D19-99DF-046BB0B7CA9D}"/>
    <cellStyle name="Normal 3 2 3 4 2 3" xfId="19950" xr:uid="{95C70D4B-09F2-4EA6-AFD9-694FCA1CB911}"/>
    <cellStyle name="Normal 3 2 3 4 2 4" xfId="11502" xr:uid="{7DB63B0B-31FF-4456-A72A-2C632C60786D}"/>
    <cellStyle name="Normal 3 2 3 4 3" xfId="5125" xr:uid="{00000000-0005-0000-0000-0000BE110000}"/>
    <cellStyle name="Normal 3 2 3 4 3 2" xfId="22023" xr:uid="{5B12B4FE-51E3-4025-B5B5-B3B0C4CE4858}"/>
    <cellStyle name="Normal 3 2 3 4 3 3" xfId="13575" xr:uid="{4DD4D360-3151-4A2F-820C-E602BED90AD3}"/>
    <cellStyle name="Normal 3 2 3 4 4" xfId="17805" xr:uid="{7273BF00-7072-4C49-AE18-9E17D894A459}"/>
    <cellStyle name="Normal 3 2 3 4 5" xfId="9357" xr:uid="{B0A325A3-B2CB-46C8-B4F1-F335AC8C237B}"/>
    <cellStyle name="Normal 3 2 3 5" xfId="1231" xr:uid="{00000000-0005-0000-0000-0000BF110000}"/>
    <cellStyle name="Normal 3 2 3 5 2" xfId="3461" xr:uid="{00000000-0005-0000-0000-0000C0110000}"/>
    <cellStyle name="Normal 3 2 3 5 2 2" xfId="7683" xr:uid="{00000000-0005-0000-0000-0000C1110000}"/>
    <cellStyle name="Normal 3 2 3 5 2 2 2" xfId="24581" xr:uid="{89CBA521-6974-42DD-B7BD-82881EA3083A}"/>
    <cellStyle name="Normal 3 2 3 5 2 2 3" xfId="16133" xr:uid="{33548198-4FC5-4A1B-9A89-87BA55ECCA2C}"/>
    <cellStyle name="Normal 3 2 3 5 2 3" xfId="20363" xr:uid="{FCB422AE-2CEE-4E05-A3B6-0B404B35DF21}"/>
    <cellStyle name="Normal 3 2 3 5 2 4" xfId="11915" xr:uid="{70C65065-713F-40A4-A38C-5E691F69F8C7}"/>
    <cellStyle name="Normal 3 2 3 5 3" xfId="5538" xr:uid="{00000000-0005-0000-0000-0000C2110000}"/>
    <cellStyle name="Normal 3 2 3 5 3 2" xfId="22436" xr:uid="{EC08360A-503F-42CD-A50E-90D1BAF22135}"/>
    <cellStyle name="Normal 3 2 3 5 3 3" xfId="13988" xr:uid="{1B15FF65-1714-48B4-939F-FAD71E547203}"/>
    <cellStyle name="Normal 3 2 3 5 4" xfId="18218" xr:uid="{7548E495-BAC0-43EA-925C-DC7902658FDF}"/>
    <cellStyle name="Normal 3 2 3 5 5" xfId="9770" xr:uid="{5F755B0A-02E3-4926-AD32-FEFA26D5F651}"/>
    <cellStyle name="Normal 3 2 3 6" xfId="1644" xr:uid="{00000000-0005-0000-0000-0000C3110000}"/>
    <cellStyle name="Normal 3 2 3 6 2" xfId="3874" xr:uid="{00000000-0005-0000-0000-0000C4110000}"/>
    <cellStyle name="Normal 3 2 3 6 2 2" xfId="8096" xr:uid="{00000000-0005-0000-0000-0000C5110000}"/>
    <cellStyle name="Normal 3 2 3 6 2 2 2" xfId="24994" xr:uid="{9DB2E103-4D17-470F-B4A7-81F3DA394939}"/>
    <cellStyle name="Normal 3 2 3 6 2 2 3" xfId="16546" xr:uid="{F35293EA-CDD3-4A21-94B2-0878B1B88ECA}"/>
    <cellStyle name="Normal 3 2 3 6 2 3" xfId="20776" xr:uid="{522733DC-C678-4BAE-B855-EC3259A67942}"/>
    <cellStyle name="Normal 3 2 3 6 2 4" xfId="12328" xr:uid="{93D02B1D-4175-4958-A122-A7F703ED8C8B}"/>
    <cellStyle name="Normal 3 2 3 6 3" xfId="5951" xr:uid="{00000000-0005-0000-0000-0000C6110000}"/>
    <cellStyle name="Normal 3 2 3 6 3 2" xfId="22849" xr:uid="{F0150CF3-EFB3-4CFC-9CBC-76620D78814B}"/>
    <cellStyle name="Normal 3 2 3 6 3 3" xfId="14401" xr:uid="{13561B42-26C1-49F4-A2E0-99ED905D91BD}"/>
    <cellStyle name="Normal 3 2 3 6 4" xfId="18631" xr:uid="{92075468-DE87-4BAA-BCC4-63B928CCC2E4}"/>
    <cellStyle name="Normal 3 2 3 6 5" xfId="10183" xr:uid="{3FB86EE9-E56F-4003-A8FA-B61011E0195A}"/>
    <cellStyle name="Normal 3 2 3 7" xfId="2058" xr:uid="{00000000-0005-0000-0000-0000C7110000}"/>
    <cellStyle name="Normal 3 2 3 7 2" xfId="4287" xr:uid="{00000000-0005-0000-0000-0000C8110000}"/>
    <cellStyle name="Normal 3 2 3 7 2 2" xfId="8509" xr:uid="{00000000-0005-0000-0000-0000C9110000}"/>
    <cellStyle name="Normal 3 2 3 7 2 2 2" xfId="25407" xr:uid="{C7AF56F9-720A-4BCB-8BFF-967883D3DF8C}"/>
    <cellStyle name="Normal 3 2 3 7 2 2 3" xfId="16959" xr:uid="{84863A11-BFF7-4753-982D-3249C947069D}"/>
    <cellStyle name="Normal 3 2 3 7 2 3" xfId="21189" xr:uid="{8870E292-1C94-4AF3-B922-FBA5DB50848A}"/>
    <cellStyle name="Normal 3 2 3 7 2 4" xfId="12741" xr:uid="{8C9BB3DA-8C06-4648-B571-3D603243A3C7}"/>
    <cellStyle name="Normal 3 2 3 7 3" xfId="6364" xr:uid="{00000000-0005-0000-0000-0000CA110000}"/>
    <cellStyle name="Normal 3 2 3 7 3 2" xfId="23262" xr:uid="{642523D6-14B9-4831-A625-4D700DAB1843}"/>
    <cellStyle name="Normal 3 2 3 7 3 3" xfId="14814" xr:uid="{41FC8314-EDAA-4CA8-BC7A-6485100E0AD2}"/>
    <cellStyle name="Normal 3 2 3 7 4" xfId="19044" xr:uid="{4F60A4FA-7617-47BB-A466-E45B9DDA6855}"/>
    <cellStyle name="Normal 3 2 3 7 5" xfId="10596" xr:uid="{8429BBAF-EF22-44A6-984E-BEC9CBEBA430}"/>
    <cellStyle name="Normal 3 2 3 8" xfId="2494" xr:uid="{00000000-0005-0000-0000-0000CB110000}"/>
    <cellStyle name="Normal 3 2 3 8 2" xfId="6777" xr:uid="{00000000-0005-0000-0000-0000CC110000}"/>
    <cellStyle name="Normal 3 2 3 8 2 2" xfId="23675" xr:uid="{AD842915-0C41-4B75-9E3B-A4378E39F753}"/>
    <cellStyle name="Normal 3 2 3 8 2 3" xfId="15227" xr:uid="{F84FEB88-70C9-4D16-A2E8-0A4996617189}"/>
    <cellStyle name="Normal 3 2 3 8 3" xfId="19457" xr:uid="{944CDE6D-1D2E-4FAA-9497-FC4492297F44}"/>
    <cellStyle name="Normal 3 2 3 8 4" xfId="11009" xr:uid="{C123B1B0-8224-4225-BC09-EF9D86FE34B7}"/>
    <cellStyle name="Normal 3 2 3 9" xfId="4711" xr:uid="{00000000-0005-0000-0000-0000CD110000}"/>
    <cellStyle name="Normal 3 2 3 9 2" xfId="21609" xr:uid="{2F490C08-FFA1-4959-B23C-B17ED61E8E73}"/>
    <cellStyle name="Normal 3 2 3 9 3" xfId="13161" xr:uid="{3C6A797F-1D25-4560-B0C7-C4E442D5A4AB}"/>
    <cellStyle name="Normal 3 2 4" xfId="809" xr:uid="{00000000-0005-0000-0000-0000CE110000}"/>
    <cellStyle name="Normal 3 2 4 2" xfId="3047" xr:uid="{00000000-0005-0000-0000-0000CF110000}"/>
    <cellStyle name="Normal 3 2 4 2 2" xfId="7269" xr:uid="{00000000-0005-0000-0000-0000D0110000}"/>
    <cellStyle name="Normal 3 2 4 2 2 2" xfId="24167" xr:uid="{2BF3F696-69CD-4F4A-A52B-1F794CC50E94}"/>
    <cellStyle name="Normal 3 2 4 2 2 3" xfId="15719" xr:uid="{36006C9A-F977-4B4B-B856-70A16157C753}"/>
    <cellStyle name="Normal 3 2 4 2 3" xfId="19949" xr:uid="{51074411-B498-49A3-8A15-5F63295C7197}"/>
    <cellStyle name="Normal 3 2 4 2 4" xfId="11501" xr:uid="{DA2976AC-2651-4795-846B-872825D3C8DB}"/>
    <cellStyle name="Normal 3 2 4 3" xfId="5124" xr:uid="{00000000-0005-0000-0000-0000D1110000}"/>
    <cellStyle name="Normal 3 2 4 3 2" xfId="22022" xr:uid="{6719585B-10E7-4F77-A734-01AB40884FFA}"/>
    <cellStyle name="Normal 3 2 4 3 3" xfId="13574" xr:uid="{23B119A5-2108-4CE0-82E4-39E9A667E509}"/>
    <cellStyle name="Normal 3 2 4 4" xfId="17804" xr:uid="{56ECB5CF-5ED2-4817-A669-821F1ADD184F}"/>
    <cellStyle name="Normal 3 2 4 5" xfId="9356" xr:uid="{DB6FC343-2043-4AF0-AA32-9B8003E9B205}"/>
    <cellStyle name="Normal 3 2 5" xfId="1230" xr:uid="{00000000-0005-0000-0000-0000D2110000}"/>
    <cellStyle name="Normal 3 2 5 2" xfId="3460" xr:uid="{00000000-0005-0000-0000-0000D3110000}"/>
    <cellStyle name="Normal 3 2 5 2 2" xfId="7682" xr:uid="{00000000-0005-0000-0000-0000D4110000}"/>
    <cellStyle name="Normal 3 2 5 2 2 2" xfId="24580" xr:uid="{D9D95863-67DA-4BA6-AC90-839FD9B66A5D}"/>
    <cellStyle name="Normal 3 2 5 2 2 3" xfId="16132" xr:uid="{EFD9E04F-93B2-4B96-83DC-3C810054D2A5}"/>
    <cellStyle name="Normal 3 2 5 2 3" xfId="20362" xr:uid="{AEA4DFBA-CA86-462D-A50D-885D4B317F3A}"/>
    <cellStyle name="Normal 3 2 5 2 4" xfId="11914" xr:uid="{04202AF8-9098-4E75-8ADC-92BB81E73046}"/>
    <cellStyle name="Normal 3 2 5 3" xfId="5537" xr:uid="{00000000-0005-0000-0000-0000D5110000}"/>
    <cellStyle name="Normal 3 2 5 3 2" xfId="22435" xr:uid="{33462469-6D0E-4CAC-95BF-4A32BABB1FE0}"/>
    <cellStyle name="Normal 3 2 5 3 3" xfId="13987" xr:uid="{E0A0A756-895D-44F2-93C3-7BB1E10013C2}"/>
    <cellStyle name="Normal 3 2 5 4" xfId="18217" xr:uid="{7D596EE6-04A7-447D-8106-6D2AE769B013}"/>
    <cellStyle name="Normal 3 2 5 5" xfId="9769" xr:uid="{F86907E1-F7A4-4E28-9992-AE7ABA53D899}"/>
    <cellStyle name="Normal 3 2 6" xfId="1643" xr:uid="{00000000-0005-0000-0000-0000D6110000}"/>
    <cellStyle name="Normal 3 2 6 2" xfId="3873" xr:uid="{00000000-0005-0000-0000-0000D7110000}"/>
    <cellStyle name="Normal 3 2 6 2 2" xfId="8095" xr:uid="{00000000-0005-0000-0000-0000D8110000}"/>
    <cellStyle name="Normal 3 2 6 2 2 2" xfId="24993" xr:uid="{ECD4D1C3-6B7F-45B0-91C9-BC0AA47B8313}"/>
    <cellStyle name="Normal 3 2 6 2 2 3" xfId="16545" xr:uid="{95F9423B-6A3E-4E2B-9485-06CA3C2A94EE}"/>
    <cellStyle name="Normal 3 2 6 2 3" xfId="20775" xr:uid="{21215B75-3676-42B2-9C6D-F2D17456A579}"/>
    <cellStyle name="Normal 3 2 6 2 4" xfId="12327" xr:uid="{5CAF30EF-46D8-434F-829E-97A596EABE41}"/>
    <cellStyle name="Normal 3 2 6 3" xfId="5950" xr:uid="{00000000-0005-0000-0000-0000D9110000}"/>
    <cellStyle name="Normal 3 2 6 3 2" xfId="22848" xr:uid="{D53B825D-D59B-4E97-A73A-9877108426B2}"/>
    <cellStyle name="Normal 3 2 6 3 3" xfId="14400" xr:uid="{40B6E351-A23F-4C62-847C-C97EEB59454C}"/>
    <cellStyle name="Normal 3 2 6 4" xfId="18630" xr:uid="{E615076D-0EBC-40A6-A7FC-67C4BAF2D7C6}"/>
    <cellStyle name="Normal 3 2 6 5" xfId="10182" xr:uid="{6FF9E8B0-DB56-45AF-926D-D0F4EA4BE118}"/>
    <cellStyle name="Normal 3 2 7" xfId="2057" xr:uid="{00000000-0005-0000-0000-0000DA110000}"/>
    <cellStyle name="Normal 3 2 7 2" xfId="4286" xr:uid="{00000000-0005-0000-0000-0000DB110000}"/>
    <cellStyle name="Normal 3 2 7 2 2" xfId="8508" xr:uid="{00000000-0005-0000-0000-0000DC110000}"/>
    <cellStyle name="Normal 3 2 7 2 2 2" xfId="25406" xr:uid="{195D0FD3-909C-4585-B9F2-9683A9AA29A3}"/>
    <cellStyle name="Normal 3 2 7 2 2 3" xfId="16958" xr:uid="{C6AB93F2-8A8F-49ED-8F09-CF885B0A7964}"/>
    <cellStyle name="Normal 3 2 7 2 3" xfId="21188" xr:uid="{B7C50E39-C8A0-47CA-8962-B2A2C76778FA}"/>
    <cellStyle name="Normal 3 2 7 2 4" xfId="12740" xr:uid="{2C64FFBE-6980-498C-8109-0307DE54D24A}"/>
    <cellStyle name="Normal 3 2 7 3" xfId="6363" xr:uid="{00000000-0005-0000-0000-0000DD110000}"/>
    <cellStyle name="Normal 3 2 7 3 2" xfId="23261" xr:uid="{8694DAEB-DF8C-4322-A9CF-FD2E905C0AC7}"/>
    <cellStyle name="Normal 3 2 7 3 3" xfId="14813" xr:uid="{18C7E3D1-B22F-4026-843D-84F376A33A35}"/>
    <cellStyle name="Normal 3 2 7 4" xfId="19043" xr:uid="{8F54DD30-CFE2-46CB-9D61-EEDE7DBF10AF}"/>
    <cellStyle name="Normal 3 2 7 5" xfId="10595" xr:uid="{D975D82B-680E-4A27-931F-B298E632063E}"/>
    <cellStyle name="Normal 3 2 8" xfId="2493" xr:uid="{00000000-0005-0000-0000-0000DE110000}"/>
    <cellStyle name="Normal 3 2 8 2" xfId="6776" xr:uid="{00000000-0005-0000-0000-0000DF110000}"/>
    <cellStyle name="Normal 3 2 8 2 2" xfId="23674" xr:uid="{D6E503BD-D723-46DE-9D71-A5AC11C3EE04}"/>
    <cellStyle name="Normal 3 2 8 2 3" xfId="15226" xr:uid="{EA0C24BE-9998-4BA9-A346-E9280172FCC2}"/>
    <cellStyle name="Normal 3 2 8 3" xfId="19456" xr:uid="{D742C682-370F-457F-9166-0ADFB4096750}"/>
    <cellStyle name="Normal 3 2 8 4" xfId="11008" xr:uid="{FCD7A322-17A5-47CA-A617-661FE44E45F7}"/>
    <cellStyle name="Normal 3 2 9" xfId="4710" xr:uid="{00000000-0005-0000-0000-0000E0110000}"/>
    <cellStyle name="Normal 3 2 9 2" xfId="21608" xr:uid="{A5EFC6D0-60DB-4B50-BAB4-FBA6561183F8}"/>
    <cellStyle name="Normal 3 2 9 3" xfId="13160" xr:uid="{4C7E5D9F-F3E5-450A-9057-D9C65093446F}"/>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17395" xr:uid="{F106C0AC-9389-48F7-AF80-41B62BB7741D}"/>
    <cellStyle name="Normal 4 11" xfId="8947" xr:uid="{74006CB0-AAC7-486F-A31C-0854C26016AB}"/>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25411" xr:uid="{DDC49955-3F4E-45C3-861B-4F2863630E2A}"/>
    <cellStyle name="Normal 4 2 2 10 2 2 3" xfId="16963" xr:uid="{65A22A2E-708E-4381-A133-8588D3387251}"/>
    <cellStyle name="Normal 4 2 2 10 2 3" xfId="21193" xr:uid="{73CC4DA9-6D48-4EDD-B386-334272CCE876}"/>
    <cellStyle name="Normal 4 2 2 10 2 4" xfId="12745" xr:uid="{ED957FED-E249-43DA-834C-0412939BB466}"/>
    <cellStyle name="Normal 4 2 2 10 3" xfId="6368" xr:uid="{00000000-0005-0000-0000-0000ED110000}"/>
    <cellStyle name="Normal 4 2 2 10 3 2" xfId="23266" xr:uid="{D4902004-80A4-463B-A1EC-8F7169AE8EA3}"/>
    <cellStyle name="Normal 4 2 2 10 3 3" xfId="14818" xr:uid="{E9ED5DF2-5574-4638-9009-1F7491F81184}"/>
    <cellStyle name="Normal 4 2 2 10 4" xfId="19048" xr:uid="{7FF9EB14-6777-434F-8F9C-366871AC8FC5}"/>
    <cellStyle name="Normal 4 2 2 10 5" xfId="10600" xr:uid="{7450CF8F-FB3F-4668-87CC-4872FF3BFF99}"/>
    <cellStyle name="Normal 4 2 2 11" xfId="2498" xr:uid="{00000000-0005-0000-0000-0000EE110000}"/>
    <cellStyle name="Normal 4 2 2 11 2" xfId="6781" xr:uid="{00000000-0005-0000-0000-0000EF110000}"/>
    <cellStyle name="Normal 4 2 2 11 2 2" xfId="23679" xr:uid="{CA4B08D8-5C57-45A2-92D7-0AA7E03CE932}"/>
    <cellStyle name="Normal 4 2 2 11 2 3" xfId="15231" xr:uid="{C3C273DB-4D4C-4D11-999A-8E7211E4D4DD}"/>
    <cellStyle name="Normal 4 2 2 11 3" xfId="19461" xr:uid="{8CAAF4E8-7C81-4794-930A-5EA3CF820543}"/>
    <cellStyle name="Normal 4 2 2 11 4" xfId="11013" xr:uid="{0F605AE2-549B-4F74-A779-7840BE0F609E}"/>
    <cellStyle name="Normal 4 2 2 12" xfId="4716" xr:uid="{00000000-0005-0000-0000-0000F0110000}"/>
    <cellStyle name="Normal 4 2 2 12 2" xfId="21614" xr:uid="{85020503-120B-4694-97E4-7DB779D8E2CE}"/>
    <cellStyle name="Normal 4 2 2 12 3" xfId="13166" xr:uid="{D7C1EF35-64B1-446F-A290-9D1CE955E66E}"/>
    <cellStyle name="Normal 4 2 2 13" xfId="17396" xr:uid="{BE24A2CF-C856-401B-8921-880DB3CF88A3}"/>
    <cellStyle name="Normal 4 2 2 14" xfId="8948" xr:uid="{18973199-385A-47D7-A0A3-577B769BCAC8}"/>
    <cellStyle name="Normal 4 2 2 2" xfId="338" xr:uid="{00000000-0005-0000-0000-0000F1110000}"/>
    <cellStyle name="Normal 4 2 2 3" xfId="339" xr:uid="{00000000-0005-0000-0000-0000F2110000}"/>
    <cellStyle name="Normal 4 2 2 3 10" xfId="4717" xr:uid="{00000000-0005-0000-0000-0000F3110000}"/>
    <cellStyle name="Normal 4 2 2 3 10 2" xfId="21615" xr:uid="{D6B200BF-6514-400C-9637-57ADE27D7E84}"/>
    <cellStyle name="Normal 4 2 2 3 10 3" xfId="13167" xr:uid="{B8C9A4A3-9D97-41F8-B389-14B885E297D7}"/>
    <cellStyle name="Normal 4 2 2 3 11" xfId="17397" xr:uid="{79F456AE-F06A-4172-A4CD-22C34DF5A1A5}"/>
    <cellStyle name="Normal 4 2 2 3 12" xfId="8949" xr:uid="{22DED72E-8962-42B9-BB95-16ADCD28C3C8}"/>
    <cellStyle name="Normal 4 2 2 3 2" xfId="340" xr:uid="{00000000-0005-0000-0000-0000F4110000}"/>
    <cellStyle name="Normal 4 2 2 3 2 10" xfId="17398" xr:uid="{AA7ADCDC-7048-46B8-9E14-53979AAA3199}"/>
    <cellStyle name="Normal 4 2 2 3 2 11" xfId="8950" xr:uid="{9FD769DA-E686-4122-9939-0ECC073EF8F2}"/>
    <cellStyle name="Normal 4 2 2 3 2 2" xfId="341" xr:uid="{00000000-0005-0000-0000-0000F5110000}"/>
    <cellStyle name="Normal 4 2 2 3 2 2 10" xfId="8951" xr:uid="{3C598741-2F01-4116-A62D-0ECC1465E9D2}"/>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24176" xr:uid="{63E85B6F-F33E-48B9-8D0B-80F66A349BCE}"/>
    <cellStyle name="Normal 4 2 2 3 2 2 2 2 2 2 3" xfId="15728" xr:uid="{E135175C-E53D-455D-A715-B3CC6BF3EB8E}"/>
    <cellStyle name="Normal 4 2 2 3 2 2 2 2 2 3" xfId="19958" xr:uid="{2D2DD81D-CB64-4B8E-85E8-4DE49FD25C4A}"/>
    <cellStyle name="Normal 4 2 2 3 2 2 2 2 2 4" xfId="11510" xr:uid="{79E07DAF-B9EA-423E-95BD-2693B4C34EAB}"/>
    <cellStyle name="Normal 4 2 2 3 2 2 2 2 3" xfId="5133" xr:uid="{00000000-0005-0000-0000-0000FA110000}"/>
    <cellStyle name="Normal 4 2 2 3 2 2 2 2 3 2" xfId="22031" xr:uid="{15E833B7-FB7E-45D4-8AEA-8E1383EF7280}"/>
    <cellStyle name="Normal 4 2 2 3 2 2 2 2 3 3" xfId="13583" xr:uid="{1371C9C1-48DF-4734-A6DD-271521C058FF}"/>
    <cellStyle name="Normal 4 2 2 3 2 2 2 2 4" xfId="17813" xr:uid="{58107749-EADC-492A-B375-C6B8DC391ABB}"/>
    <cellStyle name="Normal 4 2 2 3 2 2 2 2 5" xfId="9365" xr:uid="{E92672FC-37DD-4823-B92A-9BC5F1294495}"/>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24589" xr:uid="{8DB4E666-D786-40E0-A378-BF411895E967}"/>
    <cellStyle name="Normal 4 2 2 3 2 2 2 3 2 2 3" xfId="16141" xr:uid="{845FD5D1-34D9-4961-BE7D-C67F939045B6}"/>
    <cellStyle name="Normal 4 2 2 3 2 2 2 3 2 3" xfId="20371" xr:uid="{0E8CA198-FF8B-4B88-8F21-47F4194EAE94}"/>
    <cellStyle name="Normal 4 2 2 3 2 2 2 3 2 4" xfId="11923" xr:uid="{F6768355-649D-44FE-B852-18FE3168EE44}"/>
    <cellStyle name="Normal 4 2 2 3 2 2 2 3 3" xfId="5546" xr:uid="{00000000-0005-0000-0000-0000FE110000}"/>
    <cellStyle name="Normal 4 2 2 3 2 2 2 3 3 2" xfId="22444" xr:uid="{E81134CE-7AD5-439D-9E9A-321A02DB697C}"/>
    <cellStyle name="Normal 4 2 2 3 2 2 2 3 3 3" xfId="13996" xr:uid="{3403ADAE-B7FC-482B-B818-EB1D6156FC17}"/>
    <cellStyle name="Normal 4 2 2 3 2 2 2 3 4" xfId="18226" xr:uid="{ADB7CC47-15E7-40F1-BC7B-D38796E9149F}"/>
    <cellStyle name="Normal 4 2 2 3 2 2 2 3 5" xfId="9778" xr:uid="{B477C52D-F570-474D-93E6-CD5439199CFA}"/>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25002" xr:uid="{D2A0B48B-526C-4C44-9823-9E6531A7B2F2}"/>
    <cellStyle name="Normal 4 2 2 3 2 2 2 4 2 2 3" xfId="16554" xr:uid="{7154837F-E1DD-490F-8304-D561B66D7E73}"/>
    <cellStyle name="Normal 4 2 2 3 2 2 2 4 2 3" xfId="20784" xr:uid="{0A865331-F503-47A7-9A6F-839D0B32C6F8}"/>
    <cellStyle name="Normal 4 2 2 3 2 2 2 4 2 4" xfId="12336" xr:uid="{8AD5BBFE-6C24-476E-9E6C-53C185965560}"/>
    <cellStyle name="Normal 4 2 2 3 2 2 2 4 3" xfId="5959" xr:uid="{00000000-0005-0000-0000-000002120000}"/>
    <cellStyle name="Normal 4 2 2 3 2 2 2 4 3 2" xfId="22857" xr:uid="{AE69852D-994B-470D-AE34-53EA5077B936}"/>
    <cellStyle name="Normal 4 2 2 3 2 2 2 4 3 3" xfId="14409" xr:uid="{338CBAC2-20A2-408A-B2CA-42D31AF9CF81}"/>
    <cellStyle name="Normal 4 2 2 3 2 2 2 4 4" xfId="18639" xr:uid="{7DAC846A-E77D-4B3E-BDCB-10A0FF6E43AD}"/>
    <cellStyle name="Normal 4 2 2 3 2 2 2 4 5" xfId="10191" xr:uid="{0C08741B-CDA9-4A38-A29E-E856F7D95435}"/>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25415" xr:uid="{59F2B793-D380-443C-8E83-3DDCE1AE67F4}"/>
    <cellStyle name="Normal 4 2 2 3 2 2 2 5 2 2 3" xfId="16967" xr:uid="{0A36E2E3-0213-4B83-AF4C-AEECE5D06D79}"/>
    <cellStyle name="Normal 4 2 2 3 2 2 2 5 2 3" xfId="21197" xr:uid="{C690C0BA-F7B7-48CA-B2FD-7DC821D68C2F}"/>
    <cellStyle name="Normal 4 2 2 3 2 2 2 5 2 4" xfId="12749" xr:uid="{0E4C419D-CCEB-4F92-8A8C-1DAA3530C289}"/>
    <cellStyle name="Normal 4 2 2 3 2 2 2 5 3" xfId="6372" xr:uid="{00000000-0005-0000-0000-000006120000}"/>
    <cellStyle name="Normal 4 2 2 3 2 2 2 5 3 2" xfId="23270" xr:uid="{3A3A2672-DA5F-48F8-8B8D-7E4FEF2B0E9F}"/>
    <cellStyle name="Normal 4 2 2 3 2 2 2 5 3 3" xfId="14822" xr:uid="{181435CF-F807-4AF3-B6B2-0228E244D832}"/>
    <cellStyle name="Normal 4 2 2 3 2 2 2 5 4" xfId="19052" xr:uid="{3A6B1C52-749B-4A38-B760-73428B36A060}"/>
    <cellStyle name="Normal 4 2 2 3 2 2 2 5 5" xfId="10604" xr:uid="{F5B9F36C-D137-47F6-B6F8-17B5D2F634FE}"/>
    <cellStyle name="Normal 4 2 2 3 2 2 2 6" xfId="2502" xr:uid="{00000000-0005-0000-0000-000007120000}"/>
    <cellStyle name="Normal 4 2 2 3 2 2 2 6 2" xfId="6785" xr:uid="{00000000-0005-0000-0000-000008120000}"/>
    <cellStyle name="Normal 4 2 2 3 2 2 2 6 2 2" xfId="23683" xr:uid="{29342509-0F79-421D-BCEB-7ED8D5C3DA0C}"/>
    <cellStyle name="Normal 4 2 2 3 2 2 2 6 2 3" xfId="15235" xr:uid="{8073250C-27D7-4990-BFAC-5B86AEC17C95}"/>
    <cellStyle name="Normal 4 2 2 3 2 2 2 6 3" xfId="19465" xr:uid="{B50DD6AA-FA56-4E40-A486-B437EE4E5380}"/>
    <cellStyle name="Normal 4 2 2 3 2 2 2 6 4" xfId="11017" xr:uid="{D28A16D7-2866-43CD-A6FB-437D166CCD42}"/>
    <cellStyle name="Normal 4 2 2 3 2 2 2 7" xfId="4720" xr:uid="{00000000-0005-0000-0000-000009120000}"/>
    <cellStyle name="Normal 4 2 2 3 2 2 2 7 2" xfId="21618" xr:uid="{F0A69F8F-6202-43FD-B2B3-99F57CF3E977}"/>
    <cellStyle name="Normal 4 2 2 3 2 2 2 7 3" xfId="13170" xr:uid="{B9F9657C-8907-437C-83C9-92E1585EB6A3}"/>
    <cellStyle name="Normal 4 2 2 3 2 2 2 8" xfId="17400" xr:uid="{82C33EE8-8A95-4E25-9BD4-6041EA9AC450}"/>
    <cellStyle name="Normal 4 2 2 3 2 2 2 9" xfId="8952" xr:uid="{6C09BA1F-CFFE-4174-8737-AA8206C247AB}"/>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24175" xr:uid="{D6CA2402-B3B1-49FD-925B-1FAB0D67D727}"/>
    <cellStyle name="Normal 4 2 2 3 2 2 3 2 2 3" xfId="15727" xr:uid="{A1EC1FCF-A3B7-435D-AA17-5B3C6C9FA0D3}"/>
    <cellStyle name="Normal 4 2 2 3 2 2 3 2 3" xfId="19957" xr:uid="{8DD9981C-7D49-4E50-9B84-0C60ACF8B41C}"/>
    <cellStyle name="Normal 4 2 2 3 2 2 3 2 4" xfId="11509" xr:uid="{587E7C4D-EC04-4660-83D5-894471BBE9D5}"/>
    <cellStyle name="Normal 4 2 2 3 2 2 3 3" xfId="5132" xr:uid="{00000000-0005-0000-0000-00000D120000}"/>
    <cellStyle name="Normal 4 2 2 3 2 2 3 3 2" xfId="22030" xr:uid="{AF937F96-67A0-4EBD-9BAE-766DBFA1650E}"/>
    <cellStyle name="Normal 4 2 2 3 2 2 3 3 3" xfId="13582" xr:uid="{51653376-D147-479A-98C9-30BEFD75353A}"/>
    <cellStyle name="Normal 4 2 2 3 2 2 3 4" xfId="17812" xr:uid="{023ED933-502D-456D-B9B4-EFAF1FC38E76}"/>
    <cellStyle name="Normal 4 2 2 3 2 2 3 5" xfId="9364" xr:uid="{5772C7B6-36CC-4DC0-AB59-8650919E230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24588" xr:uid="{650283E7-7420-418B-949B-9EC1D57E271A}"/>
    <cellStyle name="Normal 4 2 2 3 2 2 4 2 2 3" xfId="16140" xr:uid="{8FA7B5A1-D14D-4CA8-99F9-25BE223A75E4}"/>
    <cellStyle name="Normal 4 2 2 3 2 2 4 2 3" xfId="20370" xr:uid="{B20E2BF1-B4F2-47ED-A69F-C5C18E6CC0E9}"/>
    <cellStyle name="Normal 4 2 2 3 2 2 4 2 4" xfId="11922" xr:uid="{688DB46E-ECE1-4A8A-84BA-987CE46C4248}"/>
    <cellStyle name="Normal 4 2 2 3 2 2 4 3" xfId="5545" xr:uid="{00000000-0005-0000-0000-000011120000}"/>
    <cellStyle name="Normal 4 2 2 3 2 2 4 3 2" xfId="22443" xr:uid="{79F17D0D-6648-4F27-B7E1-9577D1B8C944}"/>
    <cellStyle name="Normal 4 2 2 3 2 2 4 3 3" xfId="13995" xr:uid="{9E69FEEA-7671-4F63-931A-D56A7B7E3A3C}"/>
    <cellStyle name="Normal 4 2 2 3 2 2 4 4" xfId="18225" xr:uid="{B4739F4C-54C9-422C-B7D9-2C1D2914434A}"/>
    <cellStyle name="Normal 4 2 2 3 2 2 4 5" xfId="9777" xr:uid="{500D0578-9085-49B6-BA58-018FDE971479}"/>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25001" xr:uid="{B97BBFD8-AA96-4814-B782-7F71322E5CBA}"/>
    <cellStyle name="Normal 4 2 2 3 2 2 5 2 2 3" xfId="16553" xr:uid="{E8971E81-AB88-4C06-B2FF-D9F73AE901ED}"/>
    <cellStyle name="Normal 4 2 2 3 2 2 5 2 3" xfId="20783" xr:uid="{B76AB7AC-4D42-47E4-8B33-4C4394CF6B06}"/>
    <cellStyle name="Normal 4 2 2 3 2 2 5 2 4" xfId="12335" xr:uid="{2A228A46-1322-4457-AAA6-96751F7043C1}"/>
    <cellStyle name="Normal 4 2 2 3 2 2 5 3" xfId="5958" xr:uid="{00000000-0005-0000-0000-000015120000}"/>
    <cellStyle name="Normal 4 2 2 3 2 2 5 3 2" xfId="22856" xr:uid="{00655A04-1A61-4263-8A3A-D27E136300AB}"/>
    <cellStyle name="Normal 4 2 2 3 2 2 5 3 3" xfId="14408" xr:uid="{1B9C3490-2E87-42E8-B970-66AFB005A9F7}"/>
    <cellStyle name="Normal 4 2 2 3 2 2 5 4" xfId="18638" xr:uid="{D5E7DAA6-A2D7-4A25-9E9F-00C0230EAED5}"/>
    <cellStyle name="Normal 4 2 2 3 2 2 5 5" xfId="10190" xr:uid="{8E35A995-8926-44F8-8A2D-9CBC1577F6D8}"/>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25414" xr:uid="{8EDC23A1-4F07-4569-A6D8-3D82F0F352DA}"/>
    <cellStyle name="Normal 4 2 2 3 2 2 6 2 2 3" xfId="16966" xr:uid="{6DBABB13-BFDF-4178-B147-40EE0D1BD146}"/>
    <cellStyle name="Normal 4 2 2 3 2 2 6 2 3" xfId="21196" xr:uid="{8FD1FB48-BE8A-42B3-A53C-34AC7C0E990C}"/>
    <cellStyle name="Normal 4 2 2 3 2 2 6 2 4" xfId="12748" xr:uid="{E897F5ED-43C0-4A71-9C1D-977027492000}"/>
    <cellStyle name="Normal 4 2 2 3 2 2 6 3" xfId="6371" xr:uid="{00000000-0005-0000-0000-000019120000}"/>
    <cellStyle name="Normal 4 2 2 3 2 2 6 3 2" xfId="23269" xr:uid="{D4CFD32E-456B-497C-812C-C51C0B18B0A9}"/>
    <cellStyle name="Normal 4 2 2 3 2 2 6 3 3" xfId="14821" xr:uid="{857F145E-722A-4783-ABAB-C8135411B88D}"/>
    <cellStyle name="Normal 4 2 2 3 2 2 6 4" xfId="19051" xr:uid="{DD117646-5350-49DA-9858-08317045B183}"/>
    <cellStyle name="Normal 4 2 2 3 2 2 6 5" xfId="10603" xr:uid="{28B0D293-7C09-47A5-B5DA-B0F2219F5116}"/>
    <cellStyle name="Normal 4 2 2 3 2 2 7" xfId="2501" xr:uid="{00000000-0005-0000-0000-00001A120000}"/>
    <cellStyle name="Normal 4 2 2 3 2 2 7 2" xfId="6784" xr:uid="{00000000-0005-0000-0000-00001B120000}"/>
    <cellStyle name="Normal 4 2 2 3 2 2 7 2 2" xfId="23682" xr:uid="{6BEC61C8-C275-41A1-9A76-31A95BD04E81}"/>
    <cellStyle name="Normal 4 2 2 3 2 2 7 2 3" xfId="15234" xr:uid="{CF2B4EAA-2162-413D-A521-7F0DC428E25D}"/>
    <cellStyle name="Normal 4 2 2 3 2 2 7 3" xfId="19464" xr:uid="{54B9628A-4B80-4DBD-AAD0-396644335DE9}"/>
    <cellStyle name="Normal 4 2 2 3 2 2 7 4" xfId="11016" xr:uid="{813B894C-85F7-45BD-84F7-3D95EC6B63C5}"/>
    <cellStyle name="Normal 4 2 2 3 2 2 8" xfId="4719" xr:uid="{00000000-0005-0000-0000-00001C120000}"/>
    <cellStyle name="Normal 4 2 2 3 2 2 8 2" xfId="21617" xr:uid="{1D554DDE-A5DF-4FC1-9BCE-7C0A99AB5AB5}"/>
    <cellStyle name="Normal 4 2 2 3 2 2 8 3" xfId="13169" xr:uid="{D2C43C27-3457-44B3-9292-0FF1B66D7D11}"/>
    <cellStyle name="Normal 4 2 2 3 2 2 9" xfId="17399" xr:uid="{CF0EC85D-68ED-4AE3-AEAB-5501B864E6DC}"/>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24177" xr:uid="{CB90B0B6-009F-4B6F-8F15-B8E25232C594}"/>
    <cellStyle name="Normal 4 2 2 3 2 3 2 2 2 3" xfId="15729" xr:uid="{894CD29E-45A9-4389-908A-4C1E06BEDB89}"/>
    <cellStyle name="Normal 4 2 2 3 2 3 2 2 3" xfId="19959" xr:uid="{F7E1A06C-A6C3-445D-B3CA-1E7587565638}"/>
    <cellStyle name="Normal 4 2 2 3 2 3 2 2 4" xfId="11511" xr:uid="{6416CCDA-2530-4884-B378-07FB0378D9AC}"/>
    <cellStyle name="Normal 4 2 2 3 2 3 2 3" xfId="5134" xr:uid="{00000000-0005-0000-0000-000021120000}"/>
    <cellStyle name="Normal 4 2 2 3 2 3 2 3 2" xfId="22032" xr:uid="{7EA2E200-A7B0-40A5-9596-1D3790123785}"/>
    <cellStyle name="Normal 4 2 2 3 2 3 2 3 3" xfId="13584" xr:uid="{AC662B1A-3258-4BEE-8B75-DF0E50A33D78}"/>
    <cellStyle name="Normal 4 2 2 3 2 3 2 4" xfId="17814" xr:uid="{F5335FC4-B15E-40A5-8F31-5A4AB8F4A5E2}"/>
    <cellStyle name="Normal 4 2 2 3 2 3 2 5" xfId="9366" xr:uid="{B30198B3-7926-499B-B11E-AE94C24AD888}"/>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24590" xr:uid="{5F0F3B92-C3DC-4355-AA38-7BF027124C3B}"/>
    <cellStyle name="Normal 4 2 2 3 2 3 3 2 2 3" xfId="16142" xr:uid="{0165E4A4-2348-43D0-AB88-E0FDC008EFE7}"/>
    <cellStyle name="Normal 4 2 2 3 2 3 3 2 3" xfId="20372" xr:uid="{042C18A4-7E87-4D89-A7CE-D949384AC180}"/>
    <cellStyle name="Normal 4 2 2 3 2 3 3 2 4" xfId="11924" xr:uid="{6FF90C84-527C-4E06-B5D1-514CF5D81A34}"/>
    <cellStyle name="Normal 4 2 2 3 2 3 3 3" xfId="5547" xr:uid="{00000000-0005-0000-0000-000025120000}"/>
    <cellStyle name="Normal 4 2 2 3 2 3 3 3 2" xfId="22445" xr:uid="{F22C3FE5-7BAC-44BD-A50F-676C84C391CD}"/>
    <cellStyle name="Normal 4 2 2 3 2 3 3 3 3" xfId="13997" xr:uid="{DAD76C98-3F20-4E6E-8EA4-EF6E1702EB1C}"/>
    <cellStyle name="Normal 4 2 2 3 2 3 3 4" xfId="18227" xr:uid="{1ED1B717-5CB6-4F47-9108-A592DBC8CFA9}"/>
    <cellStyle name="Normal 4 2 2 3 2 3 3 5" xfId="9779" xr:uid="{0886CAF2-3D96-496F-AF3B-17F1AAD732BA}"/>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25003" xr:uid="{9B902C0A-EFB7-4CCC-A941-22A1FA8778FA}"/>
    <cellStyle name="Normal 4 2 2 3 2 3 4 2 2 3" xfId="16555" xr:uid="{CD8793C3-796A-4D10-8765-6860F9C92C52}"/>
    <cellStyle name="Normal 4 2 2 3 2 3 4 2 3" xfId="20785" xr:uid="{22D82DE4-54BF-4AC4-A997-FE3FE128139F}"/>
    <cellStyle name="Normal 4 2 2 3 2 3 4 2 4" xfId="12337" xr:uid="{83B2A5DD-94D3-4958-8CB2-BD5FFD9B1E03}"/>
    <cellStyle name="Normal 4 2 2 3 2 3 4 3" xfId="5960" xr:uid="{00000000-0005-0000-0000-000029120000}"/>
    <cellStyle name="Normal 4 2 2 3 2 3 4 3 2" xfId="22858" xr:uid="{CB20D7CB-501D-455C-981C-314042312BD5}"/>
    <cellStyle name="Normal 4 2 2 3 2 3 4 3 3" xfId="14410" xr:uid="{832B92A2-FF7C-4598-A884-88D9C88117C7}"/>
    <cellStyle name="Normal 4 2 2 3 2 3 4 4" xfId="18640" xr:uid="{23BFCEF0-8185-491B-8B5D-2416001BDE79}"/>
    <cellStyle name="Normal 4 2 2 3 2 3 4 5" xfId="10192" xr:uid="{825BDD9D-B4F7-4173-BAAB-5BCA14A8DBF9}"/>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25416" xr:uid="{21F04175-3FA6-413F-996A-8D13929BCF04}"/>
    <cellStyle name="Normal 4 2 2 3 2 3 5 2 2 3" xfId="16968" xr:uid="{3943FBDC-A9BF-4225-A375-70385CC55284}"/>
    <cellStyle name="Normal 4 2 2 3 2 3 5 2 3" xfId="21198" xr:uid="{6A8B1363-8788-4240-B6A5-BD9DACFCBB8F}"/>
    <cellStyle name="Normal 4 2 2 3 2 3 5 2 4" xfId="12750" xr:uid="{CB54BC91-4639-4651-B268-014119A2E0E0}"/>
    <cellStyle name="Normal 4 2 2 3 2 3 5 3" xfId="6373" xr:uid="{00000000-0005-0000-0000-00002D120000}"/>
    <cellStyle name="Normal 4 2 2 3 2 3 5 3 2" xfId="23271" xr:uid="{9C978D1D-1B86-4FDF-8727-61727854130C}"/>
    <cellStyle name="Normal 4 2 2 3 2 3 5 3 3" xfId="14823" xr:uid="{925C9944-E558-452E-8763-1C572239DABE}"/>
    <cellStyle name="Normal 4 2 2 3 2 3 5 4" xfId="19053" xr:uid="{3C4B594A-AF81-447C-8E6F-AC0B53098263}"/>
    <cellStyle name="Normal 4 2 2 3 2 3 5 5" xfId="10605" xr:uid="{8E28AE36-1D70-4B90-8499-25C337A96AFF}"/>
    <cellStyle name="Normal 4 2 2 3 2 3 6" xfId="2503" xr:uid="{00000000-0005-0000-0000-00002E120000}"/>
    <cellStyle name="Normal 4 2 2 3 2 3 6 2" xfId="6786" xr:uid="{00000000-0005-0000-0000-00002F120000}"/>
    <cellStyle name="Normal 4 2 2 3 2 3 6 2 2" xfId="23684" xr:uid="{EBC51999-6939-4827-9874-85692FEC7D50}"/>
    <cellStyle name="Normal 4 2 2 3 2 3 6 2 3" xfId="15236" xr:uid="{D8DFE2A4-0022-43C6-AD69-9A9AFAD4DE5C}"/>
    <cellStyle name="Normal 4 2 2 3 2 3 6 3" xfId="19466" xr:uid="{9B7D63C6-60C8-464D-A80D-CDB1AA100556}"/>
    <cellStyle name="Normal 4 2 2 3 2 3 6 4" xfId="11018" xr:uid="{6B2EB49B-4857-4A91-913D-3041658AD484}"/>
    <cellStyle name="Normal 4 2 2 3 2 3 7" xfId="4721" xr:uid="{00000000-0005-0000-0000-000030120000}"/>
    <cellStyle name="Normal 4 2 2 3 2 3 7 2" xfId="21619" xr:uid="{479F0683-C22B-4398-B29C-AB56AE0B7843}"/>
    <cellStyle name="Normal 4 2 2 3 2 3 7 3" xfId="13171" xr:uid="{F61156AA-388A-4526-A12B-0BF8FBEB463A}"/>
    <cellStyle name="Normal 4 2 2 3 2 3 8" xfId="17401" xr:uid="{308DBC3B-204E-4C4C-8B53-65FE2D4BD4D6}"/>
    <cellStyle name="Normal 4 2 2 3 2 3 9" xfId="8953" xr:uid="{E0328630-4AF8-4714-ABFA-17783157F81E}"/>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24174" xr:uid="{E8808ED9-66A7-414E-9FC5-DBB8A46A389D}"/>
    <cellStyle name="Normal 4 2 2 3 2 4 2 2 3" xfId="15726" xr:uid="{17EEEB5C-2091-43C0-BF6E-41419E2D6F45}"/>
    <cellStyle name="Normal 4 2 2 3 2 4 2 3" xfId="19956" xr:uid="{4D96C61B-D174-484E-9546-40E73BEAE20B}"/>
    <cellStyle name="Normal 4 2 2 3 2 4 2 4" xfId="11508" xr:uid="{B7B0B190-A28C-472E-802C-696B09F7CA11}"/>
    <cellStyle name="Normal 4 2 2 3 2 4 3" xfId="5131" xr:uid="{00000000-0005-0000-0000-000034120000}"/>
    <cellStyle name="Normal 4 2 2 3 2 4 3 2" xfId="22029" xr:uid="{AB9712CB-6F20-41A1-9A47-CB593775D3E9}"/>
    <cellStyle name="Normal 4 2 2 3 2 4 3 3" xfId="13581" xr:uid="{F997D0E1-A496-44F4-82C6-7EABF60D5C30}"/>
    <cellStyle name="Normal 4 2 2 3 2 4 4" xfId="17811" xr:uid="{6EDF427C-4A66-4538-9BE6-E276F1392291}"/>
    <cellStyle name="Normal 4 2 2 3 2 4 5" xfId="9363" xr:uid="{3C464250-D205-4CF7-A737-15E1BAA04E84}"/>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24587" xr:uid="{433AEE6C-2719-4B84-BB06-9D810EE3018C}"/>
    <cellStyle name="Normal 4 2 2 3 2 5 2 2 3" xfId="16139" xr:uid="{20FD2C8C-1363-4875-B78F-B349B52CD179}"/>
    <cellStyle name="Normal 4 2 2 3 2 5 2 3" xfId="20369" xr:uid="{702ABCD1-D17F-4914-AB86-41EFB6767DD4}"/>
    <cellStyle name="Normal 4 2 2 3 2 5 2 4" xfId="11921" xr:uid="{3B50D98A-289E-45F5-B939-E5123C033C94}"/>
    <cellStyle name="Normal 4 2 2 3 2 5 3" xfId="5544" xr:uid="{00000000-0005-0000-0000-000038120000}"/>
    <cellStyle name="Normal 4 2 2 3 2 5 3 2" xfId="22442" xr:uid="{61AC8B0A-E8F3-4071-9F10-94EDB61C8BE1}"/>
    <cellStyle name="Normal 4 2 2 3 2 5 3 3" xfId="13994" xr:uid="{DA542BB5-0D68-433E-AD0E-F352D6C29697}"/>
    <cellStyle name="Normal 4 2 2 3 2 5 4" xfId="18224" xr:uid="{32AEBAB5-9384-4892-88C4-5DB74770FE9E}"/>
    <cellStyle name="Normal 4 2 2 3 2 5 5" xfId="9776" xr:uid="{76C29895-1C83-4F17-9551-9E6BC8507665}"/>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25000" xr:uid="{850A4CDC-8657-4971-92CE-E5DEA32E5563}"/>
    <cellStyle name="Normal 4 2 2 3 2 6 2 2 3" xfId="16552" xr:uid="{763E145D-FF16-46B1-85BF-A8BA5CEF6D93}"/>
    <cellStyle name="Normal 4 2 2 3 2 6 2 3" xfId="20782" xr:uid="{24B26DCC-85E4-45EB-A117-B42174AF2BC5}"/>
    <cellStyle name="Normal 4 2 2 3 2 6 2 4" xfId="12334" xr:uid="{3A52BDEF-8ED7-435B-9978-3D93A1F0808E}"/>
    <cellStyle name="Normal 4 2 2 3 2 6 3" xfId="5957" xr:uid="{00000000-0005-0000-0000-00003C120000}"/>
    <cellStyle name="Normal 4 2 2 3 2 6 3 2" xfId="22855" xr:uid="{8E54BB8B-DF83-4FFB-AC84-256A380EAEB3}"/>
    <cellStyle name="Normal 4 2 2 3 2 6 3 3" xfId="14407" xr:uid="{ADDEFC57-7527-4CE5-87B6-17C8EC289CC7}"/>
    <cellStyle name="Normal 4 2 2 3 2 6 4" xfId="18637" xr:uid="{55BD81EE-D090-41EF-B85A-25A65C146641}"/>
    <cellStyle name="Normal 4 2 2 3 2 6 5" xfId="10189" xr:uid="{476088CB-9200-4AD1-B97E-796C05169A39}"/>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25413" xr:uid="{5B6C4AED-FC7C-4582-BD44-B22938164BCA}"/>
    <cellStyle name="Normal 4 2 2 3 2 7 2 2 3" xfId="16965" xr:uid="{3132A084-F5AC-461E-AA19-E90B37F786BE}"/>
    <cellStyle name="Normal 4 2 2 3 2 7 2 3" xfId="21195" xr:uid="{BEAF43E9-73B5-4B84-9257-20E7BD090BF5}"/>
    <cellStyle name="Normal 4 2 2 3 2 7 2 4" xfId="12747" xr:uid="{EF64875E-764D-4CD6-AE3F-186B9FDA59AB}"/>
    <cellStyle name="Normal 4 2 2 3 2 7 3" xfId="6370" xr:uid="{00000000-0005-0000-0000-000040120000}"/>
    <cellStyle name="Normal 4 2 2 3 2 7 3 2" xfId="23268" xr:uid="{4BCE6EA3-074E-42F1-A267-F491BA3C8DEF}"/>
    <cellStyle name="Normal 4 2 2 3 2 7 3 3" xfId="14820" xr:uid="{FAE297B6-F584-4017-AF58-5A1F8928E8D9}"/>
    <cellStyle name="Normal 4 2 2 3 2 7 4" xfId="19050" xr:uid="{64798C5C-43DF-469C-AD08-D1B927149574}"/>
    <cellStyle name="Normal 4 2 2 3 2 7 5" xfId="10602" xr:uid="{A6B60074-0901-4B0F-BACA-934C3200521C}"/>
    <cellStyle name="Normal 4 2 2 3 2 8" xfId="2500" xr:uid="{00000000-0005-0000-0000-000041120000}"/>
    <cellStyle name="Normal 4 2 2 3 2 8 2" xfId="6783" xr:uid="{00000000-0005-0000-0000-000042120000}"/>
    <cellStyle name="Normal 4 2 2 3 2 8 2 2" xfId="23681" xr:uid="{785DA3C5-F7F9-49EA-9A61-EE50E1B363FE}"/>
    <cellStyle name="Normal 4 2 2 3 2 8 2 3" xfId="15233" xr:uid="{90FC3C49-A52D-4C4A-99C9-FDB777AEFF38}"/>
    <cellStyle name="Normal 4 2 2 3 2 8 3" xfId="19463" xr:uid="{6D2322C3-FADD-4DF2-8DC4-8FDA6F07A2B4}"/>
    <cellStyle name="Normal 4 2 2 3 2 8 4" xfId="11015" xr:uid="{C860664C-387A-4A1C-83C8-91E143AA22C5}"/>
    <cellStyle name="Normal 4 2 2 3 2 9" xfId="4718" xr:uid="{00000000-0005-0000-0000-000043120000}"/>
    <cellStyle name="Normal 4 2 2 3 2 9 2" xfId="21616" xr:uid="{20BE407B-6598-4AF7-A797-96674FBC2AC1}"/>
    <cellStyle name="Normal 4 2 2 3 2 9 3" xfId="13168" xr:uid="{634495FE-2B56-4210-95D1-C2CF660BC3E4}"/>
    <cellStyle name="Normal 4 2 2 3 3" xfId="344" xr:uid="{00000000-0005-0000-0000-000044120000}"/>
    <cellStyle name="Normal 4 2 2 3 3 10" xfId="8954" xr:uid="{C5D7A287-22B9-450E-A850-7BF5ECF963EC}"/>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24179" xr:uid="{BE9E1E92-5FB6-46F4-A737-F65F84E7019C}"/>
    <cellStyle name="Normal 4 2 2 3 3 2 2 2 2 3" xfId="15731" xr:uid="{4C0043ED-F3AE-496E-87E5-E7DFF5AE9F98}"/>
    <cellStyle name="Normal 4 2 2 3 3 2 2 2 3" xfId="19961" xr:uid="{1BAA449F-204E-4E54-8C0A-64DC6F66988C}"/>
    <cellStyle name="Normal 4 2 2 3 3 2 2 2 4" xfId="11513" xr:uid="{1A1E2FDB-B0DD-443B-8BCB-1334D72EB88B}"/>
    <cellStyle name="Normal 4 2 2 3 3 2 2 3" xfId="5136" xr:uid="{00000000-0005-0000-0000-000049120000}"/>
    <cellStyle name="Normal 4 2 2 3 3 2 2 3 2" xfId="22034" xr:uid="{2A578429-1229-4FAE-8EB6-1C09ADA2C081}"/>
    <cellStyle name="Normal 4 2 2 3 3 2 2 3 3" xfId="13586" xr:uid="{6F14AEDB-7860-4A00-A11C-46C014C0DBC2}"/>
    <cellStyle name="Normal 4 2 2 3 3 2 2 4" xfId="17816" xr:uid="{C6BBAFF8-1B5C-41C8-BD9A-28D466055945}"/>
    <cellStyle name="Normal 4 2 2 3 3 2 2 5" xfId="9368" xr:uid="{DBA91938-AF9B-4A14-8C4B-67FAC6FDD43E}"/>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24592" xr:uid="{45DF8232-C686-43CD-912E-DC6190054507}"/>
    <cellStyle name="Normal 4 2 2 3 3 2 3 2 2 3" xfId="16144" xr:uid="{0E6B2F1E-0BA6-49A8-BED2-6FE2211EC4AE}"/>
    <cellStyle name="Normal 4 2 2 3 3 2 3 2 3" xfId="20374" xr:uid="{12A0AC0D-BC39-407C-8B8A-93CE871A16BD}"/>
    <cellStyle name="Normal 4 2 2 3 3 2 3 2 4" xfId="11926" xr:uid="{E3C72863-C333-4BA2-A559-73CDA5636FF8}"/>
    <cellStyle name="Normal 4 2 2 3 3 2 3 3" xfId="5549" xr:uid="{00000000-0005-0000-0000-00004D120000}"/>
    <cellStyle name="Normal 4 2 2 3 3 2 3 3 2" xfId="22447" xr:uid="{9A675DE0-C252-49E2-A0FF-D0830234EF34}"/>
    <cellStyle name="Normal 4 2 2 3 3 2 3 3 3" xfId="13999" xr:uid="{FDFC1481-A697-4901-8CC6-9F60B82F20F2}"/>
    <cellStyle name="Normal 4 2 2 3 3 2 3 4" xfId="18229" xr:uid="{0F068491-7121-4C69-B801-AE59FD91B870}"/>
    <cellStyle name="Normal 4 2 2 3 3 2 3 5" xfId="9781" xr:uid="{07ECA265-C343-4398-98FA-B4815915C48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25005" xr:uid="{0389753E-039D-4BAF-96F1-94DBF5E8C2B7}"/>
    <cellStyle name="Normal 4 2 2 3 3 2 4 2 2 3" xfId="16557" xr:uid="{4A39BBF9-B1EE-4619-9040-89C555B8695A}"/>
    <cellStyle name="Normal 4 2 2 3 3 2 4 2 3" xfId="20787" xr:uid="{24E602BE-3B80-4161-A8E4-3A608FFCF91E}"/>
    <cellStyle name="Normal 4 2 2 3 3 2 4 2 4" xfId="12339" xr:uid="{EAB9B007-E9A7-4316-BA0C-2223F2099D67}"/>
    <cellStyle name="Normal 4 2 2 3 3 2 4 3" xfId="5962" xr:uid="{00000000-0005-0000-0000-000051120000}"/>
    <cellStyle name="Normal 4 2 2 3 3 2 4 3 2" xfId="22860" xr:uid="{14595597-0346-4295-AC15-90AA4E511899}"/>
    <cellStyle name="Normal 4 2 2 3 3 2 4 3 3" xfId="14412" xr:uid="{6F25BD7C-75F7-4B01-BA4C-CF4E2C3A033D}"/>
    <cellStyle name="Normal 4 2 2 3 3 2 4 4" xfId="18642" xr:uid="{70F14D8E-D512-4524-856D-8672CE919698}"/>
    <cellStyle name="Normal 4 2 2 3 3 2 4 5" xfId="10194" xr:uid="{61BD2E9B-5C6F-4395-9053-5D33967C962C}"/>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25418" xr:uid="{E72987D5-6C38-4102-8C4A-00C0F774D59D}"/>
    <cellStyle name="Normal 4 2 2 3 3 2 5 2 2 3" xfId="16970" xr:uid="{7A9CCDC2-FDC8-43D9-9E63-55FF9E122EF8}"/>
    <cellStyle name="Normal 4 2 2 3 3 2 5 2 3" xfId="21200" xr:uid="{84BD60D0-CE83-4794-9480-3138BC5CC1E3}"/>
    <cellStyle name="Normal 4 2 2 3 3 2 5 2 4" xfId="12752" xr:uid="{472C3263-C20C-4086-AFC7-2F202B5D5AFF}"/>
    <cellStyle name="Normal 4 2 2 3 3 2 5 3" xfId="6375" xr:uid="{00000000-0005-0000-0000-000055120000}"/>
    <cellStyle name="Normal 4 2 2 3 3 2 5 3 2" xfId="23273" xr:uid="{F0506DC4-68F0-45C3-85CA-35E103B46902}"/>
    <cellStyle name="Normal 4 2 2 3 3 2 5 3 3" xfId="14825" xr:uid="{B804A04A-A26C-4429-B229-EF67D5C784A4}"/>
    <cellStyle name="Normal 4 2 2 3 3 2 5 4" xfId="19055" xr:uid="{8A3DD5C9-72F8-424C-BD60-6EB54DB1CA20}"/>
    <cellStyle name="Normal 4 2 2 3 3 2 5 5" xfId="10607" xr:uid="{EDB7F9B6-11B3-477B-8329-48C91469FA49}"/>
    <cellStyle name="Normal 4 2 2 3 3 2 6" xfId="2505" xr:uid="{00000000-0005-0000-0000-000056120000}"/>
    <cellStyle name="Normal 4 2 2 3 3 2 6 2" xfId="6788" xr:uid="{00000000-0005-0000-0000-000057120000}"/>
    <cellStyle name="Normal 4 2 2 3 3 2 6 2 2" xfId="23686" xr:uid="{FF2DD1E8-BA20-4242-BF19-D27B9D5B936F}"/>
    <cellStyle name="Normal 4 2 2 3 3 2 6 2 3" xfId="15238" xr:uid="{1CFF3B55-1E5E-414F-9590-5BE924814718}"/>
    <cellStyle name="Normal 4 2 2 3 3 2 6 3" xfId="19468" xr:uid="{62E5C19C-D883-460B-8275-AE96D5C56EAC}"/>
    <cellStyle name="Normal 4 2 2 3 3 2 6 4" xfId="11020" xr:uid="{6FF7445F-C576-43D1-82FF-1306A9C648AD}"/>
    <cellStyle name="Normal 4 2 2 3 3 2 7" xfId="4723" xr:uid="{00000000-0005-0000-0000-000058120000}"/>
    <cellStyle name="Normal 4 2 2 3 3 2 7 2" xfId="21621" xr:uid="{0BAFB1C4-5227-4FC9-B449-F82B07377FE9}"/>
    <cellStyle name="Normal 4 2 2 3 3 2 7 3" xfId="13173" xr:uid="{1B10AAA0-F448-40FE-B1B9-629C55C3EA09}"/>
    <cellStyle name="Normal 4 2 2 3 3 2 8" xfId="17403" xr:uid="{8700D634-913B-4CA0-8F94-D5EBD079D4FC}"/>
    <cellStyle name="Normal 4 2 2 3 3 2 9" xfId="8955" xr:uid="{8A81E020-F846-438C-9C2B-63EC24611BA1}"/>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24178" xr:uid="{EF3E21C1-4249-47D9-BFCE-FCB74E0232B0}"/>
    <cellStyle name="Normal 4 2 2 3 3 3 2 2 3" xfId="15730" xr:uid="{36771BEA-1644-4618-BB2D-876AEDDF2E66}"/>
    <cellStyle name="Normal 4 2 2 3 3 3 2 3" xfId="19960" xr:uid="{DBB24DC5-0D8F-437A-A9E0-B539C8A53AED}"/>
    <cellStyle name="Normal 4 2 2 3 3 3 2 4" xfId="11512" xr:uid="{5B83FC90-4D3C-4071-AB5B-ED93EEE02B31}"/>
    <cellStyle name="Normal 4 2 2 3 3 3 3" xfId="5135" xr:uid="{00000000-0005-0000-0000-00005C120000}"/>
    <cellStyle name="Normal 4 2 2 3 3 3 3 2" xfId="22033" xr:uid="{2FD050CE-A9EE-4F80-965C-94F5398D57F4}"/>
    <cellStyle name="Normal 4 2 2 3 3 3 3 3" xfId="13585" xr:uid="{155E3C9E-14CB-4565-AC73-20D374A0C5F2}"/>
    <cellStyle name="Normal 4 2 2 3 3 3 4" xfId="17815" xr:uid="{94D37503-695D-4622-9268-E7F2B1DF0590}"/>
    <cellStyle name="Normal 4 2 2 3 3 3 5" xfId="9367" xr:uid="{69EBD6EE-F00A-47B8-B0B0-0DB33D428F57}"/>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24591" xr:uid="{C97796FF-CCC8-42E2-816E-77E12F81F47A}"/>
    <cellStyle name="Normal 4 2 2 3 3 4 2 2 3" xfId="16143" xr:uid="{FACADFEE-3ACA-4889-9187-2CC84BE8DC1C}"/>
    <cellStyle name="Normal 4 2 2 3 3 4 2 3" xfId="20373" xr:uid="{BAA047A5-BA86-488E-9AD9-3A1702063ED0}"/>
    <cellStyle name="Normal 4 2 2 3 3 4 2 4" xfId="11925" xr:uid="{51532591-EEB1-41EA-AC71-96DB5B98F99A}"/>
    <cellStyle name="Normal 4 2 2 3 3 4 3" xfId="5548" xr:uid="{00000000-0005-0000-0000-000060120000}"/>
    <cellStyle name="Normal 4 2 2 3 3 4 3 2" xfId="22446" xr:uid="{4815213A-00F8-4252-9096-FEED384AD379}"/>
    <cellStyle name="Normal 4 2 2 3 3 4 3 3" xfId="13998" xr:uid="{A13E09CB-E9D2-43E2-90A1-2F11111A1BD7}"/>
    <cellStyle name="Normal 4 2 2 3 3 4 4" xfId="18228" xr:uid="{423A07A6-819A-4764-85C0-1A5C81A2F335}"/>
    <cellStyle name="Normal 4 2 2 3 3 4 5" xfId="9780" xr:uid="{1B826055-BF05-4EDE-9BA8-DB288ABB648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25004" xr:uid="{3AFE8F1C-D05C-4E6E-9669-CFA041A3B2CB}"/>
    <cellStyle name="Normal 4 2 2 3 3 5 2 2 3" xfId="16556" xr:uid="{A7D3B277-FB3E-4D3C-A558-288B9076193B}"/>
    <cellStyle name="Normal 4 2 2 3 3 5 2 3" xfId="20786" xr:uid="{042E47D7-D54C-401F-B7A8-A3AA051F1C47}"/>
    <cellStyle name="Normal 4 2 2 3 3 5 2 4" xfId="12338" xr:uid="{DE3F6E24-A552-4AA1-B3BC-842093D3EC3B}"/>
    <cellStyle name="Normal 4 2 2 3 3 5 3" xfId="5961" xr:uid="{00000000-0005-0000-0000-000064120000}"/>
    <cellStyle name="Normal 4 2 2 3 3 5 3 2" xfId="22859" xr:uid="{49C31CC8-E506-4AC3-ADD1-85E8923CBD5B}"/>
    <cellStyle name="Normal 4 2 2 3 3 5 3 3" xfId="14411" xr:uid="{9458FA0C-DBB6-4B50-BA0F-8CDB84A597B1}"/>
    <cellStyle name="Normal 4 2 2 3 3 5 4" xfId="18641" xr:uid="{7A161463-DA93-45FE-893F-03E31BDCB28B}"/>
    <cellStyle name="Normal 4 2 2 3 3 5 5" xfId="10193" xr:uid="{7758EF3C-DB02-4719-BE97-4796C271ED45}"/>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25417" xr:uid="{4281BD4F-B814-42E9-A5B0-7DDCF9751DBF}"/>
    <cellStyle name="Normal 4 2 2 3 3 6 2 2 3" xfId="16969" xr:uid="{0622FCC7-F9B6-4BB9-B806-382D29313477}"/>
    <cellStyle name="Normal 4 2 2 3 3 6 2 3" xfId="21199" xr:uid="{46D33D30-FA55-4B13-BD43-103BF4E4FDCD}"/>
    <cellStyle name="Normal 4 2 2 3 3 6 2 4" xfId="12751" xr:uid="{A9483EE8-C0BF-4F30-9B8E-E1D2FAFA7BAD}"/>
    <cellStyle name="Normal 4 2 2 3 3 6 3" xfId="6374" xr:uid="{00000000-0005-0000-0000-000068120000}"/>
    <cellStyle name="Normal 4 2 2 3 3 6 3 2" xfId="23272" xr:uid="{F3D8CD61-88C5-471A-A346-79CDF65FD90F}"/>
    <cellStyle name="Normal 4 2 2 3 3 6 3 3" xfId="14824" xr:uid="{0B4DD319-91CF-44AA-A3A3-153C4AF9794C}"/>
    <cellStyle name="Normal 4 2 2 3 3 6 4" xfId="19054" xr:uid="{E48A641B-F987-4CAC-AA73-FFFE63ADFBBF}"/>
    <cellStyle name="Normal 4 2 2 3 3 6 5" xfId="10606" xr:uid="{9C27AE50-5101-42D0-9679-2B2410555FEB}"/>
    <cellStyle name="Normal 4 2 2 3 3 7" xfId="2504" xr:uid="{00000000-0005-0000-0000-000069120000}"/>
    <cellStyle name="Normal 4 2 2 3 3 7 2" xfId="6787" xr:uid="{00000000-0005-0000-0000-00006A120000}"/>
    <cellStyle name="Normal 4 2 2 3 3 7 2 2" xfId="23685" xr:uid="{F4118859-EDB4-43A5-B2EE-FB9DC1D97597}"/>
    <cellStyle name="Normal 4 2 2 3 3 7 2 3" xfId="15237" xr:uid="{2A09F7DF-B896-4F07-B79F-62D7B105AE37}"/>
    <cellStyle name="Normal 4 2 2 3 3 7 3" xfId="19467" xr:uid="{6A48936C-6489-4B8D-A967-BEE0F129BF1C}"/>
    <cellStyle name="Normal 4 2 2 3 3 7 4" xfId="11019" xr:uid="{E1ABB76B-A487-4B70-B858-28A01DE2F3B5}"/>
    <cellStyle name="Normal 4 2 2 3 3 8" xfId="4722" xr:uid="{00000000-0005-0000-0000-00006B120000}"/>
    <cellStyle name="Normal 4 2 2 3 3 8 2" xfId="21620" xr:uid="{8107657B-53A7-42E3-BD87-26F3D893CD81}"/>
    <cellStyle name="Normal 4 2 2 3 3 8 3" xfId="13172" xr:uid="{83FD69D3-8512-4835-8042-43A008E11874}"/>
    <cellStyle name="Normal 4 2 2 3 3 9" xfId="17402" xr:uid="{20FCC602-8285-4622-85B8-EEEE39EBE16E}"/>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24180" xr:uid="{A9C80830-175F-404F-9F1F-503684140C88}"/>
    <cellStyle name="Normal 4 2 2 3 4 2 2 2 3" xfId="15732" xr:uid="{DD4CFA95-E50F-4BBA-90E5-852AE1540DF7}"/>
    <cellStyle name="Normal 4 2 2 3 4 2 2 3" xfId="19962" xr:uid="{5965D84C-0C82-4821-8287-DA74759CC88E}"/>
    <cellStyle name="Normal 4 2 2 3 4 2 2 4" xfId="11514" xr:uid="{A63469D7-48F8-433D-A6EA-E1DA82E84BA6}"/>
    <cellStyle name="Normal 4 2 2 3 4 2 3" xfId="5137" xr:uid="{00000000-0005-0000-0000-000070120000}"/>
    <cellStyle name="Normal 4 2 2 3 4 2 3 2" xfId="22035" xr:uid="{E7D3D720-5E09-4F59-BAE9-4A802723F3DF}"/>
    <cellStyle name="Normal 4 2 2 3 4 2 3 3" xfId="13587" xr:uid="{22695C05-2C80-44D2-AB8E-7DC8D992DAF9}"/>
    <cellStyle name="Normal 4 2 2 3 4 2 4" xfId="17817" xr:uid="{5A2DA4D7-71DD-4697-A8AB-27D9A277BBE5}"/>
    <cellStyle name="Normal 4 2 2 3 4 2 5" xfId="9369" xr:uid="{39C1B79E-63FC-475C-97A7-226F6FB9B01E}"/>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24593" xr:uid="{3E1199A8-7856-41CF-81AC-7BAF659CB295}"/>
    <cellStyle name="Normal 4 2 2 3 4 3 2 2 3" xfId="16145" xr:uid="{98C10D73-DB37-417A-8CC5-2508DA48E1F1}"/>
    <cellStyle name="Normal 4 2 2 3 4 3 2 3" xfId="20375" xr:uid="{286F13AD-10D5-4550-AEC5-7F4E81C21130}"/>
    <cellStyle name="Normal 4 2 2 3 4 3 2 4" xfId="11927" xr:uid="{46239C4F-42FC-49D9-9325-D01ECC1B829D}"/>
    <cellStyle name="Normal 4 2 2 3 4 3 3" xfId="5550" xr:uid="{00000000-0005-0000-0000-000074120000}"/>
    <cellStyle name="Normal 4 2 2 3 4 3 3 2" xfId="22448" xr:uid="{46752D63-CC90-417D-B032-39E2CEEFD926}"/>
    <cellStyle name="Normal 4 2 2 3 4 3 3 3" xfId="14000" xr:uid="{F0CEF2A5-2E2A-432B-A1AB-0A04B84356C1}"/>
    <cellStyle name="Normal 4 2 2 3 4 3 4" xfId="18230" xr:uid="{ED06BED2-F972-4C72-8365-3E983BCAF1C2}"/>
    <cellStyle name="Normal 4 2 2 3 4 3 5" xfId="9782" xr:uid="{2D2085FD-0F8A-4F63-A1FB-DEC9F1962D47}"/>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25006" xr:uid="{5161CD51-B788-419F-A434-0D6D17EA2610}"/>
    <cellStyle name="Normal 4 2 2 3 4 4 2 2 3" xfId="16558" xr:uid="{1C572AE3-522D-4D10-A713-810B8C3807EF}"/>
    <cellStyle name="Normal 4 2 2 3 4 4 2 3" xfId="20788" xr:uid="{4F944EFD-53D6-441B-8776-7759329CD463}"/>
    <cellStyle name="Normal 4 2 2 3 4 4 2 4" xfId="12340" xr:uid="{DC41E925-DC3B-49D4-9ABB-0D219C92A319}"/>
    <cellStyle name="Normal 4 2 2 3 4 4 3" xfId="5963" xr:uid="{00000000-0005-0000-0000-000078120000}"/>
    <cellStyle name="Normal 4 2 2 3 4 4 3 2" xfId="22861" xr:uid="{F8C1D329-FDCD-4468-9D85-9DE2AEECE510}"/>
    <cellStyle name="Normal 4 2 2 3 4 4 3 3" xfId="14413" xr:uid="{DEB8BC2D-DD48-4E37-8D04-8C7A15B9ED1A}"/>
    <cellStyle name="Normal 4 2 2 3 4 4 4" xfId="18643" xr:uid="{D443477C-E11A-4687-A577-952505E2F86B}"/>
    <cellStyle name="Normal 4 2 2 3 4 4 5" xfId="10195" xr:uid="{E36A528D-1073-4340-AF28-BF5CACADA1C1}"/>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25419" xr:uid="{6915BE12-0A3C-4BE7-A0C7-9A3CF05E956F}"/>
    <cellStyle name="Normal 4 2 2 3 4 5 2 2 3" xfId="16971" xr:uid="{C55F9265-7F2D-49CE-8021-B36BA80765CE}"/>
    <cellStyle name="Normal 4 2 2 3 4 5 2 3" xfId="21201" xr:uid="{2C418DFE-8BCF-4C36-91D7-5F9983BC65DC}"/>
    <cellStyle name="Normal 4 2 2 3 4 5 2 4" xfId="12753" xr:uid="{CB074219-02A6-4F6C-99DB-FD417497203C}"/>
    <cellStyle name="Normal 4 2 2 3 4 5 3" xfId="6376" xr:uid="{00000000-0005-0000-0000-00007C120000}"/>
    <cellStyle name="Normal 4 2 2 3 4 5 3 2" xfId="23274" xr:uid="{58AD210E-DAEE-42A5-B333-47DC2E43C136}"/>
    <cellStyle name="Normal 4 2 2 3 4 5 3 3" xfId="14826" xr:uid="{F2B968E5-ACA9-4214-A1B0-DDC883BC425A}"/>
    <cellStyle name="Normal 4 2 2 3 4 5 4" xfId="19056" xr:uid="{E446F84B-BEE5-44A0-A0BE-F92AD4EA40F2}"/>
    <cellStyle name="Normal 4 2 2 3 4 5 5" xfId="10608" xr:uid="{EFDA4A5F-77FA-44DA-8CD9-138BD2B9757C}"/>
    <cellStyle name="Normal 4 2 2 3 4 6" xfId="2506" xr:uid="{00000000-0005-0000-0000-00007D120000}"/>
    <cellStyle name="Normal 4 2 2 3 4 6 2" xfId="6789" xr:uid="{00000000-0005-0000-0000-00007E120000}"/>
    <cellStyle name="Normal 4 2 2 3 4 6 2 2" xfId="23687" xr:uid="{F13F8921-A58C-43AD-8ADD-75C24652EE44}"/>
    <cellStyle name="Normal 4 2 2 3 4 6 2 3" xfId="15239" xr:uid="{F6AFDFDF-F749-4025-8709-74207893C9BD}"/>
    <cellStyle name="Normal 4 2 2 3 4 6 3" xfId="19469" xr:uid="{23415BAC-094D-483A-8824-7C157270CFF5}"/>
    <cellStyle name="Normal 4 2 2 3 4 6 4" xfId="11021" xr:uid="{8935A344-3015-4F88-981C-EBF2CCA9CA87}"/>
    <cellStyle name="Normal 4 2 2 3 4 7" xfId="4724" xr:uid="{00000000-0005-0000-0000-00007F120000}"/>
    <cellStyle name="Normal 4 2 2 3 4 7 2" xfId="21622" xr:uid="{7F12E823-B107-4FC5-B5F4-948F1B8B68E1}"/>
    <cellStyle name="Normal 4 2 2 3 4 7 3" xfId="13174" xr:uid="{0D3EA126-A2A5-4275-BC45-9558E6D21C20}"/>
    <cellStyle name="Normal 4 2 2 3 4 8" xfId="17404" xr:uid="{43F58752-4BE7-4C22-B1ED-AB2F417A9A7D}"/>
    <cellStyle name="Normal 4 2 2 3 4 9" xfId="8956" xr:uid="{1BC4AE1B-28F5-44CE-A35F-FBDF64D53743}"/>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24173" xr:uid="{7DE2EA8E-80F3-4A3B-BC10-E18262AE734C}"/>
    <cellStyle name="Normal 4 2 2 3 5 2 2 3" xfId="15725" xr:uid="{F08DEAC1-B612-4D57-856B-A3690A50461A}"/>
    <cellStyle name="Normal 4 2 2 3 5 2 3" xfId="19955" xr:uid="{5FEFD01E-752B-4F46-8EB3-AF3A461E4660}"/>
    <cellStyle name="Normal 4 2 2 3 5 2 4" xfId="11507" xr:uid="{FFB23E89-D408-4390-BE9A-6FED41929D82}"/>
    <cellStyle name="Normal 4 2 2 3 5 3" xfId="5130" xr:uid="{00000000-0005-0000-0000-000083120000}"/>
    <cellStyle name="Normal 4 2 2 3 5 3 2" xfId="22028" xr:uid="{069464F3-4BEE-4C7E-9FF0-3D18C984C2A0}"/>
    <cellStyle name="Normal 4 2 2 3 5 3 3" xfId="13580" xr:uid="{888C393D-28E4-40A2-BCBA-0D2F62DDE8DF}"/>
    <cellStyle name="Normal 4 2 2 3 5 4" xfId="17810" xr:uid="{765110B8-312C-4E2D-8B3E-5401E7CDCF45}"/>
    <cellStyle name="Normal 4 2 2 3 5 5" xfId="9362" xr:uid="{2FB0AB1F-C13C-49CA-9D6C-55DA2DBC8356}"/>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24586" xr:uid="{97F4F60B-6001-4FCE-973F-B403BDC8BE22}"/>
    <cellStyle name="Normal 4 2 2 3 6 2 2 3" xfId="16138" xr:uid="{DA0B3551-758D-45F7-ADFD-D155D5D7B22C}"/>
    <cellStyle name="Normal 4 2 2 3 6 2 3" xfId="20368" xr:uid="{DC63FDE4-822F-45F4-B88A-BA4E5FBD38A2}"/>
    <cellStyle name="Normal 4 2 2 3 6 2 4" xfId="11920" xr:uid="{8D6B0A02-B912-467B-B571-2EE5E847D0F3}"/>
    <cellStyle name="Normal 4 2 2 3 6 3" xfId="5543" xr:uid="{00000000-0005-0000-0000-000087120000}"/>
    <cellStyle name="Normal 4 2 2 3 6 3 2" xfId="22441" xr:uid="{7A954E2D-7EDC-4E9A-982C-35106698CAF6}"/>
    <cellStyle name="Normal 4 2 2 3 6 3 3" xfId="13993" xr:uid="{F040E168-B8F3-49E4-9E30-2E8DDE38326B}"/>
    <cellStyle name="Normal 4 2 2 3 6 4" xfId="18223" xr:uid="{7ED9A26F-9051-4D3C-A9C5-C1DC4C0B448D}"/>
    <cellStyle name="Normal 4 2 2 3 6 5" xfId="9775" xr:uid="{06C198A5-33ED-4DD6-B05A-EB7A9BABD953}"/>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24999" xr:uid="{675DA991-80B5-4256-9CDB-27C91555E49D}"/>
    <cellStyle name="Normal 4 2 2 3 7 2 2 3" xfId="16551" xr:uid="{9F973ABC-77C2-4C6A-91E2-27D885C1EA17}"/>
    <cellStyle name="Normal 4 2 2 3 7 2 3" xfId="20781" xr:uid="{2A12BBB5-7080-4BFB-9C86-4AC0067AC346}"/>
    <cellStyle name="Normal 4 2 2 3 7 2 4" xfId="12333" xr:uid="{1877A6A2-7786-45E0-9D37-7F7E74245DF8}"/>
    <cellStyle name="Normal 4 2 2 3 7 3" xfId="5956" xr:uid="{00000000-0005-0000-0000-00008B120000}"/>
    <cellStyle name="Normal 4 2 2 3 7 3 2" xfId="22854" xr:uid="{94CD890B-1AF1-4CEE-9D36-0C996AB00528}"/>
    <cellStyle name="Normal 4 2 2 3 7 3 3" xfId="14406" xr:uid="{4407BB2F-CE3B-4CA7-82AD-DE5BDC908A81}"/>
    <cellStyle name="Normal 4 2 2 3 7 4" xfId="18636" xr:uid="{400617E2-2247-47D4-B7D9-20BAE6AE4BE4}"/>
    <cellStyle name="Normal 4 2 2 3 7 5" xfId="10188" xr:uid="{253CF6B4-E0ED-449E-8A48-C8DD0D4E3F36}"/>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25412" xr:uid="{E90629EB-4F59-46BC-A8FC-AC6BB1AF8A0F}"/>
    <cellStyle name="Normal 4 2 2 3 8 2 2 3" xfId="16964" xr:uid="{0F88F1C6-517C-4D8F-A733-5AB2497A05D7}"/>
    <cellStyle name="Normal 4 2 2 3 8 2 3" xfId="21194" xr:uid="{4EB8E63E-F8CF-4BA5-B0AC-B480B960BD12}"/>
    <cellStyle name="Normal 4 2 2 3 8 2 4" xfId="12746" xr:uid="{6E936084-A569-4FBB-A17B-434D1B29FCBA}"/>
    <cellStyle name="Normal 4 2 2 3 8 3" xfId="6369" xr:uid="{00000000-0005-0000-0000-00008F120000}"/>
    <cellStyle name="Normal 4 2 2 3 8 3 2" xfId="23267" xr:uid="{018D0F2E-821F-4353-8949-3F2CDDFFFD98}"/>
    <cellStyle name="Normal 4 2 2 3 8 3 3" xfId="14819" xr:uid="{6E82A060-D201-4A60-A6AB-027207F8A2D9}"/>
    <cellStyle name="Normal 4 2 2 3 8 4" xfId="19049" xr:uid="{B716ECF9-8C7E-4BAC-B356-82B35B8DFB19}"/>
    <cellStyle name="Normal 4 2 2 3 8 5" xfId="10601" xr:uid="{3926EFCA-ADFF-4CA7-8DAD-FB90FD7FC704}"/>
    <cellStyle name="Normal 4 2 2 3 9" xfId="2499" xr:uid="{00000000-0005-0000-0000-000090120000}"/>
    <cellStyle name="Normal 4 2 2 3 9 2" xfId="6782" xr:uid="{00000000-0005-0000-0000-000091120000}"/>
    <cellStyle name="Normal 4 2 2 3 9 2 2" xfId="23680" xr:uid="{ED311704-DE8B-46FB-A8C8-33552E47CE4A}"/>
    <cellStyle name="Normal 4 2 2 3 9 2 3" xfId="15232" xr:uid="{38D8257E-DADB-469B-A91F-0BC97A23E61E}"/>
    <cellStyle name="Normal 4 2 2 3 9 3" xfId="19462" xr:uid="{ACEB1195-2C27-4D2A-BF67-BA6F1279215C}"/>
    <cellStyle name="Normal 4 2 2 3 9 4" xfId="11014" xr:uid="{F60226ED-ED5E-4F5E-9667-EDFBF398D209}"/>
    <cellStyle name="Normal 4 2 2 4" xfId="347" xr:uid="{00000000-0005-0000-0000-000092120000}"/>
    <cellStyle name="Normal 4 2 2 4 10" xfId="17405" xr:uid="{E1AB97F1-A94B-4619-9CA7-B2C07C58EFD3}"/>
    <cellStyle name="Normal 4 2 2 4 11" xfId="8957" xr:uid="{4B15FAFA-F4F7-4B8B-BEAD-79BE46263552}"/>
    <cellStyle name="Normal 4 2 2 4 2" xfId="348" xr:uid="{00000000-0005-0000-0000-000093120000}"/>
    <cellStyle name="Normal 4 2 2 4 2 10" xfId="8958" xr:uid="{C8E3BBBC-BA75-4FBD-939A-EEDDE3557789}"/>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24183" xr:uid="{697C30B5-A748-4903-A54D-BD877E7607B4}"/>
    <cellStyle name="Normal 4 2 2 4 2 2 2 2 2 3" xfId="15735" xr:uid="{E6D62461-94D4-4A7A-9A93-7069995D9729}"/>
    <cellStyle name="Normal 4 2 2 4 2 2 2 2 3" xfId="19965" xr:uid="{4F52CCBE-3840-4368-9444-0F3380FD54B7}"/>
    <cellStyle name="Normal 4 2 2 4 2 2 2 2 4" xfId="11517" xr:uid="{0B4B46FB-5762-43CA-852E-79F530873B6B}"/>
    <cellStyle name="Normal 4 2 2 4 2 2 2 3" xfId="5140" xr:uid="{00000000-0005-0000-0000-000098120000}"/>
    <cellStyle name="Normal 4 2 2 4 2 2 2 3 2" xfId="22038" xr:uid="{3882A223-2A27-411D-87C8-FB8FAAF1B3BE}"/>
    <cellStyle name="Normal 4 2 2 4 2 2 2 3 3" xfId="13590" xr:uid="{CCBC2021-951B-4C3C-8336-06555DE80E59}"/>
    <cellStyle name="Normal 4 2 2 4 2 2 2 4" xfId="17820" xr:uid="{CDD7F639-68EA-4D9A-866B-C5159E6F8E54}"/>
    <cellStyle name="Normal 4 2 2 4 2 2 2 5" xfId="9372" xr:uid="{A383F45A-D809-461F-87C7-E57455073741}"/>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24596" xr:uid="{0040EB9D-9B5D-44D1-AA6E-93CAD5143A0D}"/>
    <cellStyle name="Normal 4 2 2 4 2 2 3 2 2 3" xfId="16148" xr:uid="{F8C4E7E0-74B5-40F4-B6BD-ACC01A4A82E7}"/>
    <cellStyle name="Normal 4 2 2 4 2 2 3 2 3" xfId="20378" xr:uid="{F03024A7-6E3B-4AEC-804A-055804DE5A24}"/>
    <cellStyle name="Normal 4 2 2 4 2 2 3 2 4" xfId="11930" xr:uid="{EA7DF9E6-1029-471A-963F-5F00D8F58832}"/>
    <cellStyle name="Normal 4 2 2 4 2 2 3 3" xfId="5553" xr:uid="{00000000-0005-0000-0000-00009C120000}"/>
    <cellStyle name="Normal 4 2 2 4 2 2 3 3 2" xfId="22451" xr:uid="{D6052EF8-5D48-4966-A0B5-93A00205E396}"/>
    <cellStyle name="Normal 4 2 2 4 2 2 3 3 3" xfId="14003" xr:uid="{011A54FF-620C-427E-9BA4-BDF0908A60B1}"/>
    <cellStyle name="Normal 4 2 2 4 2 2 3 4" xfId="18233" xr:uid="{29D3A5C6-9845-4F23-8FCF-153C2C8F1717}"/>
    <cellStyle name="Normal 4 2 2 4 2 2 3 5" xfId="9785" xr:uid="{90072D9D-C146-4CA2-B25C-10DADEE11DD1}"/>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25009" xr:uid="{47EB338C-2B85-4552-9E7C-328DB115E7B3}"/>
    <cellStyle name="Normal 4 2 2 4 2 2 4 2 2 3" xfId="16561" xr:uid="{0D065F1E-2128-4DCD-AC1E-209A3EE08EB1}"/>
    <cellStyle name="Normal 4 2 2 4 2 2 4 2 3" xfId="20791" xr:uid="{0AF77B43-35BF-4E7A-824F-366979CB4513}"/>
    <cellStyle name="Normal 4 2 2 4 2 2 4 2 4" xfId="12343" xr:uid="{ED29091E-28FE-4257-8241-16DE61065DE6}"/>
    <cellStyle name="Normal 4 2 2 4 2 2 4 3" xfId="5966" xr:uid="{00000000-0005-0000-0000-0000A0120000}"/>
    <cellStyle name="Normal 4 2 2 4 2 2 4 3 2" xfId="22864" xr:uid="{1FEEE93A-2397-4123-835C-C66852DEEBDF}"/>
    <cellStyle name="Normal 4 2 2 4 2 2 4 3 3" xfId="14416" xr:uid="{3BF21562-D940-4371-AA5D-21319FB3B6C4}"/>
    <cellStyle name="Normal 4 2 2 4 2 2 4 4" xfId="18646" xr:uid="{94ECB8EE-7115-415C-B5B5-7880406084A5}"/>
    <cellStyle name="Normal 4 2 2 4 2 2 4 5" xfId="10198" xr:uid="{52E92D12-73CA-4A35-B1ED-4D3084AC334D}"/>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25422" xr:uid="{64523DF4-330A-4932-9959-7CC8EA5A25AA}"/>
    <cellStyle name="Normal 4 2 2 4 2 2 5 2 2 3" xfId="16974" xr:uid="{6AA13173-9B43-43D1-AD7F-0640C59C0A02}"/>
    <cellStyle name="Normal 4 2 2 4 2 2 5 2 3" xfId="21204" xr:uid="{F0D689AA-292B-416E-B692-6AF2466A58F7}"/>
    <cellStyle name="Normal 4 2 2 4 2 2 5 2 4" xfId="12756" xr:uid="{5D760D4D-D334-4E47-9C74-1B16FCC7B4A1}"/>
    <cellStyle name="Normal 4 2 2 4 2 2 5 3" xfId="6379" xr:uid="{00000000-0005-0000-0000-0000A4120000}"/>
    <cellStyle name="Normal 4 2 2 4 2 2 5 3 2" xfId="23277" xr:uid="{64848DB2-8939-4496-989A-2B1183AB7DDD}"/>
    <cellStyle name="Normal 4 2 2 4 2 2 5 3 3" xfId="14829" xr:uid="{F0974EB5-75E3-44A0-B5AD-93DA312A8138}"/>
    <cellStyle name="Normal 4 2 2 4 2 2 5 4" xfId="19059" xr:uid="{57A85BB3-2BBF-4278-887B-74A6F1353649}"/>
    <cellStyle name="Normal 4 2 2 4 2 2 5 5" xfId="10611" xr:uid="{D67585C5-3242-4DB7-A667-7D52E84506B1}"/>
    <cellStyle name="Normal 4 2 2 4 2 2 6" xfId="2509" xr:uid="{00000000-0005-0000-0000-0000A5120000}"/>
    <cellStyle name="Normal 4 2 2 4 2 2 6 2" xfId="6792" xr:uid="{00000000-0005-0000-0000-0000A6120000}"/>
    <cellStyle name="Normal 4 2 2 4 2 2 6 2 2" xfId="23690" xr:uid="{E99472A5-AE08-484A-A1DD-72801751CFE7}"/>
    <cellStyle name="Normal 4 2 2 4 2 2 6 2 3" xfId="15242" xr:uid="{3B7758DD-7E38-42C8-B6F9-71F7F1CDD982}"/>
    <cellStyle name="Normal 4 2 2 4 2 2 6 3" xfId="19472" xr:uid="{4B42BB25-5B2F-4F97-B835-F4612553A5CF}"/>
    <cellStyle name="Normal 4 2 2 4 2 2 6 4" xfId="11024" xr:uid="{12FB2953-2085-47CD-B33E-A9E51767D36A}"/>
    <cellStyle name="Normal 4 2 2 4 2 2 7" xfId="4727" xr:uid="{00000000-0005-0000-0000-0000A7120000}"/>
    <cellStyle name="Normal 4 2 2 4 2 2 7 2" xfId="21625" xr:uid="{B45BA6B4-06BF-46A1-8FBD-5BD4CDCC550D}"/>
    <cellStyle name="Normal 4 2 2 4 2 2 7 3" xfId="13177" xr:uid="{C19F7502-2E82-4E93-A422-7F920924292A}"/>
    <cellStyle name="Normal 4 2 2 4 2 2 8" xfId="17407" xr:uid="{9327B71A-35DE-4DA5-BFE9-DC62592F1D3F}"/>
    <cellStyle name="Normal 4 2 2 4 2 2 9" xfId="8959" xr:uid="{6DDE1989-8114-4528-897B-E0A32BB3D317}"/>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24182" xr:uid="{388B106F-4A2D-4B2C-8DB4-883C4FEFE576}"/>
    <cellStyle name="Normal 4 2 2 4 2 3 2 2 3" xfId="15734" xr:uid="{970F300F-BD65-4389-8DF4-1FA6A06C283B}"/>
    <cellStyle name="Normal 4 2 2 4 2 3 2 3" xfId="19964" xr:uid="{5DDD0206-3F7F-4E2E-B0F3-317ECDAC2227}"/>
    <cellStyle name="Normal 4 2 2 4 2 3 2 4" xfId="11516" xr:uid="{5CEE3B30-DEAA-428C-81D2-C8493D06320C}"/>
    <cellStyle name="Normal 4 2 2 4 2 3 3" xfId="5139" xr:uid="{00000000-0005-0000-0000-0000AB120000}"/>
    <cellStyle name="Normal 4 2 2 4 2 3 3 2" xfId="22037" xr:uid="{0CD46849-66B1-4E9B-880E-FD8E206FFCA4}"/>
    <cellStyle name="Normal 4 2 2 4 2 3 3 3" xfId="13589" xr:uid="{A9B896A6-D532-450F-927A-6E92846A685F}"/>
    <cellStyle name="Normal 4 2 2 4 2 3 4" xfId="17819" xr:uid="{423F1F5F-0EAF-43DE-AA50-65A6A30F95A8}"/>
    <cellStyle name="Normal 4 2 2 4 2 3 5" xfId="9371" xr:uid="{77273CBF-1244-441E-A59D-9FDFD1FD5A0A}"/>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24595" xr:uid="{6B75BD66-14E3-4834-B0B6-42968E6BBAB1}"/>
    <cellStyle name="Normal 4 2 2 4 2 4 2 2 3" xfId="16147" xr:uid="{2A0FC155-3A6D-4A04-BD57-B30EB3748F79}"/>
    <cellStyle name="Normal 4 2 2 4 2 4 2 3" xfId="20377" xr:uid="{2C10F303-3314-43E7-9630-6BF7B5978AC6}"/>
    <cellStyle name="Normal 4 2 2 4 2 4 2 4" xfId="11929" xr:uid="{05552DEF-FC06-497F-BF0C-898BD6AADA2B}"/>
    <cellStyle name="Normal 4 2 2 4 2 4 3" xfId="5552" xr:uid="{00000000-0005-0000-0000-0000AF120000}"/>
    <cellStyle name="Normal 4 2 2 4 2 4 3 2" xfId="22450" xr:uid="{F7BCC69B-017B-48B7-9680-78174EBC355A}"/>
    <cellStyle name="Normal 4 2 2 4 2 4 3 3" xfId="14002" xr:uid="{CAF2E861-2F20-41A7-B9B1-BBE08E8B28B6}"/>
    <cellStyle name="Normal 4 2 2 4 2 4 4" xfId="18232" xr:uid="{F2346E68-4B8F-49DA-80B1-B599EB4D0D0D}"/>
    <cellStyle name="Normal 4 2 2 4 2 4 5" xfId="9784" xr:uid="{F74C4C3F-858B-4A06-B7DB-69346357A46D}"/>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25008" xr:uid="{793C494D-D58B-428B-95B1-3CCEB094DA80}"/>
    <cellStyle name="Normal 4 2 2 4 2 5 2 2 3" xfId="16560" xr:uid="{D5207D7E-C453-44B9-B830-8CC8DFBF8FE6}"/>
    <cellStyle name="Normal 4 2 2 4 2 5 2 3" xfId="20790" xr:uid="{83E9C72E-C61C-4025-A5C9-D37B995E265C}"/>
    <cellStyle name="Normal 4 2 2 4 2 5 2 4" xfId="12342" xr:uid="{72E33897-C56A-4DA4-BF5E-C0C504471A2E}"/>
    <cellStyle name="Normal 4 2 2 4 2 5 3" xfId="5965" xr:uid="{00000000-0005-0000-0000-0000B3120000}"/>
    <cellStyle name="Normal 4 2 2 4 2 5 3 2" xfId="22863" xr:uid="{78FFB2D9-F6C5-4A31-9D23-AA63DBEFB2AB}"/>
    <cellStyle name="Normal 4 2 2 4 2 5 3 3" xfId="14415" xr:uid="{482C26B5-F2F8-494C-810E-B4DD9C047B4A}"/>
    <cellStyle name="Normal 4 2 2 4 2 5 4" xfId="18645" xr:uid="{E7A3839B-2839-4E7F-B93B-1FA73D26CF56}"/>
    <cellStyle name="Normal 4 2 2 4 2 5 5" xfId="10197" xr:uid="{7934085B-30B4-4F5E-9097-162D12C32B4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25421" xr:uid="{4711859D-0774-49A7-9C44-7A9389E71A1E}"/>
    <cellStyle name="Normal 4 2 2 4 2 6 2 2 3" xfId="16973" xr:uid="{D4CE5CF6-F29E-49F0-80F5-57399F427848}"/>
    <cellStyle name="Normal 4 2 2 4 2 6 2 3" xfId="21203" xr:uid="{6630E044-1390-4A6F-A255-FCF2764B32BA}"/>
    <cellStyle name="Normal 4 2 2 4 2 6 2 4" xfId="12755" xr:uid="{E29CC915-0255-400F-915E-88398F2BB969}"/>
    <cellStyle name="Normal 4 2 2 4 2 6 3" xfId="6378" xr:uid="{00000000-0005-0000-0000-0000B7120000}"/>
    <cellStyle name="Normal 4 2 2 4 2 6 3 2" xfId="23276" xr:uid="{C8428E4A-F2EC-4529-9AD5-1E9A8A514808}"/>
    <cellStyle name="Normal 4 2 2 4 2 6 3 3" xfId="14828" xr:uid="{6EEE5725-21A2-46C0-A88C-D802355FF60E}"/>
    <cellStyle name="Normal 4 2 2 4 2 6 4" xfId="19058" xr:uid="{353C632A-1284-4539-983F-EED12EBD02FB}"/>
    <cellStyle name="Normal 4 2 2 4 2 6 5" xfId="10610" xr:uid="{8DC5690C-AF93-4B49-8895-E662AE86B0E0}"/>
    <cellStyle name="Normal 4 2 2 4 2 7" xfId="2508" xr:uid="{00000000-0005-0000-0000-0000B8120000}"/>
    <cellStyle name="Normal 4 2 2 4 2 7 2" xfId="6791" xr:uid="{00000000-0005-0000-0000-0000B9120000}"/>
    <cellStyle name="Normal 4 2 2 4 2 7 2 2" xfId="23689" xr:uid="{539AFAF8-7439-47AD-8420-2312DE434313}"/>
    <cellStyle name="Normal 4 2 2 4 2 7 2 3" xfId="15241" xr:uid="{C27A08C7-382A-4FC2-8543-DBECF7A269E5}"/>
    <cellStyle name="Normal 4 2 2 4 2 7 3" xfId="19471" xr:uid="{EECDF8C1-0675-4C5B-9BF7-4EE0F9F562A0}"/>
    <cellStyle name="Normal 4 2 2 4 2 7 4" xfId="11023" xr:uid="{27E52046-C111-4754-BD2A-EB6F8C9CDED8}"/>
    <cellStyle name="Normal 4 2 2 4 2 8" xfId="4726" xr:uid="{00000000-0005-0000-0000-0000BA120000}"/>
    <cellStyle name="Normal 4 2 2 4 2 8 2" xfId="21624" xr:uid="{F101A8EC-EA7E-47FE-BF3B-FF3CD135565C}"/>
    <cellStyle name="Normal 4 2 2 4 2 8 3" xfId="13176" xr:uid="{F373290A-DB89-4CB6-A9B4-B9FFC8590976}"/>
    <cellStyle name="Normal 4 2 2 4 2 9" xfId="17406" xr:uid="{6615D4FD-FF5B-421F-BC89-5E3824BFE671}"/>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24184" xr:uid="{A7A27E4E-9780-406E-BD05-53DE06C11AE8}"/>
    <cellStyle name="Normal 4 2 2 4 3 2 2 2 3" xfId="15736" xr:uid="{550DC632-7B86-4A5B-937E-938A1EC72B6F}"/>
    <cellStyle name="Normal 4 2 2 4 3 2 2 3" xfId="19966" xr:uid="{9862ED4E-AE2F-4891-86FB-14E978DB2699}"/>
    <cellStyle name="Normal 4 2 2 4 3 2 2 4" xfId="11518" xr:uid="{3FA9A436-2771-4EB4-9E8A-721F3481C6A8}"/>
    <cellStyle name="Normal 4 2 2 4 3 2 3" xfId="5141" xr:uid="{00000000-0005-0000-0000-0000BF120000}"/>
    <cellStyle name="Normal 4 2 2 4 3 2 3 2" xfId="22039" xr:uid="{FED630A9-94DB-4CDD-8172-A5046E0E2A0A}"/>
    <cellStyle name="Normal 4 2 2 4 3 2 3 3" xfId="13591" xr:uid="{BDFC545D-4565-44AC-A229-E5E145EAF765}"/>
    <cellStyle name="Normal 4 2 2 4 3 2 4" xfId="17821" xr:uid="{29930B4E-0D05-4D0B-B1CE-709720C5A85B}"/>
    <cellStyle name="Normal 4 2 2 4 3 2 5" xfId="9373" xr:uid="{0D888691-BB55-4F80-9EA2-B9A6343B52D5}"/>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24597" xr:uid="{948FBA0D-FA6A-496A-9E54-52093D788DC9}"/>
    <cellStyle name="Normal 4 2 2 4 3 3 2 2 3" xfId="16149" xr:uid="{14626DEF-7CF6-490A-A4EF-FBCE971D2199}"/>
    <cellStyle name="Normal 4 2 2 4 3 3 2 3" xfId="20379" xr:uid="{7D8E740B-99D4-4DB5-A45D-5201049DBE08}"/>
    <cellStyle name="Normal 4 2 2 4 3 3 2 4" xfId="11931" xr:uid="{43D83FC8-EA61-4450-9B84-E244723AD7C4}"/>
    <cellStyle name="Normal 4 2 2 4 3 3 3" xfId="5554" xr:uid="{00000000-0005-0000-0000-0000C3120000}"/>
    <cellStyle name="Normal 4 2 2 4 3 3 3 2" xfId="22452" xr:uid="{E7F5F48B-F61E-4E8F-B0D4-D791A33FBCA3}"/>
    <cellStyle name="Normal 4 2 2 4 3 3 3 3" xfId="14004" xr:uid="{B7909115-3828-4EDF-9A3C-8A894E2B0F4E}"/>
    <cellStyle name="Normal 4 2 2 4 3 3 4" xfId="18234" xr:uid="{D68B2E1D-B117-498A-9D0F-3856E0B29BED}"/>
    <cellStyle name="Normal 4 2 2 4 3 3 5" xfId="9786" xr:uid="{BF658C13-E414-42C3-A00C-32758C578676}"/>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25010" xr:uid="{B3C03C7F-8E67-4959-9EC9-2E835B8A92D1}"/>
    <cellStyle name="Normal 4 2 2 4 3 4 2 2 3" xfId="16562" xr:uid="{A0B0B991-B835-485D-8782-3C4BA6FB386D}"/>
    <cellStyle name="Normal 4 2 2 4 3 4 2 3" xfId="20792" xr:uid="{33D2D228-F4A6-4098-9BCC-8FD5B0D7AA9F}"/>
    <cellStyle name="Normal 4 2 2 4 3 4 2 4" xfId="12344" xr:uid="{705BE4C7-C856-409C-AA7C-181DB2050ADF}"/>
    <cellStyle name="Normal 4 2 2 4 3 4 3" xfId="5967" xr:uid="{00000000-0005-0000-0000-0000C7120000}"/>
    <cellStyle name="Normal 4 2 2 4 3 4 3 2" xfId="22865" xr:uid="{32A01BD1-161E-4DD4-B7A5-97E11CBB6EB9}"/>
    <cellStyle name="Normal 4 2 2 4 3 4 3 3" xfId="14417" xr:uid="{536A1487-FC8F-4DE9-B8DB-8567981708DF}"/>
    <cellStyle name="Normal 4 2 2 4 3 4 4" xfId="18647" xr:uid="{FC176B37-43D2-45B8-8AA6-8BCD1B237464}"/>
    <cellStyle name="Normal 4 2 2 4 3 4 5" xfId="10199" xr:uid="{9D434188-84B0-4528-AD5C-26B9142EFAA8}"/>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25423" xr:uid="{0FD6FD98-158B-43C6-A1D6-E763DB260C23}"/>
    <cellStyle name="Normal 4 2 2 4 3 5 2 2 3" xfId="16975" xr:uid="{AF6015E2-039B-4959-A03A-2DE30F87C93C}"/>
    <cellStyle name="Normal 4 2 2 4 3 5 2 3" xfId="21205" xr:uid="{48F0796B-E2B1-49A8-9BF6-68BDE045019D}"/>
    <cellStyle name="Normal 4 2 2 4 3 5 2 4" xfId="12757" xr:uid="{461BC901-DD2F-4FCA-AE8F-42EA886848D6}"/>
    <cellStyle name="Normal 4 2 2 4 3 5 3" xfId="6380" xr:uid="{00000000-0005-0000-0000-0000CB120000}"/>
    <cellStyle name="Normal 4 2 2 4 3 5 3 2" xfId="23278" xr:uid="{F2123294-D62B-4891-B637-9A9E0FF4923B}"/>
    <cellStyle name="Normal 4 2 2 4 3 5 3 3" xfId="14830" xr:uid="{D4639919-8A34-4F63-8DB4-E1391406BD43}"/>
    <cellStyle name="Normal 4 2 2 4 3 5 4" xfId="19060" xr:uid="{2882F364-EB4B-4AF7-9901-79A3BFABE34B}"/>
    <cellStyle name="Normal 4 2 2 4 3 5 5" xfId="10612" xr:uid="{7859BB71-D609-4D10-B716-C4C5003119F6}"/>
    <cellStyle name="Normal 4 2 2 4 3 6" xfId="2510" xr:uid="{00000000-0005-0000-0000-0000CC120000}"/>
    <cellStyle name="Normal 4 2 2 4 3 6 2" xfId="6793" xr:uid="{00000000-0005-0000-0000-0000CD120000}"/>
    <cellStyle name="Normal 4 2 2 4 3 6 2 2" xfId="23691" xr:uid="{FE883CE0-032F-4B82-84D1-40C6A3E856A8}"/>
    <cellStyle name="Normal 4 2 2 4 3 6 2 3" xfId="15243" xr:uid="{EAEF0176-63C1-4960-9D4F-46B600E0BFE8}"/>
    <cellStyle name="Normal 4 2 2 4 3 6 3" xfId="19473" xr:uid="{E47330EB-F8AD-4B30-86F0-7D37EF6DE1F2}"/>
    <cellStyle name="Normal 4 2 2 4 3 6 4" xfId="11025" xr:uid="{84FDCB98-4323-42E1-A863-CD6785036B93}"/>
    <cellStyle name="Normal 4 2 2 4 3 7" xfId="4728" xr:uid="{00000000-0005-0000-0000-0000CE120000}"/>
    <cellStyle name="Normal 4 2 2 4 3 7 2" xfId="21626" xr:uid="{9BA3C979-9E07-49A2-859F-FB14D8A7949B}"/>
    <cellStyle name="Normal 4 2 2 4 3 7 3" xfId="13178" xr:uid="{EB8104D8-70E3-4117-8869-FFEE829DADEE}"/>
    <cellStyle name="Normal 4 2 2 4 3 8" xfId="17408" xr:uid="{648FBE43-7664-451B-A3BA-8F1E4F58F00A}"/>
    <cellStyle name="Normal 4 2 2 4 3 9" xfId="8960" xr:uid="{6A2C6F3A-9434-446E-B2EB-9D4CA347752D}"/>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24181" xr:uid="{1AF4655A-B58E-44F2-8279-E5B3F06BE1E0}"/>
    <cellStyle name="Normal 4 2 2 4 4 2 2 3" xfId="15733" xr:uid="{CC130984-3198-48C4-9B1E-6ECB669547A3}"/>
    <cellStyle name="Normal 4 2 2 4 4 2 3" xfId="19963" xr:uid="{D1950A64-209F-4352-93D5-5651E90C0D63}"/>
    <cellStyle name="Normal 4 2 2 4 4 2 4" xfId="11515" xr:uid="{ADB9800A-77D7-4739-BA23-9F339DDB2D1A}"/>
    <cellStyle name="Normal 4 2 2 4 4 3" xfId="5138" xr:uid="{00000000-0005-0000-0000-0000D2120000}"/>
    <cellStyle name="Normal 4 2 2 4 4 3 2" xfId="22036" xr:uid="{1620F67E-D627-42AD-AF46-5B55CC787BFB}"/>
    <cellStyle name="Normal 4 2 2 4 4 3 3" xfId="13588" xr:uid="{B20D56E2-48E7-49BE-B81D-09CCEE667870}"/>
    <cellStyle name="Normal 4 2 2 4 4 4" xfId="17818" xr:uid="{B1BC4C3F-70F5-4470-864A-FECC8AB6EAA2}"/>
    <cellStyle name="Normal 4 2 2 4 4 5" xfId="9370" xr:uid="{2C68AE2E-6226-45F4-BA75-1CCE76337154}"/>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24594" xr:uid="{525AB9BD-B442-4E17-A8C4-AD7D119ED937}"/>
    <cellStyle name="Normal 4 2 2 4 5 2 2 3" xfId="16146" xr:uid="{4532CA45-7A71-4245-878D-B971C6876907}"/>
    <cellStyle name="Normal 4 2 2 4 5 2 3" xfId="20376" xr:uid="{BC26AA6A-561A-4FC5-BD2A-BEED2E467A21}"/>
    <cellStyle name="Normal 4 2 2 4 5 2 4" xfId="11928" xr:uid="{AE569079-474F-4F4C-8847-3CFB6AF95676}"/>
    <cellStyle name="Normal 4 2 2 4 5 3" xfId="5551" xr:uid="{00000000-0005-0000-0000-0000D6120000}"/>
    <cellStyle name="Normal 4 2 2 4 5 3 2" xfId="22449" xr:uid="{2AB8F306-4C5B-44D8-8FFC-10C1646983B7}"/>
    <cellStyle name="Normal 4 2 2 4 5 3 3" xfId="14001" xr:uid="{E475EEC9-4EEF-43B0-8CD0-CEA0BC1957E7}"/>
    <cellStyle name="Normal 4 2 2 4 5 4" xfId="18231" xr:uid="{73A3B50B-36B2-46F1-AD81-82D6BE8C93D7}"/>
    <cellStyle name="Normal 4 2 2 4 5 5" xfId="9783" xr:uid="{1274663E-1386-4C77-914B-7CE60CC3A1A5}"/>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25007" xr:uid="{829F4A81-8D1F-4964-9AEB-7AEBFC2B2393}"/>
    <cellStyle name="Normal 4 2 2 4 6 2 2 3" xfId="16559" xr:uid="{2EE36D9C-0ED6-457E-9FE2-3F85430E6BBF}"/>
    <cellStyle name="Normal 4 2 2 4 6 2 3" xfId="20789" xr:uid="{5308E68B-42EF-4557-8A34-4EED358B3217}"/>
    <cellStyle name="Normal 4 2 2 4 6 2 4" xfId="12341" xr:uid="{EE48F96F-32DA-45F1-959C-81FFCB844822}"/>
    <cellStyle name="Normal 4 2 2 4 6 3" xfId="5964" xr:uid="{00000000-0005-0000-0000-0000DA120000}"/>
    <cellStyle name="Normal 4 2 2 4 6 3 2" xfId="22862" xr:uid="{B6DDDB7A-6B56-4F4E-80B2-EFB997389F36}"/>
    <cellStyle name="Normal 4 2 2 4 6 3 3" xfId="14414" xr:uid="{A612CBB5-CBEA-407D-801F-251023FAC394}"/>
    <cellStyle name="Normal 4 2 2 4 6 4" xfId="18644" xr:uid="{26A9C4E3-C357-4401-89A4-28F30C6BA6EC}"/>
    <cellStyle name="Normal 4 2 2 4 6 5" xfId="10196" xr:uid="{BA994EEE-4516-4FB1-B326-5D1286F9DAAF}"/>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25420" xr:uid="{49814B0E-3BC0-4E8D-B441-C60389490BD4}"/>
    <cellStyle name="Normal 4 2 2 4 7 2 2 3" xfId="16972" xr:uid="{A890681C-2A7F-43FC-909C-1F5077ECB57A}"/>
    <cellStyle name="Normal 4 2 2 4 7 2 3" xfId="21202" xr:uid="{45EDE1F9-283E-47D8-B3F5-3672293AAB5D}"/>
    <cellStyle name="Normal 4 2 2 4 7 2 4" xfId="12754" xr:uid="{7B1ABD08-3C34-4C04-977B-BD854A879017}"/>
    <cellStyle name="Normal 4 2 2 4 7 3" xfId="6377" xr:uid="{00000000-0005-0000-0000-0000DE120000}"/>
    <cellStyle name="Normal 4 2 2 4 7 3 2" xfId="23275" xr:uid="{3AFC3AE1-4A61-4DDD-9B88-E6071C908B1D}"/>
    <cellStyle name="Normal 4 2 2 4 7 3 3" xfId="14827" xr:uid="{9BB57132-8A5D-452D-9313-850F5DF99032}"/>
    <cellStyle name="Normal 4 2 2 4 7 4" xfId="19057" xr:uid="{5AC561A3-4543-4ED0-B63E-CECA34C1A1A9}"/>
    <cellStyle name="Normal 4 2 2 4 7 5" xfId="10609" xr:uid="{59899A60-5CF6-427E-A64E-5D4C599DA4EA}"/>
    <cellStyle name="Normal 4 2 2 4 8" xfId="2507" xr:uid="{00000000-0005-0000-0000-0000DF120000}"/>
    <cellStyle name="Normal 4 2 2 4 8 2" xfId="6790" xr:uid="{00000000-0005-0000-0000-0000E0120000}"/>
    <cellStyle name="Normal 4 2 2 4 8 2 2" xfId="23688" xr:uid="{066704CC-666A-4C1D-AE60-03520EF197C3}"/>
    <cellStyle name="Normal 4 2 2 4 8 2 3" xfId="15240" xr:uid="{38435A8C-5A1D-4D30-A113-F23457298A0C}"/>
    <cellStyle name="Normal 4 2 2 4 8 3" xfId="19470" xr:uid="{7332A5A4-93F7-46BB-A596-08693B3DCFF3}"/>
    <cellStyle name="Normal 4 2 2 4 8 4" xfId="11022" xr:uid="{238DC98D-FA8E-4A45-AAA6-8BF80C6F9288}"/>
    <cellStyle name="Normal 4 2 2 4 9" xfId="4725" xr:uid="{00000000-0005-0000-0000-0000E1120000}"/>
    <cellStyle name="Normal 4 2 2 4 9 2" xfId="21623" xr:uid="{29D811E2-AFC4-4035-AF5C-ABBAA4FAD84B}"/>
    <cellStyle name="Normal 4 2 2 4 9 3" xfId="13175" xr:uid="{871983EB-F081-4709-BF16-8732C62B8486}"/>
    <cellStyle name="Normal 4 2 2 5" xfId="351" xr:uid="{00000000-0005-0000-0000-0000E2120000}"/>
    <cellStyle name="Normal 4 2 2 5 10" xfId="8961" xr:uid="{915A180E-1E3A-49A1-8A37-81F95DA0F733}"/>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24186" xr:uid="{804E8C5B-5F56-44F8-951A-4057EEEF1377}"/>
    <cellStyle name="Normal 4 2 2 5 2 2 2 2 3" xfId="15738" xr:uid="{7A0EFE45-5331-4071-B32E-BF927EEDA3EC}"/>
    <cellStyle name="Normal 4 2 2 5 2 2 2 3" xfId="19968" xr:uid="{B25240EE-E35C-4C5E-8500-63A7E912CE28}"/>
    <cellStyle name="Normal 4 2 2 5 2 2 2 4" xfId="11520" xr:uid="{640A65B6-3D7C-4CB0-B4BD-FBAF444259B0}"/>
    <cellStyle name="Normal 4 2 2 5 2 2 3" xfId="5143" xr:uid="{00000000-0005-0000-0000-0000E7120000}"/>
    <cellStyle name="Normal 4 2 2 5 2 2 3 2" xfId="22041" xr:uid="{F532CCEA-45BD-49E9-9FAB-B4A7AFD9CB45}"/>
    <cellStyle name="Normal 4 2 2 5 2 2 3 3" xfId="13593" xr:uid="{85424A32-2393-41AD-B8C9-D97C47964CD5}"/>
    <cellStyle name="Normal 4 2 2 5 2 2 4" xfId="17823" xr:uid="{9E440D2E-4058-40F6-8377-2447171BBEB3}"/>
    <cellStyle name="Normal 4 2 2 5 2 2 5" xfId="9375" xr:uid="{B710FE03-39E1-4C0F-B01D-BB00680DDA66}"/>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24599" xr:uid="{B3A7D4A7-3359-40A1-AE1E-695B8FA1B655}"/>
    <cellStyle name="Normal 4 2 2 5 2 3 2 2 3" xfId="16151" xr:uid="{15692098-B409-4CF5-BC61-B5752756CC10}"/>
    <cellStyle name="Normal 4 2 2 5 2 3 2 3" xfId="20381" xr:uid="{BA89522E-88C4-4BF6-9AE5-FC76A737C780}"/>
    <cellStyle name="Normal 4 2 2 5 2 3 2 4" xfId="11933" xr:uid="{A821CB9B-CDB9-4485-922A-3C2C7AFB9505}"/>
    <cellStyle name="Normal 4 2 2 5 2 3 3" xfId="5556" xr:uid="{00000000-0005-0000-0000-0000EB120000}"/>
    <cellStyle name="Normal 4 2 2 5 2 3 3 2" xfId="22454" xr:uid="{0B90A8C7-07F5-4430-889B-0D38D0EAB515}"/>
    <cellStyle name="Normal 4 2 2 5 2 3 3 3" xfId="14006" xr:uid="{BD415280-EC2D-44EC-B138-7D300EC76C68}"/>
    <cellStyle name="Normal 4 2 2 5 2 3 4" xfId="18236" xr:uid="{87040639-2C32-4BBD-A4A0-1F6A5B360E10}"/>
    <cellStyle name="Normal 4 2 2 5 2 3 5" xfId="9788" xr:uid="{E5476B92-F970-4E85-ABC0-CAFCAC5422A9}"/>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25012" xr:uid="{A8EB72F0-7136-4477-B243-A852B677E15D}"/>
    <cellStyle name="Normal 4 2 2 5 2 4 2 2 3" xfId="16564" xr:uid="{63E98595-07EA-4875-B704-DF4E5CA8AB71}"/>
    <cellStyle name="Normal 4 2 2 5 2 4 2 3" xfId="20794" xr:uid="{172A9683-537C-4A93-98EE-29A64E708994}"/>
    <cellStyle name="Normal 4 2 2 5 2 4 2 4" xfId="12346" xr:uid="{632615E2-EDD1-4A00-942D-52DC63F6C201}"/>
    <cellStyle name="Normal 4 2 2 5 2 4 3" xfId="5969" xr:uid="{00000000-0005-0000-0000-0000EF120000}"/>
    <cellStyle name="Normal 4 2 2 5 2 4 3 2" xfId="22867" xr:uid="{0B5C36EC-5C83-4952-ACCC-0CB735383F1A}"/>
    <cellStyle name="Normal 4 2 2 5 2 4 3 3" xfId="14419" xr:uid="{42E362AA-ACA9-4BBD-9FC3-FF111020E86D}"/>
    <cellStyle name="Normal 4 2 2 5 2 4 4" xfId="18649" xr:uid="{2D413E1F-E8CE-4117-9721-7F774BA04827}"/>
    <cellStyle name="Normal 4 2 2 5 2 4 5" xfId="10201" xr:uid="{6163CC76-046F-4EFC-A980-58F5C4D8464F}"/>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25425" xr:uid="{586F4FBF-0AA1-4B70-AC3A-F1AFEB8D711D}"/>
    <cellStyle name="Normal 4 2 2 5 2 5 2 2 3" xfId="16977" xr:uid="{68B15234-69CA-4987-B8B9-3B47E4FA7BA5}"/>
    <cellStyle name="Normal 4 2 2 5 2 5 2 3" xfId="21207" xr:uid="{C296C20F-0BA1-4E53-B269-68FBA3F455B1}"/>
    <cellStyle name="Normal 4 2 2 5 2 5 2 4" xfId="12759" xr:uid="{0753316B-1D79-44B0-83C0-66CA8DBA651C}"/>
    <cellStyle name="Normal 4 2 2 5 2 5 3" xfId="6382" xr:uid="{00000000-0005-0000-0000-0000F3120000}"/>
    <cellStyle name="Normal 4 2 2 5 2 5 3 2" xfId="23280" xr:uid="{6010596C-0DBB-4E2C-BD31-0818ECF79CBF}"/>
    <cellStyle name="Normal 4 2 2 5 2 5 3 3" xfId="14832" xr:uid="{83AAFBD9-DBBB-43C9-B285-09F3897DF358}"/>
    <cellStyle name="Normal 4 2 2 5 2 5 4" xfId="19062" xr:uid="{7BB65970-73F7-4314-9A46-4322B62AEE73}"/>
    <cellStyle name="Normal 4 2 2 5 2 5 5" xfId="10614" xr:uid="{951D2A20-03DA-4719-9CE6-F49491A2E468}"/>
    <cellStyle name="Normal 4 2 2 5 2 6" xfId="2512" xr:uid="{00000000-0005-0000-0000-0000F4120000}"/>
    <cellStyle name="Normal 4 2 2 5 2 6 2" xfId="6795" xr:uid="{00000000-0005-0000-0000-0000F5120000}"/>
    <cellStyle name="Normal 4 2 2 5 2 6 2 2" xfId="23693" xr:uid="{9A25E287-7BCB-4588-9477-A91C8BA9AB4D}"/>
    <cellStyle name="Normal 4 2 2 5 2 6 2 3" xfId="15245" xr:uid="{0BD01422-76E8-45EE-A850-41FCA935B7EE}"/>
    <cellStyle name="Normal 4 2 2 5 2 6 3" xfId="19475" xr:uid="{2B24D01F-D9E0-4260-9B88-4D23D4AF6E86}"/>
    <cellStyle name="Normal 4 2 2 5 2 6 4" xfId="11027" xr:uid="{2B48380E-15D4-470A-8FF9-B39746B698DD}"/>
    <cellStyle name="Normal 4 2 2 5 2 7" xfId="4730" xr:uid="{00000000-0005-0000-0000-0000F6120000}"/>
    <cellStyle name="Normal 4 2 2 5 2 7 2" xfId="21628" xr:uid="{35A2600E-7B15-417A-B01E-E0B9663DEF27}"/>
    <cellStyle name="Normal 4 2 2 5 2 7 3" xfId="13180" xr:uid="{02F74E30-D324-4B42-972B-1943E58B0AE1}"/>
    <cellStyle name="Normal 4 2 2 5 2 8" xfId="17410" xr:uid="{393A128A-4810-48B0-B66D-978EE8B9C325}"/>
    <cellStyle name="Normal 4 2 2 5 2 9" xfId="8962" xr:uid="{099A27C5-47D1-44DC-844A-95EA6FDE5CB7}"/>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24185" xr:uid="{AE2D61DF-329A-4688-8384-997C0685CD62}"/>
    <cellStyle name="Normal 4 2 2 5 3 2 2 3" xfId="15737" xr:uid="{6C2C4A12-6D6C-4B4A-B879-B928E1705927}"/>
    <cellStyle name="Normal 4 2 2 5 3 2 3" xfId="19967" xr:uid="{C81966F1-DDED-4A40-BF03-521D94886449}"/>
    <cellStyle name="Normal 4 2 2 5 3 2 4" xfId="11519" xr:uid="{F6B5C312-3A9E-4815-98C3-42FC97994F23}"/>
    <cellStyle name="Normal 4 2 2 5 3 3" xfId="5142" xr:uid="{00000000-0005-0000-0000-0000FA120000}"/>
    <cellStyle name="Normal 4 2 2 5 3 3 2" xfId="22040" xr:uid="{09D95E2F-7424-4457-9898-E48802EB4062}"/>
    <cellStyle name="Normal 4 2 2 5 3 3 3" xfId="13592" xr:uid="{5D9432FB-221D-4A8D-8238-244B4775929B}"/>
    <cellStyle name="Normal 4 2 2 5 3 4" xfId="17822" xr:uid="{09B1B3D7-6AD6-4A87-A27E-6BEBCAAB29B9}"/>
    <cellStyle name="Normal 4 2 2 5 3 5" xfId="9374" xr:uid="{EAED6E94-B7D2-47A0-8467-16346C6402F7}"/>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24598" xr:uid="{0BEC52D0-471C-40B8-96F2-BDB8ACD76EAE}"/>
    <cellStyle name="Normal 4 2 2 5 4 2 2 3" xfId="16150" xr:uid="{4E33C0DF-5823-4C19-ACF8-3CD027254A0B}"/>
    <cellStyle name="Normal 4 2 2 5 4 2 3" xfId="20380" xr:uid="{372F477E-23CC-4C9A-B3FD-C13C4D63DC34}"/>
    <cellStyle name="Normal 4 2 2 5 4 2 4" xfId="11932" xr:uid="{896E7FDA-64C9-47D4-A822-6C603E44569E}"/>
    <cellStyle name="Normal 4 2 2 5 4 3" xfId="5555" xr:uid="{00000000-0005-0000-0000-0000FE120000}"/>
    <cellStyle name="Normal 4 2 2 5 4 3 2" xfId="22453" xr:uid="{997952A6-0399-4E5D-AD54-69ED786F8FF9}"/>
    <cellStyle name="Normal 4 2 2 5 4 3 3" xfId="14005" xr:uid="{F3C74510-13A6-41CE-A71B-D9BCCC1AEE97}"/>
    <cellStyle name="Normal 4 2 2 5 4 4" xfId="18235" xr:uid="{2576D007-2416-49E9-8ACE-B10E6DBA13FF}"/>
    <cellStyle name="Normal 4 2 2 5 4 5" xfId="9787" xr:uid="{7C2E5C41-E903-47A7-B616-0AC2BBFF6B00}"/>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25011" xr:uid="{55574C80-A8C8-497D-969B-FC22AF3F6153}"/>
    <cellStyle name="Normal 4 2 2 5 5 2 2 3" xfId="16563" xr:uid="{D301FBD5-9663-4231-8F94-08025C5C2279}"/>
    <cellStyle name="Normal 4 2 2 5 5 2 3" xfId="20793" xr:uid="{C58861AA-1394-4714-A6F2-B136F91EF1AB}"/>
    <cellStyle name="Normal 4 2 2 5 5 2 4" xfId="12345" xr:uid="{A52CFD9D-C7F8-47D8-9B69-25ABF20D71B0}"/>
    <cellStyle name="Normal 4 2 2 5 5 3" xfId="5968" xr:uid="{00000000-0005-0000-0000-000002130000}"/>
    <cellStyle name="Normal 4 2 2 5 5 3 2" xfId="22866" xr:uid="{54FEAEBE-6DEA-4C62-87BC-F1C40BC44931}"/>
    <cellStyle name="Normal 4 2 2 5 5 3 3" xfId="14418" xr:uid="{582CA45D-143F-4B88-BC68-E6285AD4D2DE}"/>
    <cellStyle name="Normal 4 2 2 5 5 4" xfId="18648" xr:uid="{8AD0CAE8-8993-4550-ACB3-755C7D34BFCC}"/>
    <cellStyle name="Normal 4 2 2 5 5 5" xfId="10200" xr:uid="{E6FB37D8-9E29-4CF5-8A52-9B9E8CE18A05}"/>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25424" xr:uid="{183A78E5-E7C9-42BF-B345-24FE27A5DDC6}"/>
    <cellStyle name="Normal 4 2 2 5 6 2 2 3" xfId="16976" xr:uid="{5C76AAC8-2795-400F-90CA-DF6E52B2BD8A}"/>
    <cellStyle name="Normal 4 2 2 5 6 2 3" xfId="21206" xr:uid="{45134802-B220-49AD-A374-4F33517116C3}"/>
    <cellStyle name="Normal 4 2 2 5 6 2 4" xfId="12758" xr:uid="{E66B9231-7F21-47FB-A2AE-51BDC8D37830}"/>
    <cellStyle name="Normal 4 2 2 5 6 3" xfId="6381" xr:uid="{00000000-0005-0000-0000-000006130000}"/>
    <cellStyle name="Normal 4 2 2 5 6 3 2" xfId="23279" xr:uid="{B435865A-328F-4F4F-A6A4-1AD2C4CDE1D0}"/>
    <cellStyle name="Normal 4 2 2 5 6 3 3" xfId="14831" xr:uid="{4A3E3BF0-ADAF-4A43-8509-4F1503573AB4}"/>
    <cellStyle name="Normal 4 2 2 5 6 4" xfId="19061" xr:uid="{FFF64A64-8651-4F30-AC4D-43B4714DC7E8}"/>
    <cellStyle name="Normal 4 2 2 5 6 5" xfId="10613" xr:uid="{13F26E3A-E794-4DC3-90F1-1ECFB9B5BC96}"/>
    <cellStyle name="Normal 4 2 2 5 7" xfId="2511" xr:uid="{00000000-0005-0000-0000-000007130000}"/>
    <cellStyle name="Normal 4 2 2 5 7 2" xfId="6794" xr:uid="{00000000-0005-0000-0000-000008130000}"/>
    <cellStyle name="Normal 4 2 2 5 7 2 2" xfId="23692" xr:uid="{A70CA255-3346-40BD-989E-7915FC8A3AC1}"/>
    <cellStyle name="Normal 4 2 2 5 7 2 3" xfId="15244" xr:uid="{1851AA41-B000-49F1-83A6-34CE0C4CF902}"/>
    <cellStyle name="Normal 4 2 2 5 7 3" xfId="19474" xr:uid="{00E41989-6EA0-42E3-A2E6-8FD3EFCD93AF}"/>
    <cellStyle name="Normal 4 2 2 5 7 4" xfId="11026" xr:uid="{9E931D35-309D-4701-AE3C-F90CF549A65A}"/>
    <cellStyle name="Normal 4 2 2 5 8" xfId="4729" xr:uid="{00000000-0005-0000-0000-000009130000}"/>
    <cellStyle name="Normal 4 2 2 5 8 2" xfId="21627" xr:uid="{F503B8B5-446A-4A58-A4E4-D2E841565995}"/>
    <cellStyle name="Normal 4 2 2 5 8 3" xfId="13179" xr:uid="{AAB4DB6F-C76B-4C0A-AA39-A3557094E3BE}"/>
    <cellStyle name="Normal 4 2 2 5 9" xfId="17409" xr:uid="{10BB4209-41D5-4C15-B1F0-7CD6157756FA}"/>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24187" xr:uid="{4D41B868-BC81-4799-B849-129CA60B76C7}"/>
    <cellStyle name="Normal 4 2 2 6 2 2 2 3" xfId="15739" xr:uid="{1EC36B4D-9E9B-4C1B-A05F-4889DAD475BB}"/>
    <cellStyle name="Normal 4 2 2 6 2 2 3" xfId="19969" xr:uid="{CBDCBB25-1EAE-4BDE-8908-E6E266A5B84F}"/>
    <cellStyle name="Normal 4 2 2 6 2 2 4" xfId="11521" xr:uid="{C81E1558-08EF-4134-9625-B38D9130A20B}"/>
    <cellStyle name="Normal 4 2 2 6 2 3" xfId="5144" xr:uid="{00000000-0005-0000-0000-00000E130000}"/>
    <cellStyle name="Normal 4 2 2 6 2 3 2" xfId="22042" xr:uid="{551C56F4-DE7D-454B-8144-BCB9472976FD}"/>
    <cellStyle name="Normal 4 2 2 6 2 3 3" xfId="13594" xr:uid="{8C96B11B-9891-432B-BAFE-ECB5ED7D0BC5}"/>
    <cellStyle name="Normal 4 2 2 6 2 4" xfId="17824" xr:uid="{E445CB66-2A6B-472D-9C95-81D8057A108C}"/>
    <cellStyle name="Normal 4 2 2 6 2 5" xfId="9376" xr:uid="{57841E93-0C62-46BF-95D6-2F6DA3DB97D2}"/>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24600" xr:uid="{20158C0D-CC5C-44D1-87DF-702654DC656C}"/>
    <cellStyle name="Normal 4 2 2 6 3 2 2 3" xfId="16152" xr:uid="{33DF4EC3-437A-4C73-BC41-745F0E17BDB5}"/>
    <cellStyle name="Normal 4 2 2 6 3 2 3" xfId="20382" xr:uid="{476AA5CA-53D7-4E6E-AC1C-5367EDEE0AF2}"/>
    <cellStyle name="Normal 4 2 2 6 3 2 4" xfId="11934" xr:uid="{FEAE5557-2CBF-49CE-9508-6FD11C40A75D}"/>
    <cellStyle name="Normal 4 2 2 6 3 3" xfId="5557" xr:uid="{00000000-0005-0000-0000-000012130000}"/>
    <cellStyle name="Normal 4 2 2 6 3 3 2" xfId="22455" xr:uid="{72553FF4-AAEE-4D48-AAD9-231965B14C61}"/>
    <cellStyle name="Normal 4 2 2 6 3 3 3" xfId="14007" xr:uid="{031A4FC6-2018-446C-86A1-0038D0614064}"/>
    <cellStyle name="Normal 4 2 2 6 3 4" xfId="18237" xr:uid="{08C3E0A5-6D47-45C3-AC83-12FE7AB89B0B}"/>
    <cellStyle name="Normal 4 2 2 6 3 5" xfId="9789" xr:uid="{A6DD99CF-2105-4113-97F9-E6008AF45630}"/>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25013" xr:uid="{783F6963-6A33-492F-A8C9-C04C4D94E778}"/>
    <cellStyle name="Normal 4 2 2 6 4 2 2 3" xfId="16565" xr:uid="{A8F40DB5-88F2-4597-8E80-5A7229066928}"/>
    <cellStyle name="Normal 4 2 2 6 4 2 3" xfId="20795" xr:uid="{BE6FE4A2-9DF5-4720-874E-AD19F0B42D05}"/>
    <cellStyle name="Normal 4 2 2 6 4 2 4" xfId="12347" xr:uid="{452FC354-1991-4DE9-B7AE-1F9375F30FA9}"/>
    <cellStyle name="Normal 4 2 2 6 4 3" xfId="5970" xr:uid="{00000000-0005-0000-0000-000016130000}"/>
    <cellStyle name="Normal 4 2 2 6 4 3 2" xfId="22868" xr:uid="{4E677C3A-99F1-4FE1-83F3-41E7AF632A84}"/>
    <cellStyle name="Normal 4 2 2 6 4 3 3" xfId="14420" xr:uid="{9447E10E-D5A4-4EB2-ABBC-3647FB0D73E4}"/>
    <cellStyle name="Normal 4 2 2 6 4 4" xfId="18650" xr:uid="{8CF6E573-A7D9-4A27-B6DE-6ED02A979873}"/>
    <cellStyle name="Normal 4 2 2 6 4 5" xfId="10202" xr:uid="{9B05BDC7-BE59-45A5-A46B-A8721F3CC4E0}"/>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25426" xr:uid="{7A9ECD92-3903-4132-9126-6608174DB757}"/>
    <cellStyle name="Normal 4 2 2 6 5 2 2 3" xfId="16978" xr:uid="{BC1C8FC1-2C51-4AD5-8395-65FBB11F60B1}"/>
    <cellStyle name="Normal 4 2 2 6 5 2 3" xfId="21208" xr:uid="{08BAEB24-1499-42C6-BA3A-7A907D243C01}"/>
    <cellStyle name="Normal 4 2 2 6 5 2 4" xfId="12760" xr:uid="{2CAE2312-C487-4844-BBC6-E45E1C1239AE}"/>
    <cellStyle name="Normal 4 2 2 6 5 3" xfId="6383" xr:uid="{00000000-0005-0000-0000-00001A130000}"/>
    <cellStyle name="Normal 4 2 2 6 5 3 2" xfId="23281" xr:uid="{FC04432E-41C1-40EA-BCBC-051DE03E5317}"/>
    <cellStyle name="Normal 4 2 2 6 5 3 3" xfId="14833" xr:uid="{503813C6-C1A4-4448-9846-0E03C5EC2C44}"/>
    <cellStyle name="Normal 4 2 2 6 5 4" xfId="19063" xr:uid="{E747E32D-DE33-4F71-9770-F1492FE12354}"/>
    <cellStyle name="Normal 4 2 2 6 5 5" xfId="10615" xr:uid="{609ED006-BA30-4452-B360-5BFD825A6182}"/>
    <cellStyle name="Normal 4 2 2 6 6" xfId="2513" xr:uid="{00000000-0005-0000-0000-00001B130000}"/>
    <cellStyle name="Normal 4 2 2 6 6 2" xfId="6796" xr:uid="{00000000-0005-0000-0000-00001C130000}"/>
    <cellStyle name="Normal 4 2 2 6 6 2 2" xfId="23694" xr:uid="{68B8E8FB-55AB-43CE-ACA0-FBF757BE2BC0}"/>
    <cellStyle name="Normal 4 2 2 6 6 2 3" xfId="15246" xr:uid="{A8B06D8A-B81C-4D20-A130-FB216411FE04}"/>
    <cellStyle name="Normal 4 2 2 6 6 3" xfId="19476" xr:uid="{20C8B34A-0B28-423A-9C01-14C05314FF09}"/>
    <cellStyle name="Normal 4 2 2 6 6 4" xfId="11028" xr:uid="{8AAB7E24-E353-4471-903D-B6D4741F8B88}"/>
    <cellStyle name="Normal 4 2 2 6 7" xfId="4731" xr:uid="{00000000-0005-0000-0000-00001D130000}"/>
    <cellStyle name="Normal 4 2 2 6 7 2" xfId="21629" xr:uid="{8C5C302B-AA18-419A-9807-16CF45BA2046}"/>
    <cellStyle name="Normal 4 2 2 6 7 3" xfId="13181" xr:uid="{6DF5599C-0C90-4493-B1FF-7501F04F3C07}"/>
    <cellStyle name="Normal 4 2 2 6 8" xfId="17411" xr:uid="{5B6F4D71-7E19-4DB0-BCBD-90ADF4A645C4}"/>
    <cellStyle name="Normal 4 2 2 6 9" xfId="8963" xr:uid="{C75B384B-7E89-4177-874D-220620A5ADBB}"/>
    <cellStyle name="Normal 4 2 2 7" xfId="815" xr:uid="{00000000-0005-0000-0000-00001E130000}"/>
    <cellStyle name="Normal 4 2 2 7 2" xfId="3052" xr:uid="{00000000-0005-0000-0000-00001F130000}"/>
    <cellStyle name="Normal 4 2 2 7 2 2" xfId="7274" xr:uid="{00000000-0005-0000-0000-000020130000}"/>
    <cellStyle name="Normal 4 2 2 7 2 2 2" xfId="24172" xr:uid="{0B8D35A9-F5DD-4CF0-A285-64AA37DA98B0}"/>
    <cellStyle name="Normal 4 2 2 7 2 2 3" xfId="15724" xr:uid="{AAAF09ED-732A-4899-87A3-352F87F62F17}"/>
    <cellStyle name="Normal 4 2 2 7 2 3" xfId="19954" xr:uid="{06B0D530-2C02-492A-A106-456A0B79F562}"/>
    <cellStyle name="Normal 4 2 2 7 2 4" xfId="11506" xr:uid="{8399D3FB-4F98-4B49-B701-2BBC605C960A}"/>
    <cellStyle name="Normal 4 2 2 7 3" xfId="5129" xr:uid="{00000000-0005-0000-0000-000021130000}"/>
    <cellStyle name="Normal 4 2 2 7 3 2" xfId="22027" xr:uid="{DA4CF4B4-6468-4A4D-BBE1-40755A377EDE}"/>
    <cellStyle name="Normal 4 2 2 7 3 3" xfId="13579" xr:uid="{EDE5AEAF-3FF3-4976-93E7-FED0EE5DE77A}"/>
    <cellStyle name="Normal 4 2 2 7 4" xfId="17809" xr:uid="{7D87838C-C41A-4AE0-9AE8-5024F3996734}"/>
    <cellStyle name="Normal 4 2 2 7 5" xfId="9361" xr:uid="{7CD823D1-5D6B-4DBE-906D-3C9D68ABCECD}"/>
    <cellStyle name="Normal 4 2 2 8" xfId="1235" xr:uid="{00000000-0005-0000-0000-000022130000}"/>
    <cellStyle name="Normal 4 2 2 8 2" xfId="3465" xr:uid="{00000000-0005-0000-0000-000023130000}"/>
    <cellStyle name="Normal 4 2 2 8 2 2" xfId="7687" xr:uid="{00000000-0005-0000-0000-000024130000}"/>
    <cellStyle name="Normal 4 2 2 8 2 2 2" xfId="24585" xr:uid="{75EEC54B-E5E7-4553-AA88-9A0A241A54CE}"/>
    <cellStyle name="Normal 4 2 2 8 2 2 3" xfId="16137" xr:uid="{DA06CFFA-1482-47CE-8364-B3D400FB83A6}"/>
    <cellStyle name="Normal 4 2 2 8 2 3" xfId="20367" xr:uid="{16255E98-525F-4CAB-AB07-778C7A9C862D}"/>
    <cellStyle name="Normal 4 2 2 8 2 4" xfId="11919" xr:uid="{715DEB69-3FDA-47FF-A664-5317FA16FBC1}"/>
    <cellStyle name="Normal 4 2 2 8 3" xfId="5542" xr:uid="{00000000-0005-0000-0000-000025130000}"/>
    <cellStyle name="Normal 4 2 2 8 3 2" xfId="22440" xr:uid="{DFC501C9-1F21-4880-B5F9-DF0C64AE1AE1}"/>
    <cellStyle name="Normal 4 2 2 8 3 3" xfId="13992" xr:uid="{29429CB1-9580-4A30-AE5B-5C789113D3B7}"/>
    <cellStyle name="Normal 4 2 2 8 4" xfId="18222" xr:uid="{8D9F7347-04B9-4EA9-B192-A499191686E1}"/>
    <cellStyle name="Normal 4 2 2 8 5" xfId="9774" xr:uid="{EB84B458-3876-4689-9E92-D97372C03BF4}"/>
    <cellStyle name="Normal 4 2 2 9" xfId="1648" xr:uid="{00000000-0005-0000-0000-000026130000}"/>
    <cellStyle name="Normal 4 2 2 9 2" xfId="3878" xr:uid="{00000000-0005-0000-0000-000027130000}"/>
    <cellStyle name="Normal 4 2 2 9 2 2" xfId="8100" xr:uid="{00000000-0005-0000-0000-000028130000}"/>
    <cellStyle name="Normal 4 2 2 9 2 2 2" xfId="24998" xr:uid="{B7790412-083B-44BC-8066-CD5174FB33D4}"/>
    <cellStyle name="Normal 4 2 2 9 2 2 3" xfId="16550" xr:uid="{B71CCA02-E359-4E3C-9669-096F93001DBD}"/>
    <cellStyle name="Normal 4 2 2 9 2 3" xfId="20780" xr:uid="{B1AC864B-600E-4B04-A8D9-4D2EE4B5800D}"/>
    <cellStyle name="Normal 4 2 2 9 2 4" xfId="12332" xr:uid="{46F3D0B0-B7F8-46DA-B5A5-75263902B2A0}"/>
    <cellStyle name="Normal 4 2 2 9 3" xfId="5955" xr:uid="{00000000-0005-0000-0000-000029130000}"/>
    <cellStyle name="Normal 4 2 2 9 3 2" xfId="22853" xr:uid="{1BF8A538-4AB3-4A6A-8106-7350F4780609}"/>
    <cellStyle name="Normal 4 2 2 9 3 3" xfId="14405" xr:uid="{B4E40EE2-63BB-478E-A760-3157BBC38EF1}"/>
    <cellStyle name="Normal 4 2 2 9 4" xfId="18635" xr:uid="{CC5B3F44-40D6-4992-959C-06EE31AFACB7}"/>
    <cellStyle name="Normal 4 2 2 9 5" xfId="10187" xr:uid="{E41D300C-D2A9-4BBB-BD11-F2CFA9375AC8}"/>
    <cellStyle name="Normal 4 2 3" xfId="354" xr:uid="{00000000-0005-0000-0000-00002A130000}"/>
    <cellStyle name="Normal 4 2 4" xfId="355" xr:uid="{00000000-0005-0000-0000-00002B130000}"/>
    <cellStyle name="Normal 4 2 4 10" xfId="4732" xr:uid="{00000000-0005-0000-0000-00002C130000}"/>
    <cellStyle name="Normal 4 2 4 10 2" xfId="21630" xr:uid="{F162A185-98D4-4E85-ABC1-AD77B1780F49}"/>
    <cellStyle name="Normal 4 2 4 10 3" xfId="13182" xr:uid="{5A331E61-1B41-4EB9-AB76-2EEF169BDE37}"/>
    <cellStyle name="Normal 4 2 4 11" xfId="17412" xr:uid="{3AA970B7-2256-40E2-AFD8-5618F90FE8AA}"/>
    <cellStyle name="Normal 4 2 4 12" xfId="8964" xr:uid="{FE861154-3CBC-43C2-9E5E-A22B7DA11DD2}"/>
    <cellStyle name="Normal 4 2 4 2" xfId="356" xr:uid="{00000000-0005-0000-0000-00002D130000}"/>
    <cellStyle name="Normal 4 2 4 2 10" xfId="17413" xr:uid="{A9B041D9-B4F4-493A-925C-1490094024BA}"/>
    <cellStyle name="Normal 4 2 4 2 11" xfId="8965" xr:uid="{E6689B52-F475-42A8-9352-8BAD7F8EFE86}"/>
    <cellStyle name="Normal 4 2 4 2 2" xfId="357" xr:uid="{00000000-0005-0000-0000-00002E130000}"/>
    <cellStyle name="Normal 4 2 4 2 2 10" xfId="8966" xr:uid="{2E5BE8D2-4F92-4552-BD9C-59F08842E294}"/>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24191" xr:uid="{B0B76FFA-2AD8-490A-86E1-89E472372FBB}"/>
    <cellStyle name="Normal 4 2 4 2 2 2 2 2 2 3" xfId="15743" xr:uid="{00B6BFFE-A78F-436B-B2F9-93DB8457A787}"/>
    <cellStyle name="Normal 4 2 4 2 2 2 2 2 3" xfId="19973" xr:uid="{37E6AF52-45A0-43F6-85F3-822E49EC4EFB}"/>
    <cellStyle name="Normal 4 2 4 2 2 2 2 2 4" xfId="11525" xr:uid="{C78E6BFC-74FD-4E83-B6F5-51E3C8D69966}"/>
    <cellStyle name="Normal 4 2 4 2 2 2 2 3" xfId="5148" xr:uid="{00000000-0005-0000-0000-000033130000}"/>
    <cellStyle name="Normal 4 2 4 2 2 2 2 3 2" xfId="22046" xr:uid="{56EA0D37-F46F-4295-B802-A415ACA4708C}"/>
    <cellStyle name="Normal 4 2 4 2 2 2 2 3 3" xfId="13598" xr:uid="{EDF14D82-847C-4235-A3A3-CDFB3C087F5F}"/>
    <cellStyle name="Normal 4 2 4 2 2 2 2 4" xfId="17828" xr:uid="{98F5E050-2396-40E8-A0D7-E6ED427508CF}"/>
    <cellStyle name="Normal 4 2 4 2 2 2 2 5" xfId="9380" xr:uid="{6A90F59F-8BBB-4147-B236-44168CA4CF7F}"/>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24604" xr:uid="{CD9BEE39-1D0F-491E-8661-7B45A644F082}"/>
    <cellStyle name="Normal 4 2 4 2 2 2 3 2 2 3" xfId="16156" xr:uid="{54AF557D-AFCF-4352-B9C7-4965F6474501}"/>
    <cellStyle name="Normal 4 2 4 2 2 2 3 2 3" xfId="20386" xr:uid="{5AE809E3-7D60-43AE-B4D4-0FC1D466032E}"/>
    <cellStyle name="Normal 4 2 4 2 2 2 3 2 4" xfId="11938" xr:uid="{0D8A2E7C-7861-4824-B212-2A7662F669A5}"/>
    <cellStyle name="Normal 4 2 4 2 2 2 3 3" xfId="5561" xr:uid="{00000000-0005-0000-0000-000037130000}"/>
    <cellStyle name="Normal 4 2 4 2 2 2 3 3 2" xfId="22459" xr:uid="{6868C70E-317D-4CBA-AB98-E9A2208CEA06}"/>
    <cellStyle name="Normal 4 2 4 2 2 2 3 3 3" xfId="14011" xr:uid="{735F150A-D184-4715-A056-86062BF6ECE1}"/>
    <cellStyle name="Normal 4 2 4 2 2 2 3 4" xfId="18241" xr:uid="{DE682EEF-227D-4F12-A274-6B4939C98B1F}"/>
    <cellStyle name="Normal 4 2 4 2 2 2 3 5" xfId="9793" xr:uid="{CA9E118D-907D-4663-AEB4-6690E729920E}"/>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25017" xr:uid="{9D6FDA4A-BFB4-446D-B315-5B530769500F}"/>
    <cellStyle name="Normal 4 2 4 2 2 2 4 2 2 3" xfId="16569" xr:uid="{D4FAE57A-CFD9-42A3-A1D7-099E6FE04208}"/>
    <cellStyle name="Normal 4 2 4 2 2 2 4 2 3" xfId="20799" xr:uid="{C8C06C63-7E5A-48B3-9381-7D74FC802B53}"/>
    <cellStyle name="Normal 4 2 4 2 2 2 4 2 4" xfId="12351" xr:uid="{C43E1A86-BAD4-460E-8072-77EA08E9C52E}"/>
    <cellStyle name="Normal 4 2 4 2 2 2 4 3" xfId="5974" xr:uid="{00000000-0005-0000-0000-00003B130000}"/>
    <cellStyle name="Normal 4 2 4 2 2 2 4 3 2" xfId="22872" xr:uid="{34E534EF-8BCD-4F92-BD69-3218743BA105}"/>
    <cellStyle name="Normal 4 2 4 2 2 2 4 3 3" xfId="14424" xr:uid="{D2592285-D893-4243-8FEF-F17D64EE03A8}"/>
    <cellStyle name="Normal 4 2 4 2 2 2 4 4" xfId="18654" xr:uid="{0B3463DD-F3EF-4400-9141-AFF0A403DE4A}"/>
    <cellStyle name="Normal 4 2 4 2 2 2 4 5" xfId="10206" xr:uid="{D9F94199-55AA-41F1-AA12-2E2B4A11B9E1}"/>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25430" xr:uid="{CB409B47-271E-48D9-880C-E442AAE42367}"/>
    <cellStyle name="Normal 4 2 4 2 2 2 5 2 2 3" xfId="16982" xr:uid="{41E33D7B-F897-4AC8-A12F-82295FD2306E}"/>
    <cellStyle name="Normal 4 2 4 2 2 2 5 2 3" xfId="21212" xr:uid="{A1050D59-90FC-4DDA-9B07-17FE204936FB}"/>
    <cellStyle name="Normal 4 2 4 2 2 2 5 2 4" xfId="12764" xr:uid="{80F3FDC7-FE23-4233-897E-E71E01F775CD}"/>
    <cellStyle name="Normal 4 2 4 2 2 2 5 3" xfId="6387" xr:uid="{00000000-0005-0000-0000-00003F130000}"/>
    <cellStyle name="Normal 4 2 4 2 2 2 5 3 2" xfId="23285" xr:uid="{A8D5CBBF-3CAD-49BF-A76D-CCDE9F312786}"/>
    <cellStyle name="Normal 4 2 4 2 2 2 5 3 3" xfId="14837" xr:uid="{C44B1A36-FF22-4353-9C11-45B64359354A}"/>
    <cellStyle name="Normal 4 2 4 2 2 2 5 4" xfId="19067" xr:uid="{14B8A663-68CD-4DDF-9E32-7D82F7C7DF35}"/>
    <cellStyle name="Normal 4 2 4 2 2 2 5 5" xfId="10619" xr:uid="{11C5EA03-59F3-484B-AEB2-857FFDC644A2}"/>
    <cellStyle name="Normal 4 2 4 2 2 2 6" xfId="2517" xr:uid="{00000000-0005-0000-0000-000040130000}"/>
    <cellStyle name="Normal 4 2 4 2 2 2 6 2" xfId="6800" xr:uid="{00000000-0005-0000-0000-000041130000}"/>
    <cellStyle name="Normal 4 2 4 2 2 2 6 2 2" xfId="23698" xr:uid="{BDA4957F-2D25-492D-A6FF-F471924A9474}"/>
    <cellStyle name="Normal 4 2 4 2 2 2 6 2 3" xfId="15250" xr:uid="{962C6D13-7C98-4DF9-9796-D77C0BC88C37}"/>
    <cellStyle name="Normal 4 2 4 2 2 2 6 3" xfId="19480" xr:uid="{578F251F-3D80-4170-81E2-3B1C012C4415}"/>
    <cellStyle name="Normal 4 2 4 2 2 2 6 4" xfId="11032" xr:uid="{B3BEAB7D-0CA8-48DE-A19F-6CD83A4C8391}"/>
    <cellStyle name="Normal 4 2 4 2 2 2 7" xfId="4735" xr:uid="{00000000-0005-0000-0000-000042130000}"/>
    <cellStyle name="Normal 4 2 4 2 2 2 7 2" xfId="21633" xr:uid="{9B0A4D52-C9ED-4DF6-B07B-18D059033B52}"/>
    <cellStyle name="Normal 4 2 4 2 2 2 7 3" xfId="13185" xr:uid="{0BBE0823-FD55-4FF6-8B22-CB25E05D89AC}"/>
    <cellStyle name="Normal 4 2 4 2 2 2 8" xfId="17415" xr:uid="{E7CCADD3-99FC-466C-9991-2B28CE3498A0}"/>
    <cellStyle name="Normal 4 2 4 2 2 2 9" xfId="8967" xr:uid="{E9242039-ED6F-4AC6-8C2F-C7F3C4AEDB7C}"/>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24190" xr:uid="{8A278A11-2968-40ED-B6B7-5DC344708CCA}"/>
    <cellStyle name="Normal 4 2 4 2 2 3 2 2 3" xfId="15742" xr:uid="{8AFF8513-F005-4E1C-A6D4-F7CF2EF80611}"/>
    <cellStyle name="Normal 4 2 4 2 2 3 2 3" xfId="19972" xr:uid="{3422813D-A9B5-4803-A613-030A6D8A726C}"/>
    <cellStyle name="Normal 4 2 4 2 2 3 2 4" xfId="11524" xr:uid="{7BD0708D-DB67-47F5-A331-DDC07D9DFB36}"/>
    <cellStyle name="Normal 4 2 4 2 2 3 3" xfId="5147" xr:uid="{00000000-0005-0000-0000-000046130000}"/>
    <cellStyle name="Normal 4 2 4 2 2 3 3 2" xfId="22045" xr:uid="{7BD7C310-8793-49CB-8FF2-77ABC93951B5}"/>
    <cellStyle name="Normal 4 2 4 2 2 3 3 3" xfId="13597" xr:uid="{AFA28131-C025-4FA1-8631-153283D75904}"/>
    <cellStyle name="Normal 4 2 4 2 2 3 4" xfId="17827" xr:uid="{7A633C60-55E1-4823-80E2-15641E5B8DEB}"/>
    <cellStyle name="Normal 4 2 4 2 2 3 5" xfId="9379" xr:uid="{8385C493-7E41-4E83-B07D-ADD6EAE16326}"/>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24603" xr:uid="{251F0D9C-F503-457B-BCAC-6BD955FCC36B}"/>
    <cellStyle name="Normal 4 2 4 2 2 4 2 2 3" xfId="16155" xr:uid="{A19AE9EC-FBBB-45B3-B32E-A003DCA96DE5}"/>
    <cellStyle name="Normal 4 2 4 2 2 4 2 3" xfId="20385" xr:uid="{1C0E2ECF-FF05-457F-848A-0575F2AFA6E6}"/>
    <cellStyle name="Normal 4 2 4 2 2 4 2 4" xfId="11937" xr:uid="{C12725AE-85C5-4C6B-B830-BD9DC5A4BD91}"/>
    <cellStyle name="Normal 4 2 4 2 2 4 3" xfId="5560" xr:uid="{00000000-0005-0000-0000-00004A130000}"/>
    <cellStyle name="Normal 4 2 4 2 2 4 3 2" xfId="22458" xr:uid="{34BAF914-322B-4103-BA59-47DC60D79C1C}"/>
    <cellStyle name="Normal 4 2 4 2 2 4 3 3" xfId="14010" xr:uid="{E6C6CC1B-48DB-49A0-9D5E-0D43346BE330}"/>
    <cellStyle name="Normal 4 2 4 2 2 4 4" xfId="18240" xr:uid="{E34B942F-7849-4BC3-BBDA-7B5A325C060A}"/>
    <cellStyle name="Normal 4 2 4 2 2 4 5" xfId="9792" xr:uid="{F129EC5F-1B20-4D5E-9CF4-FAEB98084A7A}"/>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25016" xr:uid="{BBB83576-978F-4BA4-B789-C3408767C863}"/>
    <cellStyle name="Normal 4 2 4 2 2 5 2 2 3" xfId="16568" xr:uid="{474DF39D-33EB-445E-8350-57D8189F1393}"/>
    <cellStyle name="Normal 4 2 4 2 2 5 2 3" xfId="20798" xr:uid="{A510527F-E058-41BF-B1B7-CE8B841C2FAC}"/>
    <cellStyle name="Normal 4 2 4 2 2 5 2 4" xfId="12350" xr:uid="{4246DDD9-1102-4032-9514-8B2015F4C73E}"/>
    <cellStyle name="Normal 4 2 4 2 2 5 3" xfId="5973" xr:uid="{00000000-0005-0000-0000-00004E130000}"/>
    <cellStyle name="Normal 4 2 4 2 2 5 3 2" xfId="22871" xr:uid="{0F1F5B24-A609-4F66-8180-B724DF305D81}"/>
    <cellStyle name="Normal 4 2 4 2 2 5 3 3" xfId="14423" xr:uid="{E2DA0B85-97B2-4B84-92D4-4BC39618CB2C}"/>
    <cellStyle name="Normal 4 2 4 2 2 5 4" xfId="18653" xr:uid="{14B76A9C-D59E-4C54-8DE9-F46CF6B3F24F}"/>
    <cellStyle name="Normal 4 2 4 2 2 5 5" xfId="10205" xr:uid="{D4228FA0-D0D1-4F5E-A9CD-2DC2B6C00865}"/>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25429" xr:uid="{022F2BD7-596A-49C6-BF3B-3D96870743E2}"/>
    <cellStyle name="Normal 4 2 4 2 2 6 2 2 3" xfId="16981" xr:uid="{680F3FA8-74BB-469C-AA78-392E20212567}"/>
    <cellStyle name="Normal 4 2 4 2 2 6 2 3" xfId="21211" xr:uid="{CDC134DD-36E3-487A-A5D1-2644C53DDFB6}"/>
    <cellStyle name="Normal 4 2 4 2 2 6 2 4" xfId="12763" xr:uid="{F2AACEE4-DAF7-4BC8-A602-F5540593B8EE}"/>
    <cellStyle name="Normal 4 2 4 2 2 6 3" xfId="6386" xr:uid="{00000000-0005-0000-0000-000052130000}"/>
    <cellStyle name="Normal 4 2 4 2 2 6 3 2" xfId="23284" xr:uid="{0E809F71-7F82-49A1-ACEA-F67E848A7D3B}"/>
    <cellStyle name="Normal 4 2 4 2 2 6 3 3" xfId="14836" xr:uid="{250888FD-D276-428F-90B8-3027C43BD268}"/>
    <cellStyle name="Normal 4 2 4 2 2 6 4" xfId="19066" xr:uid="{E8A65A43-9646-4FDA-928C-27153FA84DD4}"/>
    <cellStyle name="Normal 4 2 4 2 2 6 5" xfId="10618" xr:uid="{30C48ACB-7EA4-46B9-BD41-9C075D3D9943}"/>
    <cellStyle name="Normal 4 2 4 2 2 7" xfId="2516" xr:uid="{00000000-0005-0000-0000-000053130000}"/>
    <cellStyle name="Normal 4 2 4 2 2 7 2" xfId="6799" xr:uid="{00000000-0005-0000-0000-000054130000}"/>
    <cellStyle name="Normal 4 2 4 2 2 7 2 2" xfId="23697" xr:uid="{F44BC5D9-009B-45B9-BA8E-E0C8FE92CCBF}"/>
    <cellStyle name="Normal 4 2 4 2 2 7 2 3" xfId="15249" xr:uid="{907AB0A3-6BDF-47F3-B97F-BB916F0183E1}"/>
    <cellStyle name="Normal 4 2 4 2 2 7 3" xfId="19479" xr:uid="{F2916349-680E-487B-8341-2371E72E0098}"/>
    <cellStyle name="Normal 4 2 4 2 2 7 4" xfId="11031" xr:uid="{AB5804CC-1216-4C27-BBEB-358534F70D6C}"/>
    <cellStyle name="Normal 4 2 4 2 2 8" xfId="4734" xr:uid="{00000000-0005-0000-0000-000055130000}"/>
    <cellStyle name="Normal 4 2 4 2 2 8 2" xfId="21632" xr:uid="{4F295676-CD03-449D-AD1A-529A47AC7A7E}"/>
    <cellStyle name="Normal 4 2 4 2 2 8 3" xfId="13184" xr:uid="{709B36D2-5BD5-44C7-A651-BA664E7A1037}"/>
    <cellStyle name="Normal 4 2 4 2 2 9" xfId="17414" xr:uid="{8DDD984C-BFD3-4C0E-8401-FCC152CF7B36}"/>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24192" xr:uid="{2B480092-31F2-4F11-9B4F-A6CCB26CF90B}"/>
    <cellStyle name="Normal 4 2 4 2 3 2 2 2 3" xfId="15744" xr:uid="{D2980CF8-C8D8-443A-AC3A-CD4D1C3C46FB}"/>
    <cellStyle name="Normal 4 2 4 2 3 2 2 3" xfId="19974" xr:uid="{D44B07E3-CF81-4861-AA8C-3343C52ED8EE}"/>
    <cellStyle name="Normal 4 2 4 2 3 2 2 4" xfId="11526" xr:uid="{2CAADC20-2931-4716-8462-B6FDD3B8E4F2}"/>
    <cellStyle name="Normal 4 2 4 2 3 2 3" xfId="5149" xr:uid="{00000000-0005-0000-0000-00005A130000}"/>
    <cellStyle name="Normal 4 2 4 2 3 2 3 2" xfId="22047" xr:uid="{504762FB-079C-443D-A983-3E018B990EB5}"/>
    <cellStyle name="Normal 4 2 4 2 3 2 3 3" xfId="13599" xr:uid="{0B696583-97E2-4DA1-AF4F-49A46FCA1ABE}"/>
    <cellStyle name="Normal 4 2 4 2 3 2 4" xfId="17829" xr:uid="{7EC6891E-608A-439C-9EEE-75E4E42C6C28}"/>
    <cellStyle name="Normal 4 2 4 2 3 2 5" xfId="9381" xr:uid="{9832A543-039E-4AC2-B6D0-E1D67B38ADF8}"/>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24605" xr:uid="{076A930D-BEA2-4ACD-A103-45F59E047452}"/>
    <cellStyle name="Normal 4 2 4 2 3 3 2 2 3" xfId="16157" xr:uid="{70A0D560-D601-4C42-B392-1EC46B1A910B}"/>
    <cellStyle name="Normal 4 2 4 2 3 3 2 3" xfId="20387" xr:uid="{8DFD6609-8332-4CEB-86EA-AFF511828328}"/>
    <cellStyle name="Normal 4 2 4 2 3 3 2 4" xfId="11939" xr:uid="{7B1500A7-ABDA-4D92-8C92-0975A0514B7D}"/>
    <cellStyle name="Normal 4 2 4 2 3 3 3" xfId="5562" xr:uid="{00000000-0005-0000-0000-00005E130000}"/>
    <cellStyle name="Normal 4 2 4 2 3 3 3 2" xfId="22460" xr:uid="{9BA1FD95-02D6-4B98-AD39-E2E7D47CB8B3}"/>
    <cellStyle name="Normal 4 2 4 2 3 3 3 3" xfId="14012" xr:uid="{DD6A8F57-923A-4820-A5A6-E773EECC6172}"/>
    <cellStyle name="Normal 4 2 4 2 3 3 4" xfId="18242" xr:uid="{408C2D43-881F-4402-B3C0-F96CAE35EC57}"/>
    <cellStyle name="Normal 4 2 4 2 3 3 5" xfId="9794" xr:uid="{D94E7EE4-326E-4B26-A1B8-172A50076F5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25018" xr:uid="{7E31D8C9-954F-4F74-B31A-74887905D08E}"/>
    <cellStyle name="Normal 4 2 4 2 3 4 2 2 3" xfId="16570" xr:uid="{7E53420B-1292-4E33-94DC-820431D8BED2}"/>
    <cellStyle name="Normal 4 2 4 2 3 4 2 3" xfId="20800" xr:uid="{CAAD872C-6158-4905-AB57-0085C806A5B1}"/>
    <cellStyle name="Normal 4 2 4 2 3 4 2 4" xfId="12352" xr:uid="{6193003A-6303-46C0-8269-FC2CA75B2E67}"/>
    <cellStyle name="Normal 4 2 4 2 3 4 3" xfId="5975" xr:uid="{00000000-0005-0000-0000-000062130000}"/>
    <cellStyle name="Normal 4 2 4 2 3 4 3 2" xfId="22873" xr:uid="{63DA29C1-BF05-4951-910D-C82A59876B2F}"/>
    <cellStyle name="Normal 4 2 4 2 3 4 3 3" xfId="14425" xr:uid="{591BC3E5-6BD1-446F-8063-D665D45B0D16}"/>
    <cellStyle name="Normal 4 2 4 2 3 4 4" xfId="18655" xr:uid="{76E1D3EC-8006-471F-AF2A-F0B02CF84B0A}"/>
    <cellStyle name="Normal 4 2 4 2 3 4 5" xfId="10207" xr:uid="{752057FC-67E9-4CE9-85A2-B92CEE97E08D}"/>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25431" xr:uid="{6799E8B0-5EFC-4E5E-ACDD-124D1A8DE851}"/>
    <cellStyle name="Normal 4 2 4 2 3 5 2 2 3" xfId="16983" xr:uid="{B36BFCDB-D24F-4496-8567-9B63885E9577}"/>
    <cellStyle name="Normal 4 2 4 2 3 5 2 3" xfId="21213" xr:uid="{7BE9650D-2270-4D4E-9951-AFEA7861F519}"/>
    <cellStyle name="Normal 4 2 4 2 3 5 2 4" xfId="12765" xr:uid="{E9F6409D-ED75-4B5B-B63E-FE5BCE51F3EC}"/>
    <cellStyle name="Normal 4 2 4 2 3 5 3" xfId="6388" xr:uid="{00000000-0005-0000-0000-000066130000}"/>
    <cellStyle name="Normal 4 2 4 2 3 5 3 2" xfId="23286" xr:uid="{6D3C53FC-D514-4252-988C-545AEC6DCF51}"/>
    <cellStyle name="Normal 4 2 4 2 3 5 3 3" xfId="14838" xr:uid="{57FF045C-F55B-4747-B2D3-893D818D1793}"/>
    <cellStyle name="Normal 4 2 4 2 3 5 4" xfId="19068" xr:uid="{B3B1B70B-7332-4129-B8C5-9B1D4D1FF4F9}"/>
    <cellStyle name="Normal 4 2 4 2 3 5 5" xfId="10620" xr:uid="{51DB32F9-56A3-4B52-B0E4-CBF398308C74}"/>
    <cellStyle name="Normal 4 2 4 2 3 6" xfId="2518" xr:uid="{00000000-0005-0000-0000-000067130000}"/>
    <cellStyle name="Normal 4 2 4 2 3 6 2" xfId="6801" xr:uid="{00000000-0005-0000-0000-000068130000}"/>
    <cellStyle name="Normal 4 2 4 2 3 6 2 2" xfId="23699" xr:uid="{40C96FB3-ADA2-4276-884C-5CDD602B4AE5}"/>
    <cellStyle name="Normal 4 2 4 2 3 6 2 3" xfId="15251" xr:uid="{377B1A42-2E2D-456E-9C5A-1B358CE44B7D}"/>
    <cellStyle name="Normal 4 2 4 2 3 6 3" xfId="19481" xr:uid="{8FAF5B9A-483C-4FD9-9CC1-EA947AC738D7}"/>
    <cellStyle name="Normal 4 2 4 2 3 6 4" xfId="11033" xr:uid="{64347DA3-E5D7-4F70-9F9B-4D2D6ACB7A62}"/>
    <cellStyle name="Normal 4 2 4 2 3 7" xfId="4736" xr:uid="{00000000-0005-0000-0000-000069130000}"/>
    <cellStyle name="Normal 4 2 4 2 3 7 2" xfId="21634" xr:uid="{C8F3C775-FBA9-4E76-BD37-6541CBABD9C8}"/>
    <cellStyle name="Normal 4 2 4 2 3 7 3" xfId="13186" xr:uid="{B1E9A4D6-12CB-42EB-AD64-AA78544BD126}"/>
    <cellStyle name="Normal 4 2 4 2 3 8" xfId="17416" xr:uid="{C9B16D82-DFE3-4315-99FB-8315B7CD874D}"/>
    <cellStyle name="Normal 4 2 4 2 3 9" xfId="8968" xr:uid="{0F7888FA-1193-4BA1-A3BB-1F065C0E1415}"/>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24189" xr:uid="{011E8995-1280-47B5-BB66-641317686B89}"/>
    <cellStyle name="Normal 4 2 4 2 4 2 2 3" xfId="15741" xr:uid="{60D6611D-AB81-497F-BC9D-70A9BFBDD336}"/>
    <cellStyle name="Normal 4 2 4 2 4 2 3" xfId="19971" xr:uid="{AC4202B6-FB35-40AF-B55C-B9A58B0F37A9}"/>
    <cellStyle name="Normal 4 2 4 2 4 2 4" xfId="11523" xr:uid="{A5C6C943-41B6-497C-AD65-152F70BCB994}"/>
    <cellStyle name="Normal 4 2 4 2 4 3" xfId="5146" xr:uid="{00000000-0005-0000-0000-00006D130000}"/>
    <cellStyle name="Normal 4 2 4 2 4 3 2" xfId="22044" xr:uid="{D67C8DBD-24D0-45B0-99AA-559AC3C43882}"/>
    <cellStyle name="Normal 4 2 4 2 4 3 3" xfId="13596" xr:uid="{EFE94C9D-895C-4193-9FBA-75106B97BC09}"/>
    <cellStyle name="Normal 4 2 4 2 4 4" xfId="17826" xr:uid="{E9B867A3-D385-4ACD-AA42-84C4C7DB3255}"/>
    <cellStyle name="Normal 4 2 4 2 4 5" xfId="9378" xr:uid="{6A9308E8-AC47-48EA-B3F2-F5666361DAA6}"/>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24602" xr:uid="{CB173E1A-74DD-4117-9AE4-6F4B1976C969}"/>
    <cellStyle name="Normal 4 2 4 2 5 2 2 3" xfId="16154" xr:uid="{E4095D56-4211-4EBD-A0F2-56C8AB0F367A}"/>
    <cellStyle name="Normal 4 2 4 2 5 2 3" xfId="20384" xr:uid="{2A4FFFB8-56B3-4192-876A-C73DA1EEC6FA}"/>
    <cellStyle name="Normal 4 2 4 2 5 2 4" xfId="11936" xr:uid="{35E367D5-6988-4431-A0FE-92F4A19D1461}"/>
    <cellStyle name="Normal 4 2 4 2 5 3" xfId="5559" xr:uid="{00000000-0005-0000-0000-000071130000}"/>
    <cellStyle name="Normal 4 2 4 2 5 3 2" xfId="22457" xr:uid="{6C2173E0-816B-4932-ABB4-51DFE27CD958}"/>
    <cellStyle name="Normal 4 2 4 2 5 3 3" xfId="14009" xr:uid="{E7459241-44D5-4052-BC9F-FB829139C47F}"/>
    <cellStyle name="Normal 4 2 4 2 5 4" xfId="18239" xr:uid="{6BE2D15F-FBBB-49C1-8935-2B9BFA14F834}"/>
    <cellStyle name="Normal 4 2 4 2 5 5" xfId="9791" xr:uid="{CA6BA6A7-5F40-479E-AA64-F9DA766FE7E8}"/>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25015" xr:uid="{EFFFD1E4-07DD-49D5-8BB5-43654178BB90}"/>
    <cellStyle name="Normal 4 2 4 2 6 2 2 3" xfId="16567" xr:uid="{43354A05-CF9D-467D-A030-9766DA939B76}"/>
    <cellStyle name="Normal 4 2 4 2 6 2 3" xfId="20797" xr:uid="{0C57DF51-803A-4530-8075-37B45ECCDA65}"/>
    <cellStyle name="Normal 4 2 4 2 6 2 4" xfId="12349" xr:uid="{E2483DFA-C5D0-4E88-96D4-7EAC9EEEABD8}"/>
    <cellStyle name="Normal 4 2 4 2 6 3" xfId="5972" xr:uid="{00000000-0005-0000-0000-000075130000}"/>
    <cellStyle name="Normal 4 2 4 2 6 3 2" xfId="22870" xr:uid="{E1920B84-E4E0-40A1-8F9E-1F390F6BC8EC}"/>
    <cellStyle name="Normal 4 2 4 2 6 3 3" xfId="14422" xr:uid="{ACB4216F-11AD-4BBA-AC7B-E9FB480B2125}"/>
    <cellStyle name="Normal 4 2 4 2 6 4" xfId="18652" xr:uid="{E4C9B13E-0300-4200-AEC1-3B9138AB0A92}"/>
    <cellStyle name="Normal 4 2 4 2 6 5" xfId="10204" xr:uid="{0640C406-3115-4B6B-9DDE-82525F796529}"/>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25428" xr:uid="{BC594DAF-72CE-42AB-8DE2-CC68C70B4683}"/>
    <cellStyle name="Normal 4 2 4 2 7 2 2 3" xfId="16980" xr:uid="{F3B9ED1D-7F0C-41EF-8013-6716E9A1DE0C}"/>
    <cellStyle name="Normal 4 2 4 2 7 2 3" xfId="21210" xr:uid="{F92D56D0-CC68-4DE2-AFB7-63B2C9FF6A33}"/>
    <cellStyle name="Normal 4 2 4 2 7 2 4" xfId="12762" xr:uid="{BD41517F-16F6-420A-A6B9-DF6DD3356C7D}"/>
    <cellStyle name="Normal 4 2 4 2 7 3" xfId="6385" xr:uid="{00000000-0005-0000-0000-000079130000}"/>
    <cellStyle name="Normal 4 2 4 2 7 3 2" xfId="23283" xr:uid="{C6D506ED-A703-4D2A-8579-62149A69A2B7}"/>
    <cellStyle name="Normal 4 2 4 2 7 3 3" xfId="14835" xr:uid="{198497C8-586E-4FD6-8E3D-5736D64B15F3}"/>
    <cellStyle name="Normal 4 2 4 2 7 4" xfId="19065" xr:uid="{5190C7C5-C117-4564-800A-020198050D35}"/>
    <cellStyle name="Normal 4 2 4 2 7 5" xfId="10617" xr:uid="{8CC91107-3965-4375-804A-A1D597F751A0}"/>
    <cellStyle name="Normal 4 2 4 2 8" xfId="2515" xr:uid="{00000000-0005-0000-0000-00007A130000}"/>
    <cellStyle name="Normal 4 2 4 2 8 2" xfId="6798" xr:uid="{00000000-0005-0000-0000-00007B130000}"/>
    <cellStyle name="Normal 4 2 4 2 8 2 2" xfId="23696" xr:uid="{2E14ED0A-D73D-41BD-9A6E-2D0EC2DB808C}"/>
    <cellStyle name="Normal 4 2 4 2 8 2 3" xfId="15248" xr:uid="{3272577A-05DC-48B7-BA2E-925C34608E69}"/>
    <cellStyle name="Normal 4 2 4 2 8 3" xfId="19478" xr:uid="{75069E82-D2C3-4115-8796-01901492782C}"/>
    <cellStyle name="Normal 4 2 4 2 8 4" xfId="11030" xr:uid="{4B9E36BF-FF45-47CD-96C7-43C32D14A3FD}"/>
    <cellStyle name="Normal 4 2 4 2 9" xfId="4733" xr:uid="{00000000-0005-0000-0000-00007C130000}"/>
    <cellStyle name="Normal 4 2 4 2 9 2" xfId="21631" xr:uid="{D6C2568F-D67E-4F4A-AB86-88803D552FFF}"/>
    <cellStyle name="Normal 4 2 4 2 9 3" xfId="13183" xr:uid="{35C697BF-363D-4EE0-A18D-8349E9C98425}"/>
    <cellStyle name="Normal 4 2 4 3" xfId="360" xr:uid="{00000000-0005-0000-0000-00007D130000}"/>
    <cellStyle name="Normal 4 2 4 3 10" xfId="8969" xr:uid="{8F66AED1-0C62-427B-9EC1-6E0FB6CEB335}"/>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24194" xr:uid="{DB46A5CE-8F5E-44E3-8B0F-3255A55F9510}"/>
    <cellStyle name="Normal 4 2 4 3 2 2 2 2 3" xfId="15746" xr:uid="{5402B73E-4011-460A-A8B0-08AA348B9389}"/>
    <cellStyle name="Normal 4 2 4 3 2 2 2 3" xfId="19976" xr:uid="{C588662C-96A9-4EF9-941C-3945421E1183}"/>
    <cellStyle name="Normal 4 2 4 3 2 2 2 4" xfId="11528" xr:uid="{1138F694-8BEF-4D87-A2BF-B5764DF0E066}"/>
    <cellStyle name="Normal 4 2 4 3 2 2 3" xfId="5151" xr:uid="{00000000-0005-0000-0000-000082130000}"/>
    <cellStyle name="Normal 4 2 4 3 2 2 3 2" xfId="22049" xr:uid="{71C1B79F-71B0-4227-B4D6-BA87FFDB8DAF}"/>
    <cellStyle name="Normal 4 2 4 3 2 2 3 3" xfId="13601" xr:uid="{D6DFDD59-7156-4E59-931F-84AD30330738}"/>
    <cellStyle name="Normal 4 2 4 3 2 2 4" xfId="17831" xr:uid="{8308CFF0-9780-4AE7-8A81-E5957FD086BA}"/>
    <cellStyle name="Normal 4 2 4 3 2 2 5" xfId="9383" xr:uid="{832CEE04-6303-4982-B76D-89C6DCCACC95}"/>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24607" xr:uid="{5337739D-6298-437A-80C5-E860E2FD3138}"/>
    <cellStyle name="Normal 4 2 4 3 2 3 2 2 3" xfId="16159" xr:uid="{63734011-3D79-4A2D-BEBA-B79527BA4CF7}"/>
    <cellStyle name="Normal 4 2 4 3 2 3 2 3" xfId="20389" xr:uid="{8B8F1F63-3195-4A84-B16E-71E3AAB56D2B}"/>
    <cellStyle name="Normal 4 2 4 3 2 3 2 4" xfId="11941" xr:uid="{6F1E9482-183A-4E36-9FA9-70D5A61B7E09}"/>
    <cellStyle name="Normal 4 2 4 3 2 3 3" xfId="5564" xr:uid="{00000000-0005-0000-0000-000086130000}"/>
    <cellStyle name="Normal 4 2 4 3 2 3 3 2" xfId="22462" xr:uid="{12AECA68-2A89-4FDF-8648-1C68BDD29A16}"/>
    <cellStyle name="Normal 4 2 4 3 2 3 3 3" xfId="14014" xr:uid="{F086BEE3-8914-4B89-AC4E-6CC4DD285D44}"/>
    <cellStyle name="Normal 4 2 4 3 2 3 4" xfId="18244" xr:uid="{5452ED3F-FD76-45EC-8178-EB40AF0C641F}"/>
    <cellStyle name="Normal 4 2 4 3 2 3 5" xfId="9796" xr:uid="{D07B409B-F3C9-4F91-B6A7-5917E83A4C56}"/>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25020" xr:uid="{811FF991-A32A-429E-85EC-96F87AAA3993}"/>
    <cellStyle name="Normal 4 2 4 3 2 4 2 2 3" xfId="16572" xr:uid="{86F7FAF5-C30E-42A7-AD40-612EEC5C240E}"/>
    <cellStyle name="Normal 4 2 4 3 2 4 2 3" xfId="20802" xr:uid="{E24F487C-D883-4AC7-A4CB-6829F0391414}"/>
    <cellStyle name="Normal 4 2 4 3 2 4 2 4" xfId="12354" xr:uid="{B1A9FEC3-E689-460A-AB6F-8BC8CE2AC655}"/>
    <cellStyle name="Normal 4 2 4 3 2 4 3" xfId="5977" xr:uid="{00000000-0005-0000-0000-00008A130000}"/>
    <cellStyle name="Normal 4 2 4 3 2 4 3 2" xfId="22875" xr:uid="{4FC8ECF4-9FD2-41DB-A2BC-95F2540EB25E}"/>
    <cellStyle name="Normal 4 2 4 3 2 4 3 3" xfId="14427" xr:uid="{AA56AEA2-CAD8-4F4D-8364-D597B4C88AA2}"/>
    <cellStyle name="Normal 4 2 4 3 2 4 4" xfId="18657" xr:uid="{5A41D62B-E3DB-47BD-90BB-EDC824E5D1AA}"/>
    <cellStyle name="Normal 4 2 4 3 2 4 5" xfId="10209" xr:uid="{99BC33FE-8445-46FC-9998-8DB499336F86}"/>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25433" xr:uid="{B9C1874D-FCF2-47FA-8141-099DDF8D751B}"/>
    <cellStyle name="Normal 4 2 4 3 2 5 2 2 3" xfId="16985" xr:uid="{8A80F66B-A0EB-4936-83E7-07A726B578E5}"/>
    <cellStyle name="Normal 4 2 4 3 2 5 2 3" xfId="21215" xr:uid="{2CE88256-6705-4FBB-9529-DF24A59C94BB}"/>
    <cellStyle name="Normal 4 2 4 3 2 5 2 4" xfId="12767" xr:uid="{FCB7EF4F-4036-4990-8D79-E475D7F889FC}"/>
    <cellStyle name="Normal 4 2 4 3 2 5 3" xfId="6390" xr:uid="{00000000-0005-0000-0000-00008E130000}"/>
    <cellStyle name="Normal 4 2 4 3 2 5 3 2" xfId="23288" xr:uid="{84CE37C4-EB73-4C92-B229-C1EAF78C5A1A}"/>
    <cellStyle name="Normal 4 2 4 3 2 5 3 3" xfId="14840" xr:uid="{4F5F9604-E48F-4707-9966-255662515C78}"/>
    <cellStyle name="Normal 4 2 4 3 2 5 4" xfId="19070" xr:uid="{D56EFED1-50B3-4C25-BCEC-3DAF4A5B8F04}"/>
    <cellStyle name="Normal 4 2 4 3 2 5 5" xfId="10622" xr:uid="{1E32A420-E19D-4362-8001-A00421384EF0}"/>
    <cellStyle name="Normal 4 2 4 3 2 6" xfId="2520" xr:uid="{00000000-0005-0000-0000-00008F130000}"/>
    <cellStyle name="Normal 4 2 4 3 2 6 2" xfId="6803" xr:uid="{00000000-0005-0000-0000-000090130000}"/>
    <cellStyle name="Normal 4 2 4 3 2 6 2 2" xfId="23701" xr:uid="{55E7EB31-F9A5-4A3E-8D4D-79D35F971940}"/>
    <cellStyle name="Normal 4 2 4 3 2 6 2 3" xfId="15253" xr:uid="{0DA67B7B-5750-4698-84A7-B84A20966478}"/>
    <cellStyle name="Normal 4 2 4 3 2 6 3" xfId="19483" xr:uid="{4F7F48A9-5741-43B9-8187-5838658B828E}"/>
    <cellStyle name="Normal 4 2 4 3 2 6 4" xfId="11035" xr:uid="{E9E3DFAE-5147-4995-8B1B-61ABD3F2B004}"/>
    <cellStyle name="Normal 4 2 4 3 2 7" xfId="4738" xr:uid="{00000000-0005-0000-0000-000091130000}"/>
    <cellStyle name="Normal 4 2 4 3 2 7 2" xfId="21636" xr:uid="{9B993617-FFD8-4572-BFF8-A780E50925F4}"/>
    <cellStyle name="Normal 4 2 4 3 2 7 3" xfId="13188" xr:uid="{7B2662D6-33F7-444B-AAE2-AB3A73B0E8E3}"/>
    <cellStyle name="Normal 4 2 4 3 2 8" xfId="17418" xr:uid="{3B9BCE20-6E8B-4F2E-86AA-DF1E266BFBB9}"/>
    <cellStyle name="Normal 4 2 4 3 2 9" xfId="8970" xr:uid="{E371BA53-EFE7-4E21-8958-E57849D34D0A}"/>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24193" xr:uid="{623B1ADE-FE6F-46F0-A463-101D8F47E417}"/>
    <cellStyle name="Normal 4 2 4 3 3 2 2 3" xfId="15745" xr:uid="{22E7BD13-97AE-471C-98CE-A1CDEDD04E68}"/>
    <cellStyle name="Normal 4 2 4 3 3 2 3" xfId="19975" xr:uid="{7A3ACEF1-5DA2-4BF7-B9B3-A99ED2BA5881}"/>
    <cellStyle name="Normal 4 2 4 3 3 2 4" xfId="11527" xr:uid="{3C31388C-708A-4F47-91CF-E19FE2FFC50B}"/>
    <cellStyle name="Normal 4 2 4 3 3 3" xfId="5150" xr:uid="{00000000-0005-0000-0000-000095130000}"/>
    <cellStyle name="Normal 4 2 4 3 3 3 2" xfId="22048" xr:uid="{0A5018E6-410E-4DB5-B543-81A9B2A48C04}"/>
    <cellStyle name="Normal 4 2 4 3 3 3 3" xfId="13600" xr:uid="{B1467C47-E40D-4A47-826D-2B5F2AADE822}"/>
    <cellStyle name="Normal 4 2 4 3 3 4" xfId="17830" xr:uid="{F3D2EE13-D3F1-49C5-9053-709E35DD21A0}"/>
    <cellStyle name="Normal 4 2 4 3 3 5" xfId="9382" xr:uid="{8D16062F-1B4F-4CEA-8115-8C0C9AA04189}"/>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24606" xr:uid="{BB339A81-52D6-41D5-BAAD-0A90C1C21D9A}"/>
    <cellStyle name="Normal 4 2 4 3 4 2 2 3" xfId="16158" xr:uid="{A38958E9-2CB0-4ECC-BF55-0351C3C1B0DF}"/>
    <cellStyle name="Normal 4 2 4 3 4 2 3" xfId="20388" xr:uid="{2B2167A2-613C-44C9-A856-AAB582075742}"/>
    <cellStyle name="Normal 4 2 4 3 4 2 4" xfId="11940" xr:uid="{6C0BF902-BB73-4C7B-BAE7-1C0AE69F74F5}"/>
    <cellStyle name="Normal 4 2 4 3 4 3" xfId="5563" xr:uid="{00000000-0005-0000-0000-000099130000}"/>
    <cellStyle name="Normal 4 2 4 3 4 3 2" xfId="22461" xr:uid="{37EFB472-8D15-4D15-ACF2-FF760F0C1DD4}"/>
    <cellStyle name="Normal 4 2 4 3 4 3 3" xfId="14013" xr:uid="{7AE253AC-09BC-43B5-AFFA-24BCB4A1CFAC}"/>
    <cellStyle name="Normal 4 2 4 3 4 4" xfId="18243" xr:uid="{873E6101-A717-4834-9DBF-2190C11A8E88}"/>
    <cellStyle name="Normal 4 2 4 3 4 5" xfId="9795" xr:uid="{EBBC866E-B174-4101-81D2-160C62B246EA}"/>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25019" xr:uid="{5B48E688-1630-47FD-A456-3A7068400A3F}"/>
    <cellStyle name="Normal 4 2 4 3 5 2 2 3" xfId="16571" xr:uid="{A67688DC-E93A-4B95-8A8C-27304A3349C5}"/>
    <cellStyle name="Normal 4 2 4 3 5 2 3" xfId="20801" xr:uid="{61F39177-2AAD-4C6C-812B-DA359BD4FFD7}"/>
    <cellStyle name="Normal 4 2 4 3 5 2 4" xfId="12353" xr:uid="{3770A9C4-2CB9-4B17-AC9A-772D25CE8CB4}"/>
    <cellStyle name="Normal 4 2 4 3 5 3" xfId="5976" xr:uid="{00000000-0005-0000-0000-00009D130000}"/>
    <cellStyle name="Normal 4 2 4 3 5 3 2" xfId="22874" xr:uid="{1DD3FA2B-329F-4996-B10E-99FFD0C23F8E}"/>
    <cellStyle name="Normal 4 2 4 3 5 3 3" xfId="14426" xr:uid="{65951FD5-6C8E-4D90-934E-FD9676FE3F73}"/>
    <cellStyle name="Normal 4 2 4 3 5 4" xfId="18656" xr:uid="{37091261-94EA-4246-A0F9-343145E4E2DE}"/>
    <cellStyle name="Normal 4 2 4 3 5 5" xfId="10208" xr:uid="{27E95AB7-9B7C-430A-82F9-BEAC0FE84085}"/>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25432" xr:uid="{5666568C-CDAD-4B42-A876-6751B6B402C9}"/>
    <cellStyle name="Normal 4 2 4 3 6 2 2 3" xfId="16984" xr:uid="{EF2FB049-82F4-45F7-9C14-E49D52048CCA}"/>
    <cellStyle name="Normal 4 2 4 3 6 2 3" xfId="21214" xr:uid="{4A74A4BD-A36A-474D-89B2-45D9B0A470D4}"/>
    <cellStyle name="Normal 4 2 4 3 6 2 4" xfId="12766" xr:uid="{23C9C850-67CE-4C99-BD8E-A86886BCC398}"/>
    <cellStyle name="Normal 4 2 4 3 6 3" xfId="6389" xr:uid="{00000000-0005-0000-0000-0000A1130000}"/>
    <cellStyle name="Normal 4 2 4 3 6 3 2" xfId="23287" xr:uid="{C5F240FF-6636-4522-8FB1-ABBF9559A744}"/>
    <cellStyle name="Normal 4 2 4 3 6 3 3" xfId="14839" xr:uid="{9377537B-4DEF-42EE-8664-97D78C235848}"/>
    <cellStyle name="Normal 4 2 4 3 6 4" xfId="19069" xr:uid="{A04135C6-442B-4AE0-927C-9334C809B098}"/>
    <cellStyle name="Normal 4 2 4 3 6 5" xfId="10621" xr:uid="{2945A332-3C8B-4EA9-8C77-202D552BE3D9}"/>
    <cellStyle name="Normal 4 2 4 3 7" xfId="2519" xr:uid="{00000000-0005-0000-0000-0000A2130000}"/>
    <cellStyle name="Normal 4 2 4 3 7 2" xfId="6802" xr:uid="{00000000-0005-0000-0000-0000A3130000}"/>
    <cellStyle name="Normal 4 2 4 3 7 2 2" xfId="23700" xr:uid="{C8021769-65E1-41FD-81CD-B119F79C6999}"/>
    <cellStyle name="Normal 4 2 4 3 7 2 3" xfId="15252" xr:uid="{363BAD5B-B4FA-463F-B3ED-23D135D5269F}"/>
    <cellStyle name="Normal 4 2 4 3 7 3" xfId="19482" xr:uid="{A701C7CA-0738-43C4-A401-30DC40720550}"/>
    <cellStyle name="Normal 4 2 4 3 7 4" xfId="11034" xr:uid="{42258C79-7E27-4928-90CB-6612F75F5F9C}"/>
    <cellStyle name="Normal 4 2 4 3 8" xfId="4737" xr:uid="{00000000-0005-0000-0000-0000A4130000}"/>
    <cellStyle name="Normal 4 2 4 3 8 2" xfId="21635" xr:uid="{6713FE60-EA7C-4CE8-84BA-ED1417D31DDD}"/>
    <cellStyle name="Normal 4 2 4 3 8 3" xfId="13187" xr:uid="{74B524DB-7EB7-4BDB-8E55-ABB90D352916}"/>
    <cellStyle name="Normal 4 2 4 3 9" xfId="17417" xr:uid="{C7948803-728B-4483-9A2C-717D4540ED9A}"/>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24195" xr:uid="{0A010286-A263-4AC9-93EE-ACC770613626}"/>
    <cellStyle name="Normal 4 2 4 4 2 2 2 3" xfId="15747" xr:uid="{296DF282-EBD2-48A1-91E2-DDDEF4F73139}"/>
    <cellStyle name="Normal 4 2 4 4 2 2 3" xfId="19977" xr:uid="{3CAAC289-E02B-4567-B60C-101EEB51107F}"/>
    <cellStyle name="Normal 4 2 4 4 2 2 4" xfId="11529" xr:uid="{337849CD-D8C9-4979-918F-25B627A80518}"/>
    <cellStyle name="Normal 4 2 4 4 2 3" xfId="5152" xr:uid="{00000000-0005-0000-0000-0000A9130000}"/>
    <cellStyle name="Normal 4 2 4 4 2 3 2" xfId="22050" xr:uid="{3C769C83-0CAB-42BA-BBD8-BC9346A5D8C1}"/>
    <cellStyle name="Normal 4 2 4 4 2 3 3" xfId="13602" xr:uid="{5D987FF4-CB5D-43A9-A5B0-3EBA538F8DE1}"/>
    <cellStyle name="Normal 4 2 4 4 2 4" xfId="17832" xr:uid="{EC9DBC4B-9AE9-40F7-A9CD-C8F0DF0708C3}"/>
    <cellStyle name="Normal 4 2 4 4 2 5" xfId="9384" xr:uid="{0E1C1ADF-9629-4336-8BD3-FE721F147222}"/>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24608" xr:uid="{D8B4221D-7D47-496F-B00D-D1FF640D3168}"/>
    <cellStyle name="Normal 4 2 4 4 3 2 2 3" xfId="16160" xr:uid="{F18977DF-11D9-4C92-BE30-71AE13D626C6}"/>
    <cellStyle name="Normal 4 2 4 4 3 2 3" xfId="20390" xr:uid="{91A49A9F-5C25-4D9F-ABCE-96D3685F4DAA}"/>
    <cellStyle name="Normal 4 2 4 4 3 2 4" xfId="11942" xr:uid="{398989E8-EAF6-423B-815E-220A59AEC358}"/>
    <cellStyle name="Normal 4 2 4 4 3 3" xfId="5565" xr:uid="{00000000-0005-0000-0000-0000AD130000}"/>
    <cellStyle name="Normal 4 2 4 4 3 3 2" xfId="22463" xr:uid="{2922FFF9-ABC4-4470-9108-81E01DF2185A}"/>
    <cellStyle name="Normal 4 2 4 4 3 3 3" xfId="14015" xr:uid="{A6CB7038-AB72-406F-A8BB-62CCBD32243D}"/>
    <cellStyle name="Normal 4 2 4 4 3 4" xfId="18245" xr:uid="{00CA89A3-7EC4-438E-BAB5-AA384B1C5A83}"/>
    <cellStyle name="Normal 4 2 4 4 3 5" xfId="9797" xr:uid="{9C442F51-F134-460B-A272-11A6D5840D6C}"/>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25021" xr:uid="{3949C919-0330-4C16-826C-51B040804E8F}"/>
    <cellStyle name="Normal 4 2 4 4 4 2 2 3" xfId="16573" xr:uid="{1D042D05-CBF4-42FA-98C5-CF8C10112B68}"/>
    <cellStyle name="Normal 4 2 4 4 4 2 3" xfId="20803" xr:uid="{2E36D293-3729-41CC-A4C8-15CEE5D10C14}"/>
    <cellStyle name="Normal 4 2 4 4 4 2 4" xfId="12355" xr:uid="{3194A09C-48CB-4DE1-B031-1B6553D9D1AF}"/>
    <cellStyle name="Normal 4 2 4 4 4 3" xfId="5978" xr:uid="{00000000-0005-0000-0000-0000B1130000}"/>
    <cellStyle name="Normal 4 2 4 4 4 3 2" xfId="22876" xr:uid="{B6E266AD-EEC1-4EAC-9013-62DFDCAEE56D}"/>
    <cellStyle name="Normal 4 2 4 4 4 3 3" xfId="14428" xr:uid="{FF68CED5-CE34-4AFE-93A9-BF4385B9AF48}"/>
    <cellStyle name="Normal 4 2 4 4 4 4" xfId="18658" xr:uid="{49A252CE-0A39-450A-8A79-E75D75275DD1}"/>
    <cellStyle name="Normal 4 2 4 4 4 5" xfId="10210" xr:uid="{713E871B-3091-4FF5-8B97-A0798EDD881E}"/>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25434" xr:uid="{7AB73990-7C82-4205-8A93-01725B32A788}"/>
    <cellStyle name="Normal 4 2 4 4 5 2 2 3" xfId="16986" xr:uid="{C122D489-4BCD-4293-BB92-9CC35E4443F6}"/>
    <cellStyle name="Normal 4 2 4 4 5 2 3" xfId="21216" xr:uid="{DC8221AA-A979-471F-9B15-8D8E2791A959}"/>
    <cellStyle name="Normal 4 2 4 4 5 2 4" xfId="12768" xr:uid="{A4EEFDD2-9755-43D0-BB92-637344AD80E2}"/>
    <cellStyle name="Normal 4 2 4 4 5 3" xfId="6391" xr:uid="{00000000-0005-0000-0000-0000B5130000}"/>
    <cellStyle name="Normal 4 2 4 4 5 3 2" xfId="23289" xr:uid="{4E8EBA39-7EFF-4671-9E21-5921FD832051}"/>
    <cellStyle name="Normal 4 2 4 4 5 3 3" xfId="14841" xr:uid="{919A214F-1AAB-484C-B2D3-F44C98A9118D}"/>
    <cellStyle name="Normal 4 2 4 4 5 4" xfId="19071" xr:uid="{9E812BA4-E284-4C91-9B9A-D8359799D4A5}"/>
    <cellStyle name="Normal 4 2 4 4 5 5" xfId="10623" xr:uid="{8891EC66-695A-47EF-A13B-347EC98E04B8}"/>
    <cellStyle name="Normal 4 2 4 4 6" xfId="2521" xr:uid="{00000000-0005-0000-0000-0000B6130000}"/>
    <cellStyle name="Normal 4 2 4 4 6 2" xfId="6804" xr:uid="{00000000-0005-0000-0000-0000B7130000}"/>
    <cellStyle name="Normal 4 2 4 4 6 2 2" xfId="23702" xr:uid="{061A8A11-D09F-4363-B884-212E25C614FD}"/>
    <cellStyle name="Normal 4 2 4 4 6 2 3" xfId="15254" xr:uid="{B947BBC5-5D07-4DA2-8C98-AB36CFA95206}"/>
    <cellStyle name="Normal 4 2 4 4 6 3" xfId="19484" xr:uid="{D8259EF7-1ADB-4624-8F75-9120EF1AB63B}"/>
    <cellStyle name="Normal 4 2 4 4 6 4" xfId="11036" xr:uid="{2E0A162D-06D1-45DE-87C0-2F26075196CB}"/>
    <cellStyle name="Normal 4 2 4 4 7" xfId="4739" xr:uid="{00000000-0005-0000-0000-0000B8130000}"/>
    <cellStyle name="Normal 4 2 4 4 7 2" xfId="21637" xr:uid="{56539B35-69AA-440C-9260-02D53D1EEF41}"/>
    <cellStyle name="Normal 4 2 4 4 7 3" xfId="13189" xr:uid="{3C848798-432D-4C13-8304-5C1857AD08B9}"/>
    <cellStyle name="Normal 4 2 4 4 8" xfId="17419" xr:uid="{FD5C4C40-BB37-48E2-9E44-3F9C0CD2ED19}"/>
    <cellStyle name="Normal 4 2 4 4 9" xfId="8971" xr:uid="{AE34E5D6-8698-4D71-B2B7-69F77FC57750}"/>
    <cellStyle name="Normal 4 2 4 5" xfId="831" xr:uid="{00000000-0005-0000-0000-0000B9130000}"/>
    <cellStyle name="Normal 4 2 4 5 2" xfId="3068" xr:uid="{00000000-0005-0000-0000-0000BA130000}"/>
    <cellStyle name="Normal 4 2 4 5 2 2" xfId="7290" xr:uid="{00000000-0005-0000-0000-0000BB130000}"/>
    <cellStyle name="Normal 4 2 4 5 2 2 2" xfId="24188" xr:uid="{362B8B93-D3B3-478B-9A6A-5CE15EF17AF9}"/>
    <cellStyle name="Normal 4 2 4 5 2 2 3" xfId="15740" xr:uid="{B63FE98F-3231-43E6-A785-1D3B596D0F78}"/>
    <cellStyle name="Normal 4 2 4 5 2 3" xfId="19970" xr:uid="{3E9D7E17-1F7D-41EC-93F0-7255E71B8302}"/>
    <cellStyle name="Normal 4 2 4 5 2 4" xfId="11522" xr:uid="{0953B50C-C0FB-48A6-8584-6C207F303FB9}"/>
    <cellStyle name="Normal 4 2 4 5 3" xfId="5145" xr:uid="{00000000-0005-0000-0000-0000BC130000}"/>
    <cellStyle name="Normal 4 2 4 5 3 2" xfId="22043" xr:uid="{CD9A8AAB-FE51-48AD-91F2-386B1FAE1243}"/>
    <cellStyle name="Normal 4 2 4 5 3 3" xfId="13595" xr:uid="{217CC1FF-0DE4-475F-AECE-B1EA5F397CE1}"/>
    <cellStyle name="Normal 4 2 4 5 4" xfId="17825" xr:uid="{E5D9D14F-0ADE-425F-B69B-F0EAB156145B}"/>
    <cellStyle name="Normal 4 2 4 5 5" xfId="9377" xr:uid="{A51B97CB-D273-400E-8278-E93E0D6C13E1}"/>
    <cellStyle name="Normal 4 2 4 6" xfId="1251" xr:uid="{00000000-0005-0000-0000-0000BD130000}"/>
    <cellStyle name="Normal 4 2 4 6 2" xfId="3481" xr:uid="{00000000-0005-0000-0000-0000BE130000}"/>
    <cellStyle name="Normal 4 2 4 6 2 2" xfId="7703" xr:uid="{00000000-0005-0000-0000-0000BF130000}"/>
    <cellStyle name="Normal 4 2 4 6 2 2 2" xfId="24601" xr:uid="{80D29779-8910-41DD-9627-C0A34B222B2A}"/>
    <cellStyle name="Normal 4 2 4 6 2 2 3" xfId="16153" xr:uid="{B0BD97CE-1386-43D9-B4BE-DF5921630217}"/>
    <cellStyle name="Normal 4 2 4 6 2 3" xfId="20383" xr:uid="{0605937A-2FA3-4677-B37F-B3B5D69D7791}"/>
    <cellStyle name="Normal 4 2 4 6 2 4" xfId="11935" xr:uid="{1D004553-1C70-4981-B489-7F0CB20DC95D}"/>
    <cellStyle name="Normal 4 2 4 6 3" xfId="5558" xr:uid="{00000000-0005-0000-0000-0000C0130000}"/>
    <cellStyle name="Normal 4 2 4 6 3 2" xfId="22456" xr:uid="{10010E27-A5DC-45EE-9D08-DFE27F721629}"/>
    <cellStyle name="Normal 4 2 4 6 3 3" xfId="14008" xr:uid="{BDBFB45F-CFC9-4EBF-90CA-F1AAC5969C5A}"/>
    <cellStyle name="Normal 4 2 4 6 4" xfId="18238" xr:uid="{C856B67B-7513-47FE-8576-D4C9533A8D60}"/>
    <cellStyle name="Normal 4 2 4 6 5" xfId="9790" xr:uid="{9E535272-91DB-4169-8971-AB0EBDE760EE}"/>
    <cellStyle name="Normal 4 2 4 7" xfId="1664" xr:uid="{00000000-0005-0000-0000-0000C1130000}"/>
    <cellStyle name="Normal 4 2 4 7 2" xfId="3894" xr:uid="{00000000-0005-0000-0000-0000C2130000}"/>
    <cellStyle name="Normal 4 2 4 7 2 2" xfId="8116" xr:uid="{00000000-0005-0000-0000-0000C3130000}"/>
    <cellStyle name="Normal 4 2 4 7 2 2 2" xfId="25014" xr:uid="{79956C48-C991-451D-9F4A-9F7AB7CD74CB}"/>
    <cellStyle name="Normal 4 2 4 7 2 2 3" xfId="16566" xr:uid="{CA688AE8-CB22-4737-AD84-35FF24BDBB6E}"/>
    <cellStyle name="Normal 4 2 4 7 2 3" xfId="20796" xr:uid="{289F997F-5934-4309-9F86-104FAD1E83D0}"/>
    <cellStyle name="Normal 4 2 4 7 2 4" xfId="12348" xr:uid="{8F0F2E61-C3B3-4B3E-9286-7D7FE5F9A800}"/>
    <cellStyle name="Normal 4 2 4 7 3" xfId="5971" xr:uid="{00000000-0005-0000-0000-0000C4130000}"/>
    <cellStyle name="Normal 4 2 4 7 3 2" xfId="22869" xr:uid="{AD71ED2A-3596-4793-90B4-3E0FF8EE13A6}"/>
    <cellStyle name="Normal 4 2 4 7 3 3" xfId="14421" xr:uid="{C02883FE-187F-46E2-AA3F-D553914668BC}"/>
    <cellStyle name="Normal 4 2 4 7 4" xfId="18651" xr:uid="{E495F6F5-FB5D-4FA7-98C0-75D832A20664}"/>
    <cellStyle name="Normal 4 2 4 7 5" xfId="10203" xr:uid="{71F2627E-4C16-4C50-AE0A-18936F9B0D0A}"/>
    <cellStyle name="Normal 4 2 4 8" xfId="2078" xr:uid="{00000000-0005-0000-0000-0000C5130000}"/>
    <cellStyle name="Normal 4 2 4 8 2" xfId="4307" xr:uid="{00000000-0005-0000-0000-0000C6130000}"/>
    <cellStyle name="Normal 4 2 4 8 2 2" xfId="8529" xr:uid="{00000000-0005-0000-0000-0000C7130000}"/>
    <cellStyle name="Normal 4 2 4 8 2 2 2" xfId="25427" xr:uid="{F226C7C7-EB37-4D33-AA1A-0FCE4E7C07CF}"/>
    <cellStyle name="Normal 4 2 4 8 2 2 3" xfId="16979" xr:uid="{70726793-AB16-4278-BD70-EB754D4D6536}"/>
    <cellStyle name="Normal 4 2 4 8 2 3" xfId="21209" xr:uid="{4CBBBCCD-84AE-43CC-96D6-8C9AD45194F3}"/>
    <cellStyle name="Normal 4 2 4 8 2 4" xfId="12761" xr:uid="{08BF7112-08EF-4394-8FED-60A841841D0B}"/>
    <cellStyle name="Normal 4 2 4 8 3" xfId="6384" xr:uid="{00000000-0005-0000-0000-0000C8130000}"/>
    <cellStyle name="Normal 4 2 4 8 3 2" xfId="23282" xr:uid="{C25397E5-4114-4F25-A98C-CD2FC6A7D9D4}"/>
    <cellStyle name="Normal 4 2 4 8 3 3" xfId="14834" xr:uid="{E4806DDE-3655-4A7A-A053-9A0F4FE9C008}"/>
    <cellStyle name="Normal 4 2 4 8 4" xfId="19064" xr:uid="{879CEED1-F537-402C-A7E4-FE240EC7F5E2}"/>
    <cellStyle name="Normal 4 2 4 8 5" xfId="10616" xr:uid="{22505BAC-6705-44C4-B15B-1872CBF5CED7}"/>
    <cellStyle name="Normal 4 2 4 9" xfId="2514" xr:uid="{00000000-0005-0000-0000-0000C9130000}"/>
    <cellStyle name="Normal 4 2 4 9 2" xfId="6797" xr:uid="{00000000-0005-0000-0000-0000CA130000}"/>
    <cellStyle name="Normal 4 2 4 9 2 2" xfId="23695" xr:uid="{E7551F6B-56F6-4E0A-98AE-DD57D387DFC2}"/>
    <cellStyle name="Normal 4 2 4 9 2 3" xfId="15247" xr:uid="{77705A62-3F73-42FA-AC81-A5AD3F0A12EA}"/>
    <cellStyle name="Normal 4 2 4 9 3" xfId="19477" xr:uid="{C71B0617-66E3-4FB8-9665-20B0AC52D396}"/>
    <cellStyle name="Normal 4 2 4 9 4" xfId="11029" xr:uid="{32EE927C-D7DA-435A-8931-20743D7D957B}"/>
    <cellStyle name="Normal 4 2 5" xfId="363" xr:uid="{00000000-0005-0000-0000-0000CB130000}"/>
    <cellStyle name="Normal 4 2 5 10" xfId="8972" xr:uid="{D0ECB2C5-CFE6-4CD0-A1D9-EE6B1EC22E04}"/>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24197" xr:uid="{2701D6E1-D9F7-4BD2-89D9-BA53D1F10D69}"/>
    <cellStyle name="Normal 4 2 5 2 2 2 2 3" xfId="15749" xr:uid="{12D5EBC7-B764-4BAD-AB77-E9CF73C6EBB0}"/>
    <cellStyle name="Normal 4 2 5 2 2 2 3" xfId="19979" xr:uid="{80AC79DF-1AF6-401B-94F0-A2CB0DB5001A}"/>
    <cellStyle name="Normal 4 2 5 2 2 2 4" xfId="11531" xr:uid="{DE6770F1-FD51-4003-9C7F-8CA69971316C}"/>
    <cellStyle name="Normal 4 2 5 2 2 3" xfId="5154" xr:uid="{00000000-0005-0000-0000-0000D0130000}"/>
    <cellStyle name="Normal 4 2 5 2 2 3 2" xfId="22052" xr:uid="{E441FB97-F19C-4402-A82A-7CA0810831FB}"/>
    <cellStyle name="Normal 4 2 5 2 2 3 3" xfId="13604" xr:uid="{D636DB40-96FE-43D3-B2CA-4C4058EEB2FA}"/>
    <cellStyle name="Normal 4 2 5 2 2 4" xfId="17834" xr:uid="{C6FA6540-D427-4516-8A53-A0B1323AC645}"/>
    <cellStyle name="Normal 4 2 5 2 2 5" xfId="9386" xr:uid="{9794C832-E01D-47C3-8A2F-E0CFDE81F444}"/>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24610" xr:uid="{7534EA3B-B684-49F7-BE03-1611A702E979}"/>
    <cellStyle name="Normal 4 2 5 2 3 2 2 3" xfId="16162" xr:uid="{AD4E277D-9478-4D98-91BC-BA0B7874F6FD}"/>
    <cellStyle name="Normal 4 2 5 2 3 2 3" xfId="20392" xr:uid="{28EAA233-6ADE-434F-BB34-0CFB68A60219}"/>
    <cellStyle name="Normal 4 2 5 2 3 2 4" xfId="11944" xr:uid="{A8954A88-FBCC-4716-8419-AADEDE273872}"/>
    <cellStyle name="Normal 4 2 5 2 3 3" xfId="5567" xr:uid="{00000000-0005-0000-0000-0000D4130000}"/>
    <cellStyle name="Normal 4 2 5 2 3 3 2" xfId="22465" xr:uid="{55C48E58-EF61-47B9-B0C3-FF01AD5B02E2}"/>
    <cellStyle name="Normal 4 2 5 2 3 3 3" xfId="14017" xr:uid="{E4F27CD3-833F-45CC-B88E-28EF7021CE3F}"/>
    <cellStyle name="Normal 4 2 5 2 3 4" xfId="18247" xr:uid="{03BE8D61-CB3B-4C64-8F0B-0EF564BA5342}"/>
    <cellStyle name="Normal 4 2 5 2 3 5" xfId="9799" xr:uid="{762CFE21-3AD9-4B0A-B5EF-F692317BE093}"/>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25023" xr:uid="{6630C5E7-6AC2-494E-9545-FCBE160ED163}"/>
    <cellStyle name="Normal 4 2 5 2 4 2 2 3" xfId="16575" xr:uid="{739D342C-3D2A-46C4-94D8-A7640CC39361}"/>
    <cellStyle name="Normal 4 2 5 2 4 2 3" xfId="20805" xr:uid="{A7AF5904-2C9E-4F74-9C96-CCD48F056F96}"/>
    <cellStyle name="Normal 4 2 5 2 4 2 4" xfId="12357" xr:uid="{ED90065F-2CFB-4C1B-8DA4-97018A97B2D8}"/>
    <cellStyle name="Normal 4 2 5 2 4 3" xfId="5980" xr:uid="{00000000-0005-0000-0000-0000D8130000}"/>
    <cellStyle name="Normal 4 2 5 2 4 3 2" xfId="22878" xr:uid="{8CFEF537-080A-4965-A5DF-BB003E59780D}"/>
    <cellStyle name="Normal 4 2 5 2 4 3 3" xfId="14430" xr:uid="{81104009-B935-407F-89E7-69FE903AC032}"/>
    <cellStyle name="Normal 4 2 5 2 4 4" xfId="18660" xr:uid="{FA05B4EB-1FDC-4446-A717-CED2663AAF35}"/>
    <cellStyle name="Normal 4 2 5 2 4 5" xfId="10212" xr:uid="{4F28F627-CA4A-4B08-9ECF-9AE2CAE0CD4F}"/>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25436" xr:uid="{D7EEC522-30EB-482D-B584-6EC9319F94D6}"/>
    <cellStyle name="Normal 4 2 5 2 5 2 2 3" xfId="16988" xr:uid="{55222AEF-333B-4DF5-A402-4E11C04C2571}"/>
    <cellStyle name="Normal 4 2 5 2 5 2 3" xfId="21218" xr:uid="{052F3806-3210-4266-A3B1-86082D5BC22D}"/>
    <cellStyle name="Normal 4 2 5 2 5 2 4" xfId="12770" xr:uid="{8416648B-ADB9-4D62-BB07-B090C26E34FB}"/>
    <cellStyle name="Normal 4 2 5 2 5 3" xfId="6393" xr:uid="{00000000-0005-0000-0000-0000DC130000}"/>
    <cellStyle name="Normal 4 2 5 2 5 3 2" xfId="23291" xr:uid="{7A529377-7749-4721-A671-AB7D3D582B20}"/>
    <cellStyle name="Normal 4 2 5 2 5 3 3" xfId="14843" xr:uid="{4EC0E7F7-B7C6-473B-9926-CB5A96488401}"/>
    <cellStyle name="Normal 4 2 5 2 5 4" xfId="19073" xr:uid="{AC68288B-6044-49C4-A827-45726370CA19}"/>
    <cellStyle name="Normal 4 2 5 2 5 5" xfId="10625" xr:uid="{3EBCC2D7-1D68-4000-8B65-BDBC10A44C56}"/>
    <cellStyle name="Normal 4 2 5 2 6" xfId="2523" xr:uid="{00000000-0005-0000-0000-0000DD130000}"/>
    <cellStyle name="Normal 4 2 5 2 6 2" xfId="6806" xr:uid="{00000000-0005-0000-0000-0000DE130000}"/>
    <cellStyle name="Normal 4 2 5 2 6 2 2" xfId="23704" xr:uid="{D47ACCF8-A796-4FF4-A252-E9F104BD9518}"/>
    <cellStyle name="Normal 4 2 5 2 6 2 3" xfId="15256" xr:uid="{87A7697C-C80D-45DA-8F8A-FC2BF80EF5A7}"/>
    <cellStyle name="Normal 4 2 5 2 6 3" xfId="19486" xr:uid="{74056E3E-6BFF-492D-9EA6-FCC35496DD46}"/>
    <cellStyle name="Normal 4 2 5 2 6 4" xfId="11038" xr:uid="{B0E3F6DD-A39C-4A5C-9377-15CD139F1DF4}"/>
    <cellStyle name="Normal 4 2 5 2 7" xfId="4741" xr:uid="{00000000-0005-0000-0000-0000DF130000}"/>
    <cellStyle name="Normal 4 2 5 2 7 2" xfId="21639" xr:uid="{8AF3E06E-030C-4A65-A532-D9F373DEFD77}"/>
    <cellStyle name="Normal 4 2 5 2 7 3" xfId="13191" xr:uid="{5D0F7CAE-0B35-4785-90B6-FA0D750C7A4B}"/>
    <cellStyle name="Normal 4 2 5 2 8" xfId="17421" xr:uid="{5D2DE608-BAF0-44E9-BA0C-F294C8F6BC33}"/>
    <cellStyle name="Normal 4 2 5 2 9" xfId="8973" xr:uid="{A46F6B83-12AF-4A41-899C-94E7868B3985}"/>
    <cellStyle name="Normal 4 2 5 3" xfId="839" xr:uid="{00000000-0005-0000-0000-0000E0130000}"/>
    <cellStyle name="Normal 4 2 5 3 2" xfId="3076" xr:uid="{00000000-0005-0000-0000-0000E1130000}"/>
    <cellStyle name="Normal 4 2 5 3 2 2" xfId="7298" xr:uid="{00000000-0005-0000-0000-0000E2130000}"/>
    <cellStyle name="Normal 4 2 5 3 2 2 2" xfId="24196" xr:uid="{7E10E4DE-7463-4E7C-AB87-0CF849D1A544}"/>
    <cellStyle name="Normal 4 2 5 3 2 2 3" xfId="15748" xr:uid="{FBD65241-5884-46EE-96D8-4AA543ED3074}"/>
    <cellStyle name="Normal 4 2 5 3 2 3" xfId="19978" xr:uid="{E3DB6BBF-3CAA-4F34-8AC1-23B9F5D6E18D}"/>
    <cellStyle name="Normal 4 2 5 3 2 4" xfId="11530" xr:uid="{86754969-C5F0-4F9A-8252-16EF58822B57}"/>
    <cellStyle name="Normal 4 2 5 3 3" xfId="5153" xr:uid="{00000000-0005-0000-0000-0000E3130000}"/>
    <cellStyle name="Normal 4 2 5 3 3 2" xfId="22051" xr:uid="{F9BAEB41-7E63-4213-A211-71E47A527F24}"/>
    <cellStyle name="Normal 4 2 5 3 3 3" xfId="13603" xr:uid="{27912DAB-FD95-42CE-B74C-FEE5792E1408}"/>
    <cellStyle name="Normal 4 2 5 3 4" xfId="17833" xr:uid="{2DBBB390-BDC3-4107-A045-0E6790BB0D76}"/>
    <cellStyle name="Normal 4 2 5 3 5" xfId="9385" xr:uid="{54BEC7D2-CE64-4C2A-9E4A-9B4F849A609D}"/>
    <cellStyle name="Normal 4 2 5 4" xfId="1259" xr:uid="{00000000-0005-0000-0000-0000E4130000}"/>
    <cellStyle name="Normal 4 2 5 4 2" xfId="3489" xr:uid="{00000000-0005-0000-0000-0000E5130000}"/>
    <cellStyle name="Normal 4 2 5 4 2 2" xfId="7711" xr:uid="{00000000-0005-0000-0000-0000E6130000}"/>
    <cellStyle name="Normal 4 2 5 4 2 2 2" xfId="24609" xr:uid="{F5DA55C4-DF02-42F1-AD6F-C9143550E957}"/>
    <cellStyle name="Normal 4 2 5 4 2 2 3" xfId="16161" xr:uid="{BFEFE2D9-3728-43AD-A4AC-E1E49BD5F5BB}"/>
    <cellStyle name="Normal 4 2 5 4 2 3" xfId="20391" xr:uid="{BD75687B-ED51-4C4E-AFDF-C88D01DC27D2}"/>
    <cellStyle name="Normal 4 2 5 4 2 4" xfId="11943" xr:uid="{12A27202-326B-499A-9848-F7CF8D2B7EE5}"/>
    <cellStyle name="Normal 4 2 5 4 3" xfId="5566" xr:uid="{00000000-0005-0000-0000-0000E7130000}"/>
    <cellStyle name="Normal 4 2 5 4 3 2" xfId="22464" xr:uid="{E7B0B369-7126-42D8-90CD-AD9B8BBD3621}"/>
    <cellStyle name="Normal 4 2 5 4 3 3" xfId="14016" xr:uid="{440309B9-DFD5-4441-AC15-A234E9798C6E}"/>
    <cellStyle name="Normal 4 2 5 4 4" xfId="18246" xr:uid="{A7E843E3-A925-4CA3-80F7-07062FC430DE}"/>
    <cellStyle name="Normal 4 2 5 4 5" xfId="9798" xr:uid="{E3B9B429-EFB0-4393-B7EE-75F62A09FCE1}"/>
    <cellStyle name="Normal 4 2 5 5" xfId="1672" xr:uid="{00000000-0005-0000-0000-0000E8130000}"/>
    <cellStyle name="Normal 4 2 5 5 2" xfId="3902" xr:uid="{00000000-0005-0000-0000-0000E9130000}"/>
    <cellStyle name="Normal 4 2 5 5 2 2" xfId="8124" xr:uid="{00000000-0005-0000-0000-0000EA130000}"/>
    <cellStyle name="Normal 4 2 5 5 2 2 2" xfId="25022" xr:uid="{70A84BDC-D4F8-48E8-B25B-3E008ABD4C9A}"/>
    <cellStyle name="Normal 4 2 5 5 2 2 3" xfId="16574" xr:uid="{CE29ED6B-C904-4DC0-9A0F-E36525C776D9}"/>
    <cellStyle name="Normal 4 2 5 5 2 3" xfId="20804" xr:uid="{836014D8-FE1E-4882-96DE-E9B83A682BCD}"/>
    <cellStyle name="Normal 4 2 5 5 2 4" xfId="12356" xr:uid="{4ECC3360-A7C1-4402-93F8-C030E73E4112}"/>
    <cellStyle name="Normal 4 2 5 5 3" xfId="5979" xr:uid="{00000000-0005-0000-0000-0000EB130000}"/>
    <cellStyle name="Normal 4 2 5 5 3 2" xfId="22877" xr:uid="{76F799EB-A92B-4646-95A6-DA2AB7A0B865}"/>
    <cellStyle name="Normal 4 2 5 5 3 3" xfId="14429" xr:uid="{0F58BE5F-A4C3-43E8-8BCE-288622CC90EE}"/>
    <cellStyle name="Normal 4 2 5 5 4" xfId="18659" xr:uid="{43451900-7B8B-44B9-83E6-4210A361A2E2}"/>
    <cellStyle name="Normal 4 2 5 5 5" xfId="10211" xr:uid="{58B5B00D-8D70-4478-8C7C-66A7F7B38303}"/>
    <cellStyle name="Normal 4 2 5 6" xfId="2086" xr:uid="{00000000-0005-0000-0000-0000EC130000}"/>
    <cellStyle name="Normal 4 2 5 6 2" xfId="4315" xr:uid="{00000000-0005-0000-0000-0000ED130000}"/>
    <cellStyle name="Normal 4 2 5 6 2 2" xfId="8537" xr:uid="{00000000-0005-0000-0000-0000EE130000}"/>
    <cellStyle name="Normal 4 2 5 6 2 2 2" xfId="25435" xr:uid="{E9095A0A-CFFD-44E8-A437-7CC550A0F705}"/>
    <cellStyle name="Normal 4 2 5 6 2 2 3" xfId="16987" xr:uid="{D5A8143B-75C3-4B4E-9E38-A5DC834FFFBD}"/>
    <cellStyle name="Normal 4 2 5 6 2 3" xfId="21217" xr:uid="{1ECA7876-1746-46C7-AE43-B06EFD7E959D}"/>
    <cellStyle name="Normal 4 2 5 6 2 4" xfId="12769" xr:uid="{45D547F5-F528-4C98-8063-1FD468DD9833}"/>
    <cellStyle name="Normal 4 2 5 6 3" xfId="6392" xr:uid="{00000000-0005-0000-0000-0000EF130000}"/>
    <cellStyle name="Normal 4 2 5 6 3 2" xfId="23290" xr:uid="{F8913970-9273-44CF-885E-B26FD382CA83}"/>
    <cellStyle name="Normal 4 2 5 6 3 3" xfId="14842" xr:uid="{85BACEE7-95B1-4CBB-A193-4199F1C75860}"/>
    <cellStyle name="Normal 4 2 5 6 4" xfId="19072" xr:uid="{1FB94D94-20B6-40F8-BFEA-8B0B3A29E465}"/>
    <cellStyle name="Normal 4 2 5 6 5" xfId="10624" xr:uid="{A0D4AB6A-EB14-41F6-B8B8-1554F4C31B88}"/>
    <cellStyle name="Normal 4 2 5 7" xfId="2522" xr:uid="{00000000-0005-0000-0000-0000F0130000}"/>
    <cellStyle name="Normal 4 2 5 7 2" xfId="6805" xr:uid="{00000000-0005-0000-0000-0000F1130000}"/>
    <cellStyle name="Normal 4 2 5 7 2 2" xfId="23703" xr:uid="{10831B8F-A07D-4157-AC25-0F1ADCDA285F}"/>
    <cellStyle name="Normal 4 2 5 7 2 3" xfId="15255" xr:uid="{442AA95E-8372-45BB-9A80-B84BC9837376}"/>
    <cellStyle name="Normal 4 2 5 7 3" xfId="19485" xr:uid="{F8E2E95B-D2BA-45EC-89F9-D39E6753ECCA}"/>
    <cellStyle name="Normal 4 2 5 7 4" xfId="11037" xr:uid="{F3060A7E-F4DB-43DB-9E9F-E3140B25FA67}"/>
    <cellStyle name="Normal 4 2 5 8" xfId="4740" xr:uid="{00000000-0005-0000-0000-0000F2130000}"/>
    <cellStyle name="Normal 4 2 5 8 2" xfId="21638" xr:uid="{DF73AB85-5155-4CE6-B8A0-7DC43AE7EB8A}"/>
    <cellStyle name="Normal 4 2 5 8 3" xfId="13190" xr:uid="{003C2E44-814C-435A-80AF-CCD04C77D7AB}"/>
    <cellStyle name="Normal 4 2 5 9" xfId="17420" xr:uid="{C7B108D9-D401-4C02-83B6-EE47D8F87EA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2 2 2" xfId="24198" xr:uid="{15EC6A68-D40B-41CD-A8B9-DF9744171CA8}"/>
    <cellStyle name="Normal 4 2 6 2 2 2 3" xfId="15750" xr:uid="{81E4401A-2EED-4B0B-BEEC-847DF491EB12}"/>
    <cellStyle name="Normal 4 2 6 2 2 3" xfId="19980" xr:uid="{7D88B126-23A4-4A22-8228-5656DC5A5188}"/>
    <cellStyle name="Normal 4 2 6 2 2 4" xfId="11532" xr:uid="{2E374D5F-14D2-4816-B96E-2FBDE028E6EB}"/>
    <cellStyle name="Normal 4 2 6 2 3" xfId="5155" xr:uid="{00000000-0005-0000-0000-0000F7130000}"/>
    <cellStyle name="Normal 4 2 6 2 3 2" xfId="22053" xr:uid="{4250C4AB-C8FB-4663-8295-1485E6D6501B}"/>
    <cellStyle name="Normal 4 2 6 2 3 3" xfId="13605" xr:uid="{2105B3CA-4AD2-4360-86E3-498CCF6B9784}"/>
    <cellStyle name="Normal 4 2 6 2 4" xfId="17835" xr:uid="{D3AE34CA-FC9C-4406-8C32-C48AF3D5F282}"/>
    <cellStyle name="Normal 4 2 6 2 5" xfId="9387" xr:uid="{F85BCC9A-A008-472E-B2C6-8DABC83DE19E}"/>
    <cellStyle name="Normal 4 2 6 3" xfId="1261" xr:uid="{00000000-0005-0000-0000-0000F8130000}"/>
    <cellStyle name="Normal 4 2 6 3 2" xfId="3491" xr:uid="{00000000-0005-0000-0000-0000F9130000}"/>
    <cellStyle name="Normal 4 2 6 3 2 2" xfId="7713" xr:uid="{00000000-0005-0000-0000-0000FA130000}"/>
    <cellStyle name="Normal 4 2 6 3 2 2 2" xfId="24611" xr:uid="{33AFC8A5-1268-4911-91CA-881B3BF876A7}"/>
    <cellStyle name="Normal 4 2 6 3 2 2 3" xfId="16163" xr:uid="{C1553D0D-891A-4AB5-B5DD-3906E7552567}"/>
    <cellStyle name="Normal 4 2 6 3 2 3" xfId="20393" xr:uid="{83B395C7-F2EC-468A-8828-CC2C4A8883E6}"/>
    <cellStyle name="Normal 4 2 6 3 2 4" xfId="11945" xr:uid="{14FD7179-6ED4-4275-8190-4F973AD8EB37}"/>
    <cellStyle name="Normal 4 2 6 3 3" xfId="5568" xr:uid="{00000000-0005-0000-0000-0000FB130000}"/>
    <cellStyle name="Normal 4 2 6 3 3 2" xfId="22466" xr:uid="{76858162-22B4-4F1F-9BB0-B8A53E4FEF5E}"/>
    <cellStyle name="Normal 4 2 6 3 3 3" xfId="14018" xr:uid="{FE706DCB-88AF-4A29-8EB3-54A6AE0623D9}"/>
    <cellStyle name="Normal 4 2 6 3 4" xfId="18248" xr:uid="{B74CED6B-C1DC-4DE0-9160-07419DA4F30D}"/>
    <cellStyle name="Normal 4 2 6 3 5" xfId="9800" xr:uid="{2A52E8DE-85DE-493A-98C2-68A0CA71595C}"/>
    <cellStyle name="Normal 4 2 6 4" xfId="1674" xr:uid="{00000000-0005-0000-0000-0000FC130000}"/>
    <cellStyle name="Normal 4 2 6 4 2" xfId="3904" xr:uid="{00000000-0005-0000-0000-0000FD130000}"/>
    <cellStyle name="Normal 4 2 6 4 2 2" xfId="8126" xr:uid="{00000000-0005-0000-0000-0000FE130000}"/>
    <cellStyle name="Normal 4 2 6 4 2 2 2" xfId="25024" xr:uid="{F13E8879-ABC0-4AC1-AB0A-29470A1E6DE1}"/>
    <cellStyle name="Normal 4 2 6 4 2 2 3" xfId="16576" xr:uid="{BAC98F1F-F68F-4F5A-A0FA-790FC96D061A}"/>
    <cellStyle name="Normal 4 2 6 4 2 3" xfId="20806" xr:uid="{79158660-40C6-4EEF-98A1-E3E3D16EAC72}"/>
    <cellStyle name="Normal 4 2 6 4 2 4" xfId="12358" xr:uid="{268CC2BD-B337-43CB-BBE5-78308E2CF42B}"/>
    <cellStyle name="Normal 4 2 6 4 3" xfId="5981" xr:uid="{00000000-0005-0000-0000-0000FF130000}"/>
    <cellStyle name="Normal 4 2 6 4 3 2" xfId="22879" xr:uid="{E7E2113E-D242-4147-9193-508482759406}"/>
    <cellStyle name="Normal 4 2 6 4 3 3" xfId="14431" xr:uid="{829517D1-F8ED-4B20-8E70-81261123EB98}"/>
    <cellStyle name="Normal 4 2 6 4 4" xfId="18661" xr:uid="{06AAE46A-A708-4FAC-89BE-DBBDED59576E}"/>
    <cellStyle name="Normal 4 2 6 4 5" xfId="10213" xr:uid="{88CB277A-577C-4243-A2C4-9A9B67F83B3B}"/>
    <cellStyle name="Normal 4 2 6 5" xfId="2088" xr:uid="{00000000-0005-0000-0000-000000140000}"/>
    <cellStyle name="Normal 4 2 6 5 2" xfId="4317" xr:uid="{00000000-0005-0000-0000-000001140000}"/>
    <cellStyle name="Normal 4 2 6 5 2 2" xfId="8539" xr:uid="{00000000-0005-0000-0000-000002140000}"/>
    <cellStyle name="Normal 4 2 6 5 2 2 2" xfId="25437" xr:uid="{F062C610-F04B-4F1C-8F11-E963D67B67EC}"/>
    <cellStyle name="Normal 4 2 6 5 2 2 3" xfId="16989" xr:uid="{DC1BEA63-EE4F-4C61-B6CD-EC97A07CED25}"/>
    <cellStyle name="Normal 4 2 6 5 2 3" xfId="21219" xr:uid="{BFFBABE0-B4DF-4D12-824E-8984F5C9B29D}"/>
    <cellStyle name="Normal 4 2 6 5 2 4" xfId="12771" xr:uid="{55BF2811-AA98-4EEF-97B2-BC9509996858}"/>
    <cellStyle name="Normal 4 2 6 5 3" xfId="6394" xr:uid="{00000000-0005-0000-0000-000003140000}"/>
    <cellStyle name="Normal 4 2 6 5 3 2" xfId="23292" xr:uid="{F5640310-0541-4022-9A61-3D175A904C70}"/>
    <cellStyle name="Normal 4 2 6 5 3 3" xfId="14844" xr:uid="{C3823A98-FB50-474C-B058-84A349095BFF}"/>
    <cellStyle name="Normal 4 2 6 5 4" xfId="19074" xr:uid="{0E9B490E-E161-4D66-8BE0-AA7634159300}"/>
    <cellStyle name="Normal 4 2 6 5 5" xfId="10626" xr:uid="{C833082B-BB3B-4310-96DA-F5B70D5590D5}"/>
    <cellStyle name="Normal 4 2 6 6" xfId="2524" xr:uid="{00000000-0005-0000-0000-000004140000}"/>
    <cellStyle name="Normal 4 2 6 6 2" xfId="6807" xr:uid="{00000000-0005-0000-0000-000005140000}"/>
    <cellStyle name="Normal 4 2 6 6 2 2" xfId="23705" xr:uid="{2A8D2C10-4E25-4C2C-8FD7-C9020BA3E4F1}"/>
    <cellStyle name="Normal 4 2 6 6 2 3" xfId="15257" xr:uid="{AE13BA71-1EA7-493D-8FB5-DA878CB7B55B}"/>
    <cellStyle name="Normal 4 2 6 6 3" xfId="19487" xr:uid="{B3AAC926-84C5-46A4-B018-EDBB186452DB}"/>
    <cellStyle name="Normal 4 2 6 6 4" xfId="11039" xr:uid="{49379BC2-76FF-48B1-9646-7055CF91DFD3}"/>
    <cellStyle name="Normal 4 2 6 7" xfId="4742" xr:uid="{00000000-0005-0000-0000-000006140000}"/>
    <cellStyle name="Normal 4 2 6 7 2" xfId="21640" xr:uid="{4527FDF9-4030-4D65-9AC0-F65DCB043988}"/>
    <cellStyle name="Normal 4 2 6 7 3" xfId="13192" xr:uid="{23E45AB0-005A-4310-853B-EC89D08D7932}"/>
    <cellStyle name="Normal 4 2 6 8" xfId="17422" xr:uid="{9C751CEB-323F-4C18-A964-70B9BF52A493}"/>
    <cellStyle name="Normal 4 2 6 9" xfId="8974" xr:uid="{BC2A0E14-A5F3-4147-A352-88B21AEEB8A5}"/>
    <cellStyle name="Normal 4 3" xfId="366" xr:uid="{00000000-0005-0000-0000-000007140000}"/>
    <cellStyle name="Normal 4 3 10" xfId="17423" xr:uid="{EF7EB380-5FF2-4349-87F5-B061F880DC50}"/>
    <cellStyle name="Normal 4 3 11" xfId="8975" xr:uid="{016BBCD2-2225-48EB-B48C-E78307257D18}"/>
    <cellStyle name="Normal 4 3 2" xfId="367" xr:uid="{00000000-0005-0000-0000-000008140000}"/>
    <cellStyle name="Normal 4 3 2 2" xfId="368" xr:uid="{00000000-0005-0000-0000-000009140000}"/>
    <cellStyle name="Normal 4 3 2 2 2" xfId="369" xr:uid="{00000000-0005-0000-0000-00000A140000}"/>
    <cellStyle name="Normal 4 3 2 2 2 10" xfId="17424" xr:uid="{22B64C18-E67E-4BCA-B480-B6C006152880}"/>
    <cellStyle name="Normal 4 3 2 2 2 11" xfId="8976" xr:uid="{BE5B79AB-038C-41EE-884F-E590C0415978}"/>
    <cellStyle name="Normal 4 3 2 2 2 2" xfId="370" xr:uid="{00000000-0005-0000-0000-00000B140000}"/>
    <cellStyle name="Normal 4 3 2 2 2 2 10" xfId="8977" xr:uid="{91286835-DDBE-4C56-B669-E44534114624}"/>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24202" xr:uid="{F0F740DD-B7B1-4CCB-A50A-CAF3BF92F95D}"/>
    <cellStyle name="Normal 4 3 2 2 2 2 2 2 2 2 3" xfId="15754" xr:uid="{F6B3016C-D1F3-4925-82E6-EF4B11E4ED90}"/>
    <cellStyle name="Normal 4 3 2 2 2 2 2 2 2 3" xfId="19984" xr:uid="{4ED83B37-1242-48C7-BE32-FBB5C8DB1E43}"/>
    <cellStyle name="Normal 4 3 2 2 2 2 2 2 2 4" xfId="11536" xr:uid="{1699F3CD-2628-4CA6-BD0E-E9F0D49CC555}"/>
    <cellStyle name="Normal 4 3 2 2 2 2 2 2 3" xfId="5159" xr:uid="{00000000-0005-0000-0000-000010140000}"/>
    <cellStyle name="Normal 4 3 2 2 2 2 2 2 3 2" xfId="22057" xr:uid="{CB5BF935-C845-4022-A761-AFC664E66F2E}"/>
    <cellStyle name="Normal 4 3 2 2 2 2 2 2 3 3" xfId="13609" xr:uid="{B5ADEC38-F293-46C5-A2B1-3F84EF749B94}"/>
    <cellStyle name="Normal 4 3 2 2 2 2 2 2 4" xfId="17839" xr:uid="{57343427-984E-4FA3-8A3E-4C07ACDCFB6A}"/>
    <cellStyle name="Normal 4 3 2 2 2 2 2 2 5" xfId="9391" xr:uid="{61625CE2-9582-46D3-83BA-EFDC60493A27}"/>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24615" xr:uid="{3209A2AA-5924-4A2D-AE97-640029517F0E}"/>
    <cellStyle name="Normal 4 3 2 2 2 2 2 3 2 2 3" xfId="16167" xr:uid="{3C096F57-B98C-4762-AD11-F1B7D45BF54A}"/>
    <cellStyle name="Normal 4 3 2 2 2 2 2 3 2 3" xfId="20397" xr:uid="{E10136FD-D6C0-458D-AEA9-752E5C5EE81C}"/>
    <cellStyle name="Normal 4 3 2 2 2 2 2 3 2 4" xfId="11949" xr:uid="{57F65B90-7A34-4FE6-A52E-6961B859FB89}"/>
    <cellStyle name="Normal 4 3 2 2 2 2 2 3 3" xfId="5572" xr:uid="{00000000-0005-0000-0000-000014140000}"/>
    <cellStyle name="Normal 4 3 2 2 2 2 2 3 3 2" xfId="22470" xr:uid="{6CDDFEBD-9CBB-4773-9FAD-72C0FB7A7D59}"/>
    <cellStyle name="Normal 4 3 2 2 2 2 2 3 3 3" xfId="14022" xr:uid="{D6AD3EE4-ADAF-435E-A77F-6E7712652673}"/>
    <cellStyle name="Normal 4 3 2 2 2 2 2 3 4" xfId="18252" xr:uid="{94C05B1C-AF6A-46E6-B257-39D064323CD9}"/>
    <cellStyle name="Normal 4 3 2 2 2 2 2 3 5" xfId="9804" xr:uid="{4066F483-070F-48C9-B291-BC1FF2E03165}"/>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25028" xr:uid="{749FD6C9-80A9-4379-8187-F60765E99A6F}"/>
    <cellStyle name="Normal 4 3 2 2 2 2 2 4 2 2 3" xfId="16580" xr:uid="{4961477C-FAA0-42EA-BB32-5CA3421A0D81}"/>
    <cellStyle name="Normal 4 3 2 2 2 2 2 4 2 3" xfId="20810" xr:uid="{B0AF453F-3B2A-45A9-927E-AAD73324A400}"/>
    <cellStyle name="Normal 4 3 2 2 2 2 2 4 2 4" xfId="12362" xr:uid="{3E7EE39C-A4B8-42DD-B336-AA9B805A7E28}"/>
    <cellStyle name="Normal 4 3 2 2 2 2 2 4 3" xfId="5985" xr:uid="{00000000-0005-0000-0000-000018140000}"/>
    <cellStyle name="Normal 4 3 2 2 2 2 2 4 3 2" xfId="22883" xr:uid="{0143AEB0-AFD4-4CDB-8C55-B7412D0CF24B}"/>
    <cellStyle name="Normal 4 3 2 2 2 2 2 4 3 3" xfId="14435" xr:uid="{9BD885C2-E218-4FFA-B7DC-FDC551C8FE08}"/>
    <cellStyle name="Normal 4 3 2 2 2 2 2 4 4" xfId="18665" xr:uid="{A3A8D13F-B69B-4E33-A401-13AFA2741D08}"/>
    <cellStyle name="Normal 4 3 2 2 2 2 2 4 5" xfId="10217" xr:uid="{790A5277-A052-4B33-BE10-88451F5745D3}"/>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25441" xr:uid="{5076D13D-B23D-403D-AF55-D02DFE228998}"/>
    <cellStyle name="Normal 4 3 2 2 2 2 2 5 2 2 3" xfId="16993" xr:uid="{530E29C8-A5C5-489C-BFBB-5E033DE23F02}"/>
    <cellStyle name="Normal 4 3 2 2 2 2 2 5 2 3" xfId="21223" xr:uid="{BC3A2B41-EFBB-4BE2-8FB5-33EF87FBFF39}"/>
    <cellStyle name="Normal 4 3 2 2 2 2 2 5 2 4" xfId="12775" xr:uid="{163BD88F-BC6C-4286-A096-FEE11094E3A0}"/>
    <cellStyle name="Normal 4 3 2 2 2 2 2 5 3" xfId="6398" xr:uid="{00000000-0005-0000-0000-00001C140000}"/>
    <cellStyle name="Normal 4 3 2 2 2 2 2 5 3 2" xfId="23296" xr:uid="{8EC92A1F-C1F4-4F8E-ABB3-79287AFE4504}"/>
    <cellStyle name="Normal 4 3 2 2 2 2 2 5 3 3" xfId="14848" xr:uid="{C2A222BD-15F1-4C2D-A049-CFC95E374BC9}"/>
    <cellStyle name="Normal 4 3 2 2 2 2 2 5 4" xfId="19078" xr:uid="{8243CD9E-F5C6-4BCB-9AAB-85BDEB7B33D5}"/>
    <cellStyle name="Normal 4 3 2 2 2 2 2 5 5" xfId="10630" xr:uid="{1957CFFB-DFA0-4A7B-81F2-DB7789707B2C}"/>
    <cellStyle name="Normal 4 3 2 2 2 2 2 6" xfId="2528" xr:uid="{00000000-0005-0000-0000-00001D140000}"/>
    <cellStyle name="Normal 4 3 2 2 2 2 2 6 2" xfId="6811" xr:uid="{00000000-0005-0000-0000-00001E140000}"/>
    <cellStyle name="Normal 4 3 2 2 2 2 2 6 2 2" xfId="23709" xr:uid="{5F0A354A-5670-4E10-AD98-7AA301D21753}"/>
    <cellStyle name="Normal 4 3 2 2 2 2 2 6 2 3" xfId="15261" xr:uid="{4EA87A84-EE3E-4E41-B982-C8EA13EEAB21}"/>
    <cellStyle name="Normal 4 3 2 2 2 2 2 6 3" xfId="19491" xr:uid="{DEC6E3AE-EF07-4641-8BF7-B333B17E49D8}"/>
    <cellStyle name="Normal 4 3 2 2 2 2 2 6 4" xfId="11043" xr:uid="{13178F9D-4EE1-4362-B18F-9306E4DD7BA9}"/>
    <cellStyle name="Normal 4 3 2 2 2 2 2 7" xfId="4746" xr:uid="{00000000-0005-0000-0000-00001F140000}"/>
    <cellStyle name="Normal 4 3 2 2 2 2 2 7 2" xfId="21644" xr:uid="{301A627B-1F63-44AF-AAE5-0FF08D8B1FC9}"/>
    <cellStyle name="Normal 4 3 2 2 2 2 2 7 3" xfId="13196" xr:uid="{9C198087-B651-4C90-BCFF-01CA8A12C6BF}"/>
    <cellStyle name="Normal 4 3 2 2 2 2 2 8" xfId="17426" xr:uid="{493EA640-5E3D-424F-8A71-1D667330DD50}"/>
    <cellStyle name="Normal 4 3 2 2 2 2 2 9" xfId="8978" xr:uid="{ECCE26F8-6BA8-41E7-9E5C-4E3FD986382C}"/>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24201" xr:uid="{05A79F0A-8500-4007-A078-80211249C64C}"/>
    <cellStyle name="Normal 4 3 2 2 2 2 3 2 2 3" xfId="15753" xr:uid="{6C7051EF-2F8E-4CE1-821B-B3533B6C2686}"/>
    <cellStyle name="Normal 4 3 2 2 2 2 3 2 3" xfId="19983" xr:uid="{0A34A70A-9DE3-473C-99B3-692053170960}"/>
    <cellStyle name="Normal 4 3 2 2 2 2 3 2 4" xfId="11535" xr:uid="{11BBBC2F-A1FA-486E-A66F-B7C616748F59}"/>
    <cellStyle name="Normal 4 3 2 2 2 2 3 3" xfId="5158" xr:uid="{00000000-0005-0000-0000-000023140000}"/>
    <cellStyle name="Normal 4 3 2 2 2 2 3 3 2" xfId="22056" xr:uid="{D887041D-5255-4FEF-8802-80A5CA37587E}"/>
    <cellStyle name="Normal 4 3 2 2 2 2 3 3 3" xfId="13608" xr:uid="{A9F2A64F-5DC1-4218-BE6A-69A3A0EC8D01}"/>
    <cellStyle name="Normal 4 3 2 2 2 2 3 4" xfId="17838" xr:uid="{B3498E0B-6FC1-4234-BB97-6F79E282B490}"/>
    <cellStyle name="Normal 4 3 2 2 2 2 3 5" xfId="9390" xr:uid="{286A1858-488B-4FA2-AF82-46E9B2BA3B33}"/>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24614" xr:uid="{CFD58E6C-999D-42F3-92A8-28CFF0550ACE}"/>
    <cellStyle name="Normal 4 3 2 2 2 2 4 2 2 3" xfId="16166" xr:uid="{7A544509-C3FE-40CE-8B9D-AA1A3B3CB084}"/>
    <cellStyle name="Normal 4 3 2 2 2 2 4 2 3" xfId="20396" xr:uid="{57B3DD2A-0DA3-4DCB-B844-5C9E5717F11D}"/>
    <cellStyle name="Normal 4 3 2 2 2 2 4 2 4" xfId="11948" xr:uid="{8F9B496D-4AEC-4750-882C-796EBCD59BCF}"/>
    <cellStyle name="Normal 4 3 2 2 2 2 4 3" xfId="5571" xr:uid="{00000000-0005-0000-0000-000027140000}"/>
    <cellStyle name="Normal 4 3 2 2 2 2 4 3 2" xfId="22469" xr:uid="{D3930BA4-C092-4780-8D45-BE8BE31E039A}"/>
    <cellStyle name="Normal 4 3 2 2 2 2 4 3 3" xfId="14021" xr:uid="{65BA9B23-D61F-46BE-B17A-B21D13A8F129}"/>
    <cellStyle name="Normal 4 3 2 2 2 2 4 4" xfId="18251" xr:uid="{A739D0BD-154A-4B0E-BB63-4D7E30DCFA70}"/>
    <cellStyle name="Normal 4 3 2 2 2 2 4 5" xfId="9803" xr:uid="{2607DEB4-EEF0-4251-B0BA-996CCC84292F}"/>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25027" xr:uid="{E09310AD-90C9-48CE-B4F6-CF36DB744F7D}"/>
    <cellStyle name="Normal 4 3 2 2 2 2 5 2 2 3" xfId="16579" xr:uid="{3678BCE3-4409-4554-A6AB-25F7D59F8C7F}"/>
    <cellStyle name="Normal 4 3 2 2 2 2 5 2 3" xfId="20809" xr:uid="{00BC3D39-A73E-454E-BC51-7A689EE19B52}"/>
    <cellStyle name="Normal 4 3 2 2 2 2 5 2 4" xfId="12361" xr:uid="{E7C4F528-A956-478D-923E-3140DC64E7A8}"/>
    <cellStyle name="Normal 4 3 2 2 2 2 5 3" xfId="5984" xr:uid="{00000000-0005-0000-0000-00002B140000}"/>
    <cellStyle name="Normal 4 3 2 2 2 2 5 3 2" xfId="22882" xr:uid="{A440615C-78E7-4CC0-B112-6E8FE1A9C907}"/>
    <cellStyle name="Normal 4 3 2 2 2 2 5 3 3" xfId="14434" xr:uid="{75E72572-923D-41C9-A4C4-A6BD2BBF2CA9}"/>
    <cellStyle name="Normal 4 3 2 2 2 2 5 4" xfId="18664" xr:uid="{735FB22E-0D66-4CF1-B0C2-FC78474A227A}"/>
    <cellStyle name="Normal 4 3 2 2 2 2 5 5" xfId="10216" xr:uid="{89CFF923-946D-4FA2-8F28-4EB7D8504356}"/>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25440" xr:uid="{5E99950C-2F31-42F0-A26F-8185FA8CABFB}"/>
    <cellStyle name="Normal 4 3 2 2 2 2 6 2 2 3" xfId="16992" xr:uid="{7DD1719F-BD55-4157-8123-4F29C7DE3DBC}"/>
    <cellStyle name="Normal 4 3 2 2 2 2 6 2 3" xfId="21222" xr:uid="{D74428EE-453F-4665-A6F7-C48A1992FA32}"/>
    <cellStyle name="Normal 4 3 2 2 2 2 6 2 4" xfId="12774" xr:uid="{F29A3800-ECFA-477A-983D-B08D5616C401}"/>
    <cellStyle name="Normal 4 3 2 2 2 2 6 3" xfId="6397" xr:uid="{00000000-0005-0000-0000-00002F140000}"/>
    <cellStyle name="Normal 4 3 2 2 2 2 6 3 2" xfId="23295" xr:uid="{1660895F-2C01-44FA-82A1-CA5BFEC4AB37}"/>
    <cellStyle name="Normal 4 3 2 2 2 2 6 3 3" xfId="14847" xr:uid="{1F2408F3-8DC0-4FF6-BA7F-C2FB6B596D81}"/>
    <cellStyle name="Normal 4 3 2 2 2 2 6 4" xfId="19077" xr:uid="{30589A29-8C6E-4388-A87D-E220D0FCBE92}"/>
    <cellStyle name="Normal 4 3 2 2 2 2 6 5" xfId="10629" xr:uid="{37FD1651-DD31-4FF3-BCAD-32B84E2939A8}"/>
    <cellStyle name="Normal 4 3 2 2 2 2 7" xfId="2527" xr:uid="{00000000-0005-0000-0000-000030140000}"/>
    <cellStyle name="Normal 4 3 2 2 2 2 7 2" xfId="6810" xr:uid="{00000000-0005-0000-0000-000031140000}"/>
    <cellStyle name="Normal 4 3 2 2 2 2 7 2 2" xfId="23708" xr:uid="{CB7876EC-E16E-4CE5-A0BB-D4753073372D}"/>
    <cellStyle name="Normal 4 3 2 2 2 2 7 2 3" xfId="15260" xr:uid="{2D1A7E71-1165-4F89-93BD-ADA0721F756F}"/>
    <cellStyle name="Normal 4 3 2 2 2 2 7 3" xfId="19490" xr:uid="{5DCA4209-0558-4C4F-A12C-22EB9EA4FB08}"/>
    <cellStyle name="Normal 4 3 2 2 2 2 7 4" xfId="11042" xr:uid="{8458F67D-75EC-41AC-8EA9-665BD5242591}"/>
    <cellStyle name="Normal 4 3 2 2 2 2 8" xfId="4745" xr:uid="{00000000-0005-0000-0000-000032140000}"/>
    <cellStyle name="Normal 4 3 2 2 2 2 8 2" xfId="21643" xr:uid="{1A45EFC1-A61E-4E52-B7F0-092B71F9DD9F}"/>
    <cellStyle name="Normal 4 3 2 2 2 2 8 3" xfId="13195" xr:uid="{31CF12C7-74CE-4EF9-AFC2-45F867759A9E}"/>
    <cellStyle name="Normal 4 3 2 2 2 2 9" xfId="17425" xr:uid="{959277B5-BC08-4DD9-9200-86FE4F74C18A}"/>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24203" xr:uid="{4547A2AE-537E-417B-B596-8B2CFA83B22B}"/>
    <cellStyle name="Normal 4 3 2 2 2 3 2 2 2 3" xfId="15755" xr:uid="{D0DAEC05-974D-400E-929F-C225CD02ABF0}"/>
    <cellStyle name="Normal 4 3 2 2 2 3 2 2 3" xfId="19985" xr:uid="{BE041147-D420-40F6-98B4-E4E0153C4B51}"/>
    <cellStyle name="Normal 4 3 2 2 2 3 2 2 4" xfId="11537" xr:uid="{1E8D55BA-372A-4A77-BDAF-9C894F466EB4}"/>
    <cellStyle name="Normal 4 3 2 2 2 3 2 3" xfId="5160" xr:uid="{00000000-0005-0000-0000-000037140000}"/>
    <cellStyle name="Normal 4 3 2 2 2 3 2 3 2" xfId="22058" xr:uid="{86F3C195-B4F4-4063-BA1F-25406C76C536}"/>
    <cellStyle name="Normal 4 3 2 2 2 3 2 3 3" xfId="13610" xr:uid="{E70C6D9F-F7CD-497D-8C41-6516B2E24BE9}"/>
    <cellStyle name="Normal 4 3 2 2 2 3 2 4" xfId="17840" xr:uid="{E2B594EB-B44A-40DE-9C41-262931C8F1CB}"/>
    <cellStyle name="Normal 4 3 2 2 2 3 2 5" xfId="9392" xr:uid="{8ED2191F-881C-4E11-9DB8-DCE409D065C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24616" xr:uid="{189F5527-1200-4818-A7B4-0BBBE499C0F5}"/>
    <cellStyle name="Normal 4 3 2 2 2 3 3 2 2 3" xfId="16168" xr:uid="{32A6C580-C342-493E-9FED-61BEF63CC395}"/>
    <cellStyle name="Normal 4 3 2 2 2 3 3 2 3" xfId="20398" xr:uid="{A68CC704-4C54-4006-9C19-5D481B9B1BF9}"/>
    <cellStyle name="Normal 4 3 2 2 2 3 3 2 4" xfId="11950" xr:uid="{6EA128F9-A7D5-4528-B339-EE54D6FCE4E8}"/>
    <cellStyle name="Normal 4 3 2 2 2 3 3 3" xfId="5573" xr:uid="{00000000-0005-0000-0000-00003B140000}"/>
    <cellStyle name="Normal 4 3 2 2 2 3 3 3 2" xfId="22471" xr:uid="{3E7DF3AE-A81E-4EC7-A42E-6DF38AFACC43}"/>
    <cellStyle name="Normal 4 3 2 2 2 3 3 3 3" xfId="14023" xr:uid="{A006741C-E984-4250-98FC-75CA611D5373}"/>
    <cellStyle name="Normal 4 3 2 2 2 3 3 4" xfId="18253" xr:uid="{FB590654-4D05-4523-8809-6FF8145B4096}"/>
    <cellStyle name="Normal 4 3 2 2 2 3 3 5" xfId="9805" xr:uid="{9359F2E9-55E9-4EB4-A1B6-F8A25BDCE77C}"/>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25029" xr:uid="{A0ADDE03-20CF-4C95-B307-8E0F070ACB3A}"/>
    <cellStyle name="Normal 4 3 2 2 2 3 4 2 2 3" xfId="16581" xr:uid="{73700E19-A277-4F54-939E-1893A9981351}"/>
    <cellStyle name="Normal 4 3 2 2 2 3 4 2 3" xfId="20811" xr:uid="{A8E9A74B-AB96-4ECD-9191-7D18A1EFA0BD}"/>
    <cellStyle name="Normal 4 3 2 2 2 3 4 2 4" xfId="12363" xr:uid="{3B58C5E1-5CB3-4944-B334-872BE3FB0F00}"/>
    <cellStyle name="Normal 4 3 2 2 2 3 4 3" xfId="5986" xr:uid="{00000000-0005-0000-0000-00003F140000}"/>
    <cellStyle name="Normal 4 3 2 2 2 3 4 3 2" xfId="22884" xr:uid="{31B1B3F6-1DBE-4D1D-B4DC-32D010E92195}"/>
    <cellStyle name="Normal 4 3 2 2 2 3 4 3 3" xfId="14436" xr:uid="{9EA3BEE7-D0DF-4566-8B66-9795840061E8}"/>
    <cellStyle name="Normal 4 3 2 2 2 3 4 4" xfId="18666" xr:uid="{710968EE-7D85-40A6-9B8A-C16CB6602E20}"/>
    <cellStyle name="Normal 4 3 2 2 2 3 4 5" xfId="10218" xr:uid="{FA9EBB20-15FB-4E09-A97A-922E3B1F375D}"/>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25442" xr:uid="{F798BE0C-F9C9-4F6F-AC4A-3056CAF861F2}"/>
    <cellStyle name="Normal 4 3 2 2 2 3 5 2 2 3" xfId="16994" xr:uid="{9C8E1AEA-3F02-4F8F-94DD-715EF2FF97DD}"/>
    <cellStyle name="Normal 4 3 2 2 2 3 5 2 3" xfId="21224" xr:uid="{77381F49-8108-493E-84AF-F17A1A784024}"/>
    <cellStyle name="Normal 4 3 2 2 2 3 5 2 4" xfId="12776" xr:uid="{F05D4BE5-C500-4265-A4AA-467C17DCFEA3}"/>
    <cellStyle name="Normal 4 3 2 2 2 3 5 3" xfId="6399" xr:uid="{00000000-0005-0000-0000-000043140000}"/>
    <cellStyle name="Normal 4 3 2 2 2 3 5 3 2" xfId="23297" xr:uid="{FBC1C818-54B5-4A62-A1C2-82B1FD8FF4CB}"/>
    <cellStyle name="Normal 4 3 2 2 2 3 5 3 3" xfId="14849" xr:uid="{21C63BD0-45B2-4BB7-8719-06E8A813E5FC}"/>
    <cellStyle name="Normal 4 3 2 2 2 3 5 4" xfId="19079" xr:uid="{EC82C2E8-BA57-4359-878A-8141851121B1}"/>
    <cellStyle name="Normal 4 3 2 2 2 3 5 5" xfId="10631" xr:uid="{5CB25289-5A46-44DB-890A-56BFE7B6F837}"/>
    <cellStyle name="Normal 4 3 2 2 2 3 6" xfId="2529" xr:uid="{00000000-0005-0000-0000-000044140000}"/>
    <cellStyle name="Normal 4 3 2 2 2 3 6 2" xfId="6812" xr:uid="{00000000-0005-0000-0000-000045140000}"/>
    <cellStyle name="Normal 4 3 2 2 2 3 6 2 2" xfId="23710" xr:uid="{D51F6E7B-FB65-4BAB-8176-FBAD193A98E5}"/>
    <cellStyle name="Normal 4 3 2 2 2 3 6 2 3" xfId="15262" xr:uid="{C14B2E10-F029-404D-85D0-859128377EFA}"/>
    <cellStyle name="Normal 4 3 2 2 2 3 6 3" xfId="19492" xr:uid="{A9B4C9DD-BCEB-48C0-BBBE-43865B453D78}"/>
    <cellStyle name="Normal 4 3 2 2 2 3 6 4" xfId="11044" xr:uid="{16180679-1833-4C19-B3A0-1BD290405681}"/>
    <cellStyle name="Normal 4 3 2 2 2 3 7" xfId="4747" xr:uid="{00000000-0005-0000-0000-000046140000}"/>
    <cellStyle name="Normal 4 3 2 2 2 3 7 2" xfId="21645" xr:uid="{3E4D7E34-E80A-461C-AB26-32A4B88C9D8F}"/>
    <cellStyle name="Normal 4 3 2 2 2 3 7 3" xfId="13197" xr:uid="{A9AFDFB8-8A91-411B-B458-7615A0184D5C}"/>
    <cellStyle name="Normal 4 3 2 2 2 3 8" xfId="17427" xr:uid="{200D0376-B674-4E1D-86E3-26DECA65D7D4}"/>
    <cellStyle name="Normal 4 3 2 2 2 3 9" xfId="8979" xr:uid="{87E0B5B3-908A-4953-8C52-5268BEC64E22}"/>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24200" xr:uid="{72BAC5E2-0634-4DE2-8010-D1B2B3E873A5}"/>
    <cellStyle name="Normal 4 3 2 2 2 4 2 2 3" xfId="15752" xr:uid="{0F70B357-291D-47B0-BDB6-17392561E1F9}"/>
    <cellStyle name="Normal 4 3 2 2 2 4 2 3" xfId="19982" xr:uid="{59554E33-6F8A-49C6-856D-E3D54DA8BD74}"/>
    <cellStyle name="Normal 4 3 2 2 2 4 2 4" xfId="11534" xr:uid="{9267B61F-A394-41DF-9F31-0AC165BF8AA3}"/>
    <cellStyle name="Normal 4 3 2 2 2 4 3" xfId="5157" xr:uid="{00000000-0005-0000-0000-00004A140000}"/>
    <cellStyle name="Normal 4 3 2 2 2 4 3 2" xfId="22055" xr:uid="{869FFD53-5D9D-4234-B529-D0F6060B781F}"/>
    <cellStyle name="Normal 4 3 2 2 2 4 3 3" xfId="13607" xr:uid="{162F91DF-8B43-402F-8B79-DD2358079BDE}"/>
    <cellStyle name="Normal 4 3 2 2 2 4 4" xfId="17837" xr:uid="{63F89CF8-D305-41B9-929A-A61DFE5FB3D2}"/>
    <cellStyle name="Normal 4 3 2 2 2 4 5" xfId="9389" xr:uid="{AC826C47-B0E2-4A36-AEF2-F6DD5265F131}"/>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24613" xr:uid="{A66434E5-1F71-4B7B-B4A8-423FDF0E1D9A}"/>
    <cellStyle name="Normal 4 3 2 2 2 5 2 2 3" xfId="16165" xr:uid="{C6C2897A-0AE8-415E-B3FC-66FA592E3B30}"/>
    <cellStyle name="Normal 4 3 2 2 2 5 2 3" xfId="20395" xr:uid="{3917B4CE-C657-4C5E-BD44-26669457A732}"/>
    <cellStyle name="Normal 4 3 2 2 2 5 2 4" xfId="11947" xr:uid="{30926692-E5B6-494A-9ECB-46BF4C7498F2}"/>
    <cellStyle name="Normal 4 3 2 2 2 5 3" xfId="5570" xr:uid="{00000000-0005-0000-0000-00004E140000}"/>
    <cellStyle name="Normal 4 3 2 2 2 5 3 2" xfId="22468" xr:uid="{FD18291D-0754-4B5B-9555-9B7EB7A2EA6D}"/>
    <cellStyle name="Normal 4 3 2 2 2 5 3 3" xfId="14020" xr:uid="{12C1E991-7C57-47AE-ADEC-DB8AA25608B9}"/>
    <cellStyle name="Normal 4 3 2 2 2 5 4" xfId="18250" xr:uid="{D121998D-3D44-434F-BCF6-EC157A244C65}"/>
    <cellStyle name="Normal 4 3 2 2 2 5 5" xfId="9802" xr:uid="{1F58FEB1-0FCF-4182-9E87-A51E0FABE68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25026" xr:uid="{66A5CCA3-92AC-4FDE-B803-29F11569B453}"/>
    <cellStyle name="Normal 4 3 2 2 2 6 2 2 3" xfId="16578" xr:uid="{53555AC3-1AB1-4B59-A28B-4AC7CF44E7BA}"/>
    <cellStyle name="Normal 4 3 2 2 2 6 2 3" xfId="20808" xr:uid="{23A65561-50A0-4610-BFD1-1BC32289AE09}"/>
    <cellStyle name="Normal 4 3 2 2 2 6 2 4" xfId="12360" xr:uid="{6ED66A50-BE6F-4B4B-AAFD-0F606474AE18}"/>
    <cellStyle name="Normal 4 3 2 2 2 6 3" xfId="5983" xr:uid="{00000000-0005-0000-0000-000052140000}"/>
    <cellStyle name="Normal 4 3 2 2 2 6 3 2" xfId="22881" xr:uid="{4D66C71C-A617-4FE7-879B-3638EAF264E7}"/>
    <cellStyle name="Normal 4 3 2 2 2 6 3 3" xfId="14433" xr:uid="{25C653BD-D8FD-431F-B019-46A424584705}"/>
    <cellStyle name="Normal 4 3 2 2 2 6 4" xfId="18663" xr:uid="{478BC79D-95F2-407A-A01E-9ECBA527F6D5}"/>
    <cellStyle name="Normal 4 3 2 2 2 6 5" xfId="10215" xr:uid="{DE7518D4-5727-4185-8C79-B5D65F9D8B6A}"/>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25439" xr:uid="{A4CD17DA-3025-43DF-922F-E5134B1CC3EC}"/>
    <cellStyle name="Normal 4 3 2 2 2 7 2 2 3" xfId="16991" xr:uid="{1318E629-D7B8-4886-AD92-4FCAE5EE276E}"/>
    <cellStyle name="Normal 4 3 2 2 2 7 2 3" xfId="21221" xr:uid="{0933259B-2F8F-415F-9705-CD5B084B0159}"/>
    <cellStyle name="Normal 4 3 2 2 2 7 2 4" xfId="12773" xr:uid="{7DAAB3D0-E91F-47C9-A3D8-FE6B38EFC791}"/>
    <cellStyle name="Normal 4 3 2 2 2 7 3" xfId="6396" xr:uid="{00000000-0005-0000-0000-000056140000}"/>
    <cellStyle name="Normal 4 3 2 2 2 7 3 2" xfId="23294" xr:uid="{401B0E0C-BA68-4AEA-ADD1-6308BC25F504}"/>
    <cellStyle name="Normal 4 3 2 2 2 7 3 3" xfId="14846" xr:uid="{5CAA06AD-97E3-409C-89ED-EC81DB0B49DF}"/>
    <cellStyle name="Normal 4 3 2 2 2 7 4" xfId="19076" xr:uid="{810D9B09-3565-4A48-8FDD-2EB95AEB3575}"/>
    <cellStyle name="Normal 4 3 2 2 2 7 5" xfId="10628" xr:uid="{D01D9B4B-3772-4F52-A2F2-A94E012F858E}"/>
    <cellStyle name="Normal 4 3 2 2 2 8" xfId="2526" xr:uid="{00000000-0005-0000-0000-000057140000}"/>
    <cellStyle name="Normal 4 3 2 2 2 8 2" xfId="6809" xr:uid="{00000000-0005-0000-0000-000058140000}"/>
    <cellStyle name="Normal 4 3 2 2 2 8 2 2" xfId="23707" xr:uid="{43A984B2-C5DD-489C-AFBF-0B3A37E27C57}"/>
    <cellStyle name="Normal 4 3 2 2 2 8 2 3" xfId="15259" xr:uid="{E76DA162-C106-464E-B3F7-6CE325A03339}"/>
    <cellStyle name="Normal 4 3 2 2 2 8 3" xfId="19489" xr:uid="{6261BCF3-9FBF-4341-8F38-82E4D82BC3CE}"/>
    <cellStyle name="Normal 4 3 2 2 2 8 4" xfId="11041" xr:uid="{1479D220-3E64-42D9-9590-85C4B7B5C6E3}"/>
    <cellStyle name="Normal 4 3 2 2 2 9" xfId="4744" xr:uid="{00000000-0005-0000-0000-000059140000}"/>
    <cellStyle name="Normal 4 3 2 2 2 9 2" xfId="21642" xr:uid="{A3E20FC9-6E4B-4CC5-85D9-0773BFBDE3A5}"/>
    <cellStyle name="Normal 4 3 2 2 2 9 3" xfId="13194" xr:uid="{3B687797-0762-4578-9621-E11EE6C9ADE7}"/>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17428" xr:uid="{B3BF3F5F-E69A-4B5E-B0BF-9A1A392A94D9}"/>
    <cellStyle name="Normal 4 3 3 11" xfId="8980" xr:uid="{1FB9BAD5-2CD4-44B1-8631-7C46DF28A5BC}"/>
    <cellStyle name="Normal 4 3 3 2" xfId="375" xr:uid="{00000000-0005-0000-0000-00005E140000}"/>
    <cellStyle name="Normal 4 3 3 2 10" xfId="8981" xr:uid="{D7F54E35-7661-4881-BFE0-9955127DBCE2}"/>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24206" xr:uid="{6633C454-3088-4C67-883C-ED7804C99F92}"/>
    <cellStyle name="Normal 4 3 3 2 2 2 2 2 3" xfId="15758" xr:uid="{6B0945F6-397D-41D0-8D79-D40EEEC7C0EC}"/>
    <cellStyle name="Normal 4 3 3 2 2 2 2 3" xfId="19988" xr:uid="{98E80A8F-8435-48C7-BF15-38C5DDDBB1DD}"/>
    <cellStyle name="Normal 4 3 3 2 2 2 2 4" xfId="11540" xr:uid="{92583E0B-70E8-41F8-803B-DCB97A923B26}"/>
    <cellStyle name="Normal 4 3 3 2 2 2 3" xfId="5163" xr:uid="{00000000-0005-0000-0000-000063140000}"/>
    <cellStyle name="Normal 4 3 3 2 2 2 3 2" xfId="22061" xr:uid="{60BD4599-C978-4806-A901-D2FA7AAD89DE}"/>
    <cellStyle name="Normal 4 3 3 2 2 2 3 3" xfId="13613" xr:uid="{0694B125-E104-4C01-B89E-42DCE20BFA38}"/>
    <cellStyle name="Normal 4 3 3 2 2 2 4" xfId="17843" xr:uid="{9D1DE23D-BC42-4D1A-AA82-610841843BA3}"/>
    <cellStyle name="Normal 4 3 3 2 2 2 5" xfId="9395" xr:uid="{249D7E8A-C132-425B-9BF6-CF33984418EB}"/>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24619" xr:uid="{CCDF6635-FC2E-43EB-A793-62229A7219B2}"/>
    <cellStyle name="Normal 4 3 3 2 2 3 2 2 3" xfId="16171" xr:uid="{88A46264-8D7D-49B1-9FB2-EE633B64E925}"/>
    <cellStyle name="Normal 4 3 3 2 2 3 2 3" xfId="20401" xr:uid="{3CEBFF96-214F-4447-BA71-6D05D7082A0A}"/>
    <cellStyle name="Normal 4 3 3 2 2 3 2 4" xfId="11953" xr:uid="{2FEB228A-C012-4BDC-BEB7-7B9689BECA95}"/>
    <cellStyle name="Normal 4 3 3 2 2 3 3" xfId="5576" xr:uid="{00000000-0005-0000-0000-000067140000}"/>
    <cellStyle name="Normal 4 3 3 2 2 3 3 2" xfId="22474" xr:uid="{E259B674-39BA-4A91-A9D8-8647D230E177}"/>
    <cellStyle name="Normal 4 3 3 2 2 3 3 3" xfId="14026" xr:uid="{79B8A316-F9F4-4640-B225-D43A0B6FBDBC}"/>
    <cellStyle name="Normal 4 3 3 2 2 3 4" xfId="18256" xr:uid="{7BC2A1DE-6AA3-44BC-BCCB-EF8CE7306923}"/>
    <cellStyle name="Normal 4 3 3 2 2 3 5" xfId="9808" xr:uid="{66142D1E-F4C1-4823-8097-FEB855378674}"/>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25032" xr:uid="{F10008E2-78F0-4350-984F-DA2CE7E5CC43}"/>
    <cellStyle name="Normal 4 3 3 2 2 4 2 2 3" xfId="16584" xr:uid="{F06E59D3-2D48-46A2-88CD-64DBEF7F9EEA}"/>
    <cellStyle name="Normal 4 3 3 2 2 4 2 3" xfId="20814" xr:uid="{DEA44CB1-5A7A-4887-BE0F-8185C60C7E73}"/>
    <cellStyle name="Normal 4 3 3 2 2 4 2 4" xfId="12366" xr:uid="{94B86A1B-D2D6-4CEE-B269-15FE6932DF15}"/>
    <cellStyle name="Normal 4 3 3 2 2 4 3" xfId="5989" xr:uid="{00000000-0005-0000-0000-00006B140000}"/>
    <cellStyle name="Normal 4 3 3 2 2 4 3 2" xfId="22887" xr:uid="{73080BF5-5CA4-424B-9B9C-120F25A19FEB}"/>
    <cellStyle name="Normal 4 3 3 2 2 4 3 3" xfId="14439" xr:uid="{3A7315AA-9D24-4070-AD36-E8662B072539}"/>
    <cellStyle name="Normal 4 3 3 2 2 4 4" xfId="18669" xr:uid="{97FF3A42-B75B-4F02-BCB7-D3C84BE9019E}"/>
    <cellStyle name="Normal 4 3 3 2 2 4 5" xfId="10221" xr:uid="{6C1672EA-CCC4-4C3D-8523-3A318BF0C493}"/>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25445" xr:uid="{E017570D-5EDD-4CFC-9839-9BF56BB9BF5F}"/>
    <cellStyle name="Normal 4 3 3 2 2 5 2 2 3" xfId="16997" xr:uid="{3A6E8F29-4FEF-4A31-A412-3BDB70F066EE}"/>
    <cellStyle name="Normal 4 3 3 2 2 5 2 3" xfId="21227" xr:uid="{1EDB673F-BBA2-4868-9379-BCCE1A699B4D}"/>
    <cellStyle name="Normal 4 3 3 2 2 5 2 4" xfId="12779" xr:uid="{8C52F3E6-9825-4DCB-8098-C4452420307B}"/>
    <cellStyle name="Normal 4 3 3 2 2 5 3" xfId="6402" xr:uid="{00000000-0005-0000-0000-00006F140000}"/>
    <cellStyle name="Normal 4 3 3 2 2 5 3 2" xfId="23300" xr:uid="{3D501A85-973B-4800-95CB-31377D2B1807}"/>
    <cellStyle name="Normal 4 3 3 2 2 5 3 3" xfId="14852" xr:uid="{E7FBCB9F-BA7B-4182-AB92-CB8EDEF16732}"/>
    <cellStyle name="Normal 4 3 3 2 2 5 4" xfId="19082" xr:uid="{15A7FC37-85D8-4DE3-A95A-FAAB024497C5}"/>
    <cellStyle name="Normal 4 3 3 2 2 5 5" xfId="10634" xr:uid="{2EB4B557-E3C5-45E5-87B2-F897984490E6}"/>
    <cellStyle name="Normal 4 3 3 2 2 6" xfId="2532" xr:uid="{00000000-0005-0000-0000-000070140000}"/>
    <cellStyle name="Normal 4 3 3 2 2 6 2" xfId="6815" xr:uid="{00000000-0005-0000-0000-000071140000}"/>
    <cellStyle name="Normal 4 3 3 2 2 6 2 2" xfId="23713" xr:uid="{19329B05-3839-4EBE-976D-5BD5527CAF8F}"/>
    <cellStyle name="Normal 4 3 3 2 2 6 2 3" xfId="15265" xr:uid="{E36EEAB8-BF7A-4345-B2CA-5E5734840503}"/>
    <cellStyle name="Normal 4 3 3 2 2 6 3" xfId="19495" xr:uid="{10396E96-EFE5-4A4C-B380-C0506902B729}"/>
    <cellStyle name="Normal 4 3 3 2 2 6 4" xfId="11047" xr:uid="{C8CB28FD-912F-40A6-9D25-939A39EE32CE}"/>
    <cellStyle name="Normal 4 3 3 2 2 7" xfId="4750" xr:uid="{00000000-0005-0000-0000-000072140000}"/>
    <cellStyle name="Normal 4 3 3 2 2 7 2" xfId="21648" xr:uid="{00732020-4E1B-4CA2-A733-B0C9BFD69A03}"/>
    <cellStyle name="Normal 4 3 3 2 2 7 3" xfId="13200" xr:uid="{4BACF323-1C49-4A3F-91A7-23BEF6622935}"/>
    <cellStyle name="Normal 4 3 3 2 2 8" xfId="17430" xr:uid="{F9048CA6-5844-480E-A9DF-455A669FE236}"/>
    <cellStyle name="Normal 4 3 3 2 2 9" xfId="8982" xr:uid="{2C0C82FE-8F07-4E14-A7D0-F38B2154FDFA}"/>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24205" xr:uid="{940D9765-2AB4-4CB6-B538-749D7901BB52}"/>
    <cellStyle name="Normal 4 3 3 2 3 2 2 3" xfId="15757" xr:uid="{F0800753-2213-45B1-BE03-270DE0CC630D}"/>
    <cellStyle name="Normal 4 3 3 2 3 2 3" xfId="19987" xr:uid="{9424D8F4-2F0D-454E-ABB5-79928A190061}"/>
    <cellStyle name="Normal 4 3 3 2 3 2 4" xfId="11539" xr:uid="{90BC11F8-4395-4DF6-9780-F14FA951D783}"/>
    <cellStyle name="Normal 4 3 3 2 3 3" xfId="5162" xr:uid="{00000000-0005-0000-0000-000076140000}"/>
    <cellStyle name="Normal 4 3 3 2 3 3 2" xfId="22060" xr:uid="{BDD0C2C2-EA0C-4352-B8D8-BC8ABC705800}"/>
    <cellStyle name="Normal 4 3 3 2 3 3 3" xfId="13612" xr:uid="{85236906-60DD-49D7-831B-D6E7ED943BF9}"/>
    <cellStyle name="Normal 4 3 3 2 3 4" xfId="17842" xr:uid="{0CF329CD-ACD2-420B-B7CA-AE0DB776B840}"/>
    <cellStyle name="Normal 4 3 3 2 3 5" xfId="9394" xr:uid="{1F18B210-F358-4D05-B932-7E4E120474AA}"/>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24618" xr:uid="{E614C8B1-7737-482C-8B32-4217946E3D20}"/>
    <cellStyle name="Normal 4 3 3 2 4 2 2 3" xfId="16170" xr:uid="{69DE9457-3255-411C-9B77-7C4C991F352C}"/>
    <cellStyle name="Normal 4 3 3 2 4 2 3" xfId="20400" xr:uid="{D6CD5C70-BAC6-4BD5-A47F-1659BD78C236}"/>
    <cellStyle name="Normal 4 3 3 2 4 2 4" xfId="11952" xr:uid="{7D355BFF-6F6B-48E3-8770-D4B27D67167C}"/>
    <cellStyle name="Normal 4 3 3 2 4 3" xfId="5575" xr:uid="{00000000-0005-0000-0000-00007A140000}"/>
    <cellStyle name="Normal 4 3 3 2 4 3 2" xfId="22473" xr:uid="{03FEB98A-2FA3-41A9-85CB-2BC47F673B41}"/>
    <cellStyle name="Normal 4 3 3 2 4 3 3" xfId="14025" xr:uid="{A44F09B9-00A6-4A44-A853-1DC72F23328B}"/>
    <cellStyle name="Normal 4 3 3 2 4 4" xfId="18255" xr:uid="{769331C9-F70F-49ED-A86E-FB10B8FCE946}"/>
    <cellStyle name="Normal 4 3 3 2 4 5" xfId="9807" xr:uid="{388C89F2-1DA7-4CD4-959E-7414FD601C79}"/>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25031" xr:uid="{3D5AF285-72FB-4910-8006-F524847AE677}"/>
    <cellStyle name="Normal 4 3 3 2 5 2 2 3" xfId="16583" xr:uid="{F2F1BBBB-C095-4071-813E-36F53F1BE6D3}"/>
    <cellStyle name="Normal 4 3 3 2 5 2 3" xfId="20813" xr:uid="{F8ECE335-CB17-49FE-9A67-55C5E845B11B}"/>
    <cellStyle name="Normal 4 3 3 2 5 2 4" xfId="12365" xr:uid="{C0391C4D-FFEC-4D73-8892-612A5A8F7FFA}"/>
    <cellStyle name="Normal 4 3 3 2 5 3" xfId="5988" xr:uid="{00000000-0005-0000-0000-00007E140000}"/>
    <cellStyle name="Normal 4 3 3 2 5 3 2" xfId="22886" xr:uid="{C317448A-2516-4218-83D3-6FE2321497FE}"/>
    <cellStyle name="Normal 4 3 3 2 5 3 3" xfId="14438" xr:uid="{F434BEF0-117B-45B5-92B3-C628BB6F855D}"/>
    <cellStyle name="Normal 4 3 3 2 5 4" xfId="18668" xr:uid="{C4CE9C04-DFC5-4E6E-B40F-084909CAB03B}"/>
    <cellStyle name="Normal 4 3 3 2 5 5" xfId="10220" xr:uid="{2AEB4E31-4301-454D-912F-B2B5FB839973}"/>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25444" xr:uid="{B78559DF-2C6A-4398-82F0-2E6264BA03FC}"/>
    <cellStyle name="Normal 4 3 3 2 6 2 2 3" xfId="16996" xr:uid="{1A539FB4-BA97-46A8-AC91-E7A87D7DB644}"/>
    <cellStyle name="Normal 4 3 3 2 6 2 3" xfId="21226" xr:uid="{7E1FD1FD-6ABB-48B7-A445-A8DFE7C87BEE}"/>
    <cellStyle name="Normal 4 3 3 2 6 2 4" xfId="12778" xr:uid="{0B30138B-9B1B-44C9-9771-F6C4076E23E9}"/>
    <cellStyle name="Normal 4 3 3 2 6 3" xfId="6401" xr:uid="{00000000-0005-0000-0000-000082140000}"/>
    <cellStyle name="Normal 4 3 3 2 6 3 2" xfId="23299" xr:uid="{F6A53F1F-A9C5-42E6-B2B9-DC99D815BE39}"/>
    <cellStyle name="Normal 4 3 3 2 6 3 3" xfId="14851" xr:uid="{2CC4FEBD-B89A-4D69-B725-9F6E7D0D538A}"/>
    <cellStyle name="Normal 4 3 3 2 6 4" xfId="19081" xr:uid="{62BBCE1C-B176-40EB-A97C-F8EDEE6AA03D}"/>
    <cellStyle name="Normal 4 3 3 2 6 5" xfId="10633" xr:uid="{6F54463B-435D-46D5-B2CD-2489E46133DA}"/>
    <cellStyle name="Normal 4 3 3 2 7" xfId="2531" xr:uid="{00000000-0005-0000-0000-000083140000}"/>
    <cellStyle name="Normal 4 3 3 2 7 2" xfId="6814" xr:uid="{00000000-0005-0000-0000-000084140000}"/>
    <cellStyle name="Normal 4 3 3 2 7 2 2" xfId="23712" xr:uid="{11E712BA-D10F-47EE-9C23-D186C5824099}"/>
    <cellStyle name="Normal 4 3 3 2 7 2 3" xfId="15264" xr:uid="{F7292A7E-F83D-4D9F-910C-5CCD3B56336A}"/>
    <cellStyle name="Normal 4 3 3 2 7 3" xfId="19494" xr:uid="{613264F8-1D30-48D5-96E4-1D22CF731FA2}"/>
    <cellStyle name="Normal 4 3 3 2 7 4" xfId="11046" xr:uid="{DDE5DC8F-D9FC-4A9A-B50C-E124A5F33EEA}"/>
    <cellStyle name="Normal 4 3 3 2 8" xfId="4749" xr:uid="{00000000-0005-0000-0000-000085140000}"/>
    <cellStyle name="Normal 4 3 3 2 8 2" xfId="21647" xr:uid="{80D2C701-C46F-4698-A335-1D4BE85C253C}"/>
    <cellStyle name="Normal 4 3 3 2 8 3" xfId="13199" xr:uid="{40332435-FDDA-4465-B8A8-0BF1F95A6DE0}"/>
    <cellStyle name="Normal 4 3 3 2 9" xfId="17429" xr:uid="{CEC8A8A3-638C-4191-AA2F-FD3762B74B6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24207" xr:uid="{34C4A0F2-6CF3-4E82-A158-8584D8D6C6C8}"/>
    <cellStyle name="Normal 4 3 3 3 2 2 2 3" xfId="15759" xr:uid="{44EBA631-7992-4E99-8872-8D77E108E90F}"/>
    <cellStyle name="Normal 4 3 3 3 2 2 3" xfId="19989" xr:uid="{E47B36E8-BD79-4436-B6FB-F170FF6FE153}"/>
    <cellStyle name="Normal 4 3 3 3 2 2 4" xfId="11541" xr:uid="{F335A3E5-3346-4302-8D43-9D709B9AE432}"/>
    <cellStyle name="Normal 4 3 3 3 2 3" xfId="5164" xr:uid="{00000000-0005-0000-0000-00008A140000}"/>
    <cellStyle name="Normal 4 3 3 3 2 3 2" xfId="22062" xr:uid="{29309966-E268-4540-A2BC-E9256D5307E9}"/>
    <cellStyle name="Normal 4 3 3 3 2 3 3" xfId="13614" xr:uid="{34F3E4AE-0786-435A-9947-5D243CE116DC}"/>
    <cellStyle name="Normal 4 3 3 3 2 4" xfId="17844" xr:uid="{7589E5EA-986A-4575-996C-E0DE26CD3AC7}"/>
    <cellStyle name="Normal 4 3 3 3 2 5" xfId="9396" xr:uid="{89853D23-72F0-4D37-9DAE-259AB7EACF9F}"/>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24620" xr:uid="{645F7702-C8DF-4511-B394-E686BF87BFEF}"/>
    <cellStyle name="Normal 4 3 3 3 3 2 2 3" xfId="16172" xr:uid="{A614C997-2BFF-448B-9D15-4EC355CBD75A}"/>
    <cellStyle name="Normal 4 3 3 3 3 2 3" xfId="20402" xr:uid="{B61281C0-DE56-4C59-955B-437083FDB70C}"/>
    <cellStyle name="Normal 4 3 3 3 3 2 4" xfId="11954" xr:uid="{ED684AE0-B525-4A17-B96B-7B4F51C85AD7}"/>
    <cellStyle name="Normal 4 3 3 3 3 3" xfId="5577" xr:uid="{00000000-0005-0000-0000-00008E140000}"/>
    <cellStyle name="Normal 4 3 3 3 3 3 2" xfId="22475" xr:uid="{48763F01-7FDF-43EA-8A39-D34B85D1504D}"/>
    <cellStyle name="Normal 4 3 3 3 3 3 3" xfId="14027" xr:uid="{9A103F70-C890-4EE9-8ABB-D7E9DA942179}"/>
    <cellStyle name="Normal 4 3 3 3 3 4" xfId="18257" xr:uid="{FBAD2EF3-E342-4BEE-9ED1-5C0C19904F7E}"/>
    <cellStyle name="Normal 4 3 3 3 3 5" xfId="9809" xr:uid="{4E654834-2417-46B7-8205-932840003FDF}"/>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25033" xr:uid="{2D6C6074-7BEE-4F65-B5CD-2FF3405D5DD0}"/>
    <cellStyle name="Normal 4 3 3 3 4 2 2 3" xfId="16585" xr:uid="{008D7089-D8C9-4015-A0B1-E74338B037A8}"/>
    <cellStyle name="Normal 4 3 3 3 4 2 3" xfId="20815" xr:uid="{81F37D81-251D-4DF3-87F8-7842A31A21C9}"/>
    <cellStyle name="Normal 4 3 3 3 4 2 4" xfId="12367" xr:uid="{F09094B9-5E4B-4520-B0C8-A9C596C923EF}"/>
    <cellStyle name="Normal 4 3 3 3 4 3" xfId="5990" xr:uid="{00000000-0005-0000-0000-000092140000}"/>
    <cellStyle name="Normal 4 3 3 3 4 3 2" xfId="22888" xr:uid="{A5767698-125F-44C7-9883-2BABCBAB0F08}"/>
    <cellStyle name="Normal 4 3 3 3 4 3 3" xfId="14440" xr:uid="{49DD9B98-6F77-4E30-8D27-56287EF5B33F}"/>
    <cellStyle name="Normal 4 3 3 3 4 4" xfId="18670" xr:uid="{6B156365-A34E-4623-8C1F-5F1FD1AC5C5A}"/>
    <cellStyle name="Normal 4 3 3 3 4 5" xfId="10222" xr:uid="{5F8391FB-E35E-44BE-97EA-1C10150F6228}"/>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25446" xr:uid="{F0C44852-4726-4F71-A586-6B8518999982}"/>
    <cellStyle name="Normal 4 3 3 3 5 2 2 3" xfId="16998" xr:uid="{68ABA718-46AB-49CC-8D90-55A6A1446B60}"/>
    <cellStyle name="Normal 4 3 3 3 5 2 3" xfId="21228" xr:uid="{A7A81301-535E-4D57-BF15-DB970963D349}"/>
    <cellStyle name="Normal 4 3 3 3 5 2 4" xfId="12780" xr:uid="{7EBA9DB7-8283-4A0F-92DB-12E603A5A3F8}"/>
    <cellStyle name="Normal 4 3 3 3 5 3" xfId="6403" xr:uid="{00000000-0005-0000-0000-000096140000}"/>
    <cellStyle name="Normal 4 3 3 3 5 3 2" xfId="23301" xr:uid="{9AFCDA75-1DE2-4340-95C6-FBC2A1429B03}"/>
    <cellStyle name="Normal 4 3 3 3 5 3 3" xfId="14853" xr:uid="{95A3E921-226A-45FF-BC43-4560CF643E6C}"/>
    <cellStyle name="Normal 4 3 3 3 5 4" xfId="19083" xr:uid="{0BC03E60-46AF-4771-9C00-F46AF4136EFC}"/>
    <cellStyle name="Normal 4 3 3 3 5 5" xfId="10635" xr:uid="{07758483-59E2-4D1F-8BD2-1C80E0FA9CA9}"/>
    <cellStyle name="Normal 4 3 3 3 6" xfId="2533" xr:uid="{00000000-0005-0000-0000-000097140000}"/>
    <cellStyle name="Normal 4 3 3 3 6 2" xfId="6816" xr:uid="{00000000-0005-0000-0000-000098140000}"/>
    <cellStyle name="Normal 4 3 3 3 6 2 2" xfId="23714" xr:uid="{BB728CFD-29A0-4859-B4F4-DA5F0E95B829}"/>
    <cellStyle name="Normal 4 3 3 3 6 2 3" xfId="15266" xr:uid="{0F1554D8-FABA-461B-9123-DEBB655EA01A}"/>
    <cellStyle name="Normal 4 3 3 3 6 3" xfId="19496" xr:uid="{3512721C-2440-4802-8527-448AA2D0C623}"/>
    <cellStyle name="Normal 4 3 3 3 6 4" xfId="11048" xr:uid="{ECB61540-80B5-499E-B6F5-DF3002FD2FFA}"/>
    <cellStyle name="Normal 4 3 3 3 7" xfId="4751" xr:uid="{00000000-0005-0000-0000-000099140000}"/>
    <cellStyle name="Normal 4 3 3 3 7 2" xfId="21649" xr:uid="{B302A63B-2240-4587-B9EA-44C848DD5577}"/>
    <cellStyle name="Normal 4 3 3 3 7 3" xfId="13201" xr:uid="{E3DAD259-E655-482D-B208-93A4CC39DD3E}"/>
    <cellStyle name="Normal 4 3 3 3 8" xfId="17431" xr:uid="{9482ECEA-4C0A-424A-AC9F-02CB3FC4808F}"/>
    <cellStyle name="Normal 4 3 3 3 9" xfId="8983" xr:uid="{E0B73967-755C-44BC-9727-B355743411F5}"/>
    <cellStyle name="Normal 4 3 3 4" xfId="849" xr:uid="{00000000-0005-0000-0000-00009A140000}"/>
    <cellStyle name="Normal 4 3 3 4 2" xfId="3084" xr:uid="{00000000-0005-0000-0000-00009B140000}"/>
    <cellStyle name="Normal 4 3 3 4 2 2" xfId="7306" xr:uid="{00000000-0005-0000-0000-00009C140000}"/>
    <cellStyle name="Normal 4 3 3 4 2 2 2" xfId="24204" xr:uid="{EE5A8171-0164-404D-B6E0-58D21F771F25}"/>
    <cellStyle name="Normal 4 3 3 4 2 2 3" xfId="15756" xr:uid="{4BCB77B2-4F63-44F2-91FB-D16A6A05F4CD}"/>
    <cellStyle name="Normal 4 3 3 4 2 3" xfId="19986" xr:uid="{6C054B26-C974-4963-A3A2-CB961D3298BE}"/>
    <cellStyle name="Normal 4 3 3 4 2 4" xfId="11538" xr:uid="{30C84760-1A46-4ED6-860E-BA2806DD6296}"/>
    <cellStyle name="Normal 4 3 3 4 3" xfId="5161" xr:uid="{00000000-0005-0000-0000-00009D140000}"/>
    <cellStyle name="Normal 4 3 3 4 3 2" xfId="22059" xr:uid="{6D00F788-58E2-4571-B162-E3A73AC33129}"/>
    <cellStyle name="Normal 4 3 3 4 3 3" xfId="13611" xr:uid="{90B3F7C6-DB0F-4680-BCFA-1E5295569061}"/>
    <cellStyle name="Normal 4 3 3 4 4" xfId="17841" xr:uid="{33F92E21-E8CB-47BB-9CD4-7AEDFE927F6B}"/>
    <cellStyle name="Normal 4 3 3 4 5" xfId="9393" xr:uid="{785E03C3-4619-49B6-AA42-BD4D660B26F0}"/>
    <cellStyle name="Normal 4 3 3 5" xfId="1267" xr:uid="{00000000-0005-0000-0000-00009E140000}"/>
    <cellStyle name="Normal 4 3 3 5 2" xfId="3497" xr:uid="{00000000-0005-0000-0000-00009F140000}"/>
    <cellStyle name="Normal 4 3 3 5 2 2" xfId="7719" xr:uid="{00000000-0005-0000-0000-0000A0140000}"/>
    <cellStyle name="Normal 4 3 3 5 2 2 2" xfId="24617" xr:uid="{36394F0D-EBDF-4632-B921-58A04859C0E5}"/>
    <cellStyle name="Normal 4 3 3 5 2 2 3" xfId="16169" xr:uid="{9177AD65-D883-4BE4-8F28-40CB495FC3DD}"/>
    <cellStyle name="Normal 4 3 3 5 2 3" xfId="20399" xr:uid="{75671E18-B710-4E41-A76D-B8DC815720B3}"/>
    <cellStyle name="Normal 4 3 3 5 2 4" xfId="11951" xr:uid="{64AB9E32-51B2-4F4E-B0A6-934A438A41BE}"/>
    <cellStyle name="Normal 4 3 3 5 3" xfId="5574" xr:uid="{00000000-0005-0000-0000-0000A1140000}"/>
    <cellStyle name="Normal 4 3 3 5 3 2" xfId="22472" xr:uid="{8F2CE865-3B58-450B-97E7-F972585102A5}"/>
    <cellStyle name="Normal 4 3 3 5 3 3" xfId="14024" xr:uid="{F34BE58F-1A26-46BB-A00D-8EE961ABAE1A}"/>
    <cellStyle name="Normal 4 3 3 5 4" xfId="18254" xr:uid="{1C1A9932-1009-4D9C-8163-6F748F626BC8}"/>
    <cellStyle name="Normal 4 3 3 5 5" xfId="9806" xr:uid="{3043D171-1DA9-4EF1-8285-2CEBFF76AEF3}"/>
    <cellStyle name="Normal 4 3 3 6" xfId="1680" xr:uid="{00000000-0005-0000-0000-0000A2140000}"/>
    <cellStyle name="Normal 4 3 3 6 2" xfId="3910" xr:uid="{00000000-0005-0000-0000-0000A3140000}"/>
    <cellStyle name="Normal 4 3 3 6 2 2" xfId="8132" xr:uid="{00000000-0005-0000-0000-0000A4140000}"/>
    <cellStyle name="Normal 4 3 3 6 2 2 2" xfId="25030" xr:uid="{8E1FC6CB-29FF-4ABC-9885-45A3E914E3D3}"/>
    <cellStyle name="Normal 4 3 3 6 2 2 3" xfId="16582" xr:uid="{8B86BEDE-271E-4EC8-B30D-1B807A9A1B02}"/>
    <cellStyle name="Normal 4 3 3 6 2 3" xfId="20812" xr:uid="{2B02B479-2F70-40CA-9F97-BE43A583D9DF}"/>
    <cellStyle name="Normal 4 3 3 6 2 4" xfId="12364" xr:uid="{F7DBF00B-7729-49D7-A6C3-AB30CBFD92AA}"/>
    <cellStyle name="Normal 4 3 3 6 3" xfId="5987" xr:uid="{00000000-0005-0000-0000-0000A5140000}"/>
    <cellStyle name="Normal 4 3 3 6 3 2" xfId="22885" xr:uid="{7A8ABF31-476F-4B21-9C33-AF6FC23E7F81}"/>
    <cellStyle name="Normal 4 3 3 6 3 3" xfId="14437" xr:uid="{6E6486E6-A8E0-44DA-88B0-A3D79C3E0025}"/>
    <cellStyle name="Normal 4 3 3 6 4" xfId="18667" xr:uid="{EF35F9A3-A4F3-4A07-A53C-1AD48E5C13D7}"/>
    <cellStyle name="Normal 4 3 3 6 5" xfId="10219" xr:uid="{F7D78227-467B-4667-BC3A-071847683B8C}"/>
    <cellStyle name="Normal 4 3 3 7" xfId="2094" xr:uid="{00000000-0005-0000-0000-0000A6140000}"/>
    <cellStyle name="Normal 4 3 3 7 2" xfId="4323" xr:uid="{00000000-0005-0000-0000-0000A7140000}"/>
    <cellStyle name="Normal 4 3 3 7 2 2" xfId="8545" xr:uid="{00000000-0005-0000-0000-0000A8140000}"/>
    <cellStyle name="Normal 4 3 3 7 2 2 2" xfId="25443" xr:uid="{54B92313-7790-4AFC-8913-15349CC76028}"/>
    <cellStyle name="Normal 4 3 3 7 2 2 3" xfId="16995" xr:uid="{ACC81884-2649-4FC8-8E37-1B1D4AA5A232}"/>
    <cellStyle name="Normal 4 3 3 7 2 3" xfId="21225" xr:uid="{A4D7A1AF-8650-4952-B3FE-F91F7F0D4A64}"/>
    <cellStyle name="Normal 4 3 3 7 2 4" xfId="12777" xr:uid="{01589EDE-0679-49F7-B491-4B7C829479E9}"/>
    <cellStyle name="Normal 4 3 3 7 3" xfId="6400" xr:uid="{00000000-0005-0000-0000-0000A9140000}"/>
    <cellStyle name="Normal 4 3 3 7 3 2" xfId="23298" xr:uid="{804ED4D4-89D1-4F6B-BCF4-E20705FD4B03}"/>
    <cellStyle name="Normal 4 3 3 7 3 3" xfId="14850" xr:uid="{E2502703-F41F-450E-880C-853D77E6708B}"/>
    <cellStyle name="Normal 4 3 3 7 4" xfId="19080" xr:uid="{9FBFD47E-4630-4BE4-A03D-243F7EF2E180}"/>
    <cellStyle name="Normal 4 3 3 7 5" xfId="10632" xr:uid="{D10A67C4-4DD0-4AFB-BD4B-A47F8E040E0D}"/>
    <cellStyle name="Normal 4 3 3 8" xfId="2530" xr:uid="{00000000-0005-0000-0000-0000AA140000}"/>
    <cellStyle name="Normal 4 3 3 8 2" xfId="6813" xr:uid="{00000000-0005-0000-0000-0000AB140000}"/>
    <cellStyle name="Normal 4 3 3 8 2 2" xfId="23711" xr:uid="{425C227D-FA83-4B0E-A30C-5FADA25A2E72}"/>
    <cellStyle name="Normal 4 3 3 8 2 3" xfId="15263" xr:uid="{66DE7591-A8E5-4E83-AAB3-360C390B68FC}"/>
    <cellStyle name="Normal 4 3 3 8 3" xfId="19493" xr:uid="{BB0F07B9-D8AE-4D28-A273-F6E26FF37D41}"/>
    <cellStyle name="Normal 4 3 3 8 4" xfId="11045" xr:uid="{FA41114C-2E4B-43D1-A11C-82A17337FD57}"/>
    <cellStyle name="Normal 4 3 3 9" xfId="4748" xr:uid="{00000000-0005-0000-0000-0000AC140000}"/>
    <cellStyle name="Normal 4 3 3 9 2" xfId="21646" xr:uid="{4641715A-96F9-432A-93FC-68F23FC84DF5}"/>
    <cellStyle name="Normal 4 3 3 9 3" xfId="13198" xr:uid="{3EBBD3A3-B13C-4BA6-A616-B604607D1CB9}"/>
    <cellStyle name="Normal 4 3 4" xfId="842" xr:uid="{00000000-0005-0000-0000-0000AD140000}"/>
    <cellStyle name="Normal 4 3 4 2" xfId="3079" xr:uid="{00000000-0005-0000-0000-0000AE140000}"/>
    <cellStyle name="Normal 4 3 4 2 2" xfId="7301" xr:uid="{00000000-0005-0000-0000-0000AF140000}"/>
    <cellStyle name="Normal 4 3 4 2 2 2" xfId="24199" xr:uid="{A1AE0C9C-F501-4218-B0CB-4297EF55A78C}"/>
    <cellStyle name="Normal 4 3 4 2 2 3" xfId="15751" xr:uid="{7660407C-9401-4F9C-9FCB-F27BA6F986F8}"/>
    <cellStyle name="Normal 4 3 4 2 3" xfId="19981" xr:uid="{33465ED1-BC24-49B7-97B8-22DF7181EEB5}"/>
    <cellStyle name="Normal 4 3 4 2 4" xfId="11533" xr:uid="{751AEF03-5300-4244-8E50-4DC730081265}"/>
    <cellStyle name="Normal 4 3 4 3" xfId="5156" xr:uid="{00000000-0005-0000-0000-0000B0140000}"/>
    <cellStyle name="Normal 4 3 4 3 2" xfId="22054" xr:uid="{304A7DBE-01C1-4526-82AB-F853EFD723EF}"/>
    <cellStyle name="Normal 4 3 4 3 3" xfId="13606" xr:uid="{01F3D670-9472-473A-BA26-FB5C1BFCF830}"/>
    <cellStyle name="Normal 4 3 4 4" xfId="17836" xr:uid="{AAACA1F3-1461-47C0-ADD9-A0090ACE0BF9}"/>
    <cellStyle name="Normal 4 3 4 5" xfId="9388" xr:uid="{14D8BDB5-847E-456C-9B30-1443A111FC83}"/>
    <cellStyle name="Normal 4 3 5" xfId="1262" xr:uid="{00000000-0005-0000-0000-0000B1140000}"/>
    <cellStyle name="Normal 4 3 5 2" xfId="3492" xr:uid="{00000000-0005-0000-0000-0000B2140000}"/>
    <cellStyle name="Normal 4 3 5 2 2" xfId="7714" xr:uid="{00000000-0005-0000-0000-0000B3140000}"/>
    <cellStyle name="Normal 4 3 5 2 2 2" xfId="24612" xr:uid="{A4E49790-91FC-40DE-B1B7-D1DCC5B92566}"/>
    <cellStyle name="Normal 4 3 5 2 2 3" xfId="16164" xr:uid="{F8854C87-B609-43C3-9FF9-C0B6982E5357}"/>
    <cellStyle name="Normal 4 3 5 2 3" xfId="20394" xr:uid="{B2611657-E5C4-4C81-976B-1B50B2FB71A1}"/>
    <cellStyle name="Normal 4 3 5 2 4" xfId="11946" xr:uid="{9FB2F247-FB73-433E-8072-A87D9DBCE701}"/>
    <cellStyle name="Normal 4 3 5 3" xfId="5569" xr:uid="{00000000-0005-0000-0000-0000B4140000}"/>
    <cellStyle name="Normal 4 3 5 3 2" xfId="22467" xr:uid="{5501C759-7D9F-4F74-89AC-D7103254355A}"/>
    <cellStyle name="Normal 4 3 5 3 3" xfId="14019" xr:uid="{251D0190-AE50-4394-BFC2-779B15A91224}"/>
    <cellStyle name="Normal 4 3 5 4" xfId="18249" xr:uid="{233D6436-130B-4353-B787-B8F9803E6430}"/>
    <cellStyle name="Normal 4 3 5 5" xfId="9801" xr:uid="{C67F40DC-87C4-4F7C-A0D0-0BB5CC0E834C}"/>
    <cellStyle name="Normal 4 3 6" xfId="1675" xr:uid="{00000000-0005-0000-0000-0000B5140000}"/>
    <cellStyle name="Normal 4 3 6 2" xfId="3905" xr:uid="{00000000-0005-0000-0000-0000B6140000}"/>
    <cellStyle name="Normal 4 3 6 2 2" xfId="8127" xr:uid="{00000000-0005-0000-0000-0000B7140000}"/>
    <cellStyle name="Normal 4 3 6 2 2 2" xfId="25025" xr:uid="{0E0F13A9-2B68-48E9-83A1-78E0E561FD98}"/>
    <cellStyle name="Normal 4 3 6 2 2 3" xfId="16577" xr:uid="{8A3BF206-1AB4-49AE-9188-5DAAD8087BF6}"/>
    <cellStyle name="Normal 4 3 6 2 3" xfId="20807" xr:uid="{8C149007-A66E-494C-A032-3DE2A8FBEEB6}"/>
    <cellStyle name="Normal 4 3 6 2 4" xfId="12359" xr:uid="{8A506A46-A454-4DFE-9770-0EF3E1887F71}"/>
    <cellStyle name="Normal 4 3 6 3" xfId="5982" xr:uid="{00000000-0005-0000-0000-0000B8140000}"/>
    <cellStyle name="Normal 4 3 6 3 2" xfId="22880" xr:uid="{5E48FB84-39D0-4407-826F-BD050094A071}"/>
    <cellStyle name="Normal 4 3 6 3 3" xfId="14432" xr:uid="{6EC49177-E490-44E0-B273-0C1A975221A1}"/>
    <cellStyle name="Normal 4 3 6 4" xfId="18662" xr:uid="{E1DDDEE3-4845-4F9D-AF3E-46744E274A29}"/>
    <cellStyle name="Normal 4 3 6 5" xfId="10214" xr:uid="{E791D462-ED52-46B0-9BAF-4483E345BABA}"/>
    <cellStyle name="Normal 4 3 7" xfId="2089" xr:uid="{00000000-0005-0000-0000-0000B9140000}"/>
    <cellStyle name="Normal 4 3 7 2" xfId="4318" xr:uid="{00000000-0005-0000-0000-0000BA140000}"/>
    <cellStyle name="Normal 4 3 7 2 2" xfId="8540" xr:uid="{00000000-0005-0000-0000-0000BB140000}"/>
    <cellStyle name="Normal 4 3 7 2 2 2" xfId="25438" xr:uid="{8D3B49DC-1762-4C04-BBE0-933ECC2222DF}"/>
    <cellStyle name="Normal 4 3 7 2 2 3" xfId="16990" xr:uid="{F2772BC6-728E-4C8D-8B3D-484D2DFCAEC2}"/>
    <cellStyle name="Normal 4 3 7 2 3" xfId="21220" xr:uid="{366BAE27-FB02-49E5-A707-AC0EA657CCD3}"/>
    <cellStyle name="Normal 4 3 7 2 4" xfId="12772" xr:uid="{B261D12D-FF49-48DB-931B-2ED4437952EF}"/>
    <cellStyle name="Normal 4 3 7 3" xfId="6395" xr:uid="{00000000-0005-0000-0000-0000BC140000}"/>
    <cellStyle name="Normal 4 3 7 3 2" xfId="23293" xr:uid="{F0B5D4E6-9F21-408E-AB99-B1DC8609DF5C}"/>
    <cellStyle name="Normal 4 3 7 3 3" xfId="14845" xr:uid="{5106C341-1C39-4CE0-8CDD-4A622CDC3B58}"/>
    <cellStyle name="Normal 4 3 7 4" xfId="19075" xr:uid="{C0EBD64C-B02B-4CFF-B8A9-B54E68D4FFE8}"/>
    <cellStyle name="Normal 4 3 7 5" xfId="10627" xr:uid="{A7E45580-157A-49C0-A732-C20567AA3CA1}"/>
    <cellStyle name="Normal 4 3 8" xfId="2525" xr:uid="{00000000-0005-0000-0000-0000BD140000}"/>
    <cellStyle name="Normal 4 3 8 2" xfId="6808" xr:uid="{00000000-0005-0000-0000-0000BE140000}"/>
    <cellStyle name="Normal 4 3 8 2 2" xfId="23706" xr:uid="{67670369-767F-4AFC-97A4-C187622FE8C2}"/>
    <cellStyle name="Normal 4 3 8 2 3" xfId="15258" xr:uid="{79843E7F-C41D-4EFA-ACCA-A1FD01B6AD2F}"/>
    <cellStyle name="Normal 4 3 8 3" xfId="19488" xr:uid="{535E393F-4FA5-4E45-AA3C-DEECC8FCF884}"/>
    <cellStyle name="Normal 4 3 8 4" xfId="11040" xr:uid="{7B9A4BFE-BC43-4760-BD97-DF64A3F32C0D}"/>
    <cellStyle name="Normal 4 3 9" xfId="4743" xr:uid="{00000000-0005-0000-0000-0000BF140000}"/>
    <cellStyle name="Normal 4 3 9 2" xfId="21641" xr:uid="{7F6B31D9-0EE3-4948-90BF-0DB13AB68806}"/>
    <cellStyle name="Normal 4 3 9 3" xfId="13193" xr:uid="{5872AE33-37DB-4140-96A5-FB869B3DFA9A}"/>
    <cellStyle name="Normal 4 4" xfId="378" xr:uid="{00000000-0005-0000-0000-0000C0140000}"/>
    <cellStyle name="Normal 4 4 10" xfId="2534" xr:uid="{00000000-0005-0000-0000-0000C1140000}"/>
    <cellStyle name="Normal 4 4 10 2" xfId="6817" xr:uid="{00000000-0005-0000-0000-0000C2140000}"/>
    <cellStyle name="Normal 4 4 10 2 2" xfId="23715" xr:uid="{A4A9ACC4-8203-46F4-BD00-BBED071F6E06}"/>
    <cellStyle name="Normal 4 4 10 2 3" xfId="15267" xr:uid="{BEACE798-F9B2-4EFA-86AF-2A41ACC5B284}"/>
    <cellStyle name="Normal 4 4 10 3" xfId="19497" xr:uid="{D9737DAC-A343-4F9A-ACE6-FACFA400F3B7}"/>
    <cellStyle name="Normal 4 4 10 4" xfId="11049" xr:uid="{E0B96429-D625-4977-920B-6A62ABB7D58C}"/>
    <cellStyle name="Normal 4 4 11" xfId="4752" xr:uid="{00000000-0005-0000-0000-0000C3140000}"/>
    <cellStyle name="Normal 4 4 11 2" xfId="21650" xr:uid="{5B88694C-79B2-44F0-997A-B5293868AEF7}"/>
    <cellStyle name="Normal 4 4 11 3" xfId="13202" xr:uid="{0D00E44B-E26F-4060-906D-E491EBDCB954}"/>
    <cellStyle name="Normal 4 4 12" xfId="17432" xr:uid="{5DE55D5E-9B71-4946-ACD1-48D73481D336}"/>
    <cellStyle name="Normal 4 4 13" xfId="8984" xr:uid="{191BF0CE-98D6-4E53-B512-97F21EADDBCB}"/>
    <cellStyle name="Normal 4 4 2" xfId="379" xr:uid="{00000000-0005-0000-0000-0000C4140000}"/>
    <cellStyle name="Normal 4 4 2 10" xfId="4753" xr:uid="{00000000-0005-0000-0000-0000C5140000}"/>
    <cellStyle name="Normal 4 4 2 10 2" xfId="21651" xr:uid="{E32D6363-BAB3-4155-9044-802F444A293E}"/>
    <cellStyle name="Normal 4 4 2 10 3" xfId="13203" xr:uid="{E24A67BF-77D6-4224-9271-E8F6BA75C37E}"/>
    <cellStyle name="Normal 4 4 2 11" xfId="17433" xr:uid="{AE2729B5-C5F5-41F5-9383-7E4CFFA5BFBB}"/>
    <cellStyle name="Normal 4 4 2 12" xfId="8985" xr:uid="{D8389177-BC5A-4DDD-B140-1D5508C78164}"/>
    <cellStyle name="Normal 4 4 2 2" xfId="380" xr:uid="{00000000-0005-0000-0000-0000C6140000}"/>
    <cellStyle name="Normal 4 4 2 2 10" xfId="17434" xr:uid="{80D855F7-661A-48E2-817E-9BC6FF6F9F10}"/>
    <cellStyle name="Normal 4 4 2 2 11" xfId="8986" xr:uid="{C834BF2B-1B6E-4408-BCEF-57E1F0FAB116}"/>
    <cellStyle name="Normal 4 4 2 2 2" xfId="381" xr:uid="{00000000-0005-0000-0000-0000C7140000}"/>
    <cellStyle name="Normal 4 4 2 2 2 10" xfId="8987" xr:uid="{3CF5231C-2D4C-4609-81F7-F942DB6337E5}"/>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24212" xr:uid="{715A8477-361B-4E46-AB7E-2A0EBB2CBB1A}"/>
    <cellStyle name="Normal 4 4 2 2 2 2 2 2 2 3" xfId="15764" xr:uid="{32CD659E-1D83-4ED8-9D63-2811F66D2E02}"/>
    <cellStyle name="Normal 4 4 2 2 2 2 2 2 3" xfId="19994" xr:uid="{C99CA025-15B0-44F7-9D12-C96F7FDE80A1}"/>
    <cellStyle name="Normal 4 4 2 2 2 2 2 2 4" xfId="11546" xr:uid="{A55397F0-1153-473E-A642-7FFC0AC11D69}"/>
    <cellStyle name="Normal 4 4 2 2 2 2 2 3" xfId="5169" xr:uid="{00000000-0005-0000-0000-0000CC140000}"/>
    <cellStyle name="Normal 4 4 2 2 2 2 2 3 2" xfId="22067" xr:uid="{FEC1A18F-2F55-4766-A3B0-F310FC040F0C}"/>
    <cellStyle name="Normal 4 4 2 2 2 2 2 3 3" xfId="13619" xr:uid="{233B2079-1B5B-4579-8365-9518A06F2BBA}"/>
    <cellStyle name="Normal 4 4 2 2 2 2 2 4" xfId="17849" xr:uid="{F0AD8C28-78F4-4E8A-B094-8A72894ED56D}"/>
    <cellStyle name="Normal 4 4 2 2 2 2 2 5" xfId="9401" xr:uid="{C4A912E1-2668-40CB-AB93-A7CCC4D68118}"/>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24625" xr:uid="{4CC5DC18-F85B-4BDC-96D6-C628575B49D3}"/>
    <cellStyle name="Normal 4 4 2 2 2 2 3 2 2 3" xfId="16177" xr:uid="{FF7439BD-4601-4A7F-AC83-0EAB50CE4A3D}"/>
    <cellStyle name="Normal 4 4 2 2 2 2 3 2 3" xfId="20407" xr:uid="{E4378928-3DBB-4A59-AFB4-8A925BB2CC8D}"/>
    <cellStyle name="Normal 4 4 2 2 2 2 3 2 4" xfId="11959" xr:uid="{BB561ED3-9DAE-432D-8E57-956499BA4B9D}"/>
    <cellStyle name="Normal 4 4 2 2 2 2 3 3" xfId="5582" xr:uid="{00000000-0005-0000-0000-0000D0140000}"/>
    <cellStyle name="Normal 4 4 2 2 2 2 3 3 2" xfId="22480" xr:uid="{4740D364-7958-4A79-AA84-88E2894F8507}"/>
    <cellStyle name="Normal 4 4 2 2 2 2 3 3 3" xfId="14032" xr:uid="{1A7FD852-36D9-4AE3-A3CA-D7B1E32CA681}"/>
    <cellStyle name="Normal 4 4 2 2 2 2 3 4" xfId="18262" xr:uid="{BD4B3BBD-8249-4A68-B065-2AC04E48F1F0}"/>
    <cellStyle name="Normal 4 4 2 2 2 2 3 5" xfId="9814" xr:uid="{2F586607-CD51-4378-A1C0-9D1686BAC8C7}"/>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25038" xr:uid="{D67E971F-4AE3-45B9-B090-CFD00243E7CC}"/>
    <cellStyle name="Normal 4 4 2 2 2 2 4 2 2 3" xfId="16590" xr:uid="{7B15695B-A12B-49D5-881C-06F053CFC19E}"/>
    <cellStyle name="Normal 4 4 2 2 2 2 4 2 3" xfId="20820" xr:uid="{8B33A9F2-8DD6-4474-A9C5-CEE55A1CC0D5}"/>
    <cellStyle name="Normal 4 4 2 2 2 2 4 2 4" xfId="12372" xr:uid="{6C1AC26F-0C9E-431A-89C5-CF6E9B40F457}"/>
    <cellStyle name="Normal 4 4 2 2 2 2 4 3" xfId="5995" xr:uid="{00000000-0005-0000-0000-0000D4140000}"/>
    <cellStyle name="Normal 4 4 2 2 2 2 4 3 2" xfId="22893" xr:uid="{1518CE2A-207E-4202-ABA9-FA74E0984BD4}"/>
    <cellStyle name="Normal 4 4 2 2 2 2 4 3 3" xfId="14445" xr:uid="{9DAD39F9-E59B-46D6-A84E-408BFC32C7F7}"/>
    <cellStyle name="Normal 4 4 2 2 2 2 4 4" xfId="18675" xr:uid="{B162DC2B-A471-473E-A726-7D90046BDC58}"/>
    <cellStyle name="Normal 4 4 2 2 2 2 4 5" xfId="10227" xr:uid="{81A321E1-7A75-4257-98F4-FDDD5D0C1499}"/>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25451" xr:uid="{5DDF3CA8-0E55-48D5-8903-62D60914B839}"/>
    <cellStyle name="Normal 4 4 2 2 2 2 5 2 2 3" xfId="17003" xr:uid="{6AC1E733-3A30-4749-9B08-8109EB30DF89}"/>
    <cellStyle name="Normal 4 4 2 2 2 2 5 2 3" xfId="21233" xr:uid="{4E3AECBD-CA39-4CEE-8E2B-60C273E7DE89}"/>
    <cellStyle name="Normal 4 4 2 2 2 2 5 2 4" xfId="12785" xr:uid="{167CC9A1-D2A8-47B8-868A-052898C4E615}"/>
    <cellStyle name="Normal 4 4 2 2 2 2 5 3" xfId="6408" xr:uid="{00000000-0005-0000-0000-0000D8140000}"/>
    <cellStyle name="Normal 4 4 2 2 2 2 5 3 2" xfId="23306" xr:uid="{F8BF131B-A443-41AC-B7D4-71C08CF1326A}"/>
    <cellStyle name="Normal 4 4 2 2 2 2 5 3 3" xfId="14858" xr:uid="{BFF3B9B6-8AB5-4F6E-8BDF-49BE5EEBB6FC}"/>
    <cellStyle name="Normal 4 4 2 2 2 2 5 4" xfId="19088" xr:uid="{4988E582-1E4C-4B3E-BD85-10C62E9371F5}"/>
    <cellStyle name="Normal 4 4 2 2 2 2 5 5" xfId="10640" xr:uid="{74E3D651-FAE0-459C-8CA7-5AB5E2E9F280}"/>
    <cellStyle name="Normal 4 4 2 2 2 2 6" xfId="2538" xr:uid="{00000000-0005-0000-0000-0000D9140000}"/>
    <cellStyle name="Normal 4 4 2 2 2 2 6 2" xfId="6821" xr:uid="{00000000-0005-0000-0000-0000DA140000}"/>
    <cellStyle name="Normal 4 4 2 2 2 2 6 2 2" xfId="23719" xr:uid="{960F4672-3C9D-4809-8B1D-220AC4C072EE}"/>
    <cellStyle name="Normal 4 4 2 2 2 2 6 2 3" xfId="15271" xr:uid="{25DAB28A-7F81-401B-A1DB-DB47591D9095}"/>
    <cellStyle name="Normal 4 4 2 2 2 2 6 3" xfId="19501" xr:uid="{43C4F37D-D4A6-441C-9A34-C2EE67AF895B}"/>
    <cellStyle name="Normal 4 4 2 2 2 2 6 4" xfId="11053" xr:uid="{F98772EA-62A4-4475-9255-BB542E08F3B3}"/>
    <cellStyle name="Normal 4 4 2 2 2 2 7" xfId="4756" xr:uid="{00000000-0005-0000-0000-0000DB140000}"/>
    <cellStyle name="Normal 4 4 2 2 2 2 7 2" xfId="21654" xr:uid="{8892DD95-1C7A-4487-8A69-EB9A9AF134AB}"/>
    <cellStyle name="Normal 4 4 2 2 2 2 7 3" xfId="13206" xr:uid="{31E7CFF5-A8EC-4D2A-9BCB-C656E45F6CE5}"/>
    <cellStyle name="Normal 4 4 2 2 2 2 8" xfId="17436" xr:uid="{E9CC58F1-AB60-440F-BACE-7940B1C28640}"/>
    <cellStyle name="Normal 4 4 2 2 2 2 9" xfId="8988" xr:uid="{D3CDE9ED-6F58-4D1A-A2D0-1C5E920EC7DE}"/>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24211" xr:uid="{83BFBC7E-3283-488E-BBA4-F6D96376B532}"/>
    <cellStyle name="Normal 4 4 2 2 2 3 2 2 3" xfId="15763" xr:uid="{319C69DB-7424-4FF1-ADDE-327FDC944241}"/>
    <cellStyle name="Normal 4 4 2 2 2 3 2 3" xfId="19993" xr:uid="{490032C6-7CB9-4C7A-9366-67D613B1F606}"/>
    <cellStyle name="Normal 4 4 2 2 2 3 2 4" xfId="11545" xr:uid="{652D6436-A8EA-4D1B-8194-0228CE8DB982}"/>
    <cellStyle name="Normal 4 4 2 2 2 3 3" xfId="5168" xr:uid="{00000000-0005-0000-0000-0000DF140000}"/>
    <cellStyle name="Normal 4 4 2 2 2 3 3 2" xfId="22066" xr:uid="{9C51C1CC-1C55-4848-B9EE-68116E9DF17A}"/>
    <cellStyle name="Normal 4 4 2 2 2 3 3 3" xfId="13618" xr:uid="{FC2445A8-02A4-476A-B8F0-A36D64E66DD0}"/>
    <cellStyle name="Normal 4 4 2 2 2 3 4" xfId="17848" xr:uid="{E52952A3-F643-45ED-91F0-E560686B38A8}"/>
    <cellStyle name="Normal 4 4 2 2 2 3 5" xfId="9400" xr:uid="{21808207-DED9-4669-B1D3-BCE6A834BBF2}"/>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24624" xr:uid="{BED5EBB1-BCD2-4B10-85B9-D0E1D512BCF1}"/>
    <cellStyle name="Normal 4 4 2 2 2 4 2 2 3" xfId="16176" xr:uid="{95F4C714-D816-498F-AD33-9CF157DB940A}"/>
    <cellStyle name="Normal 4 4 2 2 2 4 2 3" xfId="20406" xr:uid="{92BFEC1A-A56F-4148-A9AA-05896F5AF623}"/>
    <cellStyle name="Normal 4 4 2 2 2 4 2 4" xfId="11958" xr:uid="{07C49A72-225F-41EE-B047-80861DD90A66}"/>
    <cellStyle name="Normal 4 4 2 2 2 4 3" xfId="5581" xr:uid="{00000000-0005-0000-0000-0000E3140000}"/>
    <cellStyle name="Normal 4 4 2 2 2 4 3 2" xfId="22479" xr:uid="{6AEF0D3A-868D-4DF5-9644-FBEAAE655F41}"/>
    <cellStyle name="Normal 4 4 2 2 2 4 3 3" xfId="14031" xr:uid="{AD778D1A-1363-419E-A2C0-4058C4FFB092}"/>
    <cellStyle name="Normal 4 4 2 2 2 4 4" xfId="18261" xr:uid="{31661668-0D54-48A0-98F8-D2467AF06A7F}"/>
    <cellStyle name="Normal 4 4 2 2 2 4 5" xfId="9813" xr:uid="{3C29FA22-3CE6-4B87-9DC1-78A1ADE34804}"/>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25037" xr:uid="{B99CFA3B-88EE-49D0-8E73-3685ED6B0686}"/>
    <cellStyle name="Normal 4 4 2 2 2 5 2 2 3" xfId="16589" xr:uid="{D170A524-443B-4EEB-999C-58AF1D929105}"/>
    <cellStyle name="Normal 4 4 2 2 2 5 2 3" xfId="20819" xr:uid="{32CD06F0-7ED0-4A52-8D6E-E2DD9F1755C7}"/>
    <cellStyle name="Normal 4 4 2 2 2 5 2 4" xfId="12371" xr:uid="{F4F563C4-5211-460A-863F-914167A835F5}"/>
    <cellStyle name="Normal 4 4 2 2 2 5 3" xfId="5994" xr:uid="{00000000-0005-0000-0000-0000E7140000}"/>
    <cellStyle name="Normal 4 4 2 2 2 5 3 2" xfId="22892" xr:uid="{ADA29064-6887-4560-B365-3B1765992323}"/>
    <cellStyle name="Normal 4 4 2 2 2 5 3 3" xfId="14444" xr:uid="{D1AC4609-89B8-47C9-A5FA-67EAAC4836A0}"/>
    <cellStyle name="Normal 4 4 2 2 2 5 4" xfId="18674" xr:uid="{05B73629-BC2A-4AA1-855E-7EADEB12C5CA}"/>
    <cellStyle name="Normal 4 4 2 2 2 5 5" xfId="10226" xr:uid="{8D7128D0-4746-48BF-BA10-965D0EADF11B}"/>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25450" xr:uid="{22C34AE4-D46C-47DC-B36F-253E3505D75C}"/>
    <cellStyle name="Normal 4 4 2 2 2 6 2 2 3" xfId="17002" xr:uid="{85742F49-10D9-4B65-85F9-F123AE4C7E94}"/>
    <cellStyle name="Normal 4 4 2 2 2 6 2 3" xfId="21232" xr:uid="{03F0C6C3-BCDE-476C-84BF-918CE6774485}"/>
    <cellStyle name="Normal 4 4 2 2 2 6 2 4" xfId="12784" xr:uid="{21A98CDA-B1F1-40C6-9D48-3593630EC40D}"/>
    <cellStyle name="Normal 4 4 2 2 2 6 3" xfId="6407" xr:uid="{00000000-0005-0000-0000-0000EB140000}"/>
    <cellStyle name="Normal 4 4 2 2 2 6 3 2" xfId="23305" xr:uid="{9586D827-B561-440D-AAEB-17100ABAEF79}"/>
    <cellStyle name="Normal 4 4 2 2 2 6 3 3" xfId="14857" xr:uid="{D639BCCE-4A6D-4E0E-9204-5B283BB96875}"/>
    <cellStyle name="Normal 4 4 2 2 2 6 4" xfId="19087" xr:uid="{F682D942-A644-4904-A1D1-83A5D49CAF91}"/>
    <cellStyle name="Normal 4 4 2 2 2 6 5" xfId="10639" xr:uid="{5CDA933A-32D9-4441-BFB6-F5226D64CE3C}"/>
    <cellStyle name="Normal 4 4 2 2 2 7" xfId="2537" xr:uid="{00000000-0005-0000-0000-0000EC140000}"/>
    <cellStyle name="Normal 4 4 2 2 2 7 2" xfId="6820" xr:uid="{00000000-0005-0000-0000-0000ED140000}"/>
    <cellStyle name="Normal 4 4 2 2 2 7 2 2" xfId="23718" xr:uid="{2D01A37D-07FE-457C-BA0A-F7D8644D630F}"/>
    <cellStyle name="Normal 4 4 2 2 2 7 2 3" xfId="15270" xr:uid="{393C66AB-0EC2-4DA7-8AF8-9B4349F86E7C}"/>
    <cellStyle name="Normal 4 4 2 2 2 7 3" xfId="19500" xr:uid="{EF503AB9-4978-4C42-8E2F-A4FD78E3A8E2}"/>
    <cellStyle name="Normal 4 4 2 2 2 7 4" xfId="11052" xr:uid="{2E35DE4D-81B9-4F3A-B1DF-58C588F5A518}"/>
    <cellStyle name="Normal 4 4 2 2 2 8" xfId="4755" xr:uid="{00000000-0005-0000-0000-0000EE140000}"/>
    <cellStyle name="Normal 4 4 2 2 2 8 2" xfId="21653" xr:uid="{967416EE-643E-4D64-9ED4-7CBDAEF3A52A}"/>
    <cellStyle name="Normal 4 4 2 2 2 8 3" xfId="13205" xr:uid="{6386351F-D50D-4946-868F-1795F702720C}"/>
    <cellStyle name="Normal 4 4 2 2 2 9" xfId="17435" xr:uid="{7866CC99-A4D9-4EEF-AB19-5B66E05E77A2}"/>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24213" xr:uid="{FBC018C9-DA1C-4C52-9D76-12C3D9021660}"/>
    <cellStyle name="Normal 4 4 2 2 3 2 2 2 3" xfId="15765" xr:uid="{E6BDFC09-626C-4A24-9859-ABE7A65A6FAA}"/>
    <cellStyle name="Normal 4 4 2 2 3 2 2 3" xfId="19995" xr:uid="{0C8D90C4-A9EB-499A-BB3C-EB825CD2AD45}"/>
    <cellStyle name="Normal 4 4 2 2 3 2 2 4" xfId="11547" xr:uid="{2A2E876E-F5C5-4F73-BB14-78F8311DFF23}"/>
    <cellStyle name="Normal 4 4 2 2 3 2 3" xfId="5170" xr:uid="{00000000-0005-0000-0000-0000F3140000}"/>
    <cellStyle name="Normal 4 4 2 2 3 2 3 2" xfId="22068" xr:uid="{AD8572BF-A556-4C54-B2EB-4F1C67B1C073}"/>
    <cellStyle name="Normal 4 4 2 2 3 2 3 3" xfId="13620" xr:uid="{83AA24FB-363D-4B03-BB6F-18FC5CBB1D57}"/>
    <cellStyle name="Normal 4 4 2 2 3 2 4" xfId="17850" xr:uid="{54C191D4-6DED-4C66-BD53-4C45DCA29D0B}"/>
    <cellStyle name="Normal 4 4 2 2 3 2 5" xfId="9402" xr:uid="{32435A0A-D748-467F-8B87-295C2B2517D5}"/>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24626" xr:uid="{C66BBEC8-7761-4055-8DAB-DBF8E483942F}"/>
    <cellStyle name="Normal 4 4 2 2 3 3 2 2 3" xfId="16178" xr:uid="{426D8542-0239-48BB-8B80-9333110A07D3}"/>
    <cellStyle name="Normal 4 4 2 2 3 3 2 3" xfId="20408" xr:uid="{F4ED5E93-E57B-4936-B009-D99E55A212A5}"/>
    <cellStyle name="Normal 4 4 2 2 3 3 2 4" xfId="11960" xr:uid="{786D6DCF-4EE9-4625-A127-80333E9681D8}"/>
    <cellStyle name="Normal 4 4 2 2 3 3 3" xfId="5583" xr:uid="{00000000-0005-0000-0000-0000F7140000}"/>
    <cellStyle name="Normal 4 4 2 2 3 3 3 2" xfId="22481" xr:uid="{E8BC600C-6BB6-4721-91B6-AAAB153A8DA3}"/>
    <cellStyle name="Normal 4 4 2 2 3 3 3 3" xfId="14033" xr:uid="{19831CD9-42A4-4300-AC58-7142E14C3B33}"/>
    <cellStyle name="Normal 4 4 2 2 3 3 4" xfId="18263" xr:uid="{0B57B027-E7C6-47DF-B8BC-262D4361E46E}"/>
    <cellStyle name="Normal 4 4 2 2 3 3 5" xfId="9815" xr:uid="{E3FC0F9C-CABD-4C1B-8118-1A8B6C8A4805}"/>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25039" xr:uid="{CB659BBF-0BDE-4748-9B85-6840D47E1888}"/>
    <cellStyle name="Normal 4 4 2 2 3 4 2 2 3" xfId="16591" xr:uid="{DE0DEA5B-6552-4424-85BF-5FEC54C9E7C3}"/>
    <cellStyle name="Normal 4 4 2 2 3 4 2 3" xfId="20821" xr:uid="{FDEF39ED-93DC-4A3F-ADDF-DE9C07B56D41}"/>
    <cellStyle name="Normal 4 4 2 2 3 4 2 4" xfId="12373" xr:uid="{E2AB91A4-AC45-4531-AEB1-231D3D0CA372}"/>
    <cellStyle name="Normal 4 4 2 2 3 4 3" xfId="5996" xr:uid="{00000000-0005-0000-0000-0000FB140000}"/>
    <cellStyle name="Normal 4 4 2 2 3 4 3 2" xfId="22894" xr:uid="{E24ECC47-8A28-495F-86DE-CE9A28634461}"/>
    <cellStyle name="Normal 4 4 2 2 3 4 3 3" xfId="14446" xr:uid="{DA219B42-4DB1-4B88-83C4-5A95D5A3FA15}"/>
    <cellStyle name="Normal 4 4 2 2 3 4 4" xfId="18676" xr:uid="{BD342327-6E01-4E39-82BA-406E6C73F634}"/>
    <cellStyle name="Normal 4 4 2 2 3 4 5" xfId="10228" xr:uid="{8F81B0BE-F6E6-4727-9565-5A4B48721109}"/>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25452" xr:uid="{CCAD96F3-0521-4AEE-8703-CE8BD524E5B8}"/>
    <cellStyle name="Normal 4 4 2 2 3 5 2 2 3" xfId="17004" xr:uid="{FBD0F9ED-3597-4E15-AF93-0E1CA7C942D9}"/>
    <cellStyle name="Normal 4 4 2 2 3 5 2 3" xfId="21234" xr:uid="{1057DF0B-95A4-4BBE-916E-28ABCBE1B95D}"/>
    <cellStyle name="Normal 4 4 2 2 3 5 2 4" xfId="12786" xr:uid="{8D6B4240-845F-4B5E-90D9-BF98A041392A}"/>
    <cellStyle name="Normal 4 4 2 2 3 5 3" xfId="6409" xr:uid="{00000000-0005-0000-0000-0000FF140000}"/>
    <cellStyle name="Normal 4 4 2 2 3 5 3 2" xfId="23307" xr:uid="{1F237A31-433B-4F94-AE98-DFF1249F45CC}"/>
    <cellStyle name="Normal 4 4 2 2 3 5 3 3" xfId="14859" xr:uid="{7A585A13-CEF5-43C8-9759-0C3EBA8D291A}"/>
    <cellStyle name="Normal 4 4 2 2 3 5 4" xfId="19089" xr:uid="{8D7AB701-4B35-4B00-B24F-E9D4E5DA541B}"/>
    <cellStyle name="Normal 4 4 2 2 3 5 5" xfId="10641" xr:uid="{6DE841BF-5364-4415-91D7-2CD42F1DF6C1}"/>
    <cellStyle name="Normal 4 4 2 2 3 6" xfId="2539" xr:uid="{00000000-0005-0000-0000-000000150000}"/>
    <cellStyle name="Normal 4 4 2 2 3 6 2" xfId="6822" xr:uid="{00000000-0005-0000-0000-000001150000}"/>
    <cellStyle name="Normal 4 4 2 2 3 6 2 2" xfId="23720" xr:uid="{8BAD825C-5BE3-4F80-BA3F-7A028ED772A5}"/>
    <cellStyle name="Normal 4 4 2 2 3 6 2 3" xfId="15272" xr:uid="{91853FB8-8D30-4FB6-AC4A-671D73FC9F5B}"/>
    <cellStyle name="Normal 4 4 2 2 3 6 3" xfId="19502" xr:uid="{B288B156-F296-4329-A060-2F2F585B6390}"/>
    <cellStyle name="Normal 4 4 2 2 3 6 4" xfId="11054" xr:uid="{1E1D20FA-2B31-4064-A477-4E241F0BD918}"/>
    <cellStyle name="Normal 4 4 2 2 3 7" xfId="4757" xr:uid="{00000000-0005-0000-0000-000002150000}"/>
    <cellStyle name="Normal 4 4 2 2 3 7 2" xfId="21655" xr:uid="{87DCFDF3-7A1F-4AD2-971E-29F4B697FDD5}"/>
    <cellStyle name="Normal 4 4 2 2 3 7 3" xfId="13207" xr:uid="{32F17FA2-D9CC-4F0E-A489-A94193EDE493}"/>
    <cellStyle name="Normal 4 4 2 2 3 8" xfId="17437" xr:uid="{E77695C3-8FCB-402D-B7A8-DD3A3B825782}"/>
    <cellStyle name="Normal 4 4 2 2 3 9" xfId="8989" xr:uid="{A520C393-0748-4E55-98F4-5C3439CE634A}"/>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24210" xr:uid="{BA9C265E-044F-4B56-95B1-BECFD338ED20}"/>
    <cellStyle name="Normal 4 4 2 2 4 2 2 3" xfId="15762" xr:uid="{1C690346-3255-4C86-96D7-8E0535A86A2D}"/>
    <cellStyle name="Normal 4 4 2 2 4 2 3" xfId="19992" xr:uid="{AB476BD8-493D-4347-B4CE-ECD706C8187E}"/>
    <cellStyle name="Normal 4 4 2 2 4 2 4" xfId="11544" xr:uid="{F131BBCE-72D9-42FF-9528-89891656F063}"/>
    <cellStyle name="Normal 4 4 2 2 4 3" xfId="5167" xr:uid="{00000000-0005-0000-0000-000006150000}"/>
    <cellStyle name="Normal 4 4 2 2 4 3 2" xfId="22065" xr:uid="{DADCC2C4-A7AC-4A8B-B93C-635E7FB3FF99}"/>
    <cellStyle name="Normal 4 4 2 2 4 3 3" xfId="13617" xr:uid="{0973C1FC-6E04-478D-84B6-2BF75CEE63A4}"/>
    <cellStyle name="Normal 4 4 2 2 4 4" xfId="17847" xr:uid="{1D34B8CD-0D5E-4F82-BB96-A13ED237D407}"/>
    <cellStyle name="Normal 4 4 2 2 4 5" xfId="9399" xr:uid="{70F9A3D5-7FD5-47BC-B825-2E8E80BB363D}"/>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24623" xr:uid="{F4C31B27-8523-4D5B-BDFA-D276B69EB27F}"/>
    <cellStyle name="Normal 4 4 2 2 5 2 2 3" xfId="16175" xr:uid="{A45F058B-0B60-4E99-8AF2-FFCA1126A9A2}"/>
    <cellStyle name="Normal 4 4 2 2 5 2 3" xfId="20405" xr:uid="{2BD08A8A-90C0-494B-AB2E-198373E2FD0D}"/>
    <cellStyle name="Normal 4 4 2 2 5 2 4" xfId="11957" xr:uid="{0644B6F6-18C0-43B8-9CCF-C310FB59F117}"/>
    <cellStyle name="Normal 4 4 2 2 5 3" xfId="5580" xr:uid="{00000000-0005-0000-0000-00000A150000}"/>
    <cellStyle name="Normal 4 4 2 2 5 3 2" xfId="22478" xr:uid="{65F240D4-C930-44CE-85B2-974863BA2E38}"/>
    <cellStyle name="Normal 4 4 2 2 5 3 3" xfId="14030" xr:uid="{110AC95D-C737-4175-A700-6411C738AFBE}"/>
    <cellStyle name="Normal 4 4 2 2 5 4" xfId="18260" xr:uid="{D0FAE147-B4BE-40FE-ACAB-DEFFE24A1043}"/>
    <cellStyle name="Normal 4 4 2 2 5 5" xfId="9812" xr:uid="{F7B915A7-0877-4C8E-940B-BAF3C63C1E7E}"/>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25036" xr:uid="{06637F8D-D74A-47C8-AEDB-EE8B2510289F}"/>
    <cellStyle name="Normal 4 4 2 2 6 2 2 3" xfId="16588" xr:uid="{640CD4C8-011C-4204-BDE8-7D751A273E18}"/>
    <cellStyle name="Normal 4 4 2 2 6 2 3" xfId="20818" xr:uid="{C9CE7851-42AA-4D8A-A456-D4F42B690808}"/>
    <cellStyle name="Normal 4 4 2 2 6 2 4" xfId="12370" xr:uid="{D50CD2C5-BF9F-4D84-A8A3-4AA274D2D8F5}"/>
    <cellStyle name="Normal 4 4 2 2 6 3" xfId="5993" xr:uid="{00000000-0005-0000-0000-00000E150000}"/>
    <cellStyle name="Normal 4 4 2 2 6 3 2" xfId="22891" xr:uid="{847C11DB-B3AC-4C62-B5A6-EE8BDB74F2F5}"/>
    <cellStyle name="Normal 4 4 2 2 6 3 3" xfId="14443" xr:uid="{392BCBB4-3269-493E-A008-F8104CF973A7}"/>
    <cellStyle name="Normal 4 4 2 2 6 4" xfId="18673" xr:uid="{1FCED8F2-3358-426A-9F87-36C45EB3F0D0}"/>
    <cellStyle name="Normal 4 4 2 2 6 5" xfId="10225" xr:uid="{C74DFEF7-F68F-4156-BED2-E00E6AC6E51E}"/>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25449" xr:uid="{08FD78E8-44F8-421C-9802-5F94E7A02218}"/>
    <cellStyle name="Normal 4 4 2 2 7 2 2 3" xfId="17001" xr:uid="{FE3DAC6D-3D5E-43D4-A3E7-7BD40645AE04}"/>
    <cellStyle name="Normal 4 4 2 2 7 2 3" xfId="21231" xr:uid="{9F87C871-DAD6-496E-A60D-9287F1DBD022}"/>
    <cellStyle name="Normal 4 4 2 2 7 2 4" xfId="12783" xr:uid="{601353C0-DD17-4F88-99DC-5A294F18C7D7}"/>
    <cellStyle name="Normal 4 4 2 2 7 3" xfId="6406" xr:uid="{00000000-0005-0000-0000-000012150000}"/>
    <cellStyle name="Normal 4 4 2 2 7 3 2" xfId="23304" xr:uid="{34AE4133-D92F-42E1-BECD-D4A010C32946}"/>
    <cellStyle name="Normal 4 4 2 2 7 3 3" xfId="14856" xr:uid="{BF2A20D5-FDE6-4487-A626-B460BD619BDA}"/>
    <cellStyle name="Normal 4 4 2 2 7 4" xfId="19086" xr:uid="{29AB3662-7C6F-4444-802C-083E3B694BCD}"/>
    <cellStyle name="Normal 4 4 2 2 7 5" xfId="10638" xr:uid="{47DD826E-68B6-4DC0-AF39-D3789FE7AF2D}"/>
    <cellStyle name="Normal 4 4 2 2 8" xfId="2536" xr:uid="{00000000-0005-0000-0000-000013150000}"/>
    <cellStyle name="Normal 4 4 2 2 8 2" xfId="6819" xr:uid="{00000000-0005-0000-0000-000014150000}"/>
    <cellStyle name="Normal 4 4 2 2 8 2 2" xfId="23717" xr:uid="{92AA7266-3C49-4B6D-9E31-C1E37D095E8C}"/>
    <cellStyle name="Normal 4 4 2 2 8 2 3" xfId="15269" xr:uid="{82274817-EB60-4073-B7DA-445CA442BA9A}"/>
    <cellStyle name="Normal 4 4 2 2 8 3" xfId="19499" xr:uid="{BD6532C7-9FD7-4A59-8995-CE4CF18B2764}"/>
    <cellStyle name="Normal 4 4 2 2 8 4" xfId="11051" xr:uid="{06D6EB7D-D496-4A9F-ADA7-C044303EFE67}"/>
    <cellStyle name="Normal 4 4 2 2 9" xfId="4754" xr:uid="{00000000-0005-0000-0000-000015150000}"/>
    <cellStyle name="Normal 4 4 2 2 9 2" xfId="21652" xr:uid="{02625016-9D93-47D0-B06E-0E022881FD8A}"/>
    <cellStyle name="Normal 4 4 2 2 9 3" xfId="13204" xr:uid="{3A060B93-DB85-4F7A-8362-55A3E189018B}"/>
    <cellStyle name="Normal 4 4 2 3" xfId="384" xr:uid="{00000000-0005-0000-0000-000016150000}"/>
    <cellStyle name="Normal 4 4 2 3 10" xfId="8990" xr:uid="{83795B53-CF41-4B26-A31D-D8ABAD59348B}"/>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24215" xr:uid="{DB666592-F67E-4C6B-92F1-0DBDCC45C599}"/>
    <cellStyle name="Normal 4 4 2 3 2 2 2 2 3" xfId="15767" xr:uid="{31744500-EBB1-40B3-B117-6A8E8ADB64C6}"/>
    <cellStyle name="Normal 4 4 2 3 2 2 2 3" xfId="19997" xr:uid="{D3BFF3C1-3943-40CE-9AF8-A9C8AB1DD9A2}"/>
    <cellStyle name="Normal 4 4 2 3 2 2 2 4" xfId="11549" xr:uid="{B6C04152-AE37-46D5-86A9-8E12C2EDF8AD}"/>
    <cellStyle name="Normal 4 4 2 3 2 2 3" xfId="5172" xr:uid="{00000000-0005-0000-0000-00001B150000}"/>
    <cellStyle name="Normal 4 4 2 3 2 2 3 2" xfId="22070" xr:uid="{31905F3F-19A4-4F61-8BE2-03A99F48575C}"/>
    <cellStyle name="Normal 4 4 2 3 2 2 3 3" xfId="13622" xr:uid="{69238E5C-82DC-4B7E-95C7-4D3EBABB60E0}"/>
    <cellStyle name="Normal 4 4 2 3 2 2 4" xfId="17852" xr:uid="{550A8416-1615-4F42-84E5-DD83CFB482E3}"/>
    <cellStyle name="Normal 4 4 2 3 2 2 5" xfId="9404" xr:uid="{0B7E353E-CDEB-45DB-ADC3-42A0B7350E66}"/>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24628" xr:uid="{0E978C15-B1CF-4B4E-893E-CE337BD0E151}"/>
    <cellStyle name="Normal 4 4 2 3 2 3 2 2 3" xfId="16180" xr:uid="{4BDE8D40-B0B7-4B79-A62D-AE1C484D679A}"/>
    <cellStyle name="Normal 4 4 2 3 2 3 2 3" xfId="20410" xr:uid="{E4F45CEA-E6EA-472E-A768-4BC5D2B6E7A4}"/>
    <cellStyle name="Normal 4 4 2 3 2 3 2 4" xfId="11962" xr:uid="{4A6026A4-B278-4482-A9AC-85485D72F880}"/>
    <cellStyle name="Normal 4 4 2 3 2 3 3" xfId="5585" xr:uid="{00000000-0005-0000-0000-00001F150000}"/>
    <cellStyle name="Normal 4 4 2 3 2 3 3 2" xfId="22483" xr:uid="{457E016A-A922-463D-A2DE-48942459BD71}"/>
    <cellStyle name="Normal 4 4 2 3 2 3 3 3" xfId="14035" xr:uid="{BD7EAB47-18C9-4070-9ECB-9A166CDD666F}"/>
    <cellStyle name="Normal 4 4 2 3 2 3 4" xfId="18265" xr:uid="{773640A6-D105-4C15-A1D0-0A05E959E789}"/>
    <cellStyle name="Normal 4 4 2 3 2 3 5" xfId="9817" xr:uid="{C6DE0222-8FFF-44FC-A7E6-135E731F98EC}"/>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25041" xr:uid="{49EFF74B-D0CA-401E-BBCE-639FB15255BB}"/>
    <cellStyle name="Normal 4 4 2 3 2 4 2 2 3" xfId="16593" xr:uid="{B20EA0C3-52B6-4216-8E1A-50FA004DFAA1}"/>
    <cellStyle name="Normal 4 4 2 3 2 4 2 3" xfId="20823" xr:uid="{FB25869E-824C-4A40-BFDA-6220CE53B640}"/>
    <cellStyle name="Normal 4 4 2 3 2 4 2 4" xfId="12375" xr:uid="{F75C9561-5B20-4D84-B7C1-C112EE5ABEF5}"/>
    <cellStyle name="Normal 4 4 2 3 2 4 3" xfId="5998" xr:uid="{00000000-0005-0000-0000-000023150000}"/>
    <cellStyle name="Normal 4 4 2 3 2 4 3 2" xfId="22896" xr:uid="{CEF4CD27-CCDB-4B11-91E6-AA717B9F5AD6}"/>
    <cellStyle name="Normal 4 4 2 3 2 4 3 3" xfId="14448" xr:uid="{F620B342-B20C-43C1-AB17-FF66A0886A07}"/>
    <cellStyle name="Normal 4 4 2 3 2 4 4" xfId="18678" xr:uid="{EB5C9011-0138-4B12-87C1-B3B9C143F6EB}"/>
    <cellStyle name="Normal 4 4 2 3 2 4 5" xfId="10230" xr:uid="{1A762422-99E0-4D3C-9F9C-87490C2A91CB}"/>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25454" xr:uid="{4F69F347-5B84-4A22-B5CB-44B2F6375DF6}"/>
    <cellStyle name="Normal 4 4 2 3 2 5 2 2 3" xfId="17006" xr:uid="{B9340460-C335-4B87-AEA0-0EA0E64AE2A2}"/>
    <cellStyle name="Normal 4 4 2 3 2 5 2 3" xfId="21236" xr:uid="{A0B37882-FCBA-4049-8717-3802147C0763}"/>
    <cellStyle name="Normal 4 4 2 3 2 5 2 4" xfId="12788" xr:uid="{8DF2044F-2930-44F5-AC71-1F201285DDBF}"/>
    <cellStyle name="Normal 4 4 2 3 2 5 3" xfId="6411" xr:uid="{00000000-0005-0000-0000-000027150000}"/>
    <cellStyle name="Normal 4 4 2 3 2 5 3 2" xfId="23309" xr:uid="{4D06FA42-8E13-46EF-977F-548050B686D3}"/>
    <cellStyle name="Normal 4 4 2 3 2 5 3 3" xfId="14861" xr:uid="{A38E030B-8380-4D15-8F8B-22E93BC9B032}"/>
    <cellStyle name="Normal 4 4 2 3 2 5 4" xfId="19091" xr:uid="{4CA18DD3-5F68-4589-81D6-90C9FCD37F07}"/>
    <cellStyle name="Normal 4 4 2 3 2 5 5" xfId="10643" xr:uid="{2E93A450-452B-476E-B95F-8812D97FF19E}"/>
    <cellStyle name="Normal 4 4 2 3 2 6" xfId="2541" xr:uid="{00000000-0005-0000-0000-000028150000}"/>
    <cellStyle name="Normal 4 4 2 3 2 6 2" xfId="6824" xr:uid="{00000000-0005-0000-0000-000029150000}"/>
    <cellStyle name="Normal 4 4 2 3 2 6 2 2" xfId="23722" xr:uid="{944CF948-8BC2-432F-A615-CFFC6B2FB07A}"/>
    <cellStyle name="Normal 4 4 2 3 2 6 2 3" xfId="15274" xr:uid="{BB732583-484D-406F-9237-CC99074A8E34}"/>
    <cellStyle name="Normal 4 4 2 3 2 6 3" xfId="19504" xr:uid="{A94D5C06-8AC9-4156-988C-2C67A537754B}"/>
    <cellStyle name="Normal 4 4 2 3 2 6 4" xfId="11056" xr:uid="{1CB61E23-8B52-44CF-897C-15EC81959E7F}"/>
    <cellStyle name="Normal 4 4 2 3 2 7" xfId="4759" xr:uid="{00000000-0005-0000-0000-00002A150000}"/>
    <cellStyle name="Normal 4 4 2 3 2 7 2" xfId="21657" xr:uid="{3F121518-107C-469C-975F-227B38FBE32F}"/>
    <cellStyle name="Normal 4 4 2 3 2 7 3" xfId="13209" xr:uid="{92C09928-04D9-4A49-8914-76C0B58C416D}"/>
    <cellStyle name="Normal 4 4 2 3 2 8" xfId="17439" xr:uid="{289123AA-D36B-46A1-B18A-A522F8710310}"/>
    <cellStyle name="Normal 4 4 2 3 2 9" xfId="8991" xr:uid="{E39107AB-EF56-46FD-BA06-E02D0A3D46ED}"/>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24214" xr:uid="{2F618FC0-A749-418C-BC34-A8CFF94EBBAF}"/>
    <cellStyle name="Normal 4 4 2 3 3 2 2 3" xfId="15766" xr:uid="{F80D5AEA-34C5-4F16-982B-0B1870E4E2F6}"/>
    <cellStyle name="Normal 4 4 2 3 3 2 3" xfId="19996" xr:uid="{25F2FB5D-BC79-4773-A353-C9D42E2B6355}"/>
    <cellStyle name="Normal 4 4 2 3 3 2 4" xfId="11548" xr:uid="{3D06D067-21F9-495B-BE52-795BBF1D9B08}"/>
    <cellStyle name="Normal 4 4 2 3 3 3" xfId="5171" xr:uid="{00000000-0005-0000-0000-00002E150000}"/>
    <cellStyle name="Normal 4 4 2 3 3 3 2" xfId="22069" xr:uid="{8D9EDCE4-49FD-47CE-B450-25B02E9F5D22}"/>
    <cellStyle name="Normal 4 4 2 3 3 3 3" xfId="13621" xr:uid="{5921D591-E332-4C22-8E03-93EE3B6256B2}"/>
    <cellStyle name="Normal 4 4 2 3 3 4" xfId="17851" xr:uid="{EF0A6AE1-99CF-4A9C-BFBD-9040BA799559}"/>
    <cellStyle name="Normal 4 4 2 3 3 5" xfId="9403" xr:uid="{5730D8C1-B28F-4E4A-BC61-25E0EA1C2879}"/>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24627" xr:uid="{B4769A80-EFEE-4B63-9500-17CB5A8FA0A9}"/>
    <cellStyle name="Normal 4 4 2 3 4 2 2 3" xfId="16179" xr:uid="{1D7FCB6C-250D-419F-8C22-29EBCA276A98}"/>
    <cellStyle name="Normal 4 4 2 3 4 2 3" xfId="20409" xr:uid="{7C71E123-5DBF-4394-807A-3D88519BB028}"/>
    <cellStyle name="Normal 4 4 2 3 4 2 4" xfId="11961" xr:uid="{9AC4D507-5AE2-4C9C-BDE3-7C7AED612DCF}"/>
    <cellStyle name="Normal 4 4 2 3 4 3" xfId="5584" xr:uid="{00000000-0005-0000-0000-000032150000}"/>
    <cellStyle name="Normal 4 4 2 3 4 3 2" xfId="22482" xr:uid="{993B2F07-CF7B-4441-8BDF-1FAD0FC86319}"/>
    <cellStyle name="Normal 4 4 2 3 4 3 3" xfId="14034" xr:uid="{72D787CA-2EAB-4DBF-88B3-709061CD4594}"/>
    <cellStyle name="Normal 4 4 2 3 4 4" xfId="18264" xr:uid="{F9AB21FA-4AFA-49CF-AD25-D675F4837439}"/>
    <cellStyle name="Normal 4 4 2 3 4 5" xfId="9816" xr:uid="{6B6C9F01-A194-4CD6-9904-064CB3C451CA}"/>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25040" xr:uid="{30F97FD7-F409-495A-8478-863BBB88C554}"/>
    <cellStyle name="Normal 4 4 2 3 5 2 2 3" xfId="16592" xr:uid="{CA7E0A75-0210-4D83-B858-A7AD9EF3F5C2}"/>
    <cellStyle name="Normal 4 4 2 3 5 2 3" xfId="20822" xr:uid="{5EA2C9F5-F93A-4F6F-8891-B4520DC4981B}"/>
    <cellStyle name="Normal 4 4 2 3 5 2 4" xfId="12374" xr:uid="{745516C6-0EB1-400D-9373-FCC6A9388C12}"/>
    <cellStyle name="Normal 4 4 2 3 5 3" xfId="5997" xr:uid="{00000000-0005-0000-0000-000036150000}"/>
    <cellStyle name="Normal 4 4 2 3 5 3 2" xfId="22895" xr:uid="{846214B4-EDA9-45E2-BA4B-038650A2771C}"/>
    <cellStyle name="Normal 4 4 2 3 5 3 3" xfId="14447" xr:uid="{55016F92-F974-4E2E-B67A-9895DE119334}"/>
    <cellStyle name="Normal 4 4 2 3 5 4" xfId="18677" xr:uid="{51A21CF1-3F0F-44F9-AA79-782532FF0261}"/>
    <cellStyle name="Normal 4 4 2 3 5 5" xfId="10229" xr:uid="{574BF2AE-9A35-42F6-BA11-A49491DA3D18}"/>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25453" xr:uid="{C345ECC5-9C1E-4556-8F12-A53F3F66E320}"/>
    <cellStyle name="Normal 4 4 2 3 6 2 2 3" xfId="17005" xr:uid="{E3098967-E018-461D-9DEB-396591B48C01}"/>
    <cellStyle name="Normal 4 4 2 3 6 2 3" xfId="21235" xr:uid="{0EB9451A-9591-4902-BF68-F080398616D0}"/>
    <cellStyle name="Normal 4 4 2 3 6 2 4" xfId="12787" xr:uid="{2DD2F80F-241C-4123-8ED4-AF7A579315BA}"/>
    <cellStyle name="Normal 4 4 2 3 6 3" xfId="6410" xr:uid="{00000000-0005-0000-0000-00003A150000}"/>
    <cellStyle name="Normal 4 4 2 3 6 3 2" xfId="23308" xr:uid="{97C8208E-9A9F-4414-8923-CB05FCD30469}"/>
    <cellStyle name="Normal 4 4 2 3 6 3 3" xfId="14860" xr:uid="{8A79E58B-C7D1-4EA7-B56C-9EB930AAE517}"/>
    <cellStyle name="Normal 4 4 2 3 6 4" xfId="19090" xr:uid="{051504E2-1163-419B-8EFB-99C19123F1F1}"/>
    <cellStyle name="Normal 4 4 2 3 6 5" xfId="10642" xr:uid="{FB5A31ED-5B24-4DED-ACFB-75F88232BB0A}"/>
    <cellStyle name="Normal 4 4 2 3 7" xfId="2540" xr:uid="{00000000-0005-0000-0000-00003B150000}"/>
    <cellStyle name="Normal 4 4 2 3 7 2" xfId="6823" xr:uid="{00000000-0005-0000-0000-00003C150000}"/>
    <cellStyle name="Normal 4 4 2 3 7 2 2" xfId="23721" xr:uid="{BE51C8AA-94C7-4088-84BE-585B63856B52}"/>
    <cellStyle name="Normal 4 4 2 3 7 2 3" xfId="15273" xr:uid="{C689834E-5AB0-4FB3-B970-F5318E826824}"/>
    <cellStyle name="Normal 4 4 2 3 7 3" xfId="19503" xr:uid="{839486E3-7E4D-4EC9-96F5-B89071A95C13}"/>
    <cellStyle name="Normal 4 4 2 3 7 4" xfId="11055" xr:uid="{31B2FAD9-F4FA-4A56-A7D8-21703C6CDFB3}"/>
    <cellStyle name="Normal 4 4 2 3 8" xfId="4758" xr:uid="{00000000-0005-0000-0000-00003D150000}"/>
    <cellStyle name="Normal 4 4 2 3 8 2" xfId="21656" xr:uid="{5EC11F26-678C-43F1-AC3D-03BADF465ACB}"/>
    <cellStyle name="Normal 4 4 2 3 8 3" xfId="13208" xr:uid="{D3E34741-5BB5-4384-B27D-A69E5BA481BA}"/>
    <cellStyle name="Normal 4 4 2 3 9" xfId="17438" xr:uid="{6FF28166-8EC4-4DF3-B378-E5BE52F4AAFC}"/>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24216" xr:uid="{290F54D6-8A82-41A4-B58D-5BC3A0FE8C36}"/>
    <cellStyle name="Normal 4 4 2 4 2 2 2 3" xfId="15768" xr:uid="{F161F2FD-180B-450E-948C-EB73463AA46A}"/>
    <cellStyle name="Normal 4 4 2 4 2 2 3" xfId="19998" xr:uid="{E6BBA980-BC51-4155-93ED-F987D12BB4E1}"/>
    <cellStyle name="Normal 4 4 2 4 2 2 4" xfId="11550" xr:uid="{E56F1F70-7340-4C9C-A387-3F635BEDF9A4}"/>
    <cellStyle name="Normal 4 4 2 4 2 3" xfId="5173" xr:uid="{00000000-0005-0000-0000-000042150000}"/>
    <cellStyle name="Normal 4 4 2 4 2 3 2" xfId="22071" xr:uid="{62028AB8-5A39-48DA-9FFF-77084A7F813A}"/>
    <cellStyle name="Normal 4 4 2 4 2 3 3" xfId="13623" xr:uid="{C874D813-6A18-416E-9888-9443B33F2F6A}"/>
    <cellStyle name="Normal 4 4 2 4 2 4" xfId="17853" xr:uid="{B99520CB-D4F4-43FD-8EC8-A2456DD15F8E}"/>
    <cellStyle name="Normal 4 4 2 4 2 5" xfId="9405" xr:uid="{B7B30073-481C-400F-858F-AA6A3ECAAE5E}"/>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24629" xr:uid="{A4E26B09-A29E-4DA9-81F8-87500F382B73}"/>
    <cellStyle name="Normal 4 4 2 4 3 2 2 3" xfId="16181" xr:uid="{1DF47705-7E7A-4B26-B598-5D5DE715F8CC}"/>
    <cellStyle name="Normal 4 4 2 4 3 2 3" xfId="20411" xr:uid="{E9145164-4EAC-4D38-AA0E-586E24A686DD}"/>
    <cellStyle name="Normal 4 4 2 4 3 2 4" xfId="11963" xr:uid="{2B7FB3F6-3A80-424F-8480-FC2490C86283}"/>
    <cellStyle name="Normal 4 4 2 4 3 3" xfId="5586" xr:uid="{00000000-0005-0000-0000-000046150000}"/>
    <cellStyle name="Normal 4 4 2 4 3 3 2" xfId="22484" xr:uid="{1E4C19AA-5A78-4FD0-A9EB-6EA9951A7EC5}"/>
    <cellStyle name="Normal 4 4 2 4 3 3 3" xfId="14036" xr:uid="{2461D171-1FAF-4D6A-84A8-0CBEAA39E8FD}"/>
    <cellStyle name="Normal 4 4 2 4 3 4" xfId="18266" xr:uid="{8E9A0B39-299B-44C3-BDF1-FE896A73792C}"/>
    <cellStyle name="Normal 4 4 2 4 3 5" xfId="9818" xr:uid="{53499B4C-C3FA-46A2-8254-86AA3D35707F}"/>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25042" xr:uid="{24F8E319-3833-42E4-8E88-B1E1246F6A1A}"/>
    <cellStyle name="Normal 4 4 2 4 4 2 2 3" xfId="16594" xr:uid="{652DC20C-A0D5-4B1A-8006-887C6C0392AD}"/>
    <cellStyle name="Normal 4 4 2 4 4 2 3" xfId="20824" xr:uid="{9BF9E00D-6232-4660-BEDC-5508E0204F44}"/>
    <cellStyle name="Normal 4 4 2 4 4 2 4" xfId="12376" xr:uid="{B20C34AC-3A4A-4F88-BAF3-64E5A77FA62E}"/>
    <cellStyle name="Normal 4 4 2 4 4 3" xfId="5999" xr:uid="{00000000-0005-0000-0000-00004A150000}"/>
    <cellStyle name="Normal 4 4 2 4 4 3 2" xfId="22897" xr:uid="{31942B7B-5744-46CE-A870-F5D32C5A27D0}"/>
    <cellStyle name="Normal 4 4 2 4 4 3 3" xfId="14449" xr:uid="{74C44B07-A09F-426F-A92D-A2033EDFB1FE}"/>
    <cellStyle name="Normal 4 4 2 4 4 4" xfId="18679" xr:uid="{F5B942F2-76F3-4C06-8DC5-ACB9A8052567}"/>
    <cellStyle name="Normal 4 4 2 4 4 5" xfId="10231" xr:uid="{3F3FA971-ABB0-407A-B3E0-85FC3770817A}"/>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25455" xr:uid="{19DB2EDF-F32D-463E-A8B4-AC4E9D810BE9}"/>
    <cellStyle name="Normal 4 4 2 4 5 2 2 3" xfId="17007" xr:uid="{93A88F15-D179-4D37-BABE-1AB35A42807F}"/>
    <cellStyle name="Normal 4 4 2 4 5 2 3" xfId="21237" xr:uid="{2DADD540-FD02-45CC-93A8-78B1B1EB3FF5}"/>
    <cellStyle name="Normal 4 4 2 4 5 2 4" xfId="12789" xr:uid="{ADA17D16-214B-413E-9605-8D5DA73B5321}"/>
    <cellStyle name="Normal 4 4 2 4 5 3" xfId="6412" xr:uid="{00000000-0005-0000-0000-00004E150000}"/>
    <cellStyle name="Normal 4 4 2 4 5 3 2" xfId="23310" xr:uid="{725F96BF-89A9-4546-899A-BEEE2A126C8B}"/>
    <cellStyle name="Normal 4 4 2 4 5 3 3" xfId="14862" xr:uid="{8919B5D4-9C8C-4F4C-8C00-940F7FF43F35}"/>
    <cellStyle name="Normal 4 4 2 4 5 4" xfId="19092" xr:uid="{96108CBF-5A39-4AE0-9B72-EC4ED8136268}"/>
    <cellStyle name="Normal 4 4 2 4 5 5" xfId="10644" xr:uid="{F7448505-4B3A-4A50-A1C4-FBFFD1C6C9B0}"/>
    <cellStyle name="Normal 4 4 2 4 6" xfId="2542" xr:uid="{00000000-0005-0000-0000-00004F150000}"/>
    <cellStyle name="Normal 4 4 2 4 6 2" xfId="6825" xr:uid="{00000000-0005-0000-0000-000050150000}"/>
    <cellStyle name="Normal 4 4 2 4 6 2 2" xfId="23723" xr:uid="{040E43A8-CA75-4C3A-B90C-D9CCF087B57E}"/>
    <cellStyle name="Normal 4 4 2 4 6 2 3" xfId="15275" xr:uid="{F8432E95-270E-43E7-A1B6-CB16D1C071EB}"/>
    <cellStyle name="Normal 4 4 2 4 6 3" xfId="19505" xr:uid="{E62E7253-4625-4F92-887B-2BFCD2EA9AC7}"/>
    <cellStyle name="Normal 4 4 2 4 6 4" xfId="11057" xr:uid="{EE8A6201-906F-4F1C-A85F-8E1EDFB5D8C5}"/>
    <cellStyle name="Normal 4 4 2 4 7" xfId="4760" xr:uid="{00000000-0005-0000-0000-000051150000}"/>
    <cellStyle name="Normal 4 4 2 4 7 2" xfId="21658" xr:uid="{E642F4AF-0387-4A00-9BE3-6F9CD55EBF14}"/>
    <cellStyle name="Normal 4 4 2 4 7 3" xfId="13210" xr:uid="{C08F7767-97E0-469D-A572-F2A919B4DE69}"/>
    <cellStyle name="Normal 4 4 2 4 8" xfId="17440" xr:uid="{27CF95CD-1947-4D45-AC25-B3C552C0E92D}"/>
    <cellStyle name="Normal 4 4 2 4 9" xfId="8992" xr:uid="{2CBA12D2-FADD-41DD-A274-B2DA39BE29CC}"/>
    <cellStyle name="Normal 4 4 2 5" xfId="854" xr:uid="{00000000-0005-0000-0000-000052150000}"/>
    <cellStyle name="Normal 4 4 2 5 2" xfId="3089" xr:uid="{00000000-0005-0000-0000-000053150000}"/>
    <cellStyle name="Normal 4 4 2 5 2 2" xfId="7311" xr:uid="{00000000-0005-0000-0000-000054150000}"/>
    <cellStyle name="Normal 4 4 2 5 2 2 2" xfId="24209" xr:uid="{590B5327-7ECA-434A-8C45-855CC4AF5280}"/>
    <cellStyle name="Normal 4 4 2 5 2 2 3" xfId="15761" xr:uid="{72C94089-3CE0-4B92-9F80-475036B9F663}"/>
    <cellStyle name="Normal 4 4 2 5 2 3" xfId="19991" xr:uid="{D2F8F043-0E60-48C9-B210-0769728B5C52}"/>
    <cellStyle name="Normal 4 4 2 5 2 4" xfId="11543" xr:uid="{A593CAEB-3487-49C8-AF66-C0A040CF7BAC}"/>
    <cellStyle name="Normal 4 4 2 5 3" xfId="5166" xr:uid="{00000000-0005-0000-0000-000055150000}"/>
    <cellStyle name="Normal 4 4 2 5 3 2" xfId="22064" xr:uid="{6B9FA6C2-C7EA-4F47-9777-57D8FDD4C994}"/>
    <cellStyle name="Normal 4 4 2 5 3 3" xfId="13616" xr:uid="{3A5EADD9-95CE-46A8-A41B-CD0610217C1B}"/>
    <cellStyle name="Normal 4 4 2 5 4" xfId="17846" xr:uid="{457C5A36-D9A2-4A2A-B1C2-A73DA1B1BBC9}"/>
    <cellStyle name="Normal 4 4 2 5 5" xfId="9398" xr:uid="{45E36149-7998-4444-81CC-7129F6B8151D}"/>
    <cellStyle name="Normal 4 4 2 6" xfId="1272" xr:uid="{00000000-0005-0000-0000-000056150000}"/>
    <cellStyle name="Normal 4 4 2 6 2" xfId="3502" xr:uid="{00000000-0005-0000-0000-000057150000}"/>
    <cellStyle name="Normal 4 4 2 6 2 2" xfId="7724" xr:uid="{00000000-0005-0000-0000-000058150000}"/>
    <cellStyle name="Normal 4 4 2 6 2 2 2" xfId="24622" xr:uid="{BBC80DB6-9C56-454D-B038-3A41A8BE5BDE}"/>
    <cellStyle name="Normal 4 4 2 6 2 2 3" xfId="16174" xr:uid="{F77097D4-797D-475B-AF6A-3691246801A7}"/>
    <cellStyle name="Normal 4 4 2 6 2 3" xfId="20404" xr:uid="{3A76452E-B445-49C7-A5C7-E716BB1090B6}"/>
    <cellStyle name="Normal 4 4 2 6 2 4" xfId="11956" xr:uid="{675EFA98-E32F-4A1D-8876-143E5D24B7DD}"/>
    <cellStyle name="Normal 4 4 2 6 3" xfId="5579" xr:uid="{00000000-0005-0000-0000-000059150000}"/>
    <cellStyle name="Normal 4 4 2 6 3 2" xfId="22477" xr:uid="{AB3E5C5D-3E7A-4E0D-B728-33A282972139}"/>
    <cellStyle name="Normal 4 4 2 6 3 3" xfId="14029" xr:uid="{84443720-BAC2-4890-AADB-FD7814BB8053}"/>
    <cellStyle name="Normal 4 4 2 6 4" xfId="18259" xr:uid="{71AF40F6-20B6-42C0-898E-0C2600F6E404}"/>
    <cellStyle name="Normal 4 4 2 6 5" xfId="9811" xr:uid="{0B3010EA-13BF-4BDD-A9C4-256C97DDF8BE}"/>
    <cellStyle name="Normal 4 4 2 7" xfId="1685" xr:uid="{00000000-0005-0000-0000-00005A150000}"/>
    <cellStyle name="Normal 4 4 2 7 2" xfId="3915" xr:uid="{00000000-0005-0000-0000-00005B150000}"/>
    <cellStyle name="Normal 4 4 2 7 2 2" xfId="8137" xr:uid="{00000000-0005-0000-0000-00005C150000}"/>
    <cellStyle name="Normal 4 4 2 7 2 2 2" xfId="25035" xr:uid="{3096F429-97A3-41ED-B168-5569F46FBB62}"/>
    <cellStyle name="Normal 4 4 2 7 2 2 3" xfId="16587" xr:uid="{72648EA0-459E-4023-9C2F-84FC6830E4D6}"/>
    <cellStyle name="Normal 4 4 2 7 2 3" xfId="20817" xr:uid="{CBB58AFF-2C40-4014-95D7-5B10F0D6DE56}"/>
    <cellStyle name="Normal 4 4 2 7 2 4" xfId="12369" xr:uid="{EE1463FC-99D8-4184-A45A-C8D3FB800B28}"/>
    <cellStyle name="Normal 4 4 2 7 3" xfId="5992" xr:uid="{00000000-0005-0000-0000-00005D150000}"/>
    <cellStyle name="Normal 4 4 2 7 3 2" xfId="22890" xr:uid="{D136B7DC-A600-4AA7-877A-8834BF0105E5}"/>
    <cellStyle name="Normal 4 4 2 7 3 3" xfId="14442" xr:uid="{53AF54E6-6382-4091-B7E9-42881973ADB7}"/>
    <cellStyle name="Normal 4 4 2 7 4" xfId="18672" xr:uid="{ED08332F-B85F-4A1E-8A62-00EB1E8024FF}"/>
    <cellStyle name="Normal 4 4 2 7 5" xfId="10224" xr:uid="{5652830A-B18C-40E8-804D-ACCE021F2F8B}"/>
    <cellStyle name="Normal 4 4 2 8" xfId="2099" xr:uid="{00000000-0005-0000-0000-00005E150000}"/>
    <cellStyle name="Normal 4 4 2 8 2" xfId="4328" xr:uid="{00000000-0005-0000-0000-00005F150000}"/>
    <cellStyle name="Normal 4 4 2 8 2 2" xfId="8550" xr:uid="{00000000-0005-0000-0000-000060150000}"/>
    <cellStyle name="Normal 4 4 2 8 2 2 2" xfId="25448" xr:uid="{AB943CB5-168F-4F47-AE64-E6272CE50E56}"/>
    <cellStyle name="Normal 4 4 2 8 2 2 3" xfId="17000" xr:uid="{E216E3F0-967C-494F-A9F2-D63B763D5920}"/>
    <cellStyle name="Normal 4 4 2 8 2 3" xfId="21230" xr:uid="{DF95FD6D-A391-4C5C-8A66-AB8A9C36BB8B}"/>
    <cellStyle name="Normal 4 4 2 8 2 4" xfId="12782" xr:uid="{73CEA760-8C76-4281-8F0C-6BC4EBCA1972}"/>
    <cellStyle name="Normal 4 4 2 8 3" xfId="6405" xr:uid="{00000000-0005-0000-0000-000061150000}"/>
    <cellStyle name="Normal 4 4 2 8 3 2" xfId="23303" xr:uid="{7B9FDF09-E9DC-4E6E-BA4E-92E0110DF0BF}"/>
    <cellStyle name="Normal 4 4 2 8 3 3" xfId="14855" xr:uid="{2124C95A-3C7C-445D-A99E-E58CB16E1B99}"/>
    <cellStyle name="Normal 4 4 2 8 4" xfId="19085" xr:uid="{38A8B494-930D-4C04-924D-9AE6CCA6C387}"/>
    <cellStyle name="Normal 4 4 2 8 5" xfId="10637" xr:uid="{00873FA3-9FB2-4A0C-839D-1E65179AE6AE}"/>
    <cellStyle name="Normal 4 4 2 9" xfId="2535" xr:uid="{00000000-0005-0000-0000-000062150000}"/>
    <cellStyle name="Normal 4 4 2 9 2" xfId="6818" xr:uid="{00000000-0005-0000-0000-000063150000}"/>
    <cellStyle name="Normal 4 4 2 9 2 2" xfId="23716" xr:uid="{F2C006E8-58B1-4EAA-A9E7-7A6330A8ABEB}"/>
    <cellStyle name="Normal 4 4 2 9 2 3" xfId="15268" xr:uid="{42110D87-231F-4AEF-8DB7-3002C14D7880}"/>
    <cellStyle name="Normal 4 4 2 9 3" xfId="19498" xr:uid="{F449C3BF-5B4A-477A-82A0-52AF875CC588}"/>
    <cellStyle name="Normal 4 4 2 9 4" xfId="11050" xr:uid="{51C01618-9CF9-4EC8-A4BF-DEDD6D51ADDD}"/>
    <cellStyle name="Normal 4 4 3" xfId="387" xr:uid="{00000000-0005-0000-0000-000064150000}"/>
    <cellStyle name="Normal 4 4 3 10" xfId="17441" xr:uid="{CA9744E6-781C-4BA5-8515-7B2EEAA58A43}"/>
    <cellStyle name="Normal 4 4 3 11" xfId="8993" xr:uid="{895AC343-D669-4083-A54F-6276E955D309}"/>
    <cellStyle name="Normal 4 4 3 2" xfId="388" xr:uid="{00000000-0005-0000-0000-000065150000}"/>
    <cellStyle name="Normal 4 4 3 2 10" xfId="8994" xr:uid="{E20918F0-0497-4DE8-9835-FC3D2C0D0BEC}"/>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24219" xr:uid="{2150BC87-5FD0-4C24-BDE2-92CAEC09C700}"/>
    <cellStyle name="Normal 4 4 3 2 2 2 2 2 3" xfId="15771" xr:uid="{7110247E-D2FE-4E15-A508-D59DD1619841}"/>
    <cellStyle name="Normal 4 4 3 2 2 2 2 3" xfId="20001" xr:uid="{EECC3522-71F7-4A13-961C-9173E4750BAC}"/>
    <cellStyle name="Normal 4 4 3 2 2 2 2 4" xfId="11553" xr:uid="{CD667BA5-315D-4B17-A1BA-B4F925F06984}"/>
    <cellStyle name="Normal 4 4 3 2 2 2 3" xfId="5176" xr:uid="{00000000-0005-0000-0000-00006A150000}"/>
    <cellStyle name="Normal 4 4 3 2 2 2 3 2" xfId="22074" xr:uid="{0104F628-7D8C-4A17-9BB5-845A5D5C7DB2}"/>
    <cellStyle name="Normal 4 4 3 2 2 2 3 3" xfId="13626" xr:uid="{63350619-C4CE-4978-9BA7-B79597EFF61C}"/>
    <cellStyle name="Normal 4 4 3 2 2 2 4" xfId="17856" xr:uid="{0476E640-A83C-4285-A4E2-952BFA7F54B1}"/>
    <cellStyle name="Normal 4 4 3 2 2 2 5" xfId="9408" xr:uid="{632585EC-CCC9-455D-83A4-BCECD8C37F44}"/>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24632" xr:uid="{39FE7EC8-EC9A-425A-B05D-AD3C42508248}"/>
    <cellStyle name="Normal 4 4 3 2 2 3 2 2 3" xfId="16184" xr:uid="{6C54C12C-D0AB-49FB-AE54-5CB8DE476723}"/>
    <cellStyle name="Normal 4 4 3 2 2 3 2 3" xfId="20414" xr:uid="{E4B3931C-6D24-4761-8CBE-84C0EAD40D2A}"/>
    <cellStyle name="Normal 4 4 3 2 2 3 2 4" xfId="11966" xr:uid="{52EFFE80-13FD-4CB4-B18D-AB007117A27B}"/>
    <cellStyle name="Normal 4 4 3 2 2 3 3" xfId="5589" xr:uid="{00000000-0005-0000-0000-00006E150000}"/>
    <cellStyle name="Normal 4 4 3 2 2 3 3 2" xfId="22487" xr:uid="{D05C793D-4EA7-40F8-AC9B-6E1C1C1530CA}"/>
    <cellStyle name="Normal 4 4 3 2 2 3 3 3" xfId="14039" xr:uid="{36048382-4821-4E8A-B2B5-EA49A34F46D3}"/>
    <cellStyle name="Normal 4 4 3 2 2 3 4" xfId="18269" xr:uid="{7BED4C1E-143C-4CF9-9355-B24290D71D3B}"/>
    <cellStyle name="Normal 4 4 3 2 2 3 5" xfId="9821" xr:uid="{B150DA5B-C8CA-4322-AF50-AB268F7CCADE}"/>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25045" xr:uid="{F14A4DE8-6A9D-4975-875A-8E2C11E5E2A7}"/>
    <cellStyle name="Normal 4 4 3 2 2 4 2 2 3" xfId="16597" xr:uid="{D25169FE-973E-4952-9ED2-0F7BD8397C8E}"/>
    <cellStyle name="Normal 4 4 3 2 2 4 2 3" xfId="20827" xr:uid="{48013395-7D4C-4A2D-BEA4-2161251134B2}"/>
    <cellStyle name="Normal 4 4 3 2 2 4 2 4" xfId="12379" xr:uid="{3056DDA1-4536-4562-B5C3-D494E698FDDC}"/>
    <cellStyle name="Normal 4 4 3 2 2 4 3" xfId="6002" xr:uid="{00000000-0005-0000-0000-000072150000}"/>
    <cellStyle name="Normal 4 4 3 2 2 4 3 2" xfId="22900" xr:uid="{607D6FF3-24AB-4284-8770-373BBC97FD12}"/>
    <cellStyle name="Normal 4 4 3 2 2 4 3 3" xfId="14452" xr:uid="{E3D45FD5-1301-4D11-B21A-B89C1A0DFC17}"/>
    <cellStyle name="Normal 4 4 3 2 2 4 4" xfId="18682" xr:uid="{42CE0269-991F-40AD-B853-3EF9A169805B}"/>
    <cellStyle name="Normal 4 4 3 2 2 4 5" xfId="10234" xr:uid="{68C13C94-353E-4CC7-80C3-46BEE2E8C4A9}"/>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25458" xr:uid="{1D738A76-86C3-45E4-BF30-C9F0A400EFC8}"/>
    <cellStyle name="Normal 4 4 3 2 2 5 2 2 3" xfId="17010" xr:uid="{C9E24DC8-4E59-4980-A0ED-51F201E1E96A}"/>
    <cellStyle name="Normal 4 4 3 2 2 5 2 3" xfId="21240" xr:uid="{253B6D95-4A8B-49C0-AB72-BFD3D7A63113}"/>
    <cellStyle name="Normal 4 4 3 2 2 5 2 4" xfId="12792" xr:uid="{F7C97CFF-1491-46BE-959B-C4DCB628CA21}"/>
    <cellStyle name="Normal 4 4 3 2 2 5 3" xfId="6415" xr:uid="{00000000-0005-0000-0000-000076150000}"/>
    <cellStyle name="Normal 4 4 3 2 2 5 3 2" xfId="23313" xr:uid="{FD8F4BA7-B640-4105-9CD6-8703643435C9}"/>
    <cellStyle name="Normal 4 4 3 2 2 5 3 3" xfId="14865" xr:uid="{A1A9ADB2-3D92-4E8F-858D-85930A087245}"/>
    <cellStyle name="Normal 4 4 3 2 2 5 4" xfId="19095" xr:uid="{14B18E0D-E852-4683-9800-03D36F07F731}"/>
    <cellStyle name="Normal 4 4 3 2 2 5 5" xfId="10647" xr:uid="{F03C3EE4-C370-4BF9-A935-9D24AD3C40B4}"/>
    <cellStyle name="Normal 4 4 3 2 2 6" xfId="2545" xr:uid="{00000000-0005-0000-0000-000077150000}"/>
    <cellStyle name="Normal 4 4 3 2 2 6 2" xfId="6828" xr:uid="{00000000-0005-0000-0000-000078150000}"/>
    <cellStyle name="Normal 4 4 3 2 2 6 2 2" xfId="23726" xr:uid="{E512AB2A-FDFA-40CD-BE6F-95A1D87F5934}"/>
    <cellStyle name="Normal 4 4 3 2 2 6 2 3" xfId="15278" xr:uid="{0A014F6C-AFA9-49C1-864E-B3E8B28EC56B}"/>
    <cellStyle name="Normal 4 4 3 2 2 6 3" xfId="19508" xr:uid="{DA338B11-359F-40E1-AF69-C3628FBF2189}"/>
    <cellStyle name="Normal 4 4 3 2 2 6 4" xfId="11060" xr:uid="{EC66BD4E-83E5-40ED-A22D-055C032D764F}"/>
    <cellStyle name="Normal 4 4 3 2 2 7" xfId="4763" xr:uid="{00000000-0005-0000-0000-000079150000}"/>
    <cellStyle name="Normal 4 4 3 2 2 7 2" xfId="21661" xr:uid="{054344AB-DE3F-4B28-BF9A-6BFB110C83E4}"/>
    <cellStyle name="Normal 4 4 3 2 2 7 3" xfId="13213" xr:uid="{3B1019CC-99F2-4456-B643-7C2D21869895}"/>
    <cellStyle name="Normal 4 4 3 2 2 8" xfId="17443" xr:uid="{C63DE031-5344-43C3-9761-9BBC5BFE66C1}"/>
    <cellStyle name="Normal 4 4 3 2 2 9" xfId="8995" xr:uid="{F0C683C3-B339-4B79-A0D6-C29AD6436F65}"/>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24218" xr:uid="{E3F20F9D-C07F-4B28-92E6-44596B0AE5CF}"/>
    <cellStyle name="Normal 4 4 3 2 3 2 2 3" xfId="15770" xr:uid="{CBD90BCB-B365-4CB0-8A5A-9454B885EED7}"/>
    <cellStyle name="Normal 4 4 3 2 3 2 3" xfId="20000" xr:uid="{2C99F1D5-CEDB-462D-A123-B2275EA02ECB}"/>
    <cellStyle name="Normal 4 4 3 2 3 2 4" xfId="11552" xr:uid="{092A9462-27E3-4BD0-B644-D7452B49353E}"/>
    <cellStyle name="Normal 4 4 3 2 3 3" xfId="5175" xr:uid="{00000000-0005-0000-0000-00007D150000}"/>
    <cellStyle name="Normal 4 4 3 2 3 3 2" xfId="22073" xr:uid="{063100E5-3FA2-4CD8-891D-AD469B169AAD}"/>
    <cellStyle name="Normal 4 4 3 2 3 3 3" xfId="13625" xr:uid="{EDE93C79-C733-4D51-ADD8-CA91DE18C35F}"/>
    <cellStyle name="Normal 4 4 3 2 3 4" xfId="17855" xr:uid="{22FF0D8E-D02A-4C5B-A0AF-D6C838C211CD}"/>
    <cellStyle name="Normal 4 4 3 2 3 5" xfId="9407" xr:uid="{EDF81A18-6480-4D55-95E7-6D404A2974B2}"/>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24631" xr:uid="{6BCAD588-43CE-42D8-8D5E-38DD25A8425D}"/>
    <cellStyle name="Normal 4 4 3 2 4 2 2 3" xfId="16183" xr:uid="{1A6C79BF-5E4A-4FEA-AF1F-F80A2D5508CB}"/>
    <cellStyle name="Normal 4 4 3 2 4 2 3" xfId="20413" xr:uid="{56D536F6-6F85-4139-B003-DDB8BD7035C7}"/>
    <cellStyle name="Normal 4 4 3 2 4 2 4" xfId="11965" xr:uid="{BE473734-40D9-48ED-B081-640A7DC7D45B}"/>
    <cellStyle name="Normal 4 4 3 2 4 3" xfId="5588" xr:uid="{00000000-0005-0000-0000-000081150000}"/>
    <cellStyle name="Normal 4 4 3 2 4 3 2" xfId="22486" xr:uid="{47FB3708-D6BC-457F-BBDD-00EB26A003A6}"/>
    <cellStyle name="Normal 4 4 3 2 4 3 3" xfId="14038" xr:uid="{DB01E2C8-EEC4-494C-AE7F-D53B95911E11}"/>
    <cellStyle name="Normal 4 4 3 2 4 4" xfId="18268" xr:uid="{EE4205C9-19F7-4023-AE8C-6434607D6E16}"/>
    <cellStyle name="Normal 4 4 3 2 4 5" xfId="9820" xr:uid="{17807DB2-27C6-4575-857A-7A80CB60CD95}"/>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25044" xr:uid="{6812B035-D878-4CD8-A1F6-C6BF9BC87044}"/>
    <cellStyle name="Normal 4 4 3 2 5 2 2 3" xfId="16596" xr:uid="{286F5E3B-A1E3-4D57-AE6E-5C045DFC0278}"/>
    <cellStyle name="Normal 4 4 3 2 5 2 3" xfId="20826" xr:uid="{2C247C13-366A-4F1D-8AA1-AF624CCAE1B3}"/>
    <cellStyle name="Normal 4 4 3 2 5 2 4" xfId="12378" xr:uid="{0F4F3678-335B-40FF-8745-618D26436BF5}"/>
    <cellStyle name="Normal 4 4 3 2 5 3" xfId="6001" xr:uid="{00000000-0005-0000-0000-000085150000}"/>
    <cellStyle name="Normal 4 4 3 2 5 3 2" xfId="22899" xr:uid="{2560B187-E07B-4F36-8481-085A42994B4B}"/>
    <cellStyle name="Normal 4 4 3 2 5 3 3" xfId="14451" xr:uid="{A48FA9CA-FA9C-47E0-AEBE-FCD835E51706}"/>
    <cellStyle name="Normal 4 4 3 2 5 4" xfId="18681" xr:uid="{D00E380A-0121-4D50-934D-0DFD268A6ED9}"/>
    <cellStyle name="Normal 4 4 3 2 5 5" xfId="10233" xr:uid="{2E50F8FE-0824-4663-9371-7A9DBD8374FB}"/>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25457" xr:uid="{E0638837-C1AE-4585-8003-877FF1C87172}"/>
    <cellStyle name="Normal 4 4 3 2 6 2 2 3" xfId="17009" xr:uid="{24AE7974-2E73-4DEF-B83D-C874982A7506}"/>
    <cellStyle name="Normal 4 4 3 2 6 2 3" xfId="21239" xr:uid="{CD398276-A6F7-49BF-888A-9C777DFDB97A}"/>
    <cellStyle name="Normal 4 4 3 2 6 2 4" xfId="12791" xr:uid="{FC1C777E-F484-43A4-AD03-70E2F8C33B9F}"/>
    <cellStyle name="Normal 4 4 3 2 6 3" xfId="6414" xr:uid="{00000000-0005-0000-0000-000089150000}"/>
    <cellStyle name="Normal 4 4 3 2 6 3 2" xfId="23312" xr:uid="{5165FEE8-DC37-4260-8F09-CD4154A0CD92}"/>
    <cellStyle name="Normal 4 4 3 2 6 3 3" xfId="14864" xr:uid="{CFBF2134-F5D1-4583-8F5D-26411E589773}"/>
    <cellStyle name="Normal 4 4 3 2 6 4" xfId="19094" xr:uid="{5B15E0F7-AE48-4AE9-BCCC-46FEC6729D93}"/>
    <cellStyle name="Normal 4 4 3 2 6 5" xfId="10646" xr:uid="{98F356AD-9194-4C4B-BDC9-E5EC52D78AA3}"/>
    <cellStyle name="Normal 4 4 3 2 7" xfId="2544" xr:uid="{00000000-0005-0000-0000-00008A150000}"/>
    <cellStyle name="Normal 4 4 3 2 7 2" xfId="6827" xr:uid="{00000000-0005-0000-0000-00008B150000}"/>
    <cellStyle name="Normal 4 4 3 2 7 2 2" xfId="23725" xr:uid="{E07C67C6-722E-410B-AC96-4BFDA3D4C95A}"/>
    <cellStyle name="Normal 4 4 3 2 7 2 3" xfId="15277" xr:uid="{C831CBC4-90C7-43EC-B489-4D0283FBCD08}"/>
    <cellStyle name="Normal 4 4 3 2 7 3" xfId="19507" xr:uid="{A67713C8-46EC-44E7-8150-A18A4D831BDC}"/>
    <cellStyle name="Normal 4 4 3 2 7 4" xfId="11059" xr:uid="{5C16DB63-DD9E-43DA-85C2-CB9B43973B6F}"/>
    <cellStyle name="Normal 4 4 3 2 8" xfId="4762" xr:uid="{00000000-0005-0000-0000-00008C150000}"/>
    <cellStyle name="Normal 4 4 3 2 8 2" xfId="21660" xr:uid="{EE3B2007-87B4-42E1-87BA-CD538FD29CF6}"/>
    <cellStyle name="Normal 4 4 3 2 8 3" xfId="13212" xr:uid="{F5FE3F78-CF2F-4305-AAF5-A07EEBA69DEF}"/>
    <cellStyle name="Normal 4 4 3 2 9" xfId="17442" xr:uid="{065C1BF5-762E-42C5-9612-50F7101C3A23}"/>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24220" xr:uid="{AD35328E-1339-4452-A642-EB4B3373FFD4}"/>
    <cellStyle name="Normal 4 4 3 3 2 2 2 3" xfId="15772" xr:uid="{B4A38FF3-9DBA-41C4-95C4-F6E90A4848A7}"/>
    <cellStyle name="Normal 4 4 3 3 2 2 3" xfId="20002" xr:uid="{B2151B04-E5F4-4E6D-B007-F6324F328F2D}"/>
    <cellStyle name="Normal 4 4 3 3 2 2 4" xfId="11554" xr:uid="{37212DBA-F572-4987-B8BD-BAACC8498C6E}"/>
    <cellStyle name="Normal 4 4 3 3 2 3" xfId="5177" xr:uid="{00000000-0005-0000-0000-000091150000}"/>
    <cellStyle name="Normal 4 4 3 3 2 3 2" xfId="22075" xr:uid="{9B61A93B-7BBA-4A82-9903-05E598EDB449}"/>
    <cellStyle name="Normal 4 4 3 3 2 3 3" xfId="13627" xr:uid="{87CA1BC1-644F-4144-80D0-407575290861}"/>
    <cellStyle name="Normal 4 4 3 3 2 4" xfId="17857" xr:uid="{0B3562A1-2D3C-4F16-9502-61E5C455E1E9}"/>
    <cellStyle name="Normal 4 4 3 3 2 5" xfId="9409" xr:uid="{C5DFC608-5372-4664-BEFB-CD73165E3973}"/>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24633" xr:uid="{018EEA33-3806-4859-8B8C-8FE78A5F5709}"/>
    <cellStyle name="Normal 4 4 3 3 3 2 2 3" xfId="16185" xr:uid="{A4893222-222B-4CF1-9D44-0A07BCA76D55}"/>
    <cellStyle name="Normal 4 4 3 3 3 2 3" xfId="20415" xr:uid="{D3D44CA3-041C-4919-BB54-E91E2EA66C5D}"/>
    <cellStyle name="Normal 4 4 3 3 3 2 4" xfId="11967" xr:uid="{F65F3304-35CC-4016-9ED7-5CB0BE1F3548}"/>
    <cellStyle name="Normal 4 4 3 3 3 3" xfId="5590" xr:uid="{00000000-0005-0000-0000-000095150000}"/>
    <cellStyle name="Normal 4 4 3 3 3 3 2" xfId="22488" xr:uid="{367F9849-6B42-4411-9150-D45B1AEA1A71}"/>
    <cellStyle name="Normal 4 4 3 3 3 3 3" xfId="14040" xr:uid="{439B0F0B-0039-4A35-B45F-E4E37E2CA7E1}"/>
    <cellStyle name="Normal 4 4 3 3 3 4" xfId="18270" xr:uid="{E1BA2452-197C-46B9-BEDD-74408FAF55C9}"/>
    <cellStyle name="Normal 4 4 3 3 3 5" xfId="9822" xr:uid="{99A51D0D-8262-42A5-BD00-1AC9F009E611}"/>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25046" xr:uid="{A7BE7210-7F09-48FA-8381-2918C65EFD6B}"/>
    <cellStyle name="Normal 4 4 3 3 4 2 2 3" xfId="16598" xr:uid="{8ABD1468-F07C-4F2B-8C5F-A4A06A2D8173}"/>
    <cellStyle name="Normal 4 4 3 3 4 2 3" xfId="20828" xr:uid="{0BC073CF-9268-4233-9DA5-736C857408CD}"/>
    <cellStyle name="Normal 4 4 3 3 4 2 4" xfId="12380" xr:uid="{0DC09593-B2C8-4791-A52D-EFEFA7A0092F}"/>
    <cellStyle name="Normal 4 4 3 3 4 3" xfId="6003" xr:uid="{00000000-0005-0000-0000-000099150000}"/>
    <cellStyle name="Normal 4 4 3 3 4 3 2" xfId="22901" xr:uid="{DB6F8E19-0DD8-4007-8A42-8B7D921F7DAE}"/>
    <cellStyle name="Normal 4 4 3 3 4 3 3" xfId="14453" xr:uid="{B74EDBA8-3CBF-4841-A4AE-89AB84181AD6}"/>
    <cellStyle name="Normal 4 4 3 3 4 4" xfId="18683" xr:uid="{B759B324-C870-4504-8B10-E4D4FA8D6E10}"/>
    <cellStyle name="Normal 4 4 3 3 4 5" xfId="10235" xr:uid="{E7D20AD0-44F7-4FF6-B490-B455DB681866}"/>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25459" xr:uid="{2FAF799D-5D87-418B-8533-73BE7F13B754}"/>
    <cellStyle name="Normal 4 4 3 3 5 2 2 3" xfId="17011" xr:uid="{17DAAA8B-DD13-430D-A873-2D2D065B2089}"/>
    <cellStyle name="Normal 4 4 3 3 5 2 3" xfId="21241" xr:uid="{4944B89A-EDF3-4218-B1B4-3CAEF805C3DC}"/>
    <cellStyle name="Normal 4 4 3 3 5 2 4" xfId="12793" xr:uid="{4BB738E3-E1E4-4238-90FC-219722BD2488}"/>
    <cellStyle name="Normal 4 4 3 3 5 3" xfId="6416" xr:uid="{00000000-0005-0000-0000-00009D150000}"/>
    <cellStyle name="Normal 4 4 3 3 5 3 2" xfId="23314" xr:uid="{C2DEA00B-FB30-4E35-8D18-07910BE455D2}"/>
    <cellStyle name="Normal 4 4 3 3 5 3 3" xfId="14866" xr:uid="{50770CF5-89BE-4DDA-9580-14C955AA1EED}"/>
    <cellStyle name="Normal 4 4 3 3 5 4" xfId="19096" xr:uid="{B0485B93-756A-4E9C-AD48-C0AB63B7189F}"/>
    <cellStyle name="Normal 4 4 3 3 5 5" xfId="10648" xr:uid="{E169B42A-8315-4E5B-8A84-74241D7BE485}"/>
    <cellStyle name="Normal 4 4 3 3 6" xfId="2546" xr:uid="{00000000-0005-0000-0000-00009E150000}"/>
    <cellStyle name="Normal 4 4 3 3 6 2" xfId="6829" xr:uid="{00000000-0005-0000-0000-00009F150000}"/>
    <cellStyle name="Normal 4 4 3 3 6 2 2" xfId="23727" xr:uid="{D16CB25B-10E6-41E0-8552-250E2C57621B}"/>
    <cellStyle name="Normal 4 4 3 3 6 2 3" xfId="15279" xr:uid="{13065920-971D-4488-ACD2-CA2D99CEEEBA}"/>
    <cellStyle name="Normal 4 4 3 3 6 3" xfId="19509" xr:uid="{F81816C9-AA4D-4AAF-8335-228985EA7A83}"/>
    <cellStyle name="Normal 4 4 3 3 6 4" xfId="11061" xr:uid="{1DD8A778-02C9-4AC5-81C9-D3F887A88AD6}"/>
    <cellStyle name="Normal 4 4 3 3 7" xfId="4764" xr:uid="{00000000-0005-0000-0000-0000A0150000}"/>
    <cellStyle name="Normal 4 4 3 3 7 2" xfId="21662" xr:uid="{301711E1-BD52-4543-8E4E-BB1A70E364D6}"/>
    <cellStyle name="Normal 4 4 3 3 7 3" xfId="13214" xr:uid="{D844D658-C60F-45AF-8C37-C05BA74EE7A2}"/>
    <cellStyle name="Normal 4 4 3 3 8" xfId="17444" xr:uid="{045A420A-BD56-4357-9460-09B82A44E2FD}"/>
    <cellStyle name="Normal 4 4 3 3 9" xfId="8996" xr:uid="{C05B3CE1-7853-48A2-878A-57B90C211048}"/>
    <cellStyle name="Normal 4 4 3 4" xfId="862" xr:uid="{00000000-0005-0000-0000-0000A1150000}"/>
    <cellStyle name="Normal 4 4 3 4 2" xfId="3097" xr:uid="{00000000-0005-0000-0000-0000A2150000}"/>
    <cellStyle name="Normal 4 4 3 4 2 2" xfId="7319" xr:uid="{00000000-0005-0000-0000-0000A3150000}"/>
    <cellStyle name="Normal 4 4 3 4 2 2 2" xfId="24217" xr:uid="{E55B5AF4-0628-422F-AD36-7C43B465E28F}"/>
    <cellStyle name="Normal 4 4 3 4 2 2 3" xfId="15769" xr:uid="{4C91EEE1-FD3A-4D48-B748-A40EE4ED1908}"/>
    <cellStyle name="Normal 4 4 3 4 2 3" xfId="19999" xr:uid="{DBAC1F49-81AC-4F07-BAD4-1D28535588C9}"/>
    <cellStyle name="Normal 4 4 3 4 2 4" xfId="11551" xr:uid="{8C2D3527-D31F-431A-8F41-1D0FC2EA5DA9}"/>
    <cellStyle name="Normal 4 4 3 4 3" xfId="5174" xr:uid="{00000000-0005-0000-0000-0000A4150000}"/>
    <cellStyle name="Normal 4 4 3 4 3 2" xfId="22072" xr:uid="{7E683AC3-2605-4F5B-9953-3BFD2A19AFD6}"/>
    <cellStyle name="Normal 4 4 3 4 3 3" xfId="13624" xr:uid="{9CAC0E86-3FAB-4C06-95CE-3F145CB749F9}"/>
    <cellStyle name="Normal 4 4 3 4 4" xfId="17854" xr:uid="{7714B722-A2BB-49CC-8EEC-BDE9BFDAA534}"/>
    <cellStyle name="Normal 4 4 3 4 5" xfId="9406" xr:uid="{7904A86F-2E5A-457C-AFE6-A21EAC7E9BBD}"/>
    <cellStyle name="Normal 4 4 3 5" xfId="1280" xr:uid="{00000000-0005-0000-0000-0000A5150000}"/>
    <cellStyle name="Normal 4 4 3 5 2" xfId="3510" xr:uid="{00000000-0005-0000-0000-0000A6150000}"/>
    <cellStyle name="Normal 4 4 3 5 2 2" xfId="7732" xr:uid="{00000000-0005-0000-0000-0000A7150000}"/>
    <cellStyle name="Normal 4 4 3 5 2 2 2" xfId="24630" xr:uid="{F2805AEA-C22E-438C-9ACA-99F54C645FEC}"/>
    <cellStyle name="Normal 4 4 3 5 2 2 3" xfId="16182" xr:uid="{0646DA15-2F78-4122-B546-3991A8E2F635}"/>
    <cellStyle name="Normal 4 4 3 5 2 3" xfId="20412" xr:uid="{633F4028-FB23-4064-8CCD-C2800A47A8E3}"/>
    <cellStyle name="Normal 4 4 3 5 2 4" xfId="11964" xr:uid="{866B4E3F-5E33-4441-8149-D544768DDB53}"/>
    <cellStyle name="Normal 4 4 3 5 3" xfId="5587" xr:uid="{00000000-0005-0000-0000-0000A8150000}"/>
    <cellStyle name="Normal 4 4 3 5 3 2" xfId="22485" xr:uid="{6FE2F639-1098-4B91-B522-3F8BC1596867}"/>
    <cellStyle name="Normal 4 4 3 5 3 3" xfId="14037" xr:uid="{7B728A5C-9A44-43F9-A212-22B93FD81B52}"/>
    <cellStyle name="Normal 4 4 3 5 4" xfId="18267" xr:uid="{2AA5C0FD-68EB-4871-8437-EC9828B41546}"/>
    <cellStyle name="Normal 4 4 3 5 5" xfId="9819" xr:uid="{3A84E60B-56AC-4082-B353-90EC3817AF6C}"/>
    <cellStyle name="Normal 4 4 3 6" xfId="1693" xr:uid="{00000000-0005-0000-0000-0000A9150000}"/>
    <cellStyle name="Normal 4 4 3 6 2" xfId="3923" xr:uid="{00000000-0005-0000-0000-0000AA150000}"/>
    <cellStyle name="Normal 4 4 3 6 2 2" xfId="8145" xr:uid="{00000000-0005-0000-0000-0000AB150000}"/>
    <cellStyle name="Normal 4 4 3 6 2 2 2" xfId="25043" xr:uid="{51018361-1AA4-4F4B-A81C-8AC263818BA6}"/>
    <cellStyle name="Normal 4 4 3 6 2 2 3" xfId="16595" xr:uid="{03ECEB91-1AFA-48B6-8B07-64D1EE641D92}"/>
    <cellStyle name="Normal 4 4 3 6 2 3" xfId="20825" xr:uid="{AA64AC25-60B7-4D11-95E0-A8D4D30A3AA1}"/>
    <cellStyle name="Normal 4 4 3 6 2 4" xfId="12377" xr:uid="{A42DBF55-E6D2-4D29-8BB4-E4022F99E501}"/>
    <cellStyle name="Normal 4 4 3 6 3" xfId="6000" xr:uid="{00000000-0005-0000-0000-0000AC150000}"/>
    <cellStyle name="Normal 4 4 3 6 3 2" xfId="22898" xr:uid="{E16895A0-215D-4181-BCB3-8AEDE029CD65}"/>
    <cellStyle name="Normal 4 4 3 6 3 3" xfId="14450" xr:uid="{E94417CC-6027-4E03-8AC7-374435C40EF5}"/>
    <cellStyle name="Normal 4 4 3 6 4" xfId="18680" xr:uid="{6D183801-5276-442A-91A6-E7A650589B1C}"/>
    <cellStyle name="Normal 4 4 3 6 5" xfId="10232" xr:uid="{6237DFCB-F6A4-45AC-B4D5-F8A302B018C3}"/>
    <cellStyle name="Normal 4 4 3 7" xfId="2107" xr:uid="{00000000-0005-0000-0000-0000AD150000}"/>
    <cellStyle name="Normal 4 4 3 7 2" xfId="4336" xr:uid="{00000000-0005-0000-0000-0000AE150000}"/>
    <cellStyle name="Normal 4 4 3 7 2 2" xfId="8558" xr:uid="{00000000-0005-0000-0000-0000AF150000}"/>
    <cellStyle name="Normal 4 4 3 7 2 2 2" xfId="25456" xr:uid="{24DAB5FC-BC11-4B28-8392-61D2262621FB}"/>
    <cellStyle name="Normal 4 4 3 7 2 2 3" xfId="17008" xr:uid="{6BF8488A-3AFF-44E1-B947-17E34FEAA602}"/>
    <cellStyle name="Normal 4 4 3 7 2 3" xfId="21238" xr:uid="{A7228126-8233-485C-BBCE-B321B7B72DA0}"/>
    <cellStyle name="Normal 4 4 3 7 2 4" xfId="12790" xr:uid="{DDC27EE8-6E5A-4586-8D4B-18AA0825ED81}"/>
    <cellStyle name="Normal 4 4 3 7 3" xfId="6413" xr:uid="{00000000-0005-0000-0000-0000B0150000}"/>
    <cellStyle name="Normal 4 4 3 7 3 2" xfId="23311" xr:uid="{94ED834D-C40C-4D1F-B84A-BA7DCA7A60EC}"/>
    <cellStyle name="Normal 4 4 3 7 3 3" xfId="14863" xr:uid="{FF8ACD49-3353-4DF5-9CA6-5A50EA1B32D8}"/>
    <cellStyle name="Normal 4 4 3 7 4" xfId="19093" xr:uid="{42A29F3C-1CD8-4852-BE6E-F5F3314E83F8}"/>
    <cellStyle name="Normal 4 4 3 7 5" xfId="10645" xr:uid="{2607324D-8FEE-45EA-AB35-FE8420E550A7}"/>
    <cellStyle name="Normal 4 4 3 8" xfId="2543" xr:uid="{00000000-0005-0000-0000-0000B1150000}"/>
    <cellStyle name="Normal 4 4 3 8 2" xfId="6826" xr:uid="{00000000-0005-0000-0000-0000B2150000}"/>
    <cellStyle name="Normal 4 4 3 8 2 2" xfId="23724" xr:uid="{5723FBA3-1F8C-40FE-AB8E-FB3BD02AEA5D}"/>
    <cellStyle name="Normal 4 4 3 8 2 3" xfId="15276" xr:uid="{5AA06057-6C6B-47A0-91AD-54D5B7AE1D9B}"/>
    <cellStyle name="Normal 4 4 3 8 3" xfId="19506" xr:uid="{5C72F228-F885-42B5-B2F7-68CA9C16BD58}"/>
    <cellStyle name="Normal 4 4 3 8 4" xfId="11058" xr:uid="{CA04488D-5798-4DA5-987C-87D108D41D26}"/>
    <cellStyle name="Normal 4 4 3 9" xfId="4761" xr:uid="{00000000-0005-0000-0000-0000B3150000}"/>
    <cellStyle name="Normal 4 4 3 9 2" xfId="21659" xr:uid="{D46FE86B-B8BA-4EE9-81CF-E7E4BEE023A4}"/>
    <cellStyle name="Normal 4 4 3 9 3" xfId="13211" xr:uid="{E1B9D2BE-AA7C-495F-A71F-9E3FD390C7D9}"/>
    <cellStyle name="Normal 4 4 4" xfId="391" xr:uid="{00000000-0005-0000-0000-0000B4150000}"/>
    <cellStyle name="Normal 4 4 4 10" xfId="8997" xr:uid="{2993013A-04BE-4207-A336-F1DE2BE81568}"/>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24222" xr:uid="{927CF4AA-475D-4629-A003-24AE370EB0C2}"/>
    <cellStyle name="Normal 4 4 4 2 2 2 2 3" xfId="15774" xr:uid="{949C8849-A7F6-4735-B29F-03966BD7D776}"/>
    <cellStyle name="Normal 4 4 4 2 2 2 3" xfId="20004" xr:uid="{8AC0602E-1969-43BA-909C-5D42B88D51B5}"/>
    <cellStyle name="Normal 4 4 4 2 2 2 4" xfId="11556" xr:uid="{655658A0-4A80-4EAB-BEFD-34BF70FCF17D}"/>
    <cellStyle name="Normal 4 4 4 2 2 3" xfId="5179" xr:uid="{00000000-0005-0000-0000-0000B9150000}"/>
    <cellStyle name="Normal 4 4 4 2 2 3 2" xfId="22077" xr:uid="{70870033-8F42-410A-B6A5-0F3DE88F11C3}"/>
    <cellStyle name="Normal 4 4 4 2 2 3 3" xfId="13629" xr:uid="{B28D86C8-1209-41C4-9AC5-DD1DD3827305}"/>
    <cellStyle name="Normal 4 4 4 2 2 4" xfId="17859" xr:uid="{763E9C9C-50CA-40BB-A2E8-6A27BF006CEE}"/>
    <cellStyle name="Normal 4 4 4 2 2 5" xfId="9411" xr:uid="{DEC3D118-B0D7-4F40-B842-4C36F4575A98}"/>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24635" xr:uid="{06FD1AAB-BD98-47A7-A3EE-8DA978031440}"/>
    <cellStyle name="Normal 4 4 4 2 3 2 2 3" xfId="16187" xr:uid="{B7BA27A4-1D4A-4FD8-BA20-3392C2170638}"/>
    <cellStyle name="Normal 4 4 4 2 3 2 3" xfId="20417" xr:uid="{6042C763-A117-42AE-933E-280340E8E2AD}"/>
    <cellStyle name="Normal 4 4 4 2 3 2 4" xfId="11969" xr:uid="{DD669BD9-8F43-41AF-B517-3A29842AC391}"/>
    <cellStyle name="Normal 4 4 4 2 3 3" xfId="5592" xr:uid="{00000000-0005-0000-0000-0000BD150000}"/>
    <cellStyle name="Normal 4 4 4 2 3 3 2" xfId="22490" xr:uid="{0A831BD1-9A63-4F55-A7EC-BEF60B7760EC}"/>
    <cellStyle name="Normal 4 4 4 2 3 3 3" xfId="14042" xr:uid="{6C0F524A-3466-49EB-B311-AD1932B37FC1}"/>
    <cellStyle name="Normal 4 4 4 2 3 4" xfId="18272" xr:uid="{CE3FD9B2-544D-4381-A52E-4402CF8D7D5C}"/>
    <cellStyle name="Normal 4 4 4 2 3 5" xfId="9824" xr:uid="{5D84ED15-E9ED-4CB1-9833-FBC2B0C938CF}"/>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25048" xr:uid="{36E9CAAD-66FF-4CD6-AC5A-79490027B327}"/>
    <cellStyle name="Normal 4 4 4 2 4 2 2 3" xfId="16600" xr:uid="{9AFFB281-E7D2-4849-83F5-FB227FF6CBF1}"/>
    <cellStyle name="Normal 4 4 4 2 4 2 3" xfId="20830" xr:uid="{C22E7440-3215-4A53-819C-583C67E67120}"/>
    <cellStyle name="Normal 4 4 4 2 4 2 4" xfId="12382" xr:uid="{11B2B7FB-70EE-413A-9F55-AE627360F1B7}"/>
    <cellStyle name="Normal 4 4 4 2 4 3" xfId="6005" xr:uid="{00000000-0005-0000-0000-0000C1150000}"/>
    <cellStyle name="Normal 4 4 4 2 4 3 2" xfId="22903" xr:uid="{8CB138EC-FCCC-45C7-8CA5-7DACA210B979}"/>
    <cellStyle name="Normal 4 4 4 2 4 3 3" xfId="14455" xr:uid="{7C59F7B1-3265-489B-B235-03DE9F9F6BD4}"/>
    <cellStyle name="Normal 4 4 4 2 4 4" xfId="18685" xr:uid="{BE87049B-8DE9-4832-B447-09CB85AE9AA3}"/>
    <cellStyle name="Normal 4 4 4 2 4 5" xfId="10237" xr:uid="{A9244CC0-4ADD-4242-B9CD-593D6FBB5E5B}"/>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25461" xr:uid="{FC314E2A-27CF-4B7B-A3E3-63BFE9A9CD94}"/>
    <cellStyle name="Normal 4 4 4 2 5 2 2 3" xfId="17013" xr:uid="{D81C349B-1E3D-4340-8577-37820A0EF8FE}"/>
    <cellStyle name="Normal 4 4 4 2 5 2 3" xfId="21243" xr:uid="{F45E71A3-97A7-4AC5-B9B7-94748B4D1D8C}"/>
    <cellStyle name="Normal 4 4 4 2 5 2 4" xfId="12795" xr:uid="{DD96E3BD-564E-468C-BDD0-531673D961A9}"/>
    <cellStyle name="Normal 4 4 4 2 5 3" xfId="6418" xr:uid="{00000000-0005-0000-0000-0000C5150000}"/>
    <cellStyle name="Normal 4 4 4 2 5 3 2" xfId="23316" xr:uid="{F7D4B7A4-9D58-4AB0-B8A6-EDE812BCD45A}"/>
    <cellStyle name="Normal 4 4 4 2 5 3 3" xfId="14868" xr:uid="{93C53202-B58F-43CE-B4DC-506931DC9EB5}"/>
    <cellStyle name="Normal 4 4 4 2 5 4" xfId="19098" xr:uid="{AAE4A482-7AA5-4384-825C-4DFB90FF2725}"/>
    <cellStyle name="Normal 4 4 4 2 5 5" xfId="10650" xr:uid="{114C79A0-6497-4A88-A9FE-FE4C89534A59}"/>
    <cellStyle name="Normal 4 4 4 2 6" xfId="2548" xr:uid="{00000000-0005-0000-0000-0000C6150000}"/>
    <cellStyle name="Normal 4 4 4 2 6 2" xfId="6831" xr:uid="{00000000-0005-0000-0000-0000C7150000}"/>
    <cellStyle name="Normal 4 4 4 2 6 2 2" xfId="23729" xr:uid="{AB52129D-BF33-4EEB-9A32-B552147C388E}"/>
    <cellStyle name="Normal 4 4 4 2 6 2 3" xfId="15281" xr:uid="{B878E7B8-EB67-4664-B618-5E43D527ACF1}"/>
    <cellStyle name="Normal 4 4 4 2 6 3" xfId="19511" xr:uid="{056B662B-0E4F-46B6-9779-C6B244237EAA}"/>
    <cellStyle name="Normal 4 4 4 2 6 4" xfId="11063" xr:uid="{43853882-DCDB-4EDE-8CE6-0BE0C5F3ED6D}"/>
    <cellStyle name="Normal 4 4 4 2 7" xfId="4766" xr:uid="{00000000-0005-0000-0000-0000C8150000}"/>
    <cellStyle name="Normal 4 4 4 2 7 2" xfId="21664" xr:uid="{4232E5D8-5D12-4D66-BC0E-6A1156F568B1}"/>
    <cellStyle name="Normal 4 4 4 2 7 3" xfId="13216" xr:uid="{1E66C87A-4D19-40BB-A4AD-563EC796D5B3}"/>
    <cellStyle name="Normal 4 4 4 2 8" xfId="17446" xr:uid="{F98E8179-062A-4A9E-A43E-3BCF5795DFA0}"/>
    <cellStyle name="Normal 4 4 4 2 9" xfId="8998" xr:uid="{9133F25C-855C-4AC6-8FE7-55608B9E9C68}"/>
    <cellStyle name="Normal 4 4 4 3" xfId="866" xr:uid="{00000000-0005-0000-0000-0000C9150000}"/>
    <cellStyle name="Normal 4 4 4 3 2" xfId="3101" xr:uid="{00000000-0005-0000-0000-0000CA150000}"/>
    <cellStyle name="Normal 4 4 4 3 2 2" xfId="7323" xr:uid="{00000000-0005-0000-0000-0000CB150000}"/>
    <cellStyle name="Normal 4 4 4 3 2 2 2" xfId="24221" xr:uid="{B4B2EC23-DF05-4BA1-BFBA-0F494A920310}"/>
    <cellStyle name="Normal 4 4 4 3 2 2 3" xfId="15773" xr:uid="{9508AA38-C152-4751-AB3E-8D8FDCD69DCC}"/>
    <cellStyle name="Normal 4 4 4 3 2 3" xfId="20003" xr:uid="{65870A22-A59E-4985-ACBD-C0F85C2E9099}"/>
    <cellStyle name="Normal 4 4 4 3 2 4" xfId="11555" xr:uid="{5A05FA0C-188E-41DA-A5A7-402B7C5DA5EA}"/>
    <cellStyle name="Normal 4 4 4 3 3" xfId="5178" xr:uid="{00000000-0005-0000-0000-0000CC150000}"/>
    <cellStyle name="Normal 4 4 4 3 3 2" xfId="22076" xr:uid="{8096C370-FFBE-434C-B327-7A7E412BE975}"/>
    <cellStyle name="Normal 4 4 4 3 3 3" xfId="13628" xr:uid="{21482C70-6AC8-4DF6-9D54-BEA0968C7BFA}"/>
    <cellStyle name="Normal 4 4 4 3 4" xfId="17858" xr:uid="{D728A2FD-D167-4850-8B23-5E5A1DFC5B64}"/>
    <cellStyle name="Normal 4 4 4 3 5" xfId="9410" xr:uid="{8D2E962E-8B81-4139-A51C-25BC8B11D32D}"/>
    <cellStyle name="Normal 4 4 4 4" xfId="1284" xr:uid="{00000000-0005-0000-0000-0000CD150000}"/>
    <cellStyle name="Normal 4 4 4 4 2" xfId="3514" xr:uid="{00000000-0005-0000-0000-0000CE150000}"/>
    <cellStyle name="Normal 4 4 4 4 2 2" xfId="7736" xr:uid="{00000000-0005-0000-0000-0000CF150000}"/>
    <cellStyle name="Normal 4 4 4 4 2 2 2" xfId="24634" xr:uid="{6AA4EA1A-7EC2-4573-8174-B66C3DB96278}"/>
    <cellStyle name="Normal 4 4 4 4 2 2 3" xfId="16186" xr:uid="{38C173FC-BFDA-4D8B-9466-D970EAD73D8E}"/>
    <cellStyle name="Normal 4 4 4 4 2 3" xfId="20416" xr:uid="{8DC2A60D-77C0-4E1D-B788-C82C4B1BEA10}"/>
    <cellStyle name="Normal 4 4 4 4 2 4" xfId="11968" xr:uid="{F2108A4D-6FB0-48BC-84E2-4ACAC3F8C0DB}"/>
    <cellStyle name="Normal 4 4 4 4 3" xfId="5591" xr:uid="{00000000-0005-0000-0000-0000D0150000}"/>
    <cellStyle name="Normal 4 4 4 4 3 2" xfId="22489" xr:uid="{F4393813-02B8-43B8-864B-3F9E71FFD566}"/>
    <cellStyle name="Normal 4 4 4 4 3 3" xfId="14041" xr:uid="{C2670B9A-9E8A-4CCB-9195-BAA2118BD34C}"/>
    <cellStyle name="Normal 4 4 4 4 4" xfId="18271" xr:uid="{3DABAF05-FDC3-4C3B-897A-37A7FDA2B974}"/>
    <cellStyle name="Normal 4 4 4 4 5" xfId="9823" xr:uid="{F752F381-354F-4A04-9C3D-6ED865C365DA}"/>
    <cellStyle name="Normal 4 4 4 5" xfId="1697" xr:uid="{00000000-0005-0000-0000-0000D1150000}"/>
    <cellStyle name="Normal 4 4 4 5 2" xfId="3927" xr:uid="{00000000-0005-0000-0000-0000D2150000}"/>
    <cellStyle name="Normal 4 4 4 5 2 2" xfId="8149" xr:uid="{00000000-0005-0000-0000-0000D3150000}"/>
    <cellStyle name="Normal 4 4 4 5 2 2 2" xfId="25047" xr:uid="{13FBB4C6-BD35-44D6-B39A-67F13E9EC762}"/>
    <cellStyle name="Normal 4 4 4 5 2 2 3" xfId="16599" xr:uid="{1BDBDD87-3E72-4FDE-8AC5-EE3F66246658}"/>
    <cellStyle name="Normal 4 4 4 5 2 3" xfId="20829" xr:uid="{47D2802C-49D3-4643-BDAD-0BA736F01278}"/>
    <cellStyle name="Normal 4 4 4 5 2 4" xfId="12381" xr:uid="{2E112ABA-4B71-4E49-85D6-87D765ADA48E}"/>
    <cellStyle name="Normal 4 4 4 5 3" xfId="6004" xr:uid="{00000000-0005-0000-0000-0000D4150000}"/>
    <cellStyle name="Normal 4 4 4 5 3 2" xfId="22902" xr:uid="{F35D417D-D283-49DA-B817-F82BE32B6D12}"/>
    <cellStyle name="Normal 4 4 4 5 3 3" xfId="14454" xr:uid="{2C718FA5-1E4B-44B0-A8CA-EAC95FC13C85}"/>
    <cellStyle name="Normal 4 4 4 5 4" xfId="18684" xr:uid="{8F9BDEBE-0269-4D54-9393-84D6A5BA3527}"/>
    <cellStyle name="Normal 4 4 4 5 5" xfId="10236" xr:uid="{49B58F50-55CA-4B50-B424-0D864853AC0C}"/>
    <cellStyle name="Normal 4 4 4 6" xfId="2111" xr:uid="{00000000-0005-0000-0000-0000D5150000}"/>
    <cellStyle name="Normal 4 4 4 6 2" xfId="4340" xr:uid="{00000000-0005-0000-0000-0000D6150000}"/>
    <cellStyle name="Normal 4 4 4 6 2 2" xfId="8562" xr:uid="{00000000-0005-0000-0000-0000D7150000}"/>
    <cellStyle name="Normal 4 4 4 6 2 2 2" xfId="25460" xr:uid="{F98C2CEC-45FD-46CC-AE6A-0979E8306AC9}"/>
    <cellStyle name="Normal 4 4 4 6 2 2 3" xfId="17012" xr:uid="{D68DB6BF-C8D4-4606-98D9-6563FEEB00FB}"/>
    <cellStyle name="Normal 4 4 4 6 2 3" xfId="21242" xr:uid="{40EB7049-C74E-4CD2-9024-D1E880A6A3CB}"/>
    <cellStyle name="Normal 4 4 4 6 2 4" xfId="12794" xr:uid="{24D29136-5CE0-4C04-A7E0-588CA678C00E}"/>
    <cellStyle name="Normal 4 4 4 6 3" xfId="6417" xr:uid="{00000000-0005-0000-0000-0000D8150000}"/>
    <cellStyle name="Normal 4 4 4 6 3 2" xfId="23315" xr:uid="{5E237B4E-B4DE-413F-B1EE-E71DEDEC3916}"/>
    <cellStyle name="Normal 4 4 4 6 3 3" xfId="14867" xr:uid="{CB8D6121-4B0D-47DB-8D9B-0969AF70D960}"/>
    <cellStyle name="Normal 4 4 4 6 4" xfId="19097" xr:uid="{75A98EA5-8EF5-4075-93C8-A7494FB10658}"/>
    <cellStyle name="Normal 4 4 4 6 5" xfId="10649" xr:uid="{AD769500-70AD-4C3B-9C24-12CF9E1287DA}"/>
    <cellStyle name="Normal 4 4 4 7" xfId="2547" xr:uid="{00000000-0005-0000-0000-0000D9150000}"/>
    <cellStyle name="Normal 4 4 4 7 2" xfId="6830" xr:uid="{00000000-0005-0000-0000-0000DA150000}"/>
    <cellStyle name="Normal 4 4 4 7 2 2" xfId="23728" xr:uid="{BB459607-1852-40C0-B293-7D379A04EC79}"/>
    <cellStyle name="Normal 4 4 4 7 2 3" xfId="15280" xr:uid="{B43315C2-A3E2-4658-AC17-6CF382CB028A}"/>
    <cellStyle name="Normal 4 4 4 7 3" xfId="19510" xr:uid="{1ADA950B-2989-4AB4-87F4-B9E4A8D870FF}"/>
    <cellStyle name="Normal 4 4 4 7 4" xfId="11062" xr:uid="{11A156BF-AA3F-4695-9487-CC60A1D886AB}"/>
    <cellStyle name="Normal 4 4 4 8" xfId="4765" xr:uid="{00000000-0005-0000-0000-0000DB150000}"/>
    <cellStyle name="Normal 4 4 4 8 2" xfId="21663" xr:uid="{4E81C484-4195-4D1D-8E8A-BD8D2F6C99DD}"/>
    <cellStyle name="Normal 4 4 4 8 3" xfId="13215" xr:uid="{E5A01403-2E9F-4D35-BF6D-E8D2A732F7B9}"/>
    <cellStyle name="Normal 4 4 4 9" xfId="17445" xr:uid="{F30DE119-5583-43AD-B8B3-46EF4B3A90DC}"/>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2 2 2" xfId="24223" xr:uid="{9FD4A794-04E1-4463-AF28-095C6E230F58}"/>
    <cellStyle name="Normal 4 4 5 2 2 2 3" xfId="15775" xr:uid="{84E0AA19-7D28-44C2-A4CD-B22B24C57B22}"/>
    <cellStyle name="Normal 4 4 5 2 2 3" xfId="20005" xr:uid="{7548FCBC-BABA-41AB-AA9C-F7BE4B187E88}"/>
    <cellStyle name="Normal 4 4 5 2 2 4" xfId="11557" xr:uid="{C5D52574-FE7E-478A-A6CC-F39295009767}"/>
    <cellStyle name="Normal 4 4 5 2 3" xfId="5180" xr:uid="{00000000-0005-0000-0000-0000E0150000}"/>
    <cellStyle name="Normal 4 4 5 2 3 2" xfId="22078" xr:uid="{7285B0C8-99EC-40B7-A34A-2A6FA1C41FBF}"/>
    <cellStyle name="Normal 4 4 5 2 3 3" xfId="13630" xr:uid="{CC7A3840-BD34-48DB-9D96-613EE5989F24}"/>
    <cellStyle name="Normal 4 4 5 2 4" xfId="17860" xr:uid="{9E3F0E1A-17D4-4F20-8C11-93BFABA17986}"/>
    <cellStyle name="Normal 4 4 5 2 5" xfId="9412" xr:uid="{38E216D4-DE39-48CD-BE7A-32F25FE3720C}"/>
    <cellStyle name="Normal 4 4 5 3" xfId="1286" xr:uid="{00000000-0005-0000-0000-0000E1150000}"/>
    <cellStyle name="Normal 4 4 5 3 2" xfId="3516" xr:uid="{00000000-0005-0000-0000-0000E2150000}"/>
    <cellStyle name="Normal 4 4 5 3 2 2" xfId="7738" xr:uid="{00000000-0005-0000-0000-0000E3150000}"/>
    <cellStyle name="Normal 4 4 5 3 2 2 2" xfId="24636" xr:uid="{1F482EA4-ED24-449E-89D1-7B806F8FF257}"/>
    <cellStyle name="Normal 4 4 5 3 2 2 3" xfId="16188" xr:uid="{12B9FB24-F23D-4507-9022-AB3622D05A43}"/>
    <cellStyle name="Normal 4 4 5 3 2 3" xfId="20418" xr:uid="{754E5BA8-DDD8-4AC4-8E20-7362768814AE}"/>
    <cellStyle name="Normal 4 4 5 3 2 4" xfId="11970" xr:uid="{63664AD4-1862-44A5-855D-F0613C28A686}"/>
    <cellStyle name="Normal 4 4 5 3 3" xfId="5593" xr:uid="{00000000-0005-0000-0000-0000E4150000}"/>
    <cellStyle name="Normal 4 4 5 3 3 2" xfId="22491" xr:uid="{60AC28BF-65E6-4091-97D6-555E188DC90A}"/>
    <cellStyle name="Normal 4 4 5 3 3 3" xfId="14043" xr:uid="{BF5197EA-CE22-45D4-B11A-E425339D6BD1}"/>
    <cellStyle name="Normal 4 4 5 3 4" xfId="18273" xr:uid="{6CEBCAF4-4BB2-45FC-8D81-46F293CBDCC6}"/>
    <cellStyle name="Normal 4 4 5 3 5" xfId="9825" xr:uid="{B93D7F52-3BB8-4DDD-A3E7-FBBA7A27DA42}"/>
    <cellStyle name="Normal 4 4 5 4" xfId="1699" xr:uid="{00000000-0005-0000-0000-0000E5150000}"/>
    <cellStyle name="Normal 4 4 5 4 2" xfId="3929" xr:uid="{00000000-0005-0000-0000-0000E6150000}"/>
    <cellStyle name="Normal 4 4 5 4 2 2" xfId="8151" xr:uid="{00000000-0005-0000-0000-0000E7150000}"/>
    <cellStyle name="Normal 4 4 5 4 2 2 2" xfId="25049" xr:uid="{192C760E-D999-4D88-B3D0-40F5AC978AAE}"/>
    <cellStyle name="Normal 4 4 5 4 2 2 3" xfId="16601" xr:uid="{5E0D3CFE-D7A7-4816-9DD3-5B0BC1C66541}"/>
    <cellStyle name="Normal 4 4 5 4 2 3" xfId="20831" xr:uid="{CCF9CCCF-FAEB-424B-930C-747BE25945B6}"/>
    <cellStyle name="Normal 4 4 5 4 2 4" xfId="12383" xr:uid="{67B1599B-1D8B-44C6-BEF3-E13E912CE0AA}"/>
    <cellStyle name="Normal 4 4 5 4 3" xfId="6006" xr:uid="{00000000-0005-0000-0000-0000E8150000}"/>
    <cellStyle name="Normal 4 4 5 4 3 2" xfId="22904" xr:uid="{0FA8C4AB-40E6-428F-9B27-136781B87972}"/>
    <cellStyle name="Normal 4 4 5 4 3 3" xfId="14456" xr:uid="{82118351-2D9E-4784-90BE-6A5228EB6394}"/>
    <cellStyle name="Normal 4 4 5 4 4" xfId="18686" xr:uid="{3653CF05-4F13-4173-8AB6-15990D4AE3E4}"/>
    <cellStyle name="Normal 4 4 5 4 5" xfId="10238" xr:uid="{1FEA4BC8-CC13-48CB-A9FF-1167D4490DAC}"/>
    <cellStyle name="Normal 4 4 5 5" xfId="2113" xr:uid="{00000000-0005-0000-0000-0000E9150000}"/>
    <cellStyle name="Normal 4 4 5 5 2" xfId="4342" xr:uid="{00000000-0005-0000-0000-0000EA150000}"/>
    <cellStyle name="Normal 4 4 5 5 2 2" xfId="8564" xr:uid="{00000000-0005-0000-0000-0000EB150000}"/>
    <cellStyle name="Normal 4 4 5 5 2 2 2" xfId="25462" xr:uid="{4B140D03-0FC7-42DA-9438-6ED5A725BD34}"/>
    <cellStyle name="Normal 4 4 5 5 2 2 3" xfId="17014" xr:uid="{1F9B8E81-0709-4F64-A410-EA5F9787998E}"/>
    <cellStyle name="Normal 4 4 5 5 2 3" xfId="21244" xr:uid="{3F79F190-4941-481C-9A1F-F23925E4369B}"/>
    <cellStyle name="Normal 4 4 5 5 2 4" xfId="12796" xr:uid="{B4CF6C7B-0D7E-485E-A1F2-37DDACBB0F81}"/>
    <cellStyle name="Normal 4 4 5 5 3" xfId="6419" xr:uid="{00000000-0005-0000-0000-0000EC150000}"/>
    <cellStyle name="Normal 4 4 5 5 3 2" xfId="23317" xr:uid="{A2D81483-F987-4A99-8309-AFB4B29F68F8}"/>
    <cellStyle name="Normal 4 4 5 5 3 3" xfId="14869" xr:uid="{4AF3E821-072E-4FC5-AF7F-3B18D2131307}"/>
    <cellStyle name="Normal 4 4 5 5 4" xfId="19099" xr:uid="{1E5335FD-BF49-4977-85CB-9430E2F7F21A}"/>
    <cellStyle name="Normal 4 4 5 5 5" xfId="10651" xr:uid="{83E99D62-DCF6-4AA2-B08A-459DC87B28C5}"/>
    <cellStyle name="Normal 4 4 5 6" xfId="2549" xr:uid="{00000000-0005-0000-0000-0000ED150000}"/>
    <cellStyle name="Normal 4 4 5 6 2" xfId="6832" xr:uid="{00000000-0005-0000-0000-0000EE150000}"/>
    <cellStyle name="Normal 4 4 5 6 2 2" xfId="23730" xr:uid="{08C4F622-4C30-4C15-9E1A-260D2033D69E}"/>
    <cellStyle name="Normal 4 4 5 6 2 3" xfId="15282" xr:uid="{A1132C20-3423-44A4-9A31-3250444E770B}"/>
    <cellStyle name="Normal 4 4 5 6 3" xfId="19512" xr:uid="{68B888D8-B7EE-492C-B09E-02C3DF374E10}"/>
    <cellStyle name="Normal 4 4 5 6 4" xfId="11064" xr:uid="{895BD281-7890-462F-B17E-46BA3B5C4A3F}"/>
    <cellStyle name="Normal 4 4 5 7" xfId="4767" xr:uid="{00000000-0005-0000-0000-0000EF150000}"/>
    <cellStyle name="Normal 4 4 5 7 2" xfId="21665" xr:uid="{37D63B0D-C14F-4769-907D-38D87D3791CF}"/>
    <cellStyle name="Normal 4 4 5 7 3" xfId="13217" xr:uid="{4D1B74C0-71F5-49B3-A07B-22F91B307DBB}"/>
    <cellStyle name="Normal 4 4 5 8" xfId="17447" xr:uid="{4CAEBDD5-A5A2-4707-8AD4-959DF04BFC67}"/>
    <cellStyle name="Normal 4 4 5 9" xfId="8999" xr:uid="{AA824E95-2D92-40A7-B863-E49EAC175768}"/>
    <cellStyle name="Normal 4 4 6" xfId="853" xr:uid="{00000000-0005-0000-0000-0000F0150000}"/>
    <cellStyle name="Normal 4 4 6 2" xfId="3088" xr:uid="{00000000-0005-0000-0000-0000F1150000}"/>
    <cellStyle name="Normal 4 4 6 2 2" xfId="7310" xr:uid="{00000000-0005-0000-0000-0000F2150000}"/>
    <cellStyle name="Normal 4 4 6 2 2 2" xfId="24208" xr:uid="{BFB09CD4-7AE3-408C-B0D7-F8E8E8103128}"/>
    <cellStyle name="Normal 4 4 6 2 2 3" xfId="15760" xr:uid="{F3C25813-486A-4F40-AE61-6D89724996B7}"/>
    <cellStyle name="Normal 4 4 6 2 3" xfId="19990" xr:uid="{7CB373BB-5F12-4137-8317-1C2E619BB31E}"/>
    <cellStyle name="Normal 4 4 6 2 4" xfId="11542" xr:uid="{33EB4105-73C9-409B-8BF7-DEA743C9D41C}"/>
    <cellStyle name="Normal 4 4 6 3" xfId="5165" xr:uid="{00000000-0005-0000-0000-0000F3150000}"/>
    <cellStyle name="Normal 4 4 6 3 2" xfId="22063" xr:uid="{3E6231D9-F1ED-4AE8-B814-C5C12624103E}"/>
    <cellStyle name="Normal 4 4 6 3 3" xfId="13615" xr:uid="{954CFE42-7B2D-4D93-83C3-F5319AFCA7FB}"/>
    <cellStyle name="Normal 4 4 6 4" xfId="17845" xr:uid="{8597ABDB-BA5A-44EB-AEDE-A542E962ECEC}"/>
    <cellStyle name="Normal 4 4 6 5" xfId="9397" xr:uid="{23D210B1-59A5-493F-A001-C4B65EEAA799}"/>
    <cellStyle name="Normal 4 4 7" xfId="1271" xr:uid="{00000000-0005-0000-0000-0000F4150000}"/>
    <cellStyle name="Normal 4 4 7 2" xfId="3501" xr:uid="{00000000-0005-0000-0000-0000F5150000}"/>
    <cellStyle name="Normal 4 4 7 2 2" xfId="7723" xr:uid="{00000000-0005-0000-0000-0000F6150000}"/>
    <cellStyle name="Normal 4 4 7 2 2 2" xfId="24621" xr:uid="{4B18A1B0-220C-4DFA-8BF0-F31AB439AB03}"/>
    <cellStyle name="Normal 4 4 7 2 2 3" xfId="16173" xr:uid="{6C95D6A6-1917-4007-BDD7-598C1E4DD115}"/>
    <cellStyle name="Normal 4 4 7 2 3" xfId="20403" xr:uid="{4549A280-0FE3-45EC-8750-9EF33F98D9A2}"/>
    <cellStyle name="Normal 4 4 7 2 4" xfId="11955" xr:uid="{3FCEDB7A-E58F-48F5-BB00-41BD02017AD1}"/>
    <cellStyle name="Normal 4 4 7 3" xfId="5578" xr:uid="{00000000-0005-0000-0000-0000F7150000}"/>
    <cellStyle name="Normal 4 4 7 3 2" xfId="22476" xr:uid="{35DADF5A-8842-417B-AA0E-D76A331C06F6}"/>
    <cellStyle name="Normal 4 4 7 3 3" xfId="14028" xr:uid="{1FCD1F58-6827-4625-8C9D-F4A3209B927D}"/>
    <cellStyle name="Normal 4 4 7 4" xfId="18258" xr:uid="{3C1B11A7-DE4B-40B5-8EF5-9426111C297A}"/>
    <cellStyle name="Normal 4 4 7 5" xfId="9810" xr:uid="{8E107EF7-2346-49B4-9DB0-5DC0CFC07177}"/>
    <cellStyle name="Normal 4 4 8" xfId="1684" xr:uid="{00000000-0005-0000-0000-0000F8150000}"/>
    <cellStyle name="Normal 4 4 8 2" xfId="3914" xr:uid="{00000000-0005-0000-0000-0000F9150000}"/>
    <cellStyle name="Normal 4 4 8 2 2" xfId="8136" xr:uid="{00000000-0005-0000-0000-0000FA150000}"/>
    <cellStyle name="Normal 4 4 8 2 2 2" xfId="25034" xr:uid="{BB228EEC-7059-4736-85A2-8B1DD133EFD8}"/>
    <cellStyle name="Normal 4 4 8 2 2 3" xfId="16586" xr:uid="{F0AEF0EC-8319-4541-A954-72BADB644998}"/>
    <cellStyle name="Normal 4 4 8 2 3" xfId="20816" xr:uid="{AFD033FE-12E9-4C89-867F-6AB5AB3CEB7F}"/>
    <cellStyle name="Normal 4 4 8 2 4" xfId="12368" xr:uid="{C82BB45B-99BE-4F50-9BDA-5105B9F93CA9}"/>
    <cellStyle name="Normal 4 4 8 3" xfId="5991" xr:uid="{00000000-0005-0000-0000-0000FB150000}"/>
    <cellStyle name="Normal 4 4 8 3 2" xfId="22889" xr:uid="{8E3C474D-BF67-4415-B691-996E4E6DFB68}"/>
    <cellStyle name="Normal 4 4 8 3 3" xfId="14441" xr:uid="{CA70BF3F-2743-4595-946F-A6F338AA48F5}"/>
    <cellStyle name="Normal 4 4 8 4" xfId="18671" xr:uid="{E308B1A4-DC91-40B2-93D3-D58D5A5DE21F}"/>
    <cellStyle name="Normal 4 4 8 5" xfId="10223" xr:uid="{FE51A925-BBD2-46A0-84C5-5254FF789B4B}"/>
    <cellStyle name="Normal 4 4 9" xfId="2098" xr:uid="{00000000-0005-0000-0000-0000FC150000}"/>
    <cellStyle name="Normal 4 4 9 2" xfId="4327" xr:uid="{00000000-0005-0000-0000-0000FD150000}"/>
    <cellStyle name="Normal 4 4 9 2 2" xfId="8549" xr:uid="{00000000-0005-0000-0000-0000FE150000}"/>
    <cellStyle name="Normal 4 4 9 2 2 2" xfId="25447" xr:uid="{CE8700C9-1650-403E-AF71-898E186FDF5F}"/>
    <cellStyle name="Normal 4 4 9 2 2 3" xfId="16999" xr:uid="{793A696D-B7A8-4510-8329-F3D23B3DAE23}"/>
    <cellStyle name="Normal 4 4 9 2 3" xfId="21229" xr:uid="{0D0E00FA-A7B6-4B7C-A86C-58F245FFD93D}"/>
    <cellStyle name="Normal 4 4 9 2 4" xfId="12781" xr:uid="{869B2551-DF3A-4E42-B8DD-AF64452FB35C}"/>
    <cellStyle name="Normal 4 4 9 3" xfId="6404" xr:uid="{00000000-0005-0000-0000-0000FF150000}"/>
    <cellStyle name="Normal 4 4 9 3 2" xfId="23302" xr:uid="{DE79903D-FF33-4E9A-8BBB-D11DBDB30494}"/>
    <cellStyle name="Normal 4 4 9 3 3" xfId="14854" xr:uid="{8C9D32D1-3EA5-410D-A2C2-341554924E99}"/>
    <cellStyle name="Normal 4 4 9 4" xfId="19084" xr:uid="{0C514861-D7BA-4000-AAC8-83B2850B0544}"/>
    <cellStyle name="Normal 4 4 9 5" xfId="10636" xr:uid="{B5F7B1C5-2F0C-4939-B752-E16FCE26361E}"/>
    <cellStyle name="Normal 4 5" xfId="394" xr:uid="{00000000-0005-0000-0000-000000160000}"/>
    <cellStyle name="Normal 4 6" xfId="395" xr:uid="{00000000-0005-0000-0000-000001160000}"/>
    <cellStyle name="Normal 4 6 10" xfId="4768" xr:uid="{00000000-0005-0000-0000-000002160000}"/>
    <cellStyle name="Normal 4 6 10 2" xfId="21666" xr:uid="{F421A3D0-C25F-4C94-98AE-29C458D354A3}"/>
    <cellStyle name="Normal 4 6 10 3" xfId="13218" xr:uid="{4F214C40-1EE7-45EF-8A95-992FB80B0351}"/>
    <cellStyle name="Normal 4 6 11" xfId="17448" xr:uid="{14C0F75C-30BF-4CE7-B740-B4A2B88DB515}"/>
    <cellStyle name="Normal 4 6 12" xfId="9000" xr:uid="{8F708028-657A-4C41-B846-A8BF5EEE619B}"/>
    <cellStyle name="Normal 4 6 2" xfId="396" xr:uid="{00000000-0005-0000-0000-000003160000}"/>
    <cellStyle name="Normal 4 6 2 10" xfId="17449" xr:uid="{E1E74A10-5A78-4B02-BB0E-91932F6444DD}"/>
    <cellStyle name="Normal 4 6 2 11" xfId="9001" xr:uid="{0D161268-2D8E-4B4D-808B-E0E6CBC0AB94}"/>
    <cellStyle name="Normal 4 6 2 2" xfId="397" xr:uid="{00000000-0005-0000-0000-000004160000}"/>
    <cellStyle name="Normal 4 6 2 2 10" xfId="9002" xr:uid="{1B236B3F-8E51-4303-AFAF-C6A8AA20ACE2}"/>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24227" xr:uid="{E5325E32-B582-483D-B53B-E16EE9EA921F}"/>
    <cellStyle name="Normal 4 6 2 2 2 2 2 2 3" xfId="15779" xr:uid="{FDAE44F5-6868-4F98-B876-B64F9B080392}"/>
    <cellStyle name="Normal 4 6 2 2 2 2 2 3" xfId="20009" xr:uid="{FEBB1608-8FE9-4BC5-A6E4-B5455480B135}"/>
    <cellStyle name="Normal 4 6 2 2 2 2 2 4" xfId="11561" xr:uid="{4699D929-6828-4A2A-989A-6ECEEAE41F40}"/>
    <cellStyle name="Normal 4 6 2 2 2 2 3" xfId="5184" xr:uid="{00000000-0005-0000-0000-000009160000}"/>
    <cellStyle name="Normal 4 6 2 2 2 2 3 2" xfId="22082" xr:uid="{1AD5C539-FDA3-4146-AA31-6B1EE72FAD47}"/>
    <cellStyle name="Normal 4 6 2 2 2 2 3 3" xfId="13634" xr:uid="{4A7F67FB-A57C-45A4-9E76-DEED0890F11F}"/>
    <cellStyle name="Normal 4 6 2 2 2 2 4" xfId="17864" xr:uid="{98BB4B05-C885-4A5B-B0FD-39BA2C19EE1A}"/>
    <cellStyle name="Normal 4 6 2 2 2 2 5" xfId="9416" xr:uid="{0B3790CF-EB1D-4C59-91E1-81DC83E8B6AE}"/>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24640" xr:uid="{3A9DB4FA-63E9-49D0-9A51-A2F9ACB28C71}"/>
    <cellStyle name="Normal 4 6 2 2 2 3 2 2 3" xfId="16192" xr:uid="{AB052E3B-409F-4E5E-913A-62870686F92A}"/>
    <cellStyle name="Normal 4 6 2 2 2 3 2 3" xfId="20422" xr:uid="{12FD42D7-0C2E-4AEF-97FA-6F275398B497}"/>
    <cellStyle name="Normal 4 6 2 2 2 3 2 4" xfId="11974" xr:uid="{2FB5A396-7401-400A-A35F-A3F8C253A168}"/>
    <cellStyle name="Normal 4 6 2 2 2 3 3" xfId="5597" xr:uid="{00000000-0005-0000-0000-00000D160000}"/>
    <cellStyle name="Normal 4 6 2 2 2 3 3 2" xfId="22495" xr:uid="{26909416-0654-4CFD-860C-45215A1FAECB}"/>
    <cellStyle name="Normal 4 6 2 2 2 3 3 3" xfId="14047" xr:uid="{4EAF2315-1B1E-41A8-AA2E-B00F229A52E1}"/>
    <cellStyle name="Normal 4 6 2 2 2 3 4" xfId="18277" xr:uid="{21C3BEEE-D77D-4082-B537-095A146F7053}"/>
    <cellStyle name="Normal 4 6 2 2 2 3 5" xfId="9829" xr:uid="{41D3EA7B-E144-49BA-A9BC-75C1937EAAA3}"/>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25053" xr:uid="{C73781B7-8EF3-40CB-8F65-67F4061DAD94}"/>
    <cellStyle name="Normal 4 6 2 2 2 4 2 2 3" xfId="16605" xr:uid="{A10744D9-7249-400E-9CDF-39C37039FA00}"/>
    <cellStyle name="Normal 4 6 2 2 2 4 2 3" xfId="20835" xr:uid="{4C34F5B1-9F2C-4071-94E6-3916FB1F1269}"/>
    <cellStyle name="Normal 4 6 2 2 2 4 2 4" xfId="12387" xr:uid="{E0D47A8D-B7B7-4D2A-92D0-257105C7858F}"/>
    <cellStyle name="Normal 4 6 2 2 2 4 3" xfId="6010" xr:uid="{00000000-0005-0000-0000-000011160000}"/>
    <cellStyle name="Normal 4 6 2 2 2 4 3 2" xfId="22908" xr:uid="{BF817D74-4324-4075-8198-332CD7B7A3D6}"/>
    <cellStyle name="Normal 4 6 2 2 2 4 3 3" xfId="14460" xr:uid="{DC46D7A9-3878-4BE2-9E70-1C9242460C21}"/>
    <cellStyle name="Normal 4 6 2 2 2 4 4" xfId="18690" xr:uid="{D9F31BD0-06E9-4558-AD6F-0FBC1754B21B}"/>
    <cellStyle name="Normal 4 6 2 2 2 4 5" xfId="10242" xr:uid="{AF5E081D-2B0C-4C61-BC8D-38625FF408C9}"/>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25466" xr:uid="{4BC1A8E3-5A80-41B5-A3DF-FBE4737D6131}"/>
    <cellStyle name="Normal 4 6 2 2 2 5 2 2 3" xfId="17018" xr:uid="{A85E8284-EB1D-4CE5-94B6-5C78D7489FF8}"/>
    <cellStyle name="Normal 4 6 2 2 2 5 2 3" xfId="21248" xr:uid="{0DA83A54-7030-439F-8F70-B932C955C895}"/>
    <cellStyle name="Normal 4 6 2 2 2 5 2 4" xfId="12800" xr:uid="{D352CE01-8E69-4A55-A61F-B50DCF84C78F}"/>
    <cellStyle name="Normal 4 6 2 2 2 5 3" xfId="6423" xr:uid="{00000000-0005-0000-0000-000015160000}"/>
    <cellStyle name="Normal 4 6 2 2 2 5 3 2" xfId="23321" xr:uid="{2888BC9B-5C57-4070-BD5B-A153F465E82F}"/>
    <cellStyle name="Normal 4 6 2 2 2 5 3 3" xfId="14873" xr:uid="{B494755F-3010-4EBD-BF09-AF71B1DEB67F}"/>
    <cellStyle name="Normal 4 6 2 2 2 5 4" xfId="19103" xr:uid="{B1C803F6-45B6-41C7-B535-B7048638D765}"/>
    <cellStyle name="Normal 4 6 2 2 2 5 5" xfId="10655" xr:uid="{8BB6CFFB-F308-4AA4-B0D5-0187E27841F5}"/>
    <cellStyle name="Normal 4 6 2 2 2 6" xfId="2553" xr:uid="{00000000-0005-0000-0000-000016160000}"/>
    <cellStyle name="Normal 4 6 2 2 2 6 2" xfId="6836" xr:uid="{00000000-0005-0000-0000-000017160000}"/>
    <cellStyle name="Normal 4 6 2 2 2 6 2 2" xfId="23734" xr:uid="{5332AABA-B1AA-498F-86A9-519C82BE3B97}"/>
    <cellStyle name="Normal 4 6 2 2 2 6 2 3" xfId="15286" xr:uid="{EEF793E0-707A-4420-9FF0-5D9D1010759B}"/>
    <cellStyle name="Normal 4 6 2 2 2 6 3" xfId="19516" xr:uid="{E8A356B4-2E28-4A80-9FFD-D85C2C79288D}"/>
    <cellStyle name="Normal 4 6 2 2 2 6 4" xfId="11068" xr:uid="{6EFAC1F6-412A-42E9-B042-99539CDB2330}"/>
    <cellStyle name="Normal 4 6 2 2 2 7" xfId="4771" xr:uid="{00000000-0005-0000-0000-000018160000}"/>
    <cellStyle name="Normal 4 6 2 2 2 7 2" xfId="21669" xr:uid="{1CEAA231-6A96-4172-A23C-6394A6FEFD05}"/>
    <cellStyle name="Normal 4 6 2 2 2 7 3" xfId="13221" xr:uid="{4B89766A-950C-47BA-87DC-8EB9A4A41BBE}"/>
    <cellStyle name="Normal 4 6 2 2 2 8" xfId="17451" xr:uid="{F05C65A6-CC7F-4B44-8E7E-05877D4AB546}"/>
    <cellStyle name="Normal 4 6 2 2 2 9" xfId="9003" xr:uid="{204B3812-34D1-41EF-9E21-449DEA968D2F}"/>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24226" xr:uid="{738A3185-0012-4B1D-A96C-78BE79190811}"/>
    <cellStyle name="Normal 4 6 2 2 3 2 2 3" xfId="15778" xr:uid="{468148CD-B0BC-49D2-A000-0D3FD7A168E3}"/>
    <cellStyle name="Normal 4 6 2 2 3 2 3" xfId="20008" xr:uid="{D7862CA2-DFC4-4E89-9C50-7AB5A5113C30}"/>
    <cellStyle name="Normal 4 6 2 2 3 2 4" xfId="11560" xr:uid="{1FB44B21-0E6B-46AC-8338-32E47BAAC338}"/>
    <cellStyle name="Normal 4 6 2 2 3 3" xfId="5183" xr:uid="{00000000-0005-0000-0000-00001C160000}"/>
    <cellStyle name="Normal 4 6 2 2 3 3 2" xfId="22081" xr:uid="{23D61A0F-1217-44F1-A76E-3210AB086BB1}"/>
    <cellStyle name="Normal 4 6 2 2 3 3 3" xfId="13633" xr:uid="{827B97D5-4F94-4E21-9164-5EFC9FFDC1D4}"/>
    <cellStyle name="Normal 4 6 2 2 3 4" xfId="17863" xr:uid="{67E45699-6673-479D-A616-A180CBDFDA1D}"/>
    <cellStyle name="Normal 4 6 2 2 3 5" xfId="9415" xr:uid="{6EA3E5B4-1B38-4A75-80C9-DF5F106FE5EA}"/>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24639" xr:uid="{BFA60316-82D2-407F-87EB-F6C7DB7CFD3A}"/>
    <cellStyle name="Normal 4 6 2 2 4 2 2 3" xfId="16191" xr:uid="{7A55E279-03BB-4016-926B-AF82A0887A6A}"/>
    <cellStyle name="Normal 4 6 2 2 4 2 3" xfId="20421" xr:uid="{67E4EF5C-58BB-44D0-BF12-CC825C004A7A}"/>
    <cellStyle name="Normal 4 6 2 2 4 2 4" xfId="11973" xr:uid="{317EFABE-2F73-42C5-9B17-FAFB4960250F}"/>
    <cellStyle name="Normal 4 6 2 2 4 3" xfId="5596" xr:uid="{00000000-0005-0000-0000-000020160000}"/>
    <cellStyle name="Normal 4 6 2 2 4 3 2" xfId="22494" xr:uid="{BE413503-904D-40E3-9996-E413DDF2F3CA}"/>
    <cellStyle name="Normal 4 6 2 2 4 3 3" xfId="14046" xr:uid="{94D35484-D9C8-4025-88A8-0D3BAD08C6B0}"/>
    <cellStyle name="Normal 4 6 2 2 4 4" xfId="18276" xr:uid="{CDC94B50-9CC9-4FC1-8A84-F0012A957475}"/>
    <cellStyle name="Normal 4 6 2 2 4 5" xfId="9828" xr:uid="{DD5C88BD-9FD1-4E36-8901-B31C74994E3A}"/>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25052" xr:uid="{24F5F266-9233-4F6F-8804-6E7D55A14FD7}"/>
    <cellStyle name="Normal 4 6 2 2 5 2 2 3" xfId="16604" xr:uid="{788C254B-8042-4C19-A48E-BC2479323B8E}"/>
    <cellStyle name="Normal 4 6 2 2 5 2 3" xfId="20834" xr:uid="{F59F359B-8EF0-4E69-855D-2C0A0AED1B2D}"/>
    <cellStyle name="Normal 4 6 2 2 5 2 4" xfId="12386" xr:uid="{A5F93A04-0993-48FA-A60B-BEBD2913734F}"/>
    <cellStyle name="Normal 4 6 2 2 5 3" xfId="6009" xr:uid="{00000000-0005-0000-0000-000024160000}"/>
    <cellStyle name="Normal 4 6 2 2 5 3 2" xfId="22907" xr:uid="{BFF9410F-6772-45C0-B984-D933614E2086}"/>
    <cellStyle name="Normal 4 6 2 2 5 3 3" xfId="14459" xr:uid="{033D9364-0D40-4810-AC5F-6C635AB661EE}"/>
    <cellStyle name="Normal 4 6 2 2 5 4" xfId="18689" xr:uid="{E9F296C8-A878-4261-A96A-B5BC8EDDBEED}"/>
    <cellStyle name="Normal 4 6 2 2 5 5" xfId="10241" xr:uid="{A3F55CB3-290B-40A0-A102-742D7763B5CE}"/>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25465" xr:uid="{685FEADD-94F5-4542-A780-C284C5CFD675}"/>
    <cellStyle name="Normal 4 6 2 2 6 2 2 3" xfId="17017" xr:uid="{9B78B004-E059-4538-91A9-D6B892F2B375}"/>
    <cellStyle name="Normal 4 6 2 2 6 2 3" xfId="21247" xr:uid="{65DC9B7F-0C45-4DD1-8261-1480494FDD5B}"/>
    <cellStyle name="Normal 4 6 2 2 6 2 4" xfId="12799" xr:uid="{58F7A086-E04F-4C6F-A628-D9A279D54972}"/>
    <cellStyle name="Normal 4 6 2 2 6 3" xfId="6422" xr:uid="{00000000-0005-0000-0000-000028160000}"/>
    <cellStyle name="Normal 4 6 2 2 6 3 2" xfId="23320" xr:uid="{B6622966-14DD-4D36-8BE1-94366291A323}"/>
    <cellStyle name="Normal 4 6 2 2 6 3 3" xfId="14872" xr:uid="{274CC2B6-50C0-4B56-8134-373A27987581}"/>
    <cellStyle name="Normal 4 6 2 2 6 4" xfId="19102" xr:uid="{3415CC56-07A3-4AFF-8B7B-FCF24D35E656}"/>
    <cellStyle name="Normal 4 6 2 2 6 5" xfId="10654" xr:uid="{D391A0DC-CD04-499F-90A0-E304F2E51A52}"/>
    <cellStyle name="Normal 4 6 2 2 7" xfId="2552" xr:uid="{00000000-0005-0000-0000-000029160000}"/>
    <cellStyle name="Normal 4 6 2 2 7 2" xfId="6835" xr:uid="{00000000-0005-0000-0000-00002A160000}"/>
    <cellStyle name="Normal 4 6 2 2 7 2 2" xfId="23733" xr:uid="{43B3198A-CB40-4397-B38E-179BF211422D}"/>
    <cellStyle name="Normal 4 6 2 2 7 2 3" xfId="15285" xr:uid="{581D30DF-6DE4-4AB0-9876-16E26B84DAC1}"/>
    <cellStyle name="Normal 4 6 2 2 7 3" xfId="19515" xr:uid="{20AD4117-9833-4FF8-90C4-2E680DEEEA19}"/>
    <cellStyle name="Normal 4 6 2 2 7 4" xfId="11067" xr:uid="{FD2F6D45-B763-4329-BB6B-ED2F0D18C91C}"/>
    <cellStyle name="Normal 4 6 2 2 8" xfId="4770" xr:uid="{00000000-0005-0000-0000-00002B160000}"/>
    <cellStyle name="Normal 4 6 2 2 8 2" xfId="21668" xr:uid="{737DFDA0-08B2-4CC5-A38C-4BE8A0C4D967}"/>
    <cellStyle name="Normal 4 6 2 2 8 3" xfId="13220" xr:uid="{6A521D42-AA7A-488B-97F6-85382045ECCD}"/>
    <cellStyle name="Normal 4 6 2 2 9" xfId="17450" xr:uid="{8B6F5DF7-C30B-4E37-993B-6AC923EB47AE}"/>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24228" xr:uid="{D45FA2DE-033B-4FCF-898E-27B162FA9894}"/>
    <cellStyle name="Normal 4 6 2 3 2 2 2 3" xfId="15780" xr:uid="{C88E6731-3F71-4EB0-90E1-E874091D110E}"/>
    <cellStyle name="Normal 4 6 2 3 2 2 3" xfId="20010" xr:uid="{41F69EC7-90E8-4037-B159-658F2D9D0C42}"/>
    <cellStyle name="Normal 4 6 2 3 2 2 4" xfId="11562" xr:uid="{04564CB1-E329-4EF7-AA34-7326CDB433B4}"/>
    <cellStyle name="Normal 4 6 2 3 2 3" xfId="5185" xr:uid="{00000000-0005-0000-0000-000030160000}"/>
    <cellStyle name="Normal 4 6 2 3 2 3 2" xfId="22083" xr:uid="{2F8825B1-5355-4804-B5F4-76D1A446E8D1}"/>
    <cellStyle name="Normal 4 6 2 3 2 3 3" xfId="13635" xr:uid="{400AA35B-02FD-4705-9CCA-5358EEEE8193}"/>
    <cellStyle name="Normal 4 6 2 3 2 4" xfId="17865" xr:uid="{42670A61-84D0-471D-B41C-C26BC6B7C024}"/>
    <cellStyle name="Normal 4 6 2 3 2 5" xfId="9417" xr:uid="{ECF82794-4235-4A4B-BA2B-687AF780EA91}"/>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24641" xr:uid="{0CC3C937-68FB-43F5-B573-B0633E5A9BA4}"/>
    <cellStyle name="Normal 4 6 2 3 3 2 2 3" xfId="16193" xr:uid="{19D7F536-1565-4807-8211-F5534E5B9CF9}"/>
    <cellStyle name="Normal 4 6 2 3 3 2 3" xfId="20423" xr:uid="{E68B9C39-98B0-4A68-AB3F-877E12E58DFB}"/>
    <cellStyle name="Normal 4 6 2 3 3 2 4" xfId="11975" xr:uid="{4B3E858D-F691-48FD-8C51-02A42F6F610B}"/>
    <cellStyle name="Normal 4 6 2 3 3 3" xfId="5598" xr:uid="{00000000-0005-0000-0000-000034160000}"/>
    <cellStyle name="Normal 4 6 2 3 3 3 2" xfId="22496" xr:uid="{D662B70A-2C77-4917-9DE2-5ADD5022159A}"/>
    <cellStyle name="Normal 4 6 2 3 3 3 3" xfId="14048" xr:uid="{DB928572-A0EA-4A20-B5F3-0C0284057F99}"/>
    <cellStyle name="Normal 4 6 2 3 3 4" xfId="18278" xr:uid="{944BDC6D-0D82-41C3-8E89-85BD4912CAAD}"/>
    <cellStyle name="Normal 4 6 2 3 3 5" xfId="9830" xr:uid="{543D1BC8-58D8-4CD9-94FB-C2B7A20F8ED2}"/>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25054" xr:uid="{AC9FE72E-AAD8-4A39-80B5-832C5BBF2C68}"/>
    <cellStyle name="Normal 4 6 2 3 4 2 2 3" xfId="16606" xr:uid="{C1FDFA94-0B36-4575-9C95-0B49B6150057}"/>
    <cellStyle name="Normal 4 6 2 3 4 2 3" xfId="20836" xr:uid="{796F637D-3F67-44A7-BC42-B7448405E89C}"/>
    <cellStyle name="Normal 4 6 2 3 4 2 4" xfId="12388" xr:uid="{C7BA3002-7364-47C2-AE06-127E77AE7B54}"/>
    <cellStyle name="Normal 4 6 2 3 4 3" xfId="6011" xr:uid="{00000000-0005-0000-0000-000038160000}"/>
    <cellStyle name="Normal 4 6 2 3 4 3 2" xfId="22909" xr:uid="{C33D3063-82C7-43F0-9FD5-49EB6A42B9C0}"/>
    <cellStyle name="Normal 4 6 2 3 4 3 3" xfId="14461" xr:uid="{B8767100-F44B-4958-933E-5D90E7AD63F4}"/>
    <cellStyle name="Normal 4 6 2 3 4 4" xfId="18691" xr:uid="{2E97888D-DD46-4D31-8F3A-0AF64372F66C}"/>
    <cellStyle name="Normal 4 6 2 3 4 5" xfId="10243" xr:uid="{A293B50C-1EFA-4B92-AE9F-2D95ABFC7354}"/>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25467" xr:uid="{899D7FC1-E69C-4A97-B809-E059B492A3CC}"/>
    <cellStyle name="Normal 4 6 2 3 5 2 2 3" xfId="17019" xr:uid="{3C431C2C-3C05-434E-BF3F-74DF3A2FC686}"/>
    <cellStyle name="Normal 4 6 2 3 5 2 3" xfId="21249" xr:uid="{093ED6C5-A31F-410C-AB6A-511F5EFD6BB7}"/>
    <cellStyle name="Normal 4 6 2 3 5 2 4" xfId="12801" xr:uid="{F0480B97-0CFF-478D-B9E4-7EE415BEF971}"/>
    <cellStyle name="Normal 4 6 2 3 5 3" xfId="6424" xr:uid="{00000000-0005-0000-0000-00003C160000}"/>
    <cellStyle name="Normal 4 6 2 3 5 3 2" xfId="23322" xr:uid="{8E491541-7E5D-4912-8B1A-89F05EAEBD8E}"/>
    <cellStyle name="Normal 4 6 2 3 5 3 3" xfId="14874" xr:uid="{DD0D0A20-A8C0-4C90-AB06-8613D4F932BB}"/>
    <cellStyle name="Normal 4 6 2 3 5 4" xfId="19104" xr:uid="{3A757323-62E3-44F2-A39D-CD22308B5AF0}"/>
    <cellStyle name="Normal 4 6 2 3 5 5" xfId="10656" xr:uid="{F5F3B0CB-7D01-4BA5-B195-05474915A3A6}"/>
    <cellStyle name="Normal 4 6 2 3 6" xfId="2554" xr:uid="{00000000-0005-0000-0000-00003D160000}"/>
    <cellStyle name="Normal 4 6 2 3 6 2" xfId="6837" xr:uid="{00000000-0005-0000-0000-00003E160000}"/>
    <cellStyle name="Normal 4 6 2 3 6 2 2" xfId="23735" xr:uid="{20FB07F2-5D7E-4144-BEA7-67D54536A6E2}"/>
    <cellStyle name="Normal 4 6 2 3 6 2 3" xfId="15287" xr:uid="{5E381037-FE4D-4D35-A080-FF9568CD26E1}"/>
    <cellStyle name="Normal 4 6 2 3 6 3" xfId="19517" xr:uid="{C435263B-5823-45FC-B86C-409FC5F467A9}"/>
    <cellStyle name="Normal 4 6 2 3 6 4" xfId="11069" xr:uid="{3D5D1901-A561-4CAC-8D8F-8C9DD893F905}"/>
    <cellStyle name="Normal 4 6 2 3 7" xfId="4772" xr:uid="{00000000-0005-0000-0000-00003F160000}"/>
    <cellStyle name="Normal 4 6 2 3 7 2" xfId="21670" xr:uid="{CCD96111-5E0C-478C-A50C-31ABC7C80203}"/>
    <cellStyle name="Normal 4 6 2 3 7 3" xfId="13222" xr:uid="{B90B20A5-9B7A-40BA-A53D-CB636A8F2F13}"/>
    <cellStyle name="Normal 4 6 2 3 8" xfId="17452" xr:uid="{E355BF7B-D751-4458-A97E-AAF7F879A190}"/>
    <cellStyle name="Normal 4 6 2 3 9" xfId="9004" xr:uid="{CB40B4F8-65DF-4B7B-92F5-E16EF2D7D327}"/>
    <cellStyle name="Normal 4 6 2 4" xfId="870" xr:uid="{00000000-0005-0000-0000-000040160000}"/>
    <cellStyle name="Normal 4 6 2 4 2" xfId="3105" xr:uid="{00000000-0005-0000-0000-000041160000}"/>
    <cellStyle name="Normal 4 6 2 4 2 2" xfId="7327" xr:uid="{00000000-0005-0000-0000-000042160000}"/>
    <cellStyle name="Normal 4 6 2 4 2 2 2" xfId="24225" xr:uid="{50833125-3C54-4446-8FC2-C6417F3902D1}"/>
    <cellStyle name="Normal 4 6 2 4 2 2 3" xfId="15777" xr:uid="{1E327510-319B-4EAE-BE35-C011D9282C96}"/>
    <cellStyle name="Normal 4 6 2 4 2 3" xfId="20007" xr:uid="{0DE76C7C-03E9-44B9-8D45-D6B6247DB000}"/>
    <cellStyle name="Normal 4 6 2 4 2 4" xfId="11559" xr:uid="{D517C471-E8D2-4F41-B0EE-C4E135AF395B}"/>
    <cellStyle name="Normal 4 6 2 4 3" xfId="5182" xr:uid="{00000000-0005-0000-0000-000043160000}"/>
    <cellStyle name="Normal 4 6 2 4 3 2" xfId="22080" xr:uid="{41627B25-C724-4D5F-976F-26E83035A0C6}"/>
    <cellStyle name="Normal 4 6 2 4 3 3" xfId="13632" xr:uid="{75C1DF1C-91CF-4C6C-A25F-FDF4D4B273AB}"/>
    <cellStyle name="Normal 4 6 2 4 4" xfId="17862" xr:uid="{C9BF2256-4C79-4F07-9857-2B5186876E18}"/>
    <cellStyle name="Normal 4 6 2 4 5" xfId="9414" xr:uid="{FA74593E-26CC-4D1F-92CB-9225681A5B0E}"/>
    <cellStyle name="Normal 4 6 2 5" xfId="1288" xr:uid="{00000000-0005-0000-0000-000044160000}"/>
    <cellStyle name="Normal 4 6 2 5 2" xfId="3518" xr:uid="{00000000-0005-0000-0000-000045160000}"/>
    <cellStyle name="Normal 4 6 2 5 2 2" xfId="7740" xr:uid="{00000000-0005-0000-0000-000046160000}"/>
    <cellStyle name="Normal 4 6 2 5 2 2 2" xfId="24638" xr:uid="{1B23356E-1DE2-4E61-A5EA-51DEEE05ED4D}"/>
    <cellStyle name="Normal 4 6 2 5 2 2 3" xfId="16190" xr:uid="{2FDA640A-0B82-4B06-8AC4-16F3E3DF3CB9}"/>
    <cellStyle name="Normal 4 6 2 5 2 3" xfId="20420" xr:uid="{A6897BCE-2FF2-4310-9EBF-CDE28FC870B4}"/>
    <cellStyle name="Normal 4 6 2 5 2 4" xfId="11972" xr:uid="{EB07A081-4FB9-42DF-A991-09B4FDDD4F95}"/>
    <cellStyle name="Normal 4 6 2 5 3" xfId="5595" xr:uid="{00000000-0005-0000-0000-000047160000}"/>
    <cellStyle name="Normal 4 6 2 5 3 2" xfId="22493" xr:uid="{79E31000-6FB3-4637-A39C-1062727062B5}"/>
    <cellStyle name="Normal 4 6 2 5 3 3" xfId="14045" xr:uid="{549FB928-6F9F-4483-9DA5-FCF9DB8738AE}"/>
    <cellStyle name="Normal 4 6 2 5 4" xfId="18275" xr:uid="{ECDAA4CA-F504-4AA6-B69A-94A162DA4C55}"/>
    <cellStyle name="Normal 4 6 2 5 5" xfId="9827" xr:uid="{C4FCE3C2-4C1C-4075-B71F-7777AD7ED744}"/>
    <cellStyle name="Normal 4 6 2 6" xfId="1701" xr:uid="{00000000-0005-0000-0000-000048160000}"/>
    <cellStyle name="Normal 4 6 2 6 2" xfId="3931" xr:uid="{00000000-0005-0000-0000-000049160000}"/>
    <cellStyle name="Normal 4 6 2 6 2 2" xfId="8153" xr:uid="{00000000-0005-0000-0000-00004A160000}"/>
    <cellStyle name="Normal 4 6 2 6 2 2 2" xfId="25051" xr:uid="{AD7FC8B9-8525-4507-8EA7-E1F1EE4D0232}"/>
    <cellStyle name="Normal 4 6 2 6 2 2 3" xfId="16603" xr:uid="{D43C6A81-62EA-4810-8016-5C24343668B5}"/>
    <cellStyle name="Normal 4 6 2 6 2 3" xfId="20833" xr:uid="{A18211E0-D654-4280-853B-0643F0C2EAA7}"/>
    <cellStyle name="Normal 4 6 2 6 2 4" xfId="12385" xr:uid="{D7C7F91A-8DE6-44F9-9BA5-D10AF137FFA0}"/>
    <cellStyle name="Normal 4 6 2 6 3" xfId="6008" xr:uid="{00000000-0005-0000-0000-00004B160000}"/>
    <cellStyle name="Normal 4 6 2 6 3 2" xfId="22906" xr:uid="{26C18C5A-918D-40B7-B92C-29EDC90E6883}"/>
    <cellStyle name="Normal 4 6 2 6 3 3" xfId="14458" xr:uid="{4D369E8F-DE4E-435D-973F-516742A68D37}"/>
    <cellStyle name="Normal 4 6 2 6 4" xfId="18688" xr:uid="{13AAD44F-FB8D-4B2A-B788-491A168332BE}"/>
    <cellStyle name="Normal 4 6 2 6 5" xfId="10240" xr:uid="{B07E835B-5582-44EB-B0C2-1ADF9228D13F}"/>
    <cellStyle name="Normal 4 6 2 7" xfId="2115" xr:uid="{00000000-0005-0000-0000-00004C160000}"/>
    <cellStyle name="Normal 4 6 2 7 2" xfId="4344" xr:uid="{00000000-0005-0000-0000-00004D160000}"/>
    <cellStyle name="Normal 4 6 2 7 2 2" xfId="8566" xr:uid="{00000000-0005-0000-0000-00004E160000}"/>
    <cellStyle name="Normal 4 6 2 7 2 2 2" xfId="25464" xr:uid="{80748B5F-B9C0-4E08-8F38-1AE5EC18F23C}"/>
    <cellStyle name="Normal 4 6 2 7 2 2 3" xfId="17016" xr:uid="{ACFC923A-1E83-4703-B85A-4AF8A0795A5D}"/>
    <cellStyle name="Normal 4 6 2 7 2 3" xfId="21246" xr:uid="{F5172D0B-F4AD-4BB1-B645-7B19CEEDF98A}"/>
    <cellStyle name="Normal 4 6 2 7 2 4" xfId="12798" xr:uid="{8219C3CB-62A4-4494-8821-597415E5FD72}"/>
    <cellStyle name="Normal 4 6 2 7 3" xfId="6421" xr:uid="{00000000-0005-0000-0000-00004F160000}"/>
    <cellStyle name="Normal 4 6 2 7 3 2" xfId="23319" xr:uid="{8473A527-72E9-4C47-BB5C-27A6E609221A}"/>
    <cellStyle name="Normal 4 6 2 7 3 3" xfId="14871" xr:uid="{77F11621-A260-43EE-9150-E9C802339B94}"/>
    <cellStyle name="Normal 4 6 2 7 4" xfId="19101" xr:uid="{D0385DC1-358D-403C-80A4-5ED0EF359C37}"/>
    <cellStyle name="Normal 4 6 2 7 5" xfId="10653" xr:uid="{C09588D5-B890-495D-82ED-F53980E0D9DF}"/>
    <cellStyle name="Normal 4 6 2 8" xfId="2551" xr:uid="{00000000-0005-0000-0000-000050160000}"/>
    <cellStyle name="Normal 4 6 2 8 2" xfId="6834" xr:uid="{00000000-0005-0000-0000-000051160000}"/>
    <cellStyle name="Normal 4 6 2 8 2 2" xfId="23732" xr:uid="{8D4364F8-3A10-430B-AAA0-C9ADCFFF9537}"/>
    <cellStyle name="Normal 4 6 2 8 2 3" xfId="15284" xr:uid="{7E34E70B-3504-4A3E-901C-D3AD535D0E6B}"/>
    <cellStyle name="Normal 4 6 2 8 3" xfId="19514" xr:uid="{7E0267BD-F02D-4115-A5C8-BFD00EAEB9BF}"/>
    <cellStyle name="Normal 4 6 2 8 4" xfId="11066" xr:uid="{BF951A4C-C805-4360-A561-12CC74773B57}"/>
    <cellStyle name="Normal 4 6 2 9" xfId="4769" xr:uid="{00000000-0005-0000-0000-000052160000}"/>
    <cellStyle name="Normal 4 6 2 9 2" xfId="21667" xr:uid="{B23F89DD-0949-483D-9453-6BA2C9C519EB}"/>
    <cellStyle name="Normal 4 6 2 9 3" xfId="13219" xr:uid="{AA576F6B-0FC0-41D4-ADC9-2E3D97E7D79E}"/>
    <cellStyle name="Normal 4 6 3" xfId="400" xr:uid="{00000000-0005-0000-0000-000053160000}"/>
    <cellStyle name="Normal 4 6 3 10" xfId="9005" xr:uid="{F2798598-1821-4ADD-BB57-F89051765FCE}"/>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24230" xr:uid="{972B61DB-264E-4703-9798-FEBE84C28AEC}"/>
    <cellStyle name="Normal 4 6 3 2 2 2 2 3" xfId="15782" xr:uid="{6E1E3BB2-A43D-4DF7-B0EF-5622C4504C2E}"/>
    <cellStyle name="Normal 4 6 3 2 2 2 3" xfId="20012" xr:uid="{F8785152-DBC4-454A-B458-244D65B8AC3A}"/>
    <cellStyle name="Normal 4 6 3 2 2 2 4" xfId="11564" xr:uid="{D9B98E9E-135E-413F-B733-823B935B16B4}"/>
    <cellStyle name="Normal 4 6 3 2 2 3" xfId="5187" xr:uid="{00000000-0005-0000-0000-000058160000}"/>
    <cellStyle name="Normal 4 6 3 2 2 3 2" xfId="22085" xr:uid="{B0F5EAC2-7B15-43CC-8998-CAE44EC1272A}"/>
    <cellStyle name="Normal 4 6 3 2 2 3 3" xfId="13637" xr:uid="{250C4D0C-B5FE-4630-88E3-F61DA505E585}"/>
    <cellStyle name="Normal 4 6 3 2 2 4" xfId="17867" xr:uid="{757EACF9-9485-4B81-AD34-D8B689035937}"/>
    <cellStyle name="Normal 4 6 3 2 2 5" xfId="9419" xr:uid="{ECDFAA64-7A57-4194-AEA9-2F80866BEDCE}"/>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24643" xr:uid="{97AC633F-1603-4069-9C04-B3C0F26EEAEC}"/>
    <cellStyle name="Normal 4 6 3 2 3 2 2 3" xfId="16195" xr:uid="{F5D98F4B-1A99-4B9F-8BCA-17056FB0DB22}"/>
    <cellStyle name="Normal 4 6 3 2 3 2 3" xfId="20425" xr:uid="{34DBB8C9-AD9D-4F43-8DF7-764F6AB83B23}"/>
    <cellStyle name="Normal 4 6 3 2 3 2 4" xfId="11977" xr:uid="{5D2A6CFF-0D0A-47E5-B06B-7DE9B3B06CD6}"/>
    <cellStyle name="Normal 4 6 3 2 3 3" xfId="5600" xr:uid="{00000000-0005-0000-0000-00005C160000}"/>
    <cellStyle name="Normal 4 6 3 2 3 3 2" xfId="22498" xr:uid="{BC453F30-F92F-4DE4-A955-DAEAA4F5635C}"/>
    <cellStyle name="Normal 4 6 3 2 3 3 3" xfId="14050" xr:uid="{0C7AF758-655B-4387-97FC-81919B2AA14B}"/>
    <cellStyle name="Normal 4 6 3 2 3 4" xfId="18280" xr:uid="{12D1D182-4668-43E2-9B28-29C677FB242D}"/>
    <cellStyle name="Normal 4 6 3 2 3 5" xfId="9832" xr:uid="{5501313B-60D2-4CA6-84F3-DD133F464363}"/>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25056" xr:uid="{DBB71D25-6153-4710-A160-8EDB1AABCDFD}"/>
    <cellStyle name="Normal 4 6 3 2 4 2 2 3" xfId="16608" xr:uid="{AEAC76A1-8BFF-489D-9C99-C82DB3020CEA}"/>
    <cellStyle name="Normal 4 6 3 2 4 2 3" xfId="20838" xr:uid="{B0E9F31C-6A12-450A-8E0A-EEE5C598C969}"/>
    <cellStyle name="Normal 4 6 3 2 4 2 4" xfId="12390" xr:uid="{60CB27F2-7795-4284-B955-93AB4FF712E6}"/>
    <cellStyle name="Normal 4 6 3 2 4 3" xfId="6013" xr:uid="{00000000-0005-0000-0000-000060160000}"/>
    <cellStyle name="Normal 4 6 3 2 4 3 2" xfId="22911" xr:uid="{F4F06E59-0B0F-492D-B3DB-2A5782D8EB7E}"/>
    <cellStyle name="Normal 4 6 3 2 4 3 3" xfId="14463" xr:uid="{706C74D6-F224-458B-9D9A-674BD9DC46FD}"/>
    <cellStyle name="Normal 4 6 3 2 4 4" xfId="18693" xr:uid="{33415DD5-CCD1-4547-AF49-2AE661CE0261}"/>
    <cellStyle name="Normal 4 6 3 2 4 5" xfId="10245" xr:uid="{3CB5A41C-54A2-42B5-9A7C-740352171C12}"/>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25469" xr:uid="{7D4D5A5A-5F60-4C1B-AA0F-13FD1AC84E7D}"/>
    <cellStyle name="Normal 4 6 3 2 5 2 2 3" xfId="17021" xr:uid="{656862C4-D98E-4694-9BCF-4133AD0F5A53}"/>
    <cellStyle name="Normal 4 6 3 2 5 2 3" xfId="21251" xr:uid="{E125C16A-A274-48E4-937F-0FBAF237B0A3}"/>
    <cellStyle name="Normal 4 6 3 2 5 2 4" xfId="12803" xr:uid="{2B4B28E5-3586-4C25-BC73-87E0BF3EE610}"/>
    <cellStyle name="Normal 4 6 3 2 5 3" xfId="6426" xr:uid="{00000000-0005-0000-0000-000064160000}"/>
    <cellStyle name="Normal 4 6 3 2 5 3 2" xfId="23324" xr:uid="{A84414B5-9943-488A-9B98-B13A84FB0EBB}"/>
    <cellStyle name="Normal 4 6 3 2 5 3 3" xfId="14876" xr:uid="{441958BE-5C92-43C2-9AF8-36DC1F1005C6}"/>
    <cellStyle name="Normal 4 6 3 2 5 4" xfId="19106" xr:uid="{F55C42BA-7703-4A04-A2A2-A679479AFF1B}"/>
    <cellStyle name="Normal 4 6 3 2 5 5" xfId="10658" xr:uid="{CE0C5FB4-426D-4777-93CB-D71FAB5EAD12}"/>
    <cellStyle name="Normal 4 6 3 2 6" xfId="2556" xr:uid="{00000000-0005-0000-0000-000065160000}"/>
    <cellStyle name="Normal 4 6 3 2 6 2" xfId="6839" xr:uid="{00000000-0005-0000-0000-000066160000}"/>
    <cellStyle name="Normal 4 6 3 2 6 2 2" xfId="23737" xr:uid="{386B75CB-B2DB-4885-86B9-3F60A44BF6FB}"/>
    <cellStyle name="Normal 4 6 3 2 6 2 3" xfId="15289" xr:uid="{ECC942FA-DB96-4238-8DCB-964F8EA5A691}"/>
    <cellStyle name="Normal 4 6 3 2 6 3" xfId="19519" xr:uid="{AB192A83-E2CB-40B9-9289-B1B1DD775DCE}"/>
    <cellStyle name="Normal 4 6 3 2 6 4" xfId="11071" xr:uid="{46D1BE79-39BC-48E5-B4E2-7BE3E57F9809}"/>
    <cellStyle name="Normal 4 6 3 2 7" xfId="4774" xr:uid="{00000000-0005-0000-0000-000067160000}"/>
    <cellStyle name="Normal 4 6 3 2 7 2" xfId="21672" xr:uid="{F1B8DCCB-439F-4C11-AE07-CB730191DD4C}"/>
    <cellStyle name="Normal 4 6 3 2 7 3" xfId="13224" xr:uid="{BDD2BB0A-38E3-448D-991B-2617926755B2}"/>
    <cellStyle name="Normal 4 6 3 2 8" xfId="17454" xr:uid="{63A499F7-D519-4176-8914-439BF93BE504}"/>
    <cellStyle name="Normal 4 6 3 2 9" xfId="9006" xr:uid="{DEEDCE5D-8FBF-455B-A63B-639854F1E73C}"/>
    <cellStyle name="Normal 4 6 3 3" xfId="874" xr:uid="{00000000-0005-0000-0000-000068160000}"/>
    <cellStyle name="Normal 4 6 3 3 2" xfId="3109" xr:uid="{00000000-0005-0000-0000-000069160000}"/>
    <cellStyle name="Normal 4 6 3 3 2 2" xfId="7331" xr:uid="{00000000-0005-0000-0000-00006A160000}"/>
    <cellStyle name="Normal 4 6 3 3 2 2 2" xfId="24229" xr:uid="{741E7B57-BD47-4CB3-934F-C2A7E0F4AF1D}"/>
    <cellStyle name="Normal 4 6 3 3 2 2 3" xfId="15781" xr:uid="{3D26ACBD-1DC5-4C03-B964-126E88B80836}"/>
    <cellStyle name="Normal 4 6 3 3 2 3" xfId="20011" xr:uid="{C66A0D17-7ED7-460A-BDBD-597343572B74}"/>
    <cellStyle name="Normal 4 6 3 3 2 4" xfId="11563" xr:uid="{F1DE69A9-3066-4D6A-8B08-0405BFC41FBE}"/>
    <cellStyle name="Normal 4 6 3 3 3" xfId="5186" xr:uid="{00000000-0005-0000-0000-00006B160000}"/>
    <cellStyle name="Normal 4 6 3 3 3 2" xfId="22084" xr:uid="{A7C7A010-6FFB-47D7-814B-17B49F309B28}"/>
    <cellStyle name="Normal 4 6 3 3 3 3" xfId="13636" xr:uid="{BB721D18-BB6E-4BC7-B1A1-55A4A69FFFEA}"/>
    <cellStyle name="Normal 4 6 3 3 4" xfId="17866" xr:uid="{C5B8D939-65C0-4A15-9DF0-01486823B2EA}"/>
    <cellStyle name="Normal 4 6 3 3 5" xfId="9418" xr:uid="{D6DEF766-EC08-43D4-BBE6-17B91295DBD9}"/>
    <cellStyle name="Normal 4 6 3 4" xfId="1292" xr:uid="{00000000-0005-0000-0000-00006C160000}"/>
    <cellStyle name="Normal 4 6 3 4 2" xfId="3522" xr:uid="{00000000-0005-0000-0000-00006D160000}"/>
    <cellStyle name="Normal 4 6 3 4 2 2" xfId="7744" xr:uid="{00000000-0005-0000-0000-00006E160000}"/>
    <cellStyle name="Normal 4 6 3 4 2 2 2" xfId="24642" xr:uid="{862CF59B-2322-4C91-8AF6-92A39A363EB2}"/>
    <cellStyle name="Normal 4 6 3 4 2 2 3" xfId="16194" xr:uid="{C2FC716F-C0C3-4AC6-BF3E-26EB75900017}"/>
    <cellStyle name="Normal 4 6 3 4 2 3" xfId="20424" xr:uid="{B692EE91-01FC-4906-A331-E51F2BDF79F7}"/>
    <cellStyle name="Normal 4 6 3 4 2 4" xfId="11976" xr:uid="{64290F21-5AA7-4765-B512-1FE39F68DE46}"/>
    <cellStyle name="Normal 4 6 3 4 3" xfId="5599" xr:uid="{00000000-0005-0000-0000-00006F160000}"/>
    <cellStyle name="Normal 4 6 3 4 3 2" xfId="22497" xr:uid="{0C415178-2F5C-478C-8679-C18789EAABC7}"/>
    <cellStyle name="Normal 4 6 3 4 3 3" xfId="14049" xr:uid="{D0F7C3A6-14EF-4383-AAEC-9E0625F2E692}"/>
    <cellStyle name="Normal 4 6 3 4 4" xfId="18279" xr:uid="{D1D3F5AD-E5FE-4E42-BBC2-58E0E81DF8CA}"/>
    <cellStyle name="Normal 4 6 3 4 5" xfId="9831" xr:uid="{7753D9E5-FB13-481B-B781-7EFBD8FA378E}"/>
    <cellStyle name="Normal 4 6 3 5" xfId="1705" xr:uid="{00000000-0005-0000-0000-000070160000}"/>
    <cellStyle name="Normal 4 6 3 5 2" xfId="3935" xr:uid="{00000000-0005-0000-0000-000071160000}"/>
    <cellStyle name="Normal 4 6 3 5 2 2" xfId="8157" xr:uid="{00000000-0005-0000-0000-000072160000}"/>
    <cellStyle name="Normal 4 6 3 5 2 2 2" xfId="25055" xr:uid="{97DCD4DC-2875-48EC-A342-1F581055FDC9}"/>
    <cellStyle name="Normal 4 6 3 5 2 2 3" xfId="16607" xr:uid="{C11ACF16-9CCE-401B-841A-E3404D866DF1}"/>
    <cellStyle name="Normal 4 6 3 5 2 3" xfId="20837" xr:uid="{8F27971C-153E-4ED7-A833-91F062FF4D6A}"/>
    <cellStyle name="Normal 4 6 3 5 2 4" xfId="12389" xr:uid="{3173C822-E696-4B6C-B0F3-22D9D74FAEBE}"/>
    <cellStyle name="Normal 4 6 3 5 3" xfId="6012" xr:uid="{00000000-0005-0000-0000-000073160000}"/>
    <cellStyle name="Normal 4 6 3 5 3 2" xfId="22910" xr:uid="{C152B7A4-3193-4865-B598-D5BC43619475}"/>
    <cellStyle name="Normal 4 6 3 5 3 3" xfId="14462" xr:uid="{A4401165-31D7-4479-8306-DDD06331FE09}"/>
    <cellStyle name="Normal 4 6 3 5 4" xfId="18692" xr:uid="{95D16CD8-382E-4300-9AC3-F805E86F0C03}"/>
    <cellStyle name="Normal 4 6 3 5 5" xfId="10244" xr:uid="{8FF86134-EE92-4F20-A02B-7CA28813B45A}"/>
    <cellStyle name="Normal 4 6 3 6" xfId="2119" xr:uid="{00000000-0005-0000-0000-000074160000}"/>
    <cellStyle name="Normal 4 6 3 6 2" xfId="4348" xr:uid="{00000000-0005-0000-0000-000075160000}"/>
    <cellStyle name="Normal 4 6 3 6 2 2" xfId="8570" xr:uid="{00000000-0005-0000-0000-000076160000}"/>
    <cellStyle name="Normal 4 6 3 6 2 2 2" xfId="25468" xr:uid="{BC6296FA-04B2-4291-BCBF-631D739EF553}"/>
    <cellStyle name="Normal 4 6 3 6 2 2 3" xfId="17020" xr:uid="{107BC9BA-010F-4E00-B164-C9681E182975}"/>
    <cellStyle name="Normal 4 6 3 6 2 3" xfId="21250" xr:uid="{273501E2-72FB-4548-BCC5-A2554C3322E8}"/>
    <cellStyle name="Normal 4 6 3 6 2 4" xfId="12802" xr:uid="{BCACFEAF-8B03-4318-A673-C1BA84DE80EE}"/>
    <cellStyle name="Normal 4 6 3 6 3" xfId="6425" xr:uid="{00000000-0005-0000-0000-000077160000}"/>
    <cellStyle name="Normal 4 6 3 6 3 2" xfId="23323" xr:uid="{55FBA1CE-A3B0-49CD-A20C-DD28640A46B0}"/>
    <cellStyle name="Normal 4 6 3 6 3 3" xfId="14875" xr:uid="{E0F42E06-5481-4EDE-BF89-D9FF1E559785}"/>
    <cellStyle name="Normal 4 6 3 6 4" xfId="19105" xr:uid="{E5EFAFE6-A1F1-4CEB-9E86-244A93AAD3FD}"/>
    <cellStyle name="Normal 4 6 3 6 5" xfId="10657" xr:uid="{8E719B6C-BA90-4E44-BA1F-68F6C3905009}"/>
    <cellStyle name="Normal 4 6 3 7" xfId="2555" xr:uid="{00000000-0005-0000-0000-000078160000}"/>
    <cellStyle name="Normal 4 6 3 7 2" xfId="6838" xr:uid="{00000000-0005-0000-0000-000079160000}"/>
    <cellStyle name="Normal 4 6 3 7 2 2" xfId="23736" xr:uid="{8FFA50E7-E840-43F6-A2DB-F147A363DB22}"/>
    <cellStyle name="Normal 4 6 3 7 2 3" xfId="15288" xr:uid="{CEAE527B-9468-4D51-BB16-AB153CE0F2A2}"/>
    <cellStyle name="Normal 4 6 3 7 3" xfId="19518" xr:uid="{821AB2C4-B39C-4FD4-9D50-E0515F05C65B}"/>
    <cellStyle name="Normal 4 6 3 7 4" xfId="11070" xr:uid="{B51E39C9-C0D7-4C03-992F-6F7D02E834A1}"/>
    <cellStyle name="Normal 4 6 3 8" xfId="4773" xr:uid="{00000000-0005-0000-0000-00007A160000}"/>
    <cellStyle name="Normal 4 6 3 8 2" xfId="21671" xr:uid="{008F1F66-FB70-48FA-9E62-AA19E50EF3C0}"/>
    <cellStyle name="Normal 4 6 3 8 3" xfId="13223" xr:uid="{04F631E0-F6A2-4997-A06F-969A4878BE0E}"/>
    <cellStyle name="Normal 4 6 3 9" xfId="17453" xr:uid="{4AB3DC18-D3A8-4462-848B-8D0386132444}"/>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2 2 2" xfId="24231" xr:uid="{01660A45-B418-4E6E-9A08-8CDE2F0A9965}"/>
    <cellStyle name="Normal 4 6 4 2 2 2 3" xfId="15783" xr:uid="{21C7E1F7-C45B-454A-B457-D6740ACBC4CC}"/>
    <cellStyle name="Normal 4 6 4 2 2 3" xfId="20013" xr:uid="{90F22408-8E01-4E7B-B5A6-64B34C5A53AD}"/>
    <cellStyle name="Normal 4 6 4 2 2 4" xfId="11565" xr:uid="{F7C043A5-65E6-4DDD-8B8F-CC9C413F2DE9}"/>
    <cellStyle name="Normal 4 6 4 2 3" xfId="5188" xr:uid="{00000000-0005-0000-0000-00007F160000}"/>
    <cellStyle name="Normal 4 6 4 2 3 2" xfId="22086" xr:uid="{46BFA160-DA3A-44FE-92E7-B84A1F1B0A9D}"/>
    <cellStyle name="Normal 4 6 4 2 3 3" xfId="13638" xr:uid="{7CA009D1-7C63-4376-952A-0D3C4ECD69F7}"/>
    <cellStyle name="Normal 4 6 4 2 4" xfId="17868" xr:uid="{D33C5F8F-EFAA-46E6-B4F3-DBE0BB783C33}"/>
    <cellStyle name="Normal 4 6 4 2 5" xfId="9420" xr:uid="{7F049AF0-CC2C-4FCB-AFC1-D16C585E07F7}"/>
    <cellStyle name="Normal 4 6 4 3" xfId="1294" xr:uid="{00000000-0005-0000-0000-000080160000}"/>
    <cellStyle name="Normal 4 6 4 3 2" xfId="3524" xr:uid="{00000000-0005-0000-0000-000081160000}"/>
    <cellStyle name="Normal 4 6 4 3 2 2" xfId="7746" xr:uid="{00000000-0005-0000-0000-000082160000}"/>
    <cellStyle name="Normal 4 6 4 3 2 2 2" xfId="24644" xr:uid="{9BD64194-6CE9-4076-A48B-960575C0F4D7}"/>
    <cellStyle name="Normal 4 6 4 3 2 2 3" xfId="16196" xr:uid="{EF3B9A34-9FB4-4C71-B9A5-175E7896B13D}"/>
    <cellStyle name="Normal 4 6 4 3 2 3" xfId="20426" xr:uid="{AF7FD0D4-AF86-46A9-B91D-4E55D05135DF}"/>
    <cellStyle name="Normal 4 6 4 3 2 4" xfId="11978" xr:uid="{86754DED-1F6F-4D97-A7B6-15D8D04D2157}"/>
    <cellStyle name="Normal 4 6 4 3 3" xfId="5601" xr:uid="{00000000-0005-0000-0000-000083160000}"/>
    <cellStyle name="Normal 4 6 4 3 3 2" xfId="22499" xr:uid="{4FD3A67D-C889-4E78-9B09-902DB1403BFF}"/>
    <cellStyle name="Normal 4 6 4 3 3 3" xfId="14051" xr:uid="{D8E8144A-5EC2-4568-94E0-A8212E117E7C}"/>
    <cellStyle name="Normal 4 6 4 3 4" xfId="18281" xr:uid="{53F0068A-0A43-461F-A1FC-BE56BC45501A}"/>
    <cellStyle name="Normal 4 6 4 3 5" xfId="9833" xr:uid="{7736CADF-A3B9-4B25-87DF-5DA857895C92}"/>
    <cellStyle name="Normal 4 6 4 4" xfId="1707" xr:uid="{00000000-0005-0000-0000-000084160000}"/>
    <cellStyle name="Normal 4 6 4 4 2" xfId="3937" xr:uid="{00000000-0005-0000-0000-000085160000}"/>
    <cellStyle name="Normal 4 6 4 4 2 2" xfId="8159" xr:uid="{00000000-0005-0000-0000-000086160000}"/>
    <cellStyle name="Normal 4 6 4 4 2 2 2" xfId="25057" xr:uid="{52059D81-4FF5-4EBB-83EA-7FD742EB02CD}"/>
    <cellStyle name="Normal 4 6 4 4 2 2 3" xfId="16609" xr:uid="{8D98E652-C217-4E46-8214-08862E4D7151}"/>
    <cellStyle name="Normal 4 6 4 4 2 3" xfId="20839" xr:uid="{495F9553-7CE1-4197-BD54-167CD2447F03}"/>
    <cellStyle name="Normal 4 6 4 4 2 4" xfId="12391" xr:uid="{81F89FCE-BDD5-46B6-BE5F-278D0CE168F7}"/>
    <cellStyle name="Normal 4 6 4 4 3" xfId="6014" xr:uid="{00000000-0005-0000-0000-000087160000}"/>
    <cellStyle name="Normal 4 6 4 4 3 2" xfId="22912" xr:uid="{68252442-BFEB-4CB6-8924-9F72B8207D1F}"/>
    <cellStyle name="Normal 4 6 4 4 3 3" xfId="14464" xr:uid="{E5CB2BA0-36A9-4384-8A32-9D44F01935D0}"/>
    <cellStyle name="Normal 4 6 4 4 4" xfId="18694" xr:uid="{68979C92-B11F-4470-B2A1-FA5A7F2FD571}"/>
    <cellStyle name="Normal 4 6 4 4 5" xfId="10246" xr:uid="{C1A58042-58A5-49B5-895C-9935CCA77D71}"/>
    <cellStyle name="Normal 4 6 4 5" xfId="2121" xr:uid="{00000000-0005-0000-0000-000088160000}"/>
    <cellStyle name="Normal 4 6 4 5 2" xfId="4350" xr:uid="{00000000-0005-0000-0000-000089160000}"/>
    <cellStyle name="Normal 4 6 4 5 2 2" xfId="8572" xr:uid="{00000000-0005-0000-0000-00008A160000}"/>
    <cellStyle name="Normal 4 6 4 5 2 2 2" xfId="25470" xr:uid="{4A7B3B71-6C58-4BDA-A0DD-F827D2BC9FAC}"/>
    <cellStyle name="Normal 4 6 4 5 2 2 3" xfId="17022" xr:uid="{89418F25-8DAB-420F-A151-A8B13395F4B0}"/>
    <cellStyle name="Normal 4 6 4 5 2 3" xfId="21252" xr:uid="{35932D61-820F-475F-A8C2-F9770F8159A7}"/>
    <cellStyle name="Normal 4 6 4 5 2 4" xfId="12804" xr:uid="{15BEE43D-2812-4BE5-B6D9-CC449D217281}"/>
    <cellStyle name="Normal 4 6 4 5 3" xfId="6427" xr:uid="{00000000-0005-0000-0000-00008B160000}"/>
    <cellStyle name="Normal 4 6 4 5 3 2" xfId="23325" xr:uid="{DE203AD2-603D-4A3D-8A3C-1235E7E6AB35}"/>
    <cellStyle name="Normal 4 6 4 5 3 3" xfId="14877" xr:uid="{D2CE0F77-E2A4-438F-A96A-B3117C4550B2}"/>
    <cellStyle name="Normal 4 6 4 5 4" xfId="19107" xr:uid="{633513A5-3060-4E6E-9449-4F9D95D9FC2D}"/>
    <cellStyle name="Normal 4 6 4 5 5" xfId="10659" xr:uid="{A2A92CE4-0266-478A-A313-0425F05D43D9}"/>
    <cellStyle name="Normal 4 6 4 6" xfId="2557" xr:uid="{00000000-0005-0000-0000-00008C160000}"/>
    <cellStyle name="Normal 4 6 4 6 2" xfId="6840" xr:uid="{00000000-0005-0000-0000-00008D160000}"/>
    <cellStyle name="Normal 4 6 4 6 2 2" xfId="23738" xr:uid="{6492A612-83CA-49EE-9804-5A6F0779E411}"/>
    <cellStyle name="Normal 4 6 4 6 2 3" xfId="15290" xr:uid="{A2E4BC9C-279D-4AFE-BE22-47F12CE3B35D}"/>
    <cellStyle name="Normal 4 6 4 6 3" xfId="19520" xr:uid="{5A082A93-3FF5-4DFC-B5B8-7C4B2B98F378}"/>
    <cellStyle name="Normal 4 6 4 6 4" xfId="11072" xr:uid="{F55EAB65-5862-4A53-B00F-8E614CC72B76}"/>
    <cellStyle name="Normal 4 6 4 7" xfId="4775" xr:uid="{00000000-0005-0000-0000-00008E160000}"/>
    <cellStyle name="Normal 4 6 4 7 2" xfId="21673" xr:uid="{5B878589-E63A-478C-88E0-187EDFBA32E7}"/>
    <cellStyle name="Normal 4 6 4 7 3" xfId="13225" xr:uid="{DC206DDA-987B-41F6-9C18-56275001769B}"/>
    <cellStyle name="Normal 4 6 4 8" xfId="17455" xr:uid="{70AEB0EE-7EEC-4CFB-AB29-E7BCAB8313DC}"/>
    <cellStyle name="Normal 4 6 4 9" xfId="9007" xr:uid="{3C7851C1-A134-4339-9F87-754D95709D1B}"/>
    <cellStyle name="Normal 4 6 5" xfId="869" xr:uid="{00000000-0005-0000-0000-00008F160000}"/>
    <cellStyle name="Normal 4 6 5 2" xfId="3104" xr:uid="{00000000-0005-0000-0000-000090160000}"/>
    <cellStyle name="Normal 4 6 5 2 2" xfId="7326" xr:uid="{00000000-0005-0000-0000-000091160000}"/>
    <cellStyle name="Normal 4 6 5 2 2 2" xfId="24224" xr:uid="{145625B7-4446-4719-B232-93C3649A074C}"/>
    <cellStyle name="Normal 4 6 5 2 2 3" xfId="15776" xr:uid="{DDC473C5-4FC7-4697-BE12-A7B0B867B302}"/>
    <cellStyle name="Normal 4 6 5 2 3" xfId="20006" xr:uid="{8740D611-3013-4A37-8BA6-DD20960D9DAB}"/>
    <cellStyle name="Normal 4 6 5 2 4" xfId="11558" xr:uid="{3567D67D-3E91-4BBB-8A40-FC8B00FD00E5}"/>
    <cellStyle name="Normal 4 6 5 3" xfId="5181" xr:uid="{00000000-0005-0000-0000-000092160000}"/>
    <cellStyle name="Normal 4 6 5 3 2" xfId="22079" xr:uid="{54D963B8-3E4D-4239-AE8E-2C966E496344}"/>
    <cellStyle name="Normal 4 6 5 3 3" xfId="13631" xr:uid="{C01B47F6-5AB6-40F2-AA62-A874D871480A}"/>
    <cellStyle name="Normal 4 6 5 4" xfId="17861" xr:uid="{12696CD4-CB4B-423B-9D18-714ED31A7E61}"/>
    <cellStyle name="Normal 4 6 5 5" xfId="9413" xr:uid="{AF906F8E-F81C-4E02-9771-4664B0CDC4B2}"/>
    <cellStyle name="Normal 4 6 6" xfId="1287" xr:uid="{00000000-0005-0000-0000-000093160000}"/>
    <cellStyle name="Normal 4 6 6 2" xfId="3517" xr:uid="{00000000-0005-0000-0000-000094160000}"/>
    <cellStyle name="Normal 4 6 6 2 2" xfId="7739" xr:uid="{00000000-0005-0000-0000-000095160000}"/>
    <cellStyle name="Normal 4 6 6 2 2 2" xfId="24637" xr:uid="{01B1EAC4-3A96-4AD6-BB5C-4DF8EE6E5FC5}"/>
    <cellStyle name="Normal 4 6 6 2 2 3" xfId="16189" xr:uid="{D55FAA54-B077-428B-8FF1-7E7A8B4C59C0}"/>
    <cellStyle name="Normal 4 6 6 2 3" xfId="20419" xr:uid="{12E48CDF-6CCA-4FFE-AEC8-BE77DA45A8BB}"/>
    <cellStyle name="Normal 4 6 6 2 4" xfId="11971" xr:uid="{886D94F9-669E-4BBD-BEB4-187637F582F8}"/>
    <cellStyle name="Normal 4 6 6 3" xfId="5594" xr:uid="{00000000-0005-0000-0000-000096160000}"/>
    <cellStyle name="Normal 4 6 6 3 2" xfId="22492" xr:uid="{554B78B3-5E2B-4A55-8B1E-21181C904918}"/>
    <cellStyle name="Normal 4 6 6 3 3" xfId="14044" xr:uid="{92C8B07A-B3EC-4748-A482-85EFA0E8B54E}"/>
    <cellStyle name="Normal 4 6 6 4" xfId="18274" xr:uid="{C7C1DB4F-F988-4E90-ADA8-2290626C15D2}"/>
    <cellStyle name="Normal 4 6 6 5" xfId="9826" xr:uid="{9B9F3CC3-5881-4A27-B55E-99A781CCBDC7}"/>
    <cellStyle name="Normal 4 6 7" xfId="1700" xr:uid="{00000000-0005-0000-0000-000097160000}"/>
    <cellStyle name="Normal 4 6 7 2" xfId="3930" xr:uid="{00000000-0005-0000-0000-000098160000}"/>
    <cellStyle name="Normal 4 6 7 2 2" xfId="8152" xr:uid="{00000000-0005-0000-0000-000099160000}"/>
    <cellStyle name="Normal 4 6 7 2 2 2" xfId="25050" xr:uid="{23B339EA-9ECD-47AE-A008-83337D889895}"/>
    <cellStyle name="Normal 4 6 7 2 2 3" xfId="16602" xr:uid="{DF2BA9AF-C298-4C63-9D96-28ABDF8FF86C}"/>
    <cellStyle name="Normal 4 6 7 2 3" xfId="20832" xr:uid="{9D6FED83-5534-4BF9-A67F-17F6E94D66F0}"/>
    <cellStyle name="Normal 4 6 7 2 4" xfId="12384" xr:uid="{C3B43804-E009-43E9-B5ED-BBC11A538757}"/>
    <cellStyle name="Normal 4 6 7 3" xfId="6007" xr:uid="{00000000-0005-0000-0000-00009A160000}"/>
    <cellStyle name="Normal 4 6 7 3 2" xfId="22905" xr:uid="{AE921CD8-4E6C-4323-B6B4-99574F02CAB4}"/>
    <cellStyle name="Normal 4 6 7 3 3" xfId="14457" xr:uid="{4207A139-A49A-4957-8B6A-D8B5456E508F}"/>
    <cellStyle name="Normal 4 6 7 4" xfId="18687" xr:uid="{40E1F5DE-0CFA-46B0-93CA-016B446D9DC6}"/>
    <cellStyle name="Normal 4 6 7 5" xfId="10239" xr:uid="{D39E233C-8F53-4D4E-BE9A-5B4ECD110761}"/>
    <cellStyle name="Normal 4 6 8" xfId="2114" xr:uid="{00000000-0005-0000-0000-00009B160000}"/>
    <cellStyle name="Normal 4 6 8 2" xfId="4343" xr:uid="{00000000-0005-0000-0000-00009C160000}"/>
    <cellStyle name="Normal 4 6 8 2 2" xfId="8565" xr:uid="{00000000-0005-0000-0000-00009D160000}"/>
    <cellStyle name="Normal 4 6 8 2 2 2" xfId="25463" xr:uid="{66BE56EC-7565-4774-80B7-2663A196DDB2}"/>
    <cellStyle name="Normal 4 6 8 2 2 3" xfId="17015" xr:uid="{7491B197-7E08-4A6A-A064-05F49FF57C09}"/>
    <cellStyle name="Normal 4 6 8 2 3" xfId="21245" xr:uid="{716CED4C-89EC-4C2B-91EF-BD758B02F41D}"/>
    <cellStyle name="Normal 4 6 8 2 4" xfId="12797" xr:uid="{68535B68-70EF-42D6-9FDC-C31F6CF340EF}"/>
    <cellStyle name="Normal 4 6 8 3" xfId="6420" xr:uid="{00000000-0005-0000-0000-00009E160000}"/>
    <cellStyle name="Normal 4 6 8 3 2" xfId="23318" xr:uid="{E206A1EC-8659-498F-A39A-4F99AACF9B25}"/>
    <cellStyle name="Normal 4 6 8 3 3" xfId="14870" xr:uid="{01800BAD-EFE7-42FB-B35D-52707BBD5C11}"/>
    <cellStyle name="Normal 4 6 8 4" xfId="19100" xr:uid="{EB4BE93B-BB32-4644-9913-C7C24EB18E1B}"/>
    <cellStyle name="Normal 4 6 8 5" xfId="10652" xr:uid="{25DE9C99-C921-403C-83ED-F103565ED24C}"/>
    <cellStyle name="Normal 4 6 9" xfId="2550" xr:uid="{00000000-0005-0000-0000-00009F160000}"/>
    <cellStyle name="Normal 4 6 9 2" xfId="6833" xr:uid="{00000000-0005-0000-0000-0000A0160000}"/>
    <cellStyle name="Normal 4 6 9 2 2" xfId="23731" xr:uid="{919A5B8F-3E8E-47FA-8A80-DB1B693C49C7}"/>
    <cellStyle name="Normal 4 6 9 2 3" xfId="15283" xr:uid="{413F74A0-02E9-4163-9D8B-F262F296EE43}"/>
    <cellStyle name="Normal 4 6 9 3" xfId="19513" xr:uid="{2AC2AB0B-9855-4089-947D-0433757ADD8F}"/>
    <cellStyle name="Normal 4 6 9 4" xfId="11065" xr:uid="{276F5F0F-26F2-49A9-AFCA-E0E2141FBE0C}"/>
    <cellStyle name="Normal 4 7" xfId="403" xr:uid="{00000000-0005-0000-0000-0000A1160000}"/>
    <cellStyle name="Normal 4 7 10" xfId="9008" xr:uid="{454746FA-EFA1-444F-9548-4D523A667888}"/>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2 2 2" xfId="24233" xr:uid="{4F5B4CCA-ADE5-464D-92E5-15AE7285A41F}"/>
    <cellStyle name="Normal 4 7 2 2 2 2 3" xfId="15785" xr:uid="{E187B77C-3812-41D4-9CD7-A0ABF99C944B}"/>
    <cellStyle name="Normal 4 7 2 2 2 3" xfId="20015" xr:uid="{9FE5EB49-C6A0-4CF3-BB53-3A357B72C43E}"/>
    <cellStyle name="Normal 4 7 2 2 2 4" xfId="11567" xr:uid="{3A129754-9BA6-492C-BDC5-691F2CF5DDC8}"/>
    <cellStyle name="Normal 4 7 2 2 3" xfId="5190" xr:uid="{00000000-0005-0000-0000-0000A6160000}"/>
    <cellStyle name="Normal 4 7 2 2 3 2" xfId="22088" xr:uid="{5943633C-51FD-43D1-8F45-334B96AC4719}"/>
    <cellStyle name="Normal 4 7 2 2 3 3" xfId="13640" xr:uid="{95D1C098-D403-4BF5-B219-D94132DFF61A}"/>
    <cellStyle name="Normal 4 7 2 2 4" xfId="17870" xr:uid="{F43F632E-AA5D-416B-9BCC-28B1754E999F}"/>
    <cellStyle name="Normal 4 7 2 2 5" xfId="9422" xr:uid="{1155B4C9-2F29-439B-9851-0614865EE982}"/>
    <cellStyle name="Normal 4 7 2 3" xfId="1296" xr:uid="{00000000-0005-0000-0000-0000A7160000}"/>
    <cellStyle name="Normal 4 7 2 3 2" xfId="3526" xr:uid="{00000000-0005-0000-0000-0000A8160000}"/>
    <cellStyle name="Normal 4 7 2 3 2 2" xfId="7748" xr:uid="{00000000-0005-0000-0000-0000A9160000}"/>
    <cellStyle name="Normal 4 7 2 3 2 2 2" xfId="24646" xr:uid="{B03BC08D-4452-4F10-877B-78DA1EC420CD}"/>
    <cellStyle name="Normal 4 7 2 3 2 2 3" xfId="16198" xr:uid="{39B64667-55E8-4D4E-90FC-2293EF2ED299}"/>
    <cellStyle name="Normal 4 7 2 3 2 3" xfId="20428" xr:uid="{E40823E0-BDD4-4C2E-ADF8-77680E8D9276}"/>
    <cellStyle name="Normal 4 7 2 3 2 4" xfId="11980" xr:uid="{6D2A6E5B-6930-4F6B-B746-FE6D56EFC4C7}"/>
    <cellStyle name="Normal 4 7 2 3 3" xfId="5603" xr:uid="{00000000-0005-0000-0000-0000AA160000}"/>
    <cellStyle name="Normal 4 7 2 3 3 2" xfId="22501" xr:uid="{CF090A81-F214-4348-A3DE-42875245140B}"/>
    <cellStyle name="Normal 4 7 2 3 3 3" xfId="14053" xr:uid="{CCA84A95-08B5-4DE6-95AC-53AAC326B989}"/>
    <cellStyle name="Normal 4 7 2 3 4" xfId="18283" xr:uid="{6288011A-0BA3-45B0-B099-ECAAB060F5F9}"/>
    <cellStyle name="Normal 4 7 2 3 5" xfId="9835" xr:uid="{AFA9EEF9-CE23-460F-82B0-00596175E51A}"/>
    <cellStyle name="Normal 4 7 2 4" xfId="1709" xr:uid="{00000000-0005-0000-0000-0000AB160000}"/>
    <cellStyle name="Normal 4 7 2 4 2" xfId="3939" xr:uid="{00000000-0005-0000-0000-0000AC160000}"/>
    <cellStyle name="Normal 4 7 2 4 2 2" xfId="8161" xr:uid="{00000000-0005-0000-0000-0000AD160000}"/>
    <cellStyle name="Normal 4 7 2 4 2 2 2" xfId="25059" xr:uid="{D129F15F-519C-46C3-AA04-97B29119E96F}"/>
    <cellStyle name="Normal 4 7 2 4 2 2 3" xfId="16611" xr:uid="{D70A8678-FFB1-4137-B589-9D8E91164551}"/>
    <cellStyle name="Normal 4 7 2 4 2 3" xfId="20841" xr:uid="{841CDB19-70B9-4007-B65C-18D4D83AE957}"/>
    <cellStyle name="Normal 4 7 2 4 2 4" xfId="12393" xr:uid="{85D1F69F-1359-4ABA-8D72-2A57488F8D12}"/>
    <cellStyle name="Normal 4 7 2 4 3" xfId="6016" xr:uid="{00000000-0005-0000-0000-0000AE160000}"/>
    <cellStyle name="Normal 4 7 2 4 3 2" xfId="22914" xr:uid="{6ECBE20B-2E2A-4962-8DCE-D63063A77BB9}"/>
    <cellStyle name="Normal 4 7 2 4 3 3" xfId="14466" xr:uid="{A8A5A853-0C46-4D54-8CBB-2F9EC1A2C2DF}"/>
    <cellStyle name="Normal 4 7 2 4 4" xfId="18696" xr:uid="{0DB46850-42B4-43AF-BF00-58F9520A2BAD}"/>
    <cellStyle name="Normal 4 7 2 4 5" xfId="10248" xr:uid="{85F9B9C4-E521-4502-9D92-05141BA888B8}"/>
    <cellStyle name="Normal 4 7 2 5" xfId="2123" xr:uid="{00000000-0005-0000-0000-0000AF160000}"/>
    <cellStyle name="Normal 4 7 2 5 2" xfId="4352" xr:uid="{00000000-0005-0000-0000-0000B0160000}"/>
    <cellStyle name="Normal 4 7 2 5 2 2" xfId="8574" xr:uid="{00000000-0005-0000-0000-0000B1160000}"/>
    <cellStyle name="Normal 4 7 2 5 2 2 2" xfId="25472" xr:uid="{7C36B550-F88B-4DA0-A48B-3D457467EA74}"/>
    <cellStyle name="Normal 4 7 2 5 2 2 3" xfId="17024" xr:uid="{1A33689C-81DA-4014-9619-536AF5BF3A66}"/>
    <cellStyle name="Normal 4 7 2 5 2 3" xfId="21254" xr:uid="{4FD88F6C-AF0E-4973-8218-93B64C96071E}"/>
    <cellStyle name="Normal 4 7 2 5 2 4" xfId="12806" xr:uid="{488F0F2A-8366-4B3E-96A5-DDDEB0BD2EFA}"/>
    <cellStyle name="Normal 4 7 2 5 3" xfId="6429" xr:uid="{00000000-0005-0000-0000-0000B2160000}"/>
    <cellStyle name="Normal 4 7 2 5 3 2" xfId="23327" xr:uid="{CE6CF38B-4D6C-40D8-AA5D-4F15E2182D8F}"/>
    <cellStyle name="Normal 4 7 2 5 3 3" xfId="14879" xr:uid="{07C9C09C-3AC2-4C57-95F4-3B628C589D09}"/>
    <cellStyle name="Normal 4 7 2 5 4" xfId="19109" xr:uid="{9C100AF9-A4F2-4144-94AE-471A904C50A0}"/>
    <cellStyle name="Normal 4 7 2 5 5" xfId="10661" xr:uid="{8025F65A-D14B-4E41-86FD-9246A9777E31}"/>
    <cellStyle name="Normal 4 7 2 6" xfId="2559" xr:uid="{00000000-0005-0000-0000-0000B3160000}"/>
    <cellStyle name="Normal 4 7 2 6 2" xfId="6842" xr:uid="{00000000-0005-0000-0000-0000B4160000}"/>
    <cellStyle name="Normal 4 7 2 6 2 2" xfId="23740" xr:uid="{A8DFFEAC-1E99-4CF8-A79B-DF908BC4EC28}"/>
    <cellStyle name="Normal 4 7 2 6 2 3" xfId="15292" xr:uid="{2B0B9733-CD1A-4C99-8863-5A06964FE7FA}"/>
    <cellStyle name="Normal 4 7 2 6 3" xfId="19522" xr:uid="{FF750652-7BBD-4C8C-8E2F-D6CB5AA70E5B}"/>
    <cellStyle name="Normal 4 7 2 6 4" xfId="11074" xr:uid="{173050CB-4CDB-4AD1-BF1D-7FF6EA215772}"/>
    <cellStyle name="Normal 4 7 2 7" xfId="4777" xr:uid="{00000000-0005-0000-0000-0000B5160000}"/>
    <cellStyle name="Normal 4 7 2 7 2" xfId="21675" xr:uid="{70BB688E-BAB2-401F-9239-F84CE4D3515F}"/>
    <cellStyle name="Normal 4 7 2 7 3" xfId="13227" xr:uid="{49747C23-64A7-43C6-856C-75AD16CFCF6A}"/>
    <cellStyle name="Normal 4 7 2 8" xfId="17457" xr:uid="{8E354230-10C4-4CFC-9BBA-D6AC65CE5899}"/>
    <cellStyle name="Normal 4 7 2 9" xfId="9009" xr:uid="{00B7FC60-B1A6-4A5E-A17E-052132224A62}"/>
    <cellStyle name="Normal 4 7 3" xfId="877" xr:uid="{00000000-0005-0000-0000-0000B6160000}"/>
    <cellStyle name="Normal 4 7 3 2" xfId="3112" xr:uid="{00000000-0005-0000-0000-0000B7160000}"/>
    <cellStyle name="Normal 4 7 3 2 2" xfId="7334" xr:uid="{00000000-0005-0000-0000-0000B8160000}"/>
    <cellStyle name="Normal 4 7 3 2 2 2" xfId="24232" xr:uid="{38F337C2-4650-4DD2-A0C1-EE4F7A4A463B}"/>
    <cellStyle name="Normal 4 7 3 2 2 3" xfId="15784" xr:uid="{B6CDBB7B-8C8C-499F-9758-297D2954A882}"/>
    <cellStyle name="Normal 4 7 3 2 3" xfId="20014" xr:uid="{7992851D-A235-4013-934B-8EA07C272C2C}"/>
    <cellStyle name="Normal 4 7 3 2 4" xfId="11566" xr:uid="{E569B32E-0DDC-4A98-9D3B-8D012AE876E3}"/>
    <cellStyle name="Normal 4 7 3 3" xfId="5189" xr:uid="{00000000-0005-0000-0000-0000B9160000}"/>
    <cellStyle name="Normal 4 7 3 3 2" xfId="22087" xr:uid="{7A6DA55C-BDD9-4480-A35A-A7FF4FD5B2F3}"/>
    <cellStyle name="Normal 4 7 3 3 3" xfId="13639" xr:uid="{E44B8B0D-D727-415A-9DA8-310306A510CB}"/>
    <cellStyle name="Normal 4 7 3 4" xfId="17869" xr:uid="{6CD652E2-A3D3-408A-A54D-82D637038D10}"/>
    <cellStyle name="Normal 4 7 3 5" xfId="9421" xr:uid="{466F16F1-FF3A-4610-93AF-6C5885E2C940}"/>
    <cellStyle name="Normal 4 7 4" xfId="1295" xr:uid="{00000000-0005-0000-0000-0000BA160000}"/>
    <cellStyle name="Normal 4 7 4 2" xfId="3525" xr:uid="{00000000-0005-0000-0000-0000BB160000}"/>
    <cellStyle name="Normal 4 7 4 2 2" xfId="7747" xr:uid="{00000000-0005-0000-0000-0000BC160000}"/>
    <cellStyle name="Normal 4 7 4 2 2 2" xfId="24645" xr:uid="{58279C2B-7912-4AFF-8A55-A6C666D4ACA5}"/>
    <cellStyle name="Normal 4 7 4 2 2 3" xfId="16197" xr:uid="{C0EAFB0E-CABF-43A5-88D9-0FD3D9D44381}"/>
    <cellStyle name="Normal 4 7 4 2 3" xfId="20427" xr:uid="{5DC9EE7B-9345-4B4C-B69A-A4423F9C68FD}"/>
    <cellStyle name="Normal 4 7 4 2 4" xfId="11979" xr:uid="{D10F925A-E941-4869-8D2B-A3078D2F1499}"/>
    <cellStyle name="Normal 4 7 4 3" xfId="5602" xr:uid="{00000000-0005-0000-0000-0000BD160000}"/>
    <cellStyle name="Normal 4 7 4 3 2" xfId="22500" xr:uid="{D88EB857-26B1-4025-91B2-ED0DFC144D6D}"/>
    <cellStyle name="Normal 4 7 4 3 3" xfId="14052" xr:uid="{FE976909-2134-4663-84AB-1212B2850631}"/>
    <cellStyle name="Normal 4 7 4 4" xfId="18282" xr:uid="{A07191D3-2ECF-4A6B-B14C-15BBEF1695D8}"/>
    <cellStyle name="Normal 4 7 4 5" xfId="9834" xr:uid="{B8F4937A-45B8-4B10-AE6A-A8E0EF3021F2}"/>
    <cellStyle name="Normal 4 7 5" xfId="1708" xr:uid="{00000000-0005-0000-0000-0000BE160000}"/>
    <cellStyle name="Normal 4 7 5 2" xfId="3938" xr:uid="{00000000-0005-0000-0000-0000BF160000}"/>
    <cellStyle name="Normal 4 7 5 2 2" xfId="8160" xr:uid="{00000000-0005-0000-0000-0000C0160000}"/>
    <cellStyle name="Normal 4 7 5 2 2 2" xfId="25058" xr:uid="{807DFF7B-FB1D-4BCF-850E-6AC89F66AB8D}"/>
    <cellStyle name="Normal 4 7 5 2 2 3" xfId="16610" xr:uid="{B77CE253-3F61-446A-9D17-99D39E858369}"/>
    <cellStyle name="Normal 4 7 5 2 3" xfId="20840" xr:uid="{AF6C2728-E768-4504-93A5-949337F7C25A}"/>
    <cellStyle name="Normal 4 7 5 2 4" xfId="12392" xr:uid="{2A37B0DC-E06B-46BA-BFEA-F62AE4E6F4A0}"/>
    <cellStyle name="Normal 4 7 5 3" xfId="6015" xr:uid="{00000000-0005-0000-0000-0000C1160000}"/>
    <cellStyle name="Normal 4 7 5 3 2" xfId="22913" xr:uid="{5DF1070A-0C76-438D-9CB3-26D91653DA91}"/>
    <cellStyle name="Normal 4 7 5 3 3" xfId="14465" xr:uid="{4222702B-D042-4DB7-A16D-EB8E56693910}"/>
    <cellStyle name="Normal 4 7 5 4" xfId="18695" xr:uid="{2FE76B4B-3E83-4F20-9504-B51492BC2176}"/>
    <cellStyle name="Normal 4 7 5 5" xfId="10247" xr:uid="{3C2628BF-5AEB-4A4F-BFE7-FC7C0A750898}"/>
    <cellStyle name="Normal 4 7 6" xfId="2122" xr:uid="{00000000-0005-0000-0000-0000C2160000}"/>
    <cellStyle name="Normal 4 7 6 2" xfId="4351" xr:uid="{00000000-0005-0000-0000-0000C3160000}"/>
    <cellStyle name="Normal 4 7 6 2 2" xfId="8573" xr:uid="{00000000-0005-0000-0000-0000C4160000}"/>
    <cellStyle name="Normal 4 7 6 2 2 2" xfId="25471" xr:uid="{30F8818E-A041-4214-8525-43CBE86E5E20}"/>
    <cellStyle name="Normal 4 7 6 2 2 3" xfId="17023" xr:uid="{8DD601EF-03CB-4ECE-8F47-892ACC0080BD}"/>
    <cellStyle name="Normal 4 7 6 2 3" xfId="21253" xr:uid="{AD8DBC8A-287E-46A0-BC60-F3C181BA315C}"/>
    <cellStyle name="Normal 4 7 6 2 4" xfId="12805" xr:uid="{B2ED8629-08FB-42BD-865A-C22078133595}"/>
    <cellStyle name="Normal 4 7 6 3" xfId="6428" xr:uid="{00000000-0005-0000-0000-0000C5160000}"/>
    <cellStyle name="Normal 4 7 6 3 2" xfId="23326" xr:uid="{9A476ED1-A2CC-4918-9016-188798004A1D}"/>
    <cellStyle name="Normal 4 7 6 3 3" xfId="14878" xr:uid="{F8ECE8BE-F731-49C3-AECC-08C5DC9C3BF9}"/>
    <cellStyle name="Normal 4 7 6 4" xfId="19108" xr:uid="{FD2F546F-7795-4A0B-B10B-332ACE46F1B1}"/>
    <cellStyle name="Normal 4 7 6 5" xfId="10660" xr:uid="{6437B2F6-DFC7-4A09-B601-11D46229684C}"/>
    <cellStyle name="Normal 4 7 7" xfId="2558" xr:uid="{00000000-0005-0000-0000-0000C6160000}"/>
    <cellStyle name="Normal 4 7 7 2" xfId="6841" xr:uid="{00000000-0005-0000-0000-0000C7160000}"/>
    <cellStyle name="Normal 4 7 7 2 2" xfId="23739" xr:uid="{866C076E-5773-4966-B180-259F731115D5}"/>
    <cellStyle name="Normal 4 7 7 2 3" xfId="15291" xr:uid="{6C3A7E51-3AF9-46F9-811A-923BFDD3C87F}"/>
    <cellStyle name="Normal 4 7 7 3" xfId="19521" xr:uid="{D5389C7E-89D1-4C5D-AFAC-FB0FE9B49F54}"/>
    <cellStyle name="Normal 4 7 7 4" xfId="11073" xr:uid="{06FE9961-344E-47AF-8897-96A7BCA778E0}"/>
    <cellStyle name="Normal 4 7 8" xfId="4776" xr:uid="{00000000-0005-0000-0000-0000C8160000}"/>
    <cellStyle name="Normal 4 7 8 2" xfId="21674" xr:uid="{29D8FB5C-BBE4-46B3-A8B9-EEBE5CC83E69}"/>
    <cellStyle name="Normal 4 7 8 3" xfId="13226" xr:uid="{3D3F7CA5-4CAE-4695-861D-57590169CDEA}"/>
    <cellStyle name="Normal 4 7 9" xfId="17456" xr:uid="{8A7E505C-79D5-4083-903B-83EF4B908EB2}"/>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2 2 2" xfId="24234" xr:uid="{FD698829-5B31-4C5E-8672-39744E977A79}"/>
    <cellStyle name="Normal 4 8 2 2 2 3" xfId="15786" xr:uid="{7D7F6AA5-CAB6-4352-9FC4-701508C78F99}"/>
    <cellStyle name="Normal 4 8 2 2 3" xfId="20016" xr:uid="{A77409DF-B990-4EB6-912C-07E773158D47}"/>
    <cellStyle name="Normal 4 8 2 2 4" xfId="11568" xr:uid="{C5EEEE80-AC95-4F1C-B5C0-7339E7DECB34}"/>
    <cellStyle name="Normal 4 8 2 3" xfId="5191" xr:uid="{00000000-0005-0000-0000-0000CD160000}"/>
    <cellStyle name="Normal 4 8 2 3 2" xfId="22089" xr:uid="{4BE2FA15-E8F7-4E06-BCB5-94B3511B0A69}"/>
    <cellStyle name="Normal 4 8 2 3 3" xfId="13641" xr:uid="{5113105C-E318-4B1B-94E5-B2F193FCBE5E}"/>
    <cellStyle name="Normal 4 8 2 4" xfId="17871" xr:uid="{2E4BE49C-D760-4211-A525-80683F3A6AA5}"/>
    <cellStyle name="Normal 4 8 2 5" xfId="9423" xr:uid="{CAEF3474-4394-40D5-9C8E-CBF6D8024D5B}"/>
    <cellStyle name="Normal 4 8 3" xfId="1297" xr:uid="{00000000-0005-0000-0000-0000CE160000}"/>
    <cellStyle name="Normal 4 8 3 2" xfId="3527" xr:uid="{00000000-0005-0000-0000-0000CF160000}"/>
    <cellStyle name="Normal 4 8 3 2 2" xfId="7749" xr:uid="{00000000-0005-0000-0000-0000D0160000}"/>
    <cellStyle name="Normal 4 8 3 2 2 2" xfId="24647" xr:uid="{F2E14801-C495-407A-A105-DC3D58528EB4}"/>
    <cellStyle name="Normal 4 8 3 2 2 3" xfId="16199" xr:uid="{282477E2-972A-474F-926D-E4B7E1A5FC50}"/>
    <cellStyle name="Normal 4 8 3 2 3" xfId="20429" xr:uid="{0EDABCE0-B8FB-4F9B-A6BC-846D96ADAD76}"/>
    <cellStyle name="Normal 4 8 3 2 4" xfId="11981" xr:uid="{867F9F8D-CC95-47FB-B459-E3C293006DD5}"/>
    <cellStyle name="Normal 4 8 3 3" xfId="5604" xr:uid="{00000000-0005-0000-0000-0000D1160000}"/>
    <cellStyle name="Normal 4 8 3 3 2" xfId="22502" xr:uid="{0C240281-FC1D-4CCE-91E7-2B4B9562C101}"/>
    <cellStyle name="Normal 4 8 3 3 3" xfId="14054" xr:uid="{4990AB46-2CE3-4B61-B8FA-E9C506C1B876}"/>
    <cellStyle name="Normal 4 8 3 4" xfId="18284" xr:uid="{87D31446-4E50-48AF-8055-BC0BE26A842D}"/>
    <cellStyle name="Normal 4 8 3 5" xfId="9836" xr:uid="{70FA4F42-57FB-4AD6-B52A-3D7CB880788E}"/>
    <cellStyle name="Normal 4 8 4" xfId="1710" xr:uid="{00000000-0005-0000-0000-0000D2160000}"/>
    <cellStyle name="Normal 4 8 4 2" xfId="3940" xr:uid="{00000000-0005-0000-0000-0000D3160000}"/>
    <cellStyle name="Normal 4 8 4 2 2" xfId="8162" xr:uid="{00000000-0005-0000-0000-0000D4160000}"/>
    <cellStyle name="Normal 4 8 4 2 2 2" xfId="25060" xr:uid="{2B2D94E0-4F62-494E-907F-D6C1BA6E86D0}"/>
    <cellStyle name="Normal 4 8 4 2 2 3" xfId="16612" xr:uid="{BC685E83-D811-474D-8A02-A69BA3BC829E}"/>
    <cellStyle name="Normal 4 8 4 2 3" xfId="20842" xr:uid="{4087D24A-D163-4960-AE9D-6175897578CF}"/>
    <cellStyle name="Normal 4 8 4 2 4" xfId="12394" xr:uid="{1C1FA1F9-54CA-4192-A377-2D716FD45C38}"/>
    <cellStyle name="Normal 4 8 4 3" xfId="6017" xr:uid="{00000000-0005-0000-0000-0000D5160000}"/>
    <cellStyle name="Normal 4 8 4 3 2" xfId="22915" xr:uid="{76251D15-6C36-44A7-9F6A-ADE1FBA24858}"/>
    <cellStyle name="Normal 4 8 4 3 3" xfId="14467" xr:uid="{B9526721-54ED-42B8-97F0-126C227A07DC}"/>
    <cellStyle name="Normal 4 8 4 4" xfId="18697" xr:uid="{E3B887AA-0AD3-4619-BD94-97755E8C6096}"/>
    <cellStyle name="Normal 4 8 4 5" xfId="10249" xr:uid="{6602B37F-BD95-49E0-81FC-D44BC6852932}"/>
    <cellStyle name="Normal 4 8 5" xfId="2124" xr:uid="{00000000-0005-0000-0000-0000D6160000}"/>
    <cellStyle name="Normal 4 8 5 2" xfId="4353" xr:uid="{00000000-0005-0000-0000-0000D7160000}"/>
    <cellStyle name="Normal 4 8 5 2 2" xfId="8575" xr:uid="{00000000-0005-0000-0000-0000D8160000}"/>
    <cellStyle name="Normal 4 8 5 2 2 2" xfId="25473" xr:uid="{98CF2781-5C29-44C9-BB56-ACA249C22037}"/>
    <cellStyle name="Normal 4 8 5 2 2 3" xfId="17025" xr:uid="{F57D9B17-1DFF-48D7-8D2B-EED2D981CC2C}"/>
    <cellStyle name="Normal 4 8 5 2 3" xfId="21255" xr:uid="{A9D1EACB-0357-4CA0-8309-ECA6E221E589}"/>
    <cellStyle name="Normal 4 8 5 2 4" xfId="12807" xr:uid="{3A6A7586-AA6B-4AE4-8F80-A13DF4718D24}"/>
    <cellStyle name="Normal 4 8 5 3" xfId="6430" xr:uid="{00000000-0005-0000-0000-0000D9160000}"/>
    <cellStyle name="Normal 4 8 5 3 2" xfId="23328" xr:uid="{13B0484A-0D22-4ED9-B6A7-684293A41A27}"/>
    <cellStyle name="Normal 4 8 5 3 3" xfId="14880" xr:uid="{B02F6C3C-63F3-474B-9AF6-CF8F9E375C0A}"/>
    <cellStyle name="Normal 4 8 5 4" xfId="19110" xr:uid="{1D101001-2528-49C1-9360-35CBE785AE80}"/>
    <cellStyle name="Normal 4 8 5 5" xfId="10662" xr:uid="{E3160859-F24F-45AA-A22C-2A0D14AC19CE}"/>
    <cellStyle name="Normal 4 8 6" xfId="2560" xr:uid="{00000000-0005-0000-0000-0000DA160000}"/>
    <cellStyle name="Normal 4 8 6 2" xfId="6843" xr:uid="{00000000-0005-0000-0000-0000DB160000}"/>
    <cellStyle name="Normal 4 8 6 2 2" xfId="23741" xr:uid="{EB8E741C-6ECA-4ACA-8A9A-D7839EBCFCB4}"/>
    <cellStyle name="Normal 4 8 6 2 3" xfId="15293" xr:uid="{5A85DEFE-3D5D-41C5-9080-DE848C9F0447}"/>
    <cellStyle name="Normal 4 8 6 3" xfId="19523" xr:uid="{232BF3A2-08F0-4F36-B962-E4B087398769}"/>
    <cellStyle name="Normal 4 8 6 4" xfId="11075" xr:uid="{FB7F07BD-38B6-46C0-89E5-AAEBD620C90B}"/>
    <cellStyle name="Normal 4 8 7" xfId="4778" xr:uid="{00000000-0005-0000-0000-0000DC160000}"/>
    <cellStyle name="Normal 4 8 7 2" xfId="21676" xr:uid="{2A18496B-DBAA-4F07-8109-0AF8BFFAD326}"/>
    <cellStyle name="Normal 4 8 7 3" xfId="13228" xr:uid="{FD0D50BB-DA2C-4398-8891-164428F5BB2B}"/>
    <cellStyle name="Normal 4 8 8" xfId="17458" xr:uid="{A3BCE565-B7A0-40DD-AB4A-106A167B5236}"/>
    <cellStyle name="Normal 4 8 9" xfId="9010" xr:uid="{1195FD6A-666D-4D0A-A43D-3BD45BFAAF67}"/>
    <cellStyle name="Normal 4 9" xfId="4715" xr:uid="{00000000-0005-0000-0000-0000DD160000}"/>
    <cellStyle name="Normal 4 9 2" xfId="21613" xr:uid="{778F033C-CB26-4072-9D05-36A1AF01BCFE}"/>
    <cellStyle name="Normal 4 9 3" xfId="13165" xr:uid="{0F5B7327-9DED-4B34-B72A-87FCC367A34C}"/>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25061" xr:uid="{3AF088E7-B41F-4D22-997C-30D992B3413C}"/>
    <cellStyle name="Normal 5 10 2 2 3" xfId="16613" xr:uid="{E2C3F3B8-C8C4-453E-95B2-B6FB48253DCC}"/>
    <cellStyle name="Normal 5 10 2 3" xfId="20843" xr:uid="{5532754A-3D68-47EB-B1A9-72E66189236A}"/>
    <cellStyle name="Normal 5 10 2 4" xfId="12395" xr:uid="{2F65A2ED-0D3E-4AE0-B59A-7E83DE24A023}"/>
    <cellStyle name="Normal 5 10 3" xfId="6018" xr:uid="{00000000-0005-0000-0000-0000E2160000}"/>
    <cellStyle name="Normal 5 10 3 2" xfId="22916" xr:uid="{5BEEF1D5-8EEB-4D72-84AB-01BFFF5ABE19}"/>
    <cellStyle name="Normal 5 10 3 3" xfId="14468" xr:uid="{472D85DF-E4B3-4752-9ECE-7FC023FC1A1F}"/>
    <cellStyle name="Normal 5 10 4" xfId="18698" xr:uid="{C63A7A19-E84D-4F28-B319-974CA4C7D1A9}"/>
    <cellStyle name="Normal 5 10 5" xfId="10250" xr:uid="{0562DA10-7C1E-4690-A4BB-82E63D50AE95}"/>
    <cellStyle name="Normal 5 11" xfId="2125" xr:uid="{00000000-0005-0000-0000-0000E3160000}"/>
    <cellStyle name="Normal 5 11 2" xfId="4354" xr:uid="{00000000-0005-0000-0000-0000E4160000}"/>
    <cellStyle name="Normal 5 11 2 2" xfId="8576" xr:uid="{00000000-0005-0000-0000-0000E5160000}"/>
    <cellStyle name="Normal 5 11 2 2 2" xfId="25474" xr:uid="{BB548DDD-2E3E-4A9B-9290-FD78019590EE}"/>
    <cellStyle name="Normal 5 11 2 2 3" xfId="17026" xr:uid="{88C5992B-77EA-4CEA-B780-303106B1FD91}"/>
    <cellStyle name="Normal 5 11 2 3" xfId="21256" xr:uid="{26063641-2214-4B94-B4FA-C8B59D8993D0}"/>
    <cellStyle name="Normal 5 11 2 4" xfId="12808" xr:uid="{FAF44D19-6472-486C-B655-232138D350A0}"/>
    <cellStyle name="Normal 5 11 3" xfId="6431" xr:uid="{00000000-0005-0000-0000-0000E6160000}"/>
    <cellStyle name="Normal 5 11 3 2" xfId="23329" xr:uid="{2170E313-29A1-4F19-92B3-7D15623634B2}"/>
    <cellStyle name="Normal 5 11 3 3" xfId="14881" xr:uid="{ACFCFB5E-E54F-44E8-9ECA-2D7DCFF9CFD9}"/>
    <cellStyle name="Normal 5 11 4" xfId="19111" xr:uid="{E6B3226D-5DCC-4B08-952F-7790C0F191EF}"/>
    <cellStyle name="Normal 5 11 5" xfId="10663" xr:uid="{C330214A-9967-4707-8053-F07BD7956BBB}"/>
    <cellStyle name="Normal 5 12" xfId="2561" xr:uid="{00000000-0005-0000-0000-0000E7160000}"/>
    <cellStyle name="Normal 5 12 2" xfId="6844" xr:uid="{00000000-0005-0000-0000-0000E8160000}"/>
    <cellStyle name="Normal 5 12 2 2" xfId="23742" xr:uid="{A612347B-81DC-4F7E-8C67-A77598AA6D1C}"/>
    <cellStyle name="Normal 5 12 2 3" xfId="15294" xr:uid="{5539B65C-5D57-4912-BE5D-A178C36F1BA0}"/>
    <cellStyle name="Normal 5 12 3" xfId="19524" xr:uid="{06A291A6-721C-4C84-832F-547C36450A68}"/>
    <cellStyle name="Normal 5 12 4" xfId="11076" xr:uid="{05D864F9-CD71-49A2-A8E5-DE8DEB5322B0}"/>
    <cellStyle name="Normal 5 13" xfId="4779" xr:uid="{00000000-0005-0000-0000-0000E9160000}"/>
    <cellStyle name="Normal 5 13 2" xfId="21677" xr:uid="{B5A29020-66D5-426A-B12E-8D449B0395CF}"/>
    <cellStyle name="Normal 5 13 3" xfId="13229" xr:uid="{60A2862C-D33A-4730-B250-6F540AB0AD53}"/>
    <cellStyle name="Normal 5 14" xfId="17459" xr:uid="{8FF0C36F-DA71-4F65-9368-6BE37B6FE5DF}"/>
    <cellStyle name="Normal 5 15" xfId="9011" xr:uid="{81404753-6188-49E7-816A-D32737EEDA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25475" xr:uid="{B05A8117-0F4B-46AC-8518-783574D2D297}"/>
    <cellStyle name="Normal 5 2 10 2 2 3" xfId="17027" xr:uid="{C42D1E90-B460-4BD1-8203-208A568795C0}"/>
    <cellStyle name="Normal 5 2 10 2 3" xfId="21257" xr:uid="{A079DA8E-A7F5-4182-AFE1-597E2D9A699C}"/>
    <cellStyle name="Normal 5 2 10 2 4" xfId="12809" xr:uid="{D8DF6ACF-880F-4033-9FB8-509A20F86E52}"/>
    <cellStyle name="Normal 5 2 10 3" xfId="6432" xr:uid="{00000000-0005-0000-0000-0000EE160000}"/>
    <cellStyle name="Normal 5 2 10 3 2" xfId="23330" xr:uid="{795DE92D-604C-4D03-870B-16E5504A0F3D}"/>
    <cellStyle name="Normal 5 2 10 3 3" xfId="14882" xr:uid="{1EAD3BDB-98D2-480E-BA9D-F14AFF48E65F}"/>
    <cellStyle name="Normal 5 2 10 4" xfId="19112" xr:uid="{EA36C3D2-8135-4878-917A-26D44B9040FA}"/>
    <cellStyle name="Normal 5 2 10 5" xfId="10664" xr:uid="{BFCE5381-496D-447B-8414-8292261F936B}"/>
    <cellStyle name="Normal 5 2 11" xfId="2562" xr:uid="{00000000-0005-0000-0000-0000EF160000}"/>
    <cellStyle name="Normal 5 2 11 2" xfId="6845" xr:uid="{00000000-0005-0000-0000-0000F0160000}"/>
    <cellStyle name="Normal 5 2 11 2 2" xfId="23743" xr:uid="{F6703DB1-2D4A-45E0-916A-1561CC705402}"/>
    <cellStyle name="Normal 5 2 11 2 3" xfId="15295" xr:uid="{0E5C6547-A632-47EC-839E-A9EE0C00042D}"/>
    <cellStyle name="Normal 5 2 11 3" xfId="19525" xr:uid="{67303409-5D53-4C8A-974E-F101CB3DF566}"/>
    <cellStyle name="Normal 5 2 11 4" xfId="11077" xr:uid="{46FEAFBE-EA92-4BD4-A6BA-6847F70E028D}"/>
    <cellStyle name="Normal 5 2 12" xfId="4780" xr:uid="{00000000-0005-0000-0000-0000F1160000}"/>
    <cellStyle name="Normal 5 2 12 2" xfId="21678" xr:uid="{17EF6FC5-4B58-4BAF-ACD5-7225FD4C8723}"/>
    <cellStyle name="Normal 5 2 12 3" xfId="13230" xr:uid="{3F3C6A0F-1F02-4FFF-89EA-940DACCBA4FA}"/>
    <cellStyle name="Normal 5 2 13" xfId="17460" xr:uid="{F619306C-C59D-487F-9DBB-CBE0351D4506}"/>
    <cellStyle name="Normal 5 2 14" xfId="9012" xr:uid="{373F6BF3-BB92-49B5-B7C8-4918022D0A6B}"/>
    <cellStyle name="Normal 5 2 2" xfId="408" xr:uid="{00000000-0005-0000-0000-0000F2160000}"/>
    <cellStyle name="Normal 5 2 2 10" xfId="2563" xr:uid="{00000000-0005-0000-0000-0000F3160000}"/>
    <cellStyle name="Normal 5 2 2 10 2" xfId="6846" xr:uid="{00000000-0005-0000-0000-0000F4160000}"/>
    <cellStyle name="Normal 5 2 2 10 2 2" xfId="23744" xr:uid="{DFD69501-E2DE-4424-BAF4-22FC81A698D8}"/>
    <cellStyle name="Normal 5 2 2 10 2 3" xfId="15296" xr:uid="{9A4BD4F3-6F6E-41B4-9271-B94E5CA8B4B6}"/>
    <cellStyle name="Normal 5 2 2 10 3" xfId="19526" xr:uid="{AA82B448-3072-4CD6-B615-52D2B5F4094B}"/>
    <cellStyle name="Normal 5 2 2 10 4" xfId="11078" xr:uid="{FB4FA6F6-4941-4714-9896-7193CD0F47DA}"/>
    <cellStyle name="Normal 5 2 2 11" xfId="4781" xr:uid="{00000000-0005-0000-0000-0000F5160000}"/>
    <cellStyle name="Normal 5 2 2 11 2" xfId="21679" xr:uid="{0A16ECFC-1B89-4507-82C6-C87BC506E928}"/>
    <cellStyle name="Normal 5 2 2 11 3" xfId="13231" xr:uid="{86BBE759-A275-4E24-8884-526F2DE4DE02}"/>
    <cellStyle name="Normal 5 2 2 12" xfId="17461" xr:uid="{E9C85D47-867D-48DF-95B8-6F31ECDB7E09}"/>
    <cellStyle name="Normal 5 2 2 13" xfId="9013" xr:uid="{D0486A8F-52BD-4979-8950-6AB990C5DEA1}"/>
    <cellStyle name="Normal 5 2 2 2" xfId="409" xr:uid="{00000000-0005-0000-0000-0000F6160000}"/>
    <cellStyle name="Normal 5 2 2 2 10" xfId="4782" xr:uid="{00000000-0005-0000-0000-0000F7160000}"/>
    <cellStyle name="Normal 5 2 2 2 10 2" xfId="21680" xr:uid="{50B4D2EF-78DF-4E67-9A42-4EEA7FB2E90F}"/>
    <cellStyle name="Normal 5 2 2 2 10 3" xfId="13232" xr:uid="{FE1B6E26-71E0-43EF-A116-A1264717F502}"/>
    <cellStyle name="Normal 5 2 2 2 11" xfId="17462" xr:uid="{45E3DCFE-B5AC-4477-89E2-A1B368A68C5A}"/>
    <cellStyle name="Normal 5 2 2 2 12" xfId="9014" xr:uid="{958A3A4B-DB90-48F5-867E-2C86260A8E98}"/>
    <cellStyle name="Normal 5 2 2 2 2" xfId="410" xr:uid="{00000000-0005-0000-0000-0000F8160000}"/>
    <cellStyle name="Normal 5 2 2 2 2 10" xfId="17463" xr:uid="{4E94FD42-5112-43B1-BD1E-643435E63F7E}"/>
    <cellStyle name="Normal 5 2 2 2 2 11" xfId="9015" xr:uid="{51927AD7-E8D0-401C-9C1B-0A2A7A8EEC20}"/>
    <cellStyle name="Normal 5 2 2 2 2 2" xfId="411" xr:uid="{00000000-0005-0000-0000-0000F9160000}"/>
    <cellStyle name="Normal 5 2 2 2 2 2 10" xfId="9016" xr:uid="{C1DD68A5-2659-4E37-AB46-81B15F2D361A}"/>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24241" xr:uid="{70E68A86-3DD1-42EB-835D-22495DA5AA10}"/>
    <cellStyle name="Normal 5 2 2 2 2 2 2 2 2 2 3" xfId="15793" xr:uid="{EF5FFD3D-664F-4E85-8A54-BF37BA849034}"/>
    <cellStyle name="Normal 5 2 2 2 2 2 2 2 2 3" xfId="20023" xr:uid="{A6A7A74C-D9CD-4FBF-9AE5-D31C7BA26F0E}"/>
    <cellStyle name="Normal 5 2 2 2 2 2 2 2 2 4" xfId="11575" xr:uid="{AA139BA9-34D7-40A7-88C9-2C4BDB43A979}"/>
    <cellStyle name="Normal 5 2 2 2 2 2 2 2 3" xfId="5198" xr:uid="{00000000-0005-0000-0000-0000FE160000}"/>
    <cellStyle name="Normal 5 2 2 2 2 2 2 2 3 2" xfId="22096" xr:uid="{A4AB1821-8C3F-4523-9EE8-4DAB2C418A29}"/>
    <cellStyle name="Normal 5 2 2 2 2 2 2 2 3 3" xfId="13648" xr:uid="{5826A5CF-2F78-4A02-9537-D83419CB5EF0}"/>
    <cellStyle name="Normal 5 2 2 2 2 2 2 2 4" xfId="17878" xr:uid="{01FE0F9A-131E-4202-91E0-2C393D6EE73D}"/>
    <cellStyle name="Normal 5 2 2 2 2 2 2 2 5" xfId="9430" xr:uid="{82BF6D24-E18F-47C3-9B98-5F63770435D8}"/>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24654" xr:uid="{75AE0D04-7954-4412-8F00-DC69A37C3715}"/>
    <cellStyle name="Normal 5 2 2 2 2 2 2 3 2 2 3" xfId="16206" xr:uid="{3BCFACBA-3923-4830-924D-DA0AFB7A278C}"/>
    <cellStyle name="Normal 5 2 2 2 2 2 2 3 2 3" xfId="20436" xr:uid="{C74A6631-4CA8-42B8-88C2-97AE060F9DEB}"/>
    <cellStyle name="Normal 5 2 2 2 2 2 2 3 2 4" xfId="11988" xr:uid="{EA7352D2-CCF8-49D6-ACC6-557D51C27265}"/>
    <cellStyle name="Normal 5 2 2 2 2 2 2 3 3" xfId="5611" xr:uid="{00000000-0005-0000-0000-000002170000}"/>
    <cellStyle name="Normal 5 2 2 2 2 2 2 3 3 2" xfId="22509" xr:uid="{6F792686-9E43-402B-AE2C-537C502A6717}"/>
    <cellStyle name="Normal 5 2 2 2 2 2 2 3 3 3" xfId="14061" xr:uid="{BC7F8447-300A-4A97-9757-A3E56E726CE1}"/>
    <cellStyle name="Normal 5 2 2 2 2 2 2 3 4" xfId="18291" xr:uid="{6CD812B7-FFD1-4950-A1EF-C0B03B20D5D2}"/>
    <cellStyle name="Normal 5 2 2 2 2 2 2 3 5" xfId="9843" xr:uid="{CA420026-8942-43BD-B66A-4AA6CEAC2032}"/>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25067" xr:uid="{C82A4B1C-9A83-46E7-9B4C-4660AB1380AC}"/>
    <cellStyle name="Normal 5 2 2 2 2 2 2 4 2 2 3" xfId="16619" xr:uid="{14E90033-9981-4F21-B06F-804E5B92293D}"/>
    <cellStyle name="Normal 5 2 2 2 2 2 2 4 2 3" xfId="20849" xr:uid="{B35849A9-6A44-4070-9B25-384B65948490}"/>
    <cellStyle name="Normal 5 2 2 2 2 2 2 4 2 4" xfId="12401" xr:uid="{21A92A33-873A-4239-9362-18A6C284F7F5}"/>
    <cellStyle name="Normal 5 2 2 2 2 2 2 4 3" xfId="6024" xr:uid="{00000000-0005-0000-0000-000006170000}"/>
    <cellStyle name="Normal 5 2 2 2 2 2 2 4 3 2" xfId="22922" xr:uid="{A721F2C7-1438-4C1C-B03E-E10BAD322579}"/>
    <cellStyle name="Normal 5 2 2 2 2 2 2 4 3 3" xfId="14474" xr:uid="{EEC24734-BED8-49CE-9D1B-54012561FBEE}"/>
    <cellStyle name="Normal 5 2 2 2 2 2 2 4 4" xfId="18704" xr:uid="{A1EDD3FC-2217-4A68-B1A6-3598A4C55E43}"/>
    <cellStyle name="Normal 5 2 2 2 2 2 2 4 5" xfId="10256" xr:uid="{630017AC-9FE6-4D2E-9E15-76734A94044C}"/>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25480" xr:uid="{F185D158-2D80-4BB2-AE3B-640F77C0BC4E}"/>
    <cellStyle name="Normal 5 2 2 2 2 2 2 5 2 2 3" xfId="17032" xr:uid="{FBC49A32-489F-4132-95CF-056238A01D1B}"/>
    <cellStyle name="Normal 5 2 2 2 2 2 2 5 2 3" xfId="21262" xr:uid="{14BC3722-A28A-4364-8A66-79D8469E5BE8}"/>
    <cellStyle name="Normal 5 2 2 2 2 2 2 5 2 4" xfId="12814" xr:uid="{EC8D7220-B6B6-447F-993C-8254DB64A9FB}"/>
    <cellStyle name="Normal 5 2 2 2 2 2 2 5 3" xfId="6437" xr:uid="{00000000-0005-0000-0000-00000A170000}"/>
    <cellStyle name="Normal 5 2 2 2 2 2 2 5 3 2" xfId="23335" xr:uid="{0DC81EE4-3EC5-4C15-B6A7-D4CB8CF72978}"/>
    <cellStyle name="Normal 5 2 2 2 2 2 2 5 3 3" xfId="14887" xr:uid="{D773C260-4407-42D7-83F6-52ED2BEF884A}"/>
    <cellStyle name="Normal 5 2 2 2 2 2 2 5 4" xfId="19117" xr:uid="{5D256C9A-EB66-471A-BAA7-14C379F373B8}"/>
    <cellStyle name="Normal 5 2 2 2 2 2 2 5 5" xfId="10669" xr:uid="{C04EDFAF-8AB2-4F85-9F97-CB94C33BDDA3}"/>
    <cellStyle name="Normal 5 2 2 2 2 2 2 6" xfId="2567" xr:uid="{00000000-0005-0000-0000-00000B170000}"/>
    <cellStyle name="Normal 5 2 2 2 2 2 2 6 2" xfId="6850" xr:uid="{00000000-0005-0000-0000-00000C170000}"/>
    <cellStyle name="Normal 5 2 2 2 2 2 2 6 2 2" xfId="23748" xr:uid="{ACA2D408-0B75-49FD-89D9-813AA59FE9AB}"/>
    <cellStyle name="Normal 5 2 2 2 2 2 2 6 2 3" xfId="15300" xr:uid="{7683DE17-3C80-4389-A733-F24167198C66}"/>
    <cellStyle name="Normal 5 2 2 2 2 2 2 6 3" xfId="19530" xr:uid="{CFC158F4-2D95-4EC0-B4A9-81A5F2EE3B55}"/>
    <cellStyle name="Normal 5 2 2 2 2 2 2 6 4" xfId="11082" xr:uid="{FC6341E5-7F97-4ED9-B650-0C4E90DAF87D}"/>
    <cellStyle name="Normal 5 2 2 2 2 2 2 7" xfId="4785" xr:uid="{00000000-0005-0000-0000-00000D170000}"/>
    <cellStyle name="Normal 5 2 2 2 2 2 2 7 2" xfId="21683" xr:uid="{EF7AD0F9-7FAB-4B67-95D6-A578D4F1CD1E}"/>
    <cellStyle name="Normal 5 2 2 2 2 2 2 7 3" xfId="13235" xr:uid="{8C132327-BBF4-4C39-BEA6-3F07D58959E8}"/>
    <cellStyle name="Normal 5 2 2 2 2 2 2 8" xfId="17465" xr:uid="{F643C71D-2722-43E6-98E1-6963FAF08023}"/>
    <cellStyle name="Normal 5 2 2 2 2 2 2 9" xfId="9017" xr:uid="{7554F21E-6AC6-4D27-9C99-76A5AEEFE2B1}"/>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24240" xr:uid="{BFE2AFA8-DB1C-4790-A111-34D4B17B4465}"/>
    <cellStyle name="Normal 5 2 2 2 2 2 3 2 2 3" xfId="15792" xr:uid="{3A3031FD-D44C-41F3-A4A4-FD6512D71BDF}"/>
    <cellStyle name="Normal 5 2 2 2 2 2 3 2 3" xfId="20022" xr:uid="{01D0847C-1212-43D0-A613-859ED71CE38A}"/>
    <cellStyle name="Normal 5 2 2 2 2 2 3 2 4" xfId="11574" xr:uid="{F6EF52F6-64E1-4078-88BD-3DF66F87D900}"/>
    <cellStyle name="Normal 5 2 2 2 2 2 3 3" xfId="5197" xr:uid="{00000000-0005-0000-0000-000011170000}"/>
    <cellStyle name="Normal 5 2 2 2 2 2 3 3 2" xfId="22095" xr:uid="{FA3053AB-53CE-49FF-97A3-D1B7F57A7A0F}"/>
    <cellStyle name="Normal 5 2 2 2 2 2 3 3 3" xfId="13647" xr:uid="{7AF8E6BB-679F-4DB5-B16D-5DF650327731}"/>
    <cellStyle name="Normal 5 2 2 2 2 2 3 4" xfId="17877" xr:uid="{419BD65A-C030-4054-9758-8B1276B34833}"/>
    <cellStyle name="Normal 5 2 2 2 2 2 3 5" xfId="9429" xr:uid="{4234BC1D-166E-4E4A-AA64-3EFF9590C7D1}"/>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24653" xr:uid="{3F6778B6-59A1-40F3-9321-2194DC859562}"/>
    <cellStyle name="Normal 5 2 2 2 2 2 4 2 2 3" xfId="16205" xr:uid="{1DF57B83-288E-4416-BB5B-4D884AC73AE8}"/>
    <cellStyle name="Normal 5 2 2 2 2 2 4 2 3" xfId="20435" xr:uid="{BF9BAACB-08C6-4C69-BE4C-212604D07D88}"/>
    <cellStyle name="Normal 5 2 2 2 2 2 4 2 4" xfId="11987" xr:uid="{9DDDA022-53C7-4D26-9A4E-31992397098D}"/>
    <cellStyle name="Normal 5 2 2 2 2 2 4 3" xfId="5610" xr:uid="{00000000-0005-0000-0000-000015170000}"/>
    <cellStyle name="Normal 5 2 2 2 2 2 4 3 2" xfId="22508" xr:uid="{7B5BC911-A5F5-4C95-A17E-2C1DC1EA5342}"/>
    <cellStyle name="Normal 5 2 2 2 2 2 4 3 3" xfId="14060" xr:uid="{AB2D0BD6-F28B-4FF2-9565-4D0F76DA508E}"/>
    <cellStyle name="Normal 5 2 2 2 2 2 4 4" xfId="18290" xr:uid="{7EAC1907-299E-4817-A5C6-ECCF56985BA8}"/>
    <cellStyle name="Normal 5 2 2 2 2 2 4 5" xfId="9842" xr:uid="{29AE5E91-E704-4010-A067-0DECB74F25C1}"/>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25066" xr:uid="{47F6BF22-BC50-4F68-AD96-ACD02BC7E6C8}"/>
    <cellStyle name="Normal 5 2 2 2 2 2 5 2 2 3" xfId="16618" xr:uid="{0987B988-BCAE-4622-8DB1-FEDCF0FCFAAC}"/>
    <cellStyle name="Normal 5 2 2 2 2 2 5 2 3" xfId="20848" xr:uid="{A1AFE23E-BFD6-4E85-891E-6F7E1E9028DF}"/>
    <cellStyle name="Normal 5 2 2 2 2 2 5 2 4" xfId="12400" xr:uid="{3B5880D8-BB62-41CB-A8BB-A2F2D017AA42}"/>
    <cellStyle name="Normal 5 2 2 2 2 2 5 3" xfId="6023" xr:uid="{00000000-0005-0000-0000-000019170000}"/>
    <cellStyle name="Normal 5 2 2 2 2 2 5 3 2" xfId="22921" xr:uid="{3F10327A-D014-4A54-8566-B47F7A3451CD}"/>
    <cellStyle name="Normal 5 2 2 2 2 2 5 3 3" xfId="14473" xr:uid="{597CB43C-A678-47A4-A665-2D08E7ECDB3D}"/>
    <cellStyle name="Normal 5 2 2 2 2 2 5 4" xfId="18703" xr:uid="{1C0E8EC4-5C1E-452D-9E6A-80061D3D377C}"/>
    <cellStyle name="Normal 5 2 2 2 2 2 5 5" xfId="10255" xr:uid="{C6D0B071-2829-4620-866B-81B25B772E75}"/>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25479" xr:uid="{0397E0ED-DAC8-4E28-9D70-611A243E26E1}"/>
    <cellStyle name="Normal 5 2 2 2 2 2 6 2 2 3" xfId="17031" xr:uid="{88BEDFD2-90FB-415A-B78F-58CF4D41D514}"/>
    <cellStyle name="Normal 5 2 2 2 2 2 6 2 3" xfId="21261" xr:uid="{B426F2A2-3C32-4ED9-B6F7-4637AB4B35F5}"/>
    <cellStyle name="Normal 5 2 2 2 2 2 6 2 4" xfId="12813" xr:uid="{915839D2-CF35-487B-901E-50F6F1771858}"/>
    <cellStyle name="Normal 5 2 2 2 2 2 6 3" xfId="6436" xr:uid="{00000000-0005-0000-0000-00001D170000}"/>
    <cellStyle name="Normal 5 2 2 2 2 2 6 3 2" xfId="23334" xr:uid="{F62C4646-E0F8-4472-9DA6-6AA50822A0DA}"/>
    <cellStyle name="Normal 5 2 2 2 2 2 6 3 3" xfId="14886" xr:uid="{A5F9D9F0-9195-4612-8BBB-651AD6D8F246}"/>
    <cellStyle name="Normal 5 2 2 2 2 2 6 4" xfId="19116" xr:uid="{31B95F8F-E8B8-4E8F-BD49-C88A22F63ADC}"/>
    <cellStyle name="Normal 5 2 2 2 2 2 6 5" xfId="10668" xr:uid="{956B68A9-42CB-4B1F-9959-114C98E0AE99}"/>
    <cellStyle name="Normal 5 2 2 2 2 2 7" xfId="2566" xr:uid="{00000000-0005-0000-0000-00001E170000}"/>
    <cellStyle name="Normal 5 2 2 2 2 2 7 2" xfId="6849" xr:uid="{00000000-0005-0000-0000-00001F170000}"/>
    <cellStyle name="Normal 5 2 2 2 2 2 7 2 2" xfId="23747" xr:uid="{6FC25729-3F8D-405A-82CE-8C381C0C1C6A}"/>
    <cellStyle name="Normal 5 2 2 2 2 2 7 2 3" xfId="15299" xr:uid="{20A81E41-D7FF-4E87-B670-3344E9E1292D}"/>
    <cellStyle name="Normal 5 2 2 2 2 2 7 3" xfId="19529" xr:uid="{EE0C3998-9FEB-457C-AE29-3D1A8A3B2AF8}"/>
    <cellStyle name="Normal 5 2 2 2 2 2 7 4" xfId="11081" xr:uid="{81EF97D6-0CC9-4B20-8846-69F51E379C62}"/>
    <cellStyle name="Normal 5 2 2 2 2 2 8" xfId="4784" xr:uid="{00000000-0005-0000-0000-000020170000}"/>
    <cellStyle name="Normal 5 2 2 2 2 2 8 2" xfId="21682" xr:uid="{DD65428C-A346-4E59-A02E-D227D5C10199}"/>
    <cellStyle name="Normal 5 2 2 2 2 2 8 3" xfId="13234" xr:uid="{2081C706-0B82-4B72-A5CC-952DB40FEC15}"/>
    <cellStyle name="Normal 5 2 2 2 2 2 9" xfId="17464" xr:uid="{63C04BC5-4867-4CA2-B53B-E012CE96BB6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24242" xr:uid="{03487A76-DE5A-43A9-9239-D623D9CF2802}"/>
    <cellStyle name="Normal 5 2 2 2 2 3 2 2 2 3" xfId="15794" xr:uid="{EA4ED018-224B-418A-80B3-C673AFE249B4}"/>
    <cellStyle name="Normal 5 2 2 2 2 3 2 2 3" xfId="20024" xr:uid="{E70E835B-D0A4-412E-9F94-1D103F8266A5}"/>
    <cellStyle name="Normal 5 2 2 2 2 3 2 2 4" xfId="11576" xr:uid="{63BD6B5A-958A-4097-A806-95609BC11FC8}"/>
    <cellStyle name="Normal 5 2 2 2 2 3 2 3" xfId="5199" xr:uid="{00000000-0005-0000-0000-000025170000}"/>
    <cellStyle name="Normal 5 2 2 2 2 3 2 3 2" xfId="22097" xr:uid="{574AC45D-0255-41CB-83CB-EC1E01416891}"/>
    <cellStyle name="Normal 5 2 2 2 2 3 2 3 3" xfId="13649" xr:uid="{709E79EB-98E1-4540-ABF2-6858D40A4402}"/>
    <cellStyle name="Normal 5 2 2 2 2 3 2 4" xfId="17879" xr:uid="{5353D242-5936-4E90-8094-9140CF0A01A6}"/>
    <cellStyle name="Normal 5 2 2 2 2 3 2 5" xfId="9431" xr:uid="{19657973-B6DA-4557-B6EC-95D4A072723A}"/>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24655" xr:uid="{B4AD9FB6-8C21-45D0-A205-684247B47B90}"/>
    <cellStyle name="Normal 5 2 2 2 2 3 3 2 2 3" xfId="16207" xr:uid="{FD73DB00-68D8-4CB2-AF87-C9E0B0CDEF57}"/>
    <cellStyle name="Normal 5 2 2 2 2 3 3 2 3" xfId="20437" xr:uid="{845A17AB-A426-40CA-BAD7-53C59DC738A7}"/>
    <cellStyle name="Normal 5 2 2 2 2 3 3 2 4" xfId="11989" xr:uid="{ECA94BF3-CB8C-45B9-80B5-0D852386223F}"/>
    <cellStyle name="Normal 5 2 2 2 2 3 3 3" xfId="5612" xr:uid="{00000000-0005-0000-0000-000029170000}"/>
    <cellStyle name="Normal 5 2 2 2 2 3 3 3 2" xfId="22510" xr:uid="{3B254EE8-B1E9-4A90-BF84-A1B51069A13C}"/>
    <cellStyle name="Normal 5 2 2 2 2 3 3 3 3" xfId="14062" xr:uid="{417CD33C-9CF7-4D34-AA95-5DE88F3C0094}"/>
    <cellStyle name="Normal 5 2 2 2 2 3 3 4" xfId="18292" xr:uid="{1864B26C-A641-45EE-8B5C-8A031AF2F530}"/>
    <cellStyle name="Normal 5 2 2 2 2 3 3 5" xfId="9844" xr:uid="{42EE3A23-6EAD-4480-85DC-20FED1311B76}"/>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25068" xr:uid="{9841C403-8B6D-4D0A-BAC6-B5535220806E}"/>
    <cellStyle name="Normal 5 2 2 2 2 3 4 2 2 3" xfId="16620" xr:uid="{DA87FEE2-0ADC-4B19-8D97-CB64E08BCE16}"/>
    <cellStyle name="Normal 5 2 2 2 2 3 4 2 3" xfId="20850" xr:uid="{79F37BE1-4B9F-441B-AF48-431EFF751947}"/>
    <cellStyle name="Normal 5 2 2 2 2 3 4 2 4" xfId="12402" xr:uid="{9C64633D-BF45-4AF3-9D09-2AACD388775D}"/>
    <cellStyle name="Normal 5 2 2 2 2 3 4 3" xfId="6025" xr:uid="{00000000-0005-0000-0000-00002D170000}"/>
    <cellStyle name="Normal 5 2 2 2 2 3 4 3 2" xfId="22923" xr:uid="{7374BFE6-8668-4318-B806-4649B5BAFABA}"/>
    <cellStyle name="Normal 5 2 2 2 2 3 4 3 3" xfId="14475" xr:uid="{C3373423-BC35-4489-89D3-4D1EF8B9448F}"/>
    <cellStyle name="Normal 5 2 2 2 2 3 4 4" xfId="18705" xr:uid="{BB6ADBB6-2101-41AB-9151-ABC133943497}"/>
    <cellStyle name="Normal 5 2 2 2 2 3 4 5" xfId="10257" xr:uid="{85498092-B720-48F3-8CCA-6E10F15AA663}"/>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25481" xr:uid="{51012EC5-B098-4AAD-B4E2-1E237BF082B4}"/>
    <cellStyle name="Normal 5 2 2 2 2 3 5 2 2 3" xfId="17033" xr:uid="{92253C0B-DD91-43A3-827D-0FB3DA39C3B7}"/>
    <cellStyle name="Normal 5 2 2 2 2 3 5 2 3" xfId="21263" xr:uid="{2AE2BBCC-227A-4DC4-9C7C-500B4E6DB369}"/>
    <cellStyle name="Normal 5 2 2 2 2 3 5 2 4" xfId="12815" xr:uid="{89D6408F-247E-4358-A2E9-7BDE0FA706FC}"/>
    <cellStyle name="Normal 5 2 2 2 2 3 5 3" xfId="6438" xr:uid="{00000000-0005-0000-0000-000031170000}"/>
    <cellStyle name="Normal 5 2 2 2 2 3 5 3 2" xfId="23336" xr:uid="{32842448-C568-467D-A4DC-394F84FE9B94}"/>
    <cellStyle name="Normal 5 2 2 2 2 3 5 3 3" xfId="14888" xr:uid="{58E798B4-AC06-4795-AB84-5EAAB38FAB2D}"/>
    <cellStyle name="Normal 5 2 2 2 2 3 5 4" xfId="19118" xr:uid="{343D0D12-2041-4CDF-AD8F-ACA6EB3ECAD2}"/>
    <cellStyle name="Normal 5 2 2 2 2 3 5 5" xfId="10670" xr:uid="{7D8D43A8-618A-4346-8D5D-6F4BC826F672}"/>
    <cellStyle name="Normal 5 2 2 2 2 3 6" xfId="2568" xr:uid="{00000000-0005-0000-0000-000032170000}"/>
    <cellStyle name="Normal 5 2 2 2 2 3 6 2" xfId="6851" xr:uid="{00000000-0005-0000-0000-000033170000}"/>
    <cellStyle name="Normal 5 2 2 2 2 3 6 2 2" xfId="23749" xr:uid="{499F4488-5699-497B-8468-3BB2389A7D72}"/>
    <cellStyle name="Normal 5 2 2 2 2 3 6 2 3" xfId="15301" xr:uid="{3EE4616A-551E-4F47-A9C1-1CF1633CEBFC}"/>
    <cellStyle name="Normal 5 2 2 2 2 3 6 3" xfId="19531" xr:uid="{AE771F15-F47A-46A1-AF8B-A31825E11B1B}"/>
    <cellStyle name="Normal 5 2 2 2 2 3 6 4" xfId="11083" xr:uid="{21D59FA4-E5B8-4EAD-8FC0-CAAD20E20752}"/>
    <cellStyle name="Normal 5 2 2 2 2 3 7" xfId="4786" xr:uid="{00000000-0005-0000-0000-000034170000}"/>
    <cellStyle name="Normal 5 2 2 2 2 3 7 2" xfId="21684" xr:uid="{0C9F8C2B-F06C-488C-8143-DB8C83636E42}"/>
    <cellStyle name="Normal 5 2 2 2 2 3 7 3" xfId="13236" xr:uid="{CCF1EE41-4D38-4C83-A76D-0ECF7616391E}"/>
    <cellStyle name="Normal 5 2 2 2 2 3 8" xfId="17466" xr:uid="{5E36748C-4932-49FE-A2E4-DA4B4AEE962C}"/>
    <cellStyle name="Normal 5 2 2 2 2 3 9" xfId="9018" xr:uid="{1D354526-B9F8-47A9-9665-4C8F9D6CD558}"/>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24239" xr:uid="{3D793D8D-303D-4DF6-8E89-46EBC9859CAE}"/>
    <cellStyle name="Normal 5 2 2 2 2 4 2 2 3" xfId="15791" xr:uid="{B70F58D5-3F1A-4A47-BAA6-B16616202F5C}"/>
    <cellStyle name="Normal 5 2 2 2 2 4 2 3" xfId="20021" xr:uid="{E84A257F-3922-4B96-BED9-5E2CE9654157}"/>
    <cellStyle name="Normal 5 2 2 2 2 4 2 4" xfId="11573" xr:uid="{620D05FE-5A6F-42AB-BEF9-C77FCC41CC97}"/>
    <cellStyle name="Normal 5 2 2 2 2 4 3" xfId="5196" xr:uid="{00000000-0005-0000-0000-000038170000}"/>
    <cellStyle name="Normal 5 2 2 2 2 4 3 2" xfId="22094" xr:uid="{2BE9CCF5-5B7E-4F8D-BE88-1651D085274D}"/>
    <cellStyle name="Normal 5 2 2 2 2 4 3 3" xfId="13646" xr:uid="{19E1BE1E-112B-49C2-A81F-D746AFE9448B}"/>
    <cellStyle name="Normal 5 2 2 2 2 4 4" xfId="17876" xr:uid="{B0DD8A57-264A-47EA-B72A-06DD7E806C60}"/>
    <cellStyle name="Normal 5 2 2 2 2 4 5" xfId="9428" xr:uid="{E0819659-346E-41B7-9CEE-0D2A61EAD48A}"/>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24652" xr:uid="{373CAFAE-6C49-49C8-9DBD-321156A30AB3}"/>
    <cellStyle name="Normal 5 2 2 2 2 5 2 2 3" xfId="16204" xr:uid="{215EFBE4-F34E-4966-925B-84D8C388EF97}"/>
    <cellStyle name="Normal 5 2 2 2 2 5 2 3" xfId="20434" xr:uid="{54C1F839-B9AB-42AC-BD1C-CD55F9C198E0}"/>
    <cellStyle name="Normal 5 2 2 2 2 5 2 4" xfId="11986" xr:uid="{B600883A-D839-4915-B082-B757049A31F4}"/>
    <cellStyle name="Normal 5 2 2 2 2 5 3" xfId="5609" xr:uid="{00000000-0005-0000-0000-00003C170000}"/>
    <cellStyle name="Normal 5 2 2 2 2 5 3 2" xfId="22507" xr:uid="{B7B129D1-B058-4EAF-BE8C-466F2BBBA2EC}"/>
    <cellStyle name="Normal 5 2 2 2 2 5 3 3" xfId="14059" xr:uid="{A5757EEC-AE87-404B-B98D-7E656EF1A5C1}"/>
    <cellStyle name="Normal 5 2 2 2 2 5 4" xfId="18289" xr:uid="{FA2DFDDD-CA07-4031-B854-F2DE637705C2}"/>
    <cellStyle name="Normal 5 2 2 2 2 5 5" xfId="9841" xr:uid="{D5AAC7E7-6040-4E74-B98D-E3ADF008047C}"/>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25065" xr:uid="{3CB4E5F2-7CCE-4D80-8163-202C6E627C6F}"/>
    <cellStyle name="Normal 5 2 2 2 2 6 2 2 3" xfId="16617" xr:uid="{74A7B4CB-17AD-4A81-82B4-A0CEDED1570D}"/>
    <cellStyle name="Normal 5 2 2 2 2 6 2 3" xfId="20847" xr:uid="{728C65DC-F710-4912-958E-C6E31CDFCB0E}"/>
    <cellStyle name="Normal 5 2 2 2 2 6 2 4" xfId="12399" xr:uid="{9AEB669C-B398-44EB-A919-2FF7FA1DA14D}"/>
    <cellStyle name="Normal 5 2 2 2 2 6 3" xfId="6022" xr:uid="{00000000-0005-0000-0000-000040170000}"/>
    <cellStyle name="Normal 5 2 2 2 2 6 3 2" xfId="22920" xr:uid="{7DF2FBD1-F6F9-4597-AAFE-E00FC11502D2}"/>
    <cellStyle name="Normal 5 2 2 2 2 6 3 3" xfId="14472" xr:uid="{86027F3A-5755-4C89-AC76-21EF74CA3EF0}"/>
    <cellStyle name="Normal 5 2 2 2 2 6 4" xfId="18702" xr:uid="{75ED0FB1-9FE9-4561-913D-D6C73AF9E67E}"/>
    <cellStyle name="Normal 5 2 2 2 2 6 5" xfId="10254" xr:uid="{130CC67A-F012-4EE4-8F22-809A56500CD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25478" xr:uid="{E11F9C10-23CE-450B-AF3F-F55168D7AF0D}"/>
    <cellStyle name="Normal 5 2 2 2 2 7 2 2 3" xfId="17030" xr:uid="{CDCF99F6-FE95-4C31-ADF8-B5F4D9DC0103}"/>
    <cellStyle name="Normal 5 2 2 2 2 7 2 3" xfId="21260" xr:uid="{8A6341BF-3239-4755-9245-F048CA08D769}"/>
    <cellStyle name="Normal 5 2 2 2 2 7 2 4" xfId="12812" xr:uid="{08FD8AD8-2553-4E19-8882-0CD23DCFABD8}"/>
    <cellStyle name="Normal 5 2 2 2 2 7 3" xfId="6435" xr:uid="{00000000-0005-0000-0000-000044170000}"/>
    <cellStyle name="Normal 5 2 2 2 2 7 3 2" xfId="23333" xr:uid="{10ACC037-EE1F-4BB3-A1A4-73108D5A7F34}"/>
    <cellStyle name="Normal 5 2 2 2 2 7 3 3" xfId="14885" xr:uid="{87897197-3486-4D5D-8614-AA3ABAE55702}"/>
    <cellStyle name="Normal 5 2 2 2 2 7 4" xfId="19115" xr:uid="{FE8EAA6F-E9D0-44F0-9AA8-43734B7A7462}"/>
    <cellStyle name="Normal 5 2 2 2 2 7 5" xfId="10667" xr:uid="{134BF168-C90D-457D-85DB-D7A96938A06D}"/>
    <cellStyle name="Normal 5 2 2 2 2 8" xfId="2565" xr:uid="{00000000-0005-0000-0000-000045170000}"/>
    <cellStyle name="Normal 5 2 2 2 2 8 2" xfId="6848" xr:uid="{00000000-0005-0000-0000-000046170000}"/>
    <cellStyle name="Normal 5 2 2 2 2 8 2 2" xfId="23746" xr:uid="{1D1A63E2-C82A-4BF2-8F5B-9F902E58BC9D}"/>
    <cellStyle name="Normal 5 2 2 2 2 8 2 3" xfId="15298" xr:uid="{88136F4E-1225-4B73-A5B1-E9792112BA9E}"/>
    <cellStyle name="Normal 5 2 2 2 2 8 3" xfId="19528" xr:uid="{C697A13D-65FE-4419-8994-58E89F8605B6}"/>
    <cellStyle name="Normal 5 2 2 2 2 8 4" xfId="11080" xr:uid="{E7589773-67FF-4223-98F1-AE4E29745E19}"/>
    <cellStyle name="Normal 5 2 2 2 2 9" xfId="4783" xr:uid="{00000000-0005-0000-0000-000047170000}"/>
    <cellStyle name="Normal 5 2 2 2 2 9 2" xfId="21681" xr:uid="{4DD56E75-C88B-4D92-96B6-E868AAB28C53}"/>
    <cellStyle name="Normal 5 2 2 2 2 9 3" xfId="13233" xr:uid="{0B01BECE-BAF8-47DE-A388-2EB97E6E3DF8}"/>
    <cellStyle name="Normal 5 2 2 2 3" xfId="414" xr:uid="{00000000-0005-0000-0000-000048170000}"/>
    <cellStyle name="Normal 5 2 2 2 3 10" xfId="9019" xr:uid="{A6F6FD8E-3631-498D-AEAE-C7203E34FC95}"/>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24244" xr:uid="{30B214EB-139B-4541-AFD7-2F853525E1E6}"/>
    <cellStyle name="Normal 5 2 2 2 3 2 2 2 2 3" xfId="15796" xr:uid="{2837DD66-B4F1-441E-A88C-E0F44F33D81F}"/>
    <cellStyle name="Normal 5 2 2 2 3 2 2 2 3" xfId="20026" xr:uid="{CA28B9E4-1CF0-4A45-8019-BE95C73B7D26}"/>
    <cellStyle name="Normal 5 2 2 2 3 2 2 2 4" xfId="11578" xr:uid="{719AC734-CB3D-441A-B58C-767C549AC161}"/>
    <cellStyle name="Normal 5 2 2 2 3 2 2 3" xfId="5201" xr:uid="{00000000-0005-0000-0000-00004D170000}"/>
    <cellStyle name="Normal 5 2 2 2 3 2 2 3 2" xfId="22099" xr:uid="{51933D63-267F-4ACD-AF3F-5D46F59DA440}"/>
    <cellStyle name="Normal 5 2 2 2 3 2 2 3 3" xfId="13651" xr:uid="{7576975C-FA8E-4DA2-8208-39AE60451D62}"/>
    <cellStyle name="Normal 5 2 2 2 3 2 2 4" xfId="17881" xr:uid="{63876EC4-4C10-4A73-A8E0-940B4EF84A12}"/>
    <cellStyle name="Normal 5 2 2 2 3 2 2 5" xfId="9433" xr:uid="{3F60F3F3-F18D-4E02-B502-B2895A164AE1}"/>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24657" xr:uid="{D577D5FA-17B6-4B3D-8B3F-E490914B8768}"/>
    <cellStyle name="Normal 5 2 2 2 3 2 3 2 2 3" xfId="16209" xr:uid="{11163B78-79F5-45B9-868E-F3A8AC3AA576}"/>
    <cellStyle name="Normal 5 2 2 2 3 2 3 2 3" xfId="20439" xr:uid="{EC479679-5557-49E5-A577-A183D92DC8F4}"/>
    <cellStyle name="Normal 5 2 2 2 3 2 3 2 4" xfId="11991" xr:uid="{48AA869C-2977-4D5E-B4A4-394026570EBD}"/>
    <cellStyle name="Normal 5 2 2 2 3 2 3 3" xfId="5614" xr:uid="{00000000-0005-0000-0000-000051170000}"/>
    <cellStyle name="Normal 5 2 2 2 3 2 3 3 2" xfId="22512" xr:uid="{200FC0A0-1236-4F3B-8741-941C48891254}"/>
    <cellStyle name="Normal 5 2 2 2 3 2 3 3 3" xfId="14064" xr:uid="{E555FF16-1574-4449-BE5D-8EFA4305AEE0}"/>
    <cellStyle name="Normal 5 2 2 2 3 2 3 4" xfId="18294" xr:uid="{FA7B16D0-8DA9-4013-A6C4-A522A3D5A966}"/>
    <cellStyle name="Normal 5 2 2 2 3 2 3 5" xfId="9846" xr:uid="{9B53189E-5075-4E73-8FDE-EB7A63106B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25070" xr:uid="{184C21E1-9969-4A40-93CC-5869B4BBFDC2}"/>
    <cellStyle name="Normal 5 2 2 2 3 2 4 2 2 3" xfId="16622" xr:uid="{F4D879F9-3F99-4D1E-B019-ED784CD9C9DC}"/>
    <cellStyle name="Normal 5 2 2 2 3 2 4 2 3" xfId="20852" xr:uid="{69C03197-1202-4277-A382-4A18485C9D88}"/>
    <cellStyle name="Normal 5 2 2 2 3 2 4 2 4" xfId="12404" xr:uid="{73ACEE3D-EBC8-49BB-8A6D-BEFE1940D653}"/>
    <cellStyle name="Normal 5 2 2 2 3 2 4 3" xfId="6027" xr:uid="{00000000-0005-0000-0000-000055170000}"/>
    <cellStyle name="Normal 5 2 2 2 3 2 4 3 2" xfId="22925" xr:uid="{EAC28A3C-009E-498F-BFC9-5FBEB62018B5}"/>
    <cellStyle name="Normal 5 2 2 2 3 2 4 3 3" xfId="14477" xr:uid="{5BB29504-D29C-49E2-A3EE-3F364C08CCD3}"/>
    <cellStyle name="Normal 5 2 2 2 3 2 4 4" xfId="18707" xr:uid="{8EC5D7C8-9A7D-4ACC-9799-AB9D23D56ADF}"/>
    <cellStyle name="Normal 5 2 2 2 3 2 4 5" xfId="10259" xr:uid="{A83F7D89-79CA-4AC6-9EEE-77739AF1B07E}"/>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25483" xr:uid="{CF27B709-25B2-4554-AC48-027B6D76EC77}"/>
    <cellStyle name="Normal 5 2 2 2 3 2 5 2 2 3" xfId="17035" xr:uid="{C4DF8D81-A2E1-4F3A-8D9C-8B503C5DA47E}"/>
    <cellStyle name="Normal 5 2 2 2 3 2 5 2 3" xfId="21265" xr:uid="{E883EE8F-7713-4116-927E-3E14AF514066}"/>
    <cellStyle name="Normal 5 2 2 2 3 2 5 2 4" xfId="12817" xr:uid="{FC5F562A-F2D3-47D5-AA24-9DCF1CC6967A}"/>
    <cellStyle name="Normal 5 2 2 2 3 2 5 3" xfId="6440" xr:uid="{00000000-0005-0000-0000-000059170000}"/>
    <cellStyle name="Normal 5 2 2 2 3 2 5 3 2" xfId="23338" xr:uid="{604A7D1F-9FF4-4A3F-8839-A3B8F46BA2B4}"/>
    <cellStyle name="Normal 5 2 2 2 3 2 5 3 3" xfId="14890" xr:uid="{62C8689B-309A-42A7-8190-B7D213F21487}"/>
    <cellStyle name="Normal 5 2 2 2 3 2 5 4" xfId="19120" xr:uid="{7B172687-4A7A-44C8-A3F0-B75DAC436D69}"/>
    <cellStyle name="Normal 5 2 2 2 3 2 5 5" xfId="10672" xr:uid="{6706EB09-FBA4-4E6E-8F7B-0AABED51ED02}"/>
    <cellStyle name="Normal 5 2 2 2 3 2 6" xfId="2570" xr:uid="{00000000-0005-0000-0000-00005A170000}"/>
    <cellStyle name="Normal 5 2 2 2 3 2 6 2" xfId="6853" xr:uid="{00000000-0005-0000-0000-00005B170000}"/>
    <cellStyle name="Normal 5 2 2 2 3 2 6 2 2" xfId="23751" xr:uid="{8E6DF917-5E3B-4785-A066-D78AB224D86F}"/>
    <cellStyle name="Normal 5 2 2 2 3 2 6 2 3" xfId="15303" xr:uid="{D03A61A5-6F1D-40BE-B419-56EAAF5ECDF2}"/>
    <cellStyle name="Normal 5 2 2 2 3 2 6 3" xfId="19533" xr:uid="{86EF2FE2-5F74-4A78-B7A4-0B7AB1FCDA0C}"/>
    <cellStyle name="Normal 5 2 2 2 3 2 6 4" xfId="11085" xr:uid="{B4348C9C-C938-4B6A-BA6A-31577859A2D9}"/>
    <cellStyle name="Normal 5 2 2 2 3 2 7" xfId="4788" xr:uid="{00000000-0005-0000-0000-00005C170000}"/>
    <cellStyle name="Normal 5 2 2 2 3 2 7 2" xfId="21686" xr:uid="{76A7C9EC-BC6D-4E46-A086-E9A5DFBE68E5}"/>
    <cellStyle name="Normal 5 2 2 2 3 2 7 3" xfId="13238" xr:uid="{BC907AA4-9B96-42EC-9FBF-37D789968D37}"/>
    <cellStyle name="Normal 5 2 2 2 3 2 8" xfId="17468" xr:uid="{C5BFF901-93D3-4B3C-A01B-111E2D3C2130}"/>
    <cellStyle name="Normal 5 2 2 2 3 2 9" xfId="9020" xr:uid="{46871E6E-BB74-419E-A4B7-99F3E641B26D}"/>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24243" xr:uid="{FB5A1925-8E6C-4B38-8CD7-22D5493B9DD0}"/>
    <cellStyle name="Normal 5 2 2 2 3 3 2 2 3" xfId="15795" xr:uid="{7976F777-4067-413E-9043-BB52CB94B2E4}"/>
    <cellStyle name="Normal 5 2 2 2 3 3 2 3" xfId="20025" xr:uid="{96910A33-DDD3-4A88-A025-E66CC7286665}"/>
    <cellStyle name="Normal 5 2 2 2 3 3 2 4" xfId="11577" xr:uid="{40392DC3-2D71-4003-A162-C59A8067B5ED}"/>
    <cellStyle name="Normal 5 2 2 2 3 3 3" xfId="5200" xr:uid="{00000000-0005-0000-0000-000060170000}"/>
    <cellStyle name="Normal 5 2 2 2 3 3 3 2" xfId="22098" xr:uid="{67C1DC6A-DF36-42B6-81EC-47D977507D70}"/>
    <cellStyle name="Normal 5 2 2 2 3 3 3 3" xfId="13650" xr:uid="{F69E84A8-3CD3-44AB-95E4-CAA3DF536368}"/>
    <cellStyle name="Normal 5 2 2 2 3 3 4" xfId="17880" xr:uid="{E5F2DC4D-E48D-4726-8F9D-F2FCD054210D}"/>
    <cellStyle name="Normal 5 2 2 2 3 3 5" xfId="9432" xr:uid="{CD289F50-0C3F-4BA3-9E46-4276880A2743}"/>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24656" xr:uid="{37E359A4-0828-474C-850F-C40DCA0DD1E5}"/>
    <cellStyle name="Normal 5 2 2 2 3 4 2 2 3" xfId="16208" xr:uid="{AAAE8838-B5E5-416A-97DB-18234B8D4983}"/>
    <cellStyle name="Normal 5 2 2 2 3 4 2 3" xfId="20438" xr:uid="{CFE986E0-D6BE-4A22-BFAA-DE21B3DE6E3E}"/>
    <cellStyle name="Normal 5 2 2 2 3 4 2 4" xfId="11990" xr:uid="{24BA2186-842D-4EB4-99BE-9073E02E161A}"/>
    <cellStyle name="Normal 5 2 2 2 3 4 3" xfId="5613" xr:uid="{00000000-0005-0000-0000-000064170000}"/>
    <cellStyle name="Normal 5 2 2 2 3 4 3 2" xfId="22511" xr:uid="{53422853-B75C-44C8-9EE5-8B4FEF02B7E5}"/>
    <cellStyle name="Normal 5 2 2 2 3 4 3 3" xfId="14063" xr:uid="{C51320C7-5153-4F1B-A870-7CC760E3ACA4}"/>
    <cellStyle name="Normal 5 2 2 2 3 4 4" xfId="18293" xr:uid="{D229119A-B9EA-4BE8-8787-8312ABBC711C}"/>
    <cellStyle name="Normal 5 2 2 2 3 4 5" xfId="9845" xr:uid="{BFC39717-2850-4FAA-9FAF-3B5E0FA1D4E3}"/>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25069" xr:uid="{39A37768-F83B-4642-AD8F-00A1250F5EFD}"/>
    <cellStyle name="Normal 5 2 2 2 3 5 2 2 3" xfId="16621" xr:uid="{B4F15D33-15C1-424A-A429-C2ACEEDB1C96}"/>
    <cellStyle name="Normal 5 2 2 2 3 5 2 3" xfId="20851" xr:uid="{11903700-4B52-407E-B3D6-D9AB2E6468E2}"/>
    <cellStyle name="Normal 5 2 2 2 3 5 2 4" xfId="12403" xr:uid="{486006AA-863B-47C1-9E5A-36B5750A295A}"/>
    <cellStyle name="Normal 5 2 2 2 3 5 3" xfId="6026" xr:uid="{00000000-0005-0000-0000-000068170000}"/>
    <cellStyle name="Normal 5 2 2 2 3 5 3 2" xfId="22924" xr:uid="{60D3C47D-0C92-4964-A6DE-626CC1CF58F7}"/>
    <cellStyle name="Normal 5 2 2 2 3 5 3 3" xfId="14476" xr:uid="{B598BD5B-CA35-43B3-A813-1C1EB659E5FB}"/>
    <cellStyle name="Normal 5 2 2 2 3 5 4" xfId="18706" xr:uid="{410688CF-569B-4AC3-AD5A-FA6BFCD267ED}"/>
    <cellStyle name="Normal 5 2 2 2 3 5 5" xfId="10258" xr:uid="{D0B48894-34E7-43F3-9447-07ED3982BD42}"/>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25482" xr:uid="{636C74F6-EA50-49C5-B18D-86E1AA043AA3}"/>
    <cellStyle name="Normal 5 2 2 2 3 6 2 2 3" xfId="17034" xr:uid="{E856D660-CD09-4DBA-BB36-3C6BEDFF0F85}"/>
    <cellStyle name="Normal 5 2 2 2 3 6 2 3" xfId="21264" xr:uid="{4AFB10BC-0D61-4BB7-B7B5-90ACEEBAECF0}"/>
    <cellStyle name="Normal 5 2 2 2 3 6 2 4" xfId="12816" xr:uid="{ED47680D-F74F-427B-A2D9-4B3F56A9FCDE}"/>
    <cellStyle name="Normal 5 2 2 2 3 6 3" xfId="6439" xr:uid="{00000000-0005-0000-0000-00006C170000}"/>
    <cellStyle name="Normal 5 2 2 2 3 6 3 2" xfId="23337" xr:uid="{99B30134-A34E-4048-8C62-DCD3219DF05D}"/>
    <cellStyle name="Normal 5 2 2 2 3 6 3 3" xfId="14889" xr:uid="{A5F46FD4-BD0C-4039-80CE-C2809936E050}"/>
    <cellStyle name="Normal 5 2 2 2 3 6 4" xfId="19119" xr:uid="{7C14285C-D06E-4F19-93B6-39D824D05FC1}"/>
    <cellStyle name="Normal 5 2 2 2 3 6 5" xfId="10671" xr:uid="{29C63BEF-31FF-4A6C-83B6-444862E62F73}"/>
    <cellStyle name="Normal 5 2 2 2 3 7" xfId="2569" xr:uid="{00000000-0005-0000-0000-00006D170000}"/>
    <cellStyle name="Normal 5 2 2 2 3 7 2" xfId="6852" xr:uid="{00000000-0005-0000-0000-00006E170000}"/>
    <cellStyle name="Normal 5 2 2 2 3 7 2 2" xfId="23750" xr:uid="{36DC3271-8DFF-44AD-8C9F-D808FB8C704E}"/>
    <cellStyle name="Normal 5 2 2 2 3 7 2 3" xfId="15302" xr:uid="{875CA7A5-FFC7-48BE-BDED-19B0E7D6B1FE}"/>
    <cellStyle name="Normal 5 2 2 2 3 7 3" xfId="19532" xr:uid="{EA1C5024-360D-423F-93EE-BA275C5A8FF6}"/>
    <cellStyle name="Normal 5 2 2 2 3 7 4" xfId="11084" xr:uid="{A15D85A0-427D-4951-A4F6-750251C715B7}"/>
    <cellStyle name="Normal 5 2 2 2 3 8" xfId="4787" xr:uid="{00000000-0005-0000-0000-00006F170000}"/>
    <cellStyle name="Normal 5 2 2 2 3 8 2" xfId="21685" xr:uid="{89C1DF94-C3BF-48C3-8298-80B41699CBA2}"/>
    <cellStyle name="Normal 5 2 2 2 3 8 3" xfId="13237" xr:uid="{1679ACAD-8A2A-4A8E-8BD0-EAB89D0DFF77}"/>
    <cellStyle name="Normal 5 2 2 2 3 9" xfId="17467" xr:uid="{DDE38BAF-94FC-41F4-9B20-6F71CDD7CA29}"/>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24245" xr:uid="{5B0205A9-7B04-460A-AA95-F160F92AEE70}"/>
    <cellStyle name="Normal 5 2 2 2 4 2 2 2 3" xfId="15797" xr:uid="{BE4C5727-8ECD-4BA1-8299-CC3C7846DC45}"/>
    <cellStyle name="Normal 5 2 2 2 4 2 2 3" xfId="20027" xr:uid="{4C01C4B6-7349-4966-9970-274051944182}"/>
    <cellStyle name="Normal 5 2 2 2 4 2 2 4" xfId="11579" xr:uid="{4097EE6B-7306-4785-8537-28EA1EE89A50}"/>
    <cellStyle name="Normal 5 2 2 2 4 2 3" xfId="5202" xr:uid="{00000000-0005-0000-0000-000074170000}"/>
    <cellStyle name="Normal 5 2 2 2 4 2 3 2" xfId="22100" xr:uid="{31602ADD-C030-4999-B3C2-0527CB7E6094}"/>
    <cellStyle name="Normal 5 2 2 2 4 2 3 3" xfId="13652" xr:uid="{4235016D-715D-4E63-85F6-57389CD48859}"/>
    <cellStyle name="Normal 5 2 2 2 4 2 4" xfId="17882" xr:uid="{F27213D3-8390-435A-A250-4DADBDD0EDA3}"/>
    <cellStyle name="Normal 5 2 2 2 4 2 5" xfId="9434" xr:uid="{1F885410-0DC7-4F49-9A5C-4E7EF1CB343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24658" xr:uid="{69215FAA-DDA3-4735-BFAB-A43C544138E2}"/>
    <cellStyle name="Normal 5 2 2 2 4 3 2 2 3" xfId="16210" xr:uid="{C6C61507-01C6-4998-9ACA-BA4D7095047C}"/>
    <cellStyle name="Normal 5 2 2 2 4 3 2 3" xfId="20440" xr:uid="{CA1EC343-D77D-4A53-850C-0150821A792C}"/>
    <cellStyle name="Normal 5 2 2 2 4 3 2 4" xfId="11992" xr:uid="{A41A4EA7-6914-4D1E-A6DC-F21843B52884}"/>
    <cellStyle name="Normal 5 2 2 2 4 3 3" xfId="5615" xr:uid="{00000000-0005-0000-0000-000078170000}"/>
    <cellStyle name="Normal 5 2 2 2 4 3 3 2" xfId="22513" xr:uid="{F15F72D6-34F7-4CA5-9A50-9D23C202B6C9}"/>
    <cellStyle name="Normal 5 2 2 2 4 3 3 3" xfId="14065" xr:uid="{DA7FC133-17D3-4DD3-A01D-6EDB99B43118}"/>
    <cellStyle name="Normal 5 2 2 2 4 3 4" xfId="18295" xr:uid="{2AD0A9D0-E058-4112-A164-51D4CF93D688}"/>
    <cellStyle name="Normal 5 2 2 2 4 3 5" xfId="9847" xr:uid="{77746794-11EC-4A88-B19A-D9000878B2FE}"/>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25071" xr:uid="{0AF06973-F0EA-4586-AC29-5CBFE0586807}"/>
    <cellStyle name="Normal 5 2 2 2 4 4 2 2 3" xfId="16623" xr:uid="{7E781F7E-80C4-4F07-B5ED-9A500348D449}"/>
    <cellStyle name="Normal 5 2 2 2 4 4 2 3" xfId="20853" xr:uid="{EFE76504-61F5-4576-A92B-0B0905F5938F}"/>
    <cellStyle name="Normal 5 2 2 2 4 4 2 4" xfId="12405" xr:uid="{4099FF53-D94A-4433-8057-C794DAF067FF}"/>
    <cellStyle name="Normal 5 2 2 2 4 4 3" xfId="6028" xr:uid="{00000000-0005-0000-0000-00007C170000}"/>
    <cellStyle name="Normal 5 2 2 2 4 4 3 2" xfId="22926" xr:uid="{2683F989-7BA1-413C-B365-229F20E14E1B}"/>
    <cellStyle name="Normal 5 2 2 2 4 4 3 3" xfId="14478" xr:uid="{803C3094-A2A6-40AB-A2A3-5769FC544AEE}"/>
    <cellStyle name="Normal 5 2 2 2 4 4 4" xfId="18708" xr:uid="{601CE591-63F4-4541-BDAB-D36AA5AAA4D1}"/>
    <cellStyle name="Normal 5 2 2 2 4 4 5" xfId="10260" xr:uid="{D92637E2-9326-40A4-8A85-EFE26DAEC0C5}"/>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25484" xr:uid="{B5A6C818-1D37-45F9-93BF-58220A175C78}"/>
    <cellStyle name="Normal 5 2 2 2 4 5 2 2 3" xfId="17036" xr:uid="{A46944A9-77A4-4AA1-8582-B35973BEBBE4}"/>
    <cellStyle name="Normal 5 2 2 2 4 5 2 3" xfId="21266" xr:uid="{CE53890F-3E5D-4AD3-9C83-C6E44E416AC2}"/>
    <cellStyle name="Normal 5 2 2 2 4 5 2 4" xfId="12818" xr:uid="{93BB44A4-C9FB-4C1F-A4BA-4A637BA9C686}"/>
    <cellStyle name="Normal 5 2 2 2 4 5 3" xfId="6441" xr:uid="{00000000-0005-0000-0000-000080170000}"/>
    <cellStyle name="Normal 5 2 2 2 4 5 3 2" xfId="23339" xr:uid="{2CF3F614-DE2B-408E-8DF9-41F6DB4952E2}"/>
    <cellStyle name="Normal 5 2 2 2 4 5 3 3" xfId="14891" xr:uid="{0E73EEFE-7833-419A-8B34-2233C9D2277D}"/>
    <cellStyle name="Normal 5 2 2 2 4 5 4" xfId="19121" xr:uid="{A34A6E53-E932-448E-88AD-078FB719FD05}"/>
    <cellStyle name="Normal 5 2 2 2 4 5 5" xfId="10673" xr:uid="{22C59BD0-3ABA-4A37-9DEC-07FB431DBF1B}"/>
    <cellStyle name="Normal 5 2 2 2 4 6" xfId="2571" xr:uid="{00000000-0005-0000-0000-000081170000}"/>
    <cellStyle name="Normal 5 2 2 2 4 6 2" xfId="6854" xr:uid="{00000000-0005-0000-0000-000082170000}"/>
    <cellStyle name="Normal 5 2 2 2 4 6 2 2" xfId="23752" xr:uid="{46584A8C-A85A-4C65-88D9-7F0EE5BD03BA}"/>
    <cellStyle name="Normal 5 2 2 2 4 6 2 3" xfId="15304" xr:uid="{51CB5BC5-CEC0-4437-9E6F-BB8811703B06}"/>
    <cellStyle name="Normal 5 2 2 2 4 6 3" xfId="19534" xr:uid="{D468102C-8F81-4F13-9D3C-1E69A9D46F7A}"/>
    <cellStyle name="Normal 5 2 2 2 4 6 4" xfId="11086" xr:uid="{318E8BB5-27D2-4FBA-929D-8DF017EA5263}"/>
    <cellStyle name="Normal 5 2 2 2 4 7" xfId="4789" xr:uid="{00000000-0005-0000-0000-000083170000}"/>
    <cellStyle name="Normal 5 2 2 2 4 7 2" xfId="21687" xr:uid="{D98B9783-C816-4CAF-BA75-E51994311881}"/>
    <cellStyle name="Normal 5 2 2 2 4 7 3" xfId="13239" xr:uid="{13FBBA71-05BE-473A-82DE-39BC4833A4A4}"/>
    <cellStyle name="Normal 5 2 2 2 4 8" xfId="17469" xr:uid="{19D1A355-4FFD-4C9B-AADE-FBC37DDE0535}"/>
    <cellStyle name="Normal 5 2 2 2 4 9" xfId="9021" xr:uid="{14D318DA-E2C7-4854-B6D2-106D65F94EA3}"/>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24238" xr:uid="{9D0816B8-FC94-4A7B-863C-117A9DB9CCA4}"/>
    <cellStyle name="Normal 5 2 2 2 5 2 2 3" xfId="15790" xr:uid="{285BA1B5-A96F-4A7B-99BD-FAEE1D3E8D6C}"/>
    <cellStyle name="Normal 5 2 2 2 5 2 3" xfId="20020" xr:uid="{FD673260-AFD9-45E9-BF7E-A3E57B853141}"/>
    <cellStyle name="Normal 5 2 2 2 5 2 4" xfId="11572" xr:uid="{CDB79B94-CA54-40A5-A8D7-A9D7DB156EC1}"/>
    <cellStyle name="Normal 5 2 2 2 5 3" xfId="5195" xr:uid="{00000000-0005-0000-0000-000087170000}"/>
    <cellStyle name="Normal 5 2 2 2 5 3 2" xfId="22093" xr:uid="{F149B852-39CA-4B7A-AD8F-C29D8E80162A}"/>
    <cellStyle name="Normal 5 2 2 2 5 3 3" xfId="13645" xr:uid="{498A5D53-561E-4D1E-AA7A-28D81428CA32}"/>
    <cellStyle name="Normal 5 2 2 2 5 4" xfId="17875" xr:uid="{7976F924-C6CF-4F99-A43B-E4FB93B40C66}"/>
    <cellStyle name="Normal 5 2 2 2 5 5" xfId="9427" xr:uid="{D00EBEC6-86E8-4E84-8BC3-CDB7033436A3}"/>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24651" xr:uid="{7C0716A4-FC31-4FEC-BE97-272FC40472B6}"/>
    <cellStyle name="Normal 5 2 2 2 6 2 2 3" xfId="16203" xr:uid="{A1F7D7F2-1336-4710-BDCF-64F4FAE5EDF0}"/>
    <cellStyle name="Normal 5 2 2 2 6 2 3" xfId="20433" xr:uid="{A19F9818-D7BB-414F-B637-7545675EF072}"/>
    <cellStyle name="Normal 5 2 2 2 6 2 4" xfId="11985" xr:uid="{3F335CA6-97CF-4968-ACB3-DB82E45640C5}"/>
    <cellStyle name="Normal 5 2 2 2 6 3" xfId="5608" xr:uid="{00000000-0005-0000-0000-00008B170000}"/>
    <cellStyle name="Normal 5 2 2 2 6 3 2" xfId="22506" xr:uid="{EEEF9CB8-482F-40CC-885E-46AA2ADAEE2B}"/>
    <cellStyle name="Normal 5 2 2 2 6 3 3" xfId="14058" xr:uid="{46B77E2E-9BCC-4FFC-9F54-7C3E094086E1}"/>
    <cellStyle name="Normal 5 2 2 2 6 4" xfId="18288" xr:uid="{8530C08B-5EBE-49A6-B8C2-B7D202A0C758}"/>
    <cellStyle name="Normal 5 2 2 2 6 5" xfId="9840" xr:uid="{979AC37B-CE27-4E79-9D0E-659745151C57}"/>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25064" xr:uid="{886B81C7-0BB2-4F1F-B471-00BE330B89F8}"/>
    <cellStyle name="Normal 5 2 2 2 7 2 2 3" xfId="16616" xr:uid="{DDFFEBB1-3BEE-4CFB-9EB8-5A19C8C945C1}"/>
    <cellStyle name="Normal 5 2 2 2 7 2 3" xfId="20846" xr:uid="{16368AF1-766C-42F1-9A2A-77E2BF9DDBC8}"/>
    <cellStyle name="Normal 5 2 2 2 7 2 4" xfId="12398" xr:uid="{CAFDC7C5-4B90-4CB6-8115-76159BFBAA91}"/>
    <cellStyle name="Normal 5 2 2 2 7 3" xfId="6021" xr:uid="{00000000-0005-0000-0000-00008F170000}"/>
    <cellStyle name="Normal 5 2 2 2 7 3 2" xfId="22919" xr:uid="{F0031AE4-9B07-46EC-964C-BC94E5E1727F}"/>
    <cellStyle name="Normal 5 2 2 2 7 3 3" xfId="14471" xr:uid="{0AA904A3-102F-4C87-9A25-3092A2F65B01}"/>
    <cellStyle name="Normal 5 2 2 2 7 4" xfId="18701" xr:uid="{B3729DEA-A71D-4B53-B874-297A95D9CD6C}"/>
    <cellStyle name="Normal 5 2 2 2 7 5" xfId="10253" xr:uid="{2F9768DB-E056-46E6-8ACF-12FE190C106F}"/>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25477" xr:uid="{5EBCDF0E-F78F-49AA-891F-349074DD5252}"/>
    <cellStyle name="Normal 5 2 2 2 8 2 2 3" xfId="17029" xr:uid="{0340A3ED-4715-480D-BF1D-2FD92067F77A}"/>
    <cellStyle name="Normal 5 2 2 2 8 2 3" xfId="21259" xr:uid="{A977B6C2-DE7E-4DC9-937A-0015852D0A96}"/>
    <cellStyle name="Normal 5 2 2 2 8 2 4" xfId="12811" xr:uid="{538AD19B-D78E-45E7-BE60-EB7565536A6F}"/>
    <cellStyle name="Normal 5 2 2 2 8 3" xfId="6434" xr:uid="{00000000-0005-0000-0000-000093170000}"/>
    <cellStyle name="Normal 5 2 2 2 8 3 2" xfId="23332" xr:uid="{C62F1CDF-D636-47C7-9B48-9EB45A86A4A1}"/>
    <cellStyle name="Normal 5 2 2 2 8 3 3" xfId="14884" xr:uid="{0918F73F-E6C2-4DE5-ACB8-E398087F1A4C}"/>
    <cellStyle name="Normal 5 2 2 2 8 4" xfId="19114" xr:uid="{BB38D70A-52B3-40CA-9033-4AE291F5B162}"/>
    <cellStyle name="Normal 5 2 2 2 8 5" xfId="10666" xr:uid="{E4A5655B-9DD2-4171-83F4-9F888C45FD78}"/>
    <cellStyle name="Normal 5 2 2 2 9" xfId="2564" xr:uid="{00000000-0005-0000-0000-000094170000}"/>
    <cellStyle name="Normal 5 2 2 2 9 2" xfId="6847" xr:uid="{00000000-0005-0000-0000-000095170000}"/>
    <cellStyle name="Normal 5 2 2 2 9 2 2" xfId="23745" xr:uid="{BE852CC2-72EB-4FAB-BDD9-8D9CFC5F29EF}"/>
    <cellStyle name="Normal 5 2 2 2 9 2 3" xfId="15297" xr:uid="{5A420543-2F24-456D-B728-6B2A3FE7639A}"/>
    <cellStyle name="Normal 5 2 2 2 9 3" xfId="19527" xr:uid="{DD666AFF-45D6-4B90-B098-591156E8E9AF}"/>
    <cellStyle name="Normal 5 2 2 2 9 4" xfId="11079" xr:uid="{B0722DBB-83CB-452C-9870-A9646E8F668F}"/>
    <cellStyle name="Normal 5 2 2 3" xfId="417" xr:uid="{00000000-0005-0000-0000-000096170000}"/>
    <cellStyle name="Normal 5 2 2 3 10" xfId="17470" xr:uid="{E52EF237-BEED-4154-81C0-36FA85A100C8}"/>
    <cellStyle name="Normal 5 2 2 3 11" xfId="9022" xr:uid="{58C19E3F-61BE-4D8F-A827-B48FBC157316}"/>
    <cellStyle name="Normal 5 2 2 3 2" xfId="418" xr:uid="{00000000-0005-0000-0000-000097170000}"/>
    <cellStyle name="Normal 5 2 2 3 2 10" xfId="9023" xr:uid="{D48522FD-AFDD-4D9E-9B71-ACB6A85E0C61}"/>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24248" xr:uid="{E99A3F20-5EF8-4F8D-81A6-586F1846F003}"/>
    <cellStyle name="Normal 5 2 2 3 2 2 2 2 2 3" xfId="15800" xr:uid="{82849217-6961-45A9-A0F2-8B22FD35D3CC}"/>
    <cellStyle name="Normal 5 2 2 3 2 2 2 2 3" xfId="20030" xr:uid="{64299424-54DC-4F13-B4C2-01CCC9D240D7}"/>
    <cellStyle name="Normal 5 2 2 3 2 2 2 2 4" xfId="11582" xr:uid="{90C288B9-A6B2-41A6-9096-E478BC74CF3E}"/>
    <cellStyle name="Normal 5 2 2 3 2 2 2 3" xfId="5205" xr:uid="{00000000-0005-0000-0000-00009C170000}"/>
    <cellStyle name="Normal 5 2 2 3 2 2 2 3 2" xfId="22103" xr:uid="{8DE942C7-C8DC-4359-85F0-AE6D0474C3EE}"/>
    <cellStyle name="Normal 5 2 2 3 2 2 2 3 3" xfId="13655" xr:uid="{171DE1C1-9B02-4649-92F5-FD9422DCD8D3}"/>
    <cellStyle name="Normal 5 2 2 3 2 2 2 4" xfId="17885" xr:uid="{D944C1EC-64DE-4506-BC0E-14334D29DD6F}"/>
    <cellStyle name="Normal 5 2 2 3 2 2 2 5" xfId="9437" xr:uid="{D037F911-7943-4E7A-AADC-156C1D1CF267}"/>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24661" xr:uid="{D488A50B-373C-4C9B-A897-A24D3BF9DC0E}"/>
    <cellStyle name="Normal 5 2 2 3 2 2 3 2 2 3" xfId="16213" xr:uid="{523E3B4F-5E09-4446-BE87-603D5A5AE1EC}"/>
    <cellStyle name="Normal 5 2 2 3 2 2 3 2 3" xfId="20443" xr:uid="{C10DFAEB-8DCC-438E-A24A-B097316D9F25}"/>
    <cellStyle name="Normal 5 2 2 3 2 2 3 2 4" xfId="11995" xr:uid="{AF891244-44C6-4105-9D21-26C95E9C525E}"/>
    <cellStyle name="Normal 5 2 2 3 2 2 3 3" xfId="5618" xr:uid="{00000000-0005-0000-0000-0000A0170000}"/>
    <cellStyle name="Normal 5 2 2 3 2 2 3 3 2" xfId="22516" xr:uid="{D1DC43FC-C2A9-4EF7-9CC7-8141FB25F850}"/>
    <cellStyle name="Normal 5 2 2 3 2 2 3 3 3" xfId="14068" xr:uid="{6B53DAE9-1B80-4E7C-9D5A-812559A9E920}"/>
    <cellStyle name="Normal 5 2 2 3 2 2 3 4" xfId="18298" xr:uid="{CD01B81A-A2C7-486F-932A-0FC355F8ED39}"/>
    <cellStyle name="Normal 5 2 2 3 2 2 3 5" xfId="9850" xr:uid="{AF5D2DCE-369E-415C-8525-5162C9D46005}"/>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25074" xr:uid="{77EA4C08-A605-4840-A4AB-5A645B530BB5}"/>
    <cellStyle name="Normal 5 2 2 3 2 2 4 2 2 3" xfId="16626" xr:uid="{3A3AE4ED-A9FA-4971-B8A1-DA9123A38524}"/>
    <cellStyle name="Normal 5 2 2 3 2 2 4 2 3" xfId="20856" xr:uid="{93A5BE5E-0935-473E-A5A2-ED9F905134D0}"/>
    <cellStyle name="Normal 5 2 2 3 2 2 4 2 4" xfId="12408" xr:uid="{C4AB4933-E866-4278-B6A6-B53C48D00C4F}"/>
    <cellStyle name="Normal 5 2 2 3 2 2 4 3" xfId="6031" xr:uid="{00000000-0005-0000-0000-0000A4170000}"/>
    <cellStyle name="Normal 5 2 2 3 2 2 4 3 2" xfId="22929" xr:uid="{5805066F-7191-40B2-8BE0-799E6657C9F0}"/>
    <cellStyle name="Normal 5 2 2 3 2 2 4 3 3" xfId="14481" xr:uid="{95D49320-E0B3-45B9-914F-4C743A9B2A3F}"/>
    <cellStyle name="Normal 5 2 2 3 2 2 4 4" xfId="18711" xr:uid="{E93538EE-E70F-47BA-B47B-6F2D3817A4A0}"/>
    <cellStyle name="Normal 5 2 2 3 2 2 4 5" xfId="10263" xr:uid="{FFB0025B-E544-4F40-BF27-32DD4C69A162}"/>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25487" xr:uid="{C5FAE3C3-892A-4AB0-A5CE-1D2AC8EF19CA}"/>
    <cellStyle name="Normal 5 2 2 3 2 2 5 2 2 3" xfId="17039" xr:uid="{C16E2854-D854-446C-99BE-67349FE7F68F}"/>
    <cellStyle name="Normal 5 2 2 3 2 2 5 2 3" xfId="21269" xr:uid="{986FDB47-08F8-433F-B58E-260555031379}"/>
    <cellStyle name="Normal 5 2 2 3 2 2 5 2 4" xfId="12821" xr:uid="{45B82847-9A2C-49F6-9C1C-E689C9D3423E}"/>
    <cellStyle name="Normal 5 2 2 3 2 2 5 3" xfId="6444" xr:uid="{00000000-0005-0000-0000-0000A8170000}"/>
    <cellStyle name="Normal 5 2 2 3 2 2 5 3 2" xfId="23342" xr:uid="{F5B0CD1E-D8FC-411F-B844-31BAA405CC87}"/>
    <cellStyle name="Normal 5 2 2 3 2 2 5 3 3" xfId="14894" xr:uid="{E267382B-E948-48DA-99BD-BD5B66B9CF0A}"/>
    <cellStyle name="Normal 5 2 2 3 2 2 5 4" xfId="19124" xr:uid="{09FEF89D-8F59-4B4D-B5F1-5DD5364F076E}"/>
    <cellStyle name="Normal 5 2 2 3 2 2 5 5" xfId="10676" xr:uid="{F2DD71D6-D0DB-4C57-851A-6E0F21291F27}"/>
    <cellStyle name="Normal 5 2 2 3 2 2 6" xfId="2574" xr:uid="{00000000-0005-0000-0000-0000A9170000}"/>
    <cellStyle name="Normal 5 2 2 3 2 2 6 2" xfId="6857" xr:uid="{00000000-0005-0000-0000-0000AA170000}"/>
    <cellStyle name="Normal 5 2 2 3 2 2 6 2 2" xfId="23755" xr:uid="{22945F2F-7B31-43C7-B5EE-9C47A38E8B26}"/>
    <cellStyle name="Normal 5 2 2 3 2 2 6 2 3" xfId="15307" xr:uid="{8084C525-F0E8-4E35-AAC7-DDB8E1B1D121}"/>
    <cellStyle name="Normal 5 2 2 3 2 2 6 3" xfId="19537" xr:uid="{8D0A4604-4D19-4989-B112-6DCA5FCB79A0}"/>
    <cellStyle name="Normal 5 2 2 3 2 2 6 4" xfId="11089" xr:uid="{B1289603-6BB4-43E1-9929-AB198629403C}"/>
    <cellStyle name="Normal 5 2 2 3 2 2 7" xfId="4792" xr:uid="{00000000-0005-0000-0000-0000AB170000}"/>
    <cellStyle name="Normal 5 2 2 3 2 2 7 2" xfId="21690" xr:uid="{C8DC49EC-A681-45F4-9796-0BF0DF903037}"/>
    <cellStyle name="Normal 5 2 2 3 2 2 7 3" xfId="13242" xr:uid="{96742A47-6754-42F6-91BB-6C66DAC547F6}"/>
    <cellStyle name="Normal 5 2 2 3 2 2 8" xfId="17472" xr:uid="{04081952-5712-4ED7-923F-1C55845A208B}"/>
    <cellStyle name="Normal 5 2 2 3 2 2 9" xfId="9024" xr:uid="{ADEFA176-B16D-4281-8C0E-0FA6D85FABC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24247" xr:uid="{19F09ADF-A7B0-4278-9B60-A0E414F372E5}"/>
    <cellStyle name="Normal 5 2 2 3 2 3 2 2 3" xfId="15799" xr:uid="{19FF40D2-829F-40A2-B0D6-3600540ECD49}"/>
    <cellStyle name="Normal 5 2 2 3 2 3 2 3" xfId="20029" xr:uid="{0F7FF3AE-6B64-48E4-8759-8EC6563CF7F8}"/>
    <cellStyle name="Normal 5 2 2 3 2 3 2 4" xfId="11581" xr:uid="{CF39DFFA-CAEB-4C5D-B073-499922ED6D6A}"/>
    <cellStyle name="Normal 5 2 2 3 2 3 3" xfId="5204" xr:uid="{00000000-0005-0000-0000-0000AF170000}"/>
    <cellStyle name="Normal 5 2 2 3 2 3 3 2" xfId="22102" xr:uid="{64CA4AA7-7947-4C6D-94D0-4DB16A641E78}"/>
    <cellStyle name="Normal 5 2 2 3 2 3 3 3" xfId="13654" xr:uid="{7DCDAF3B-B4AF-45F0-AF2B-F5CF6C05D87F}"/>
    <cellStyle name="Normal 5 2 2 3 2 3 4" xfId="17884" xr:uid="{62CCD926-C004-4510-AD6B-0CD5F235D820}"/>
    <cellStyle name="Normal 5 2 2 3 2 3 5" xfId="9436" xr:uid="{E0D2FC65-F42D-4F5F-95E2-84FAF9994B02}"/>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24660" xr:uid="{AB8DB81D-A76E-4E70-9106-6CDD74095FEE}"/>
    <cellStyle name="Normal 5 2 2 3 2 4 2 2 3" xfId="16212" xr:uid="{AF4D7AAB-465D-41DB-A6DB-0549CA61DFA2}"/>
    <cellStyle name="Normal 5 2 2 3 2 4 2 3" xfId="20442" xr:uid="{B010BE6B-A4DB-42E9-8A64-2D89291C7118}"/>
    <cellStyle name="Normal 5 2 2 3 2 4 2 4" xfId="11994" xr:uid="{B51A30DA-0452-4812-B8A3-05FCF4E78816}"/>
    <cellStyle name="Normal 5 2 2 3 2 4 3" xfId="5617" xr:uid="{00000000-0005-0000-0000-0000B3170000}"/>
    <cellStyle name="Normal 5 2 2 3 2 4 3 2" xfId="22515" xr:uid="{0D154659-5755-460B-808B-52F7B6D87C1D}"/>
    <cellStyle name="Normal 5 2 2 3 2 4 3 3" xfId="14067" xr:uid="{92FDD8D3-4F61-495E-ACE4-2138A9C21AFC}"/>
    <cellStyle name="Normal 5 2 2 3 2 4 4" xfId="18297" xr:uid="{9E345E45-D741-4A31-A6B9-4D26F8B5D266}"/>
    <cellStyle name="Normal 5 2 2 3 2 4 5" xfId="9849" xr:uid="{E91F1915-1A05-4424-B6BA-E2758AB3CD37}"/>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25073" xr:uid="{4557A86D-F3F0-474C-88BC-897C0B9B243C}"/>
    <cellStyle name="Normal 5 2 2 3 2 5 2 2 3" xfId="16625" xr:uid="{B61DBDA8-B7F9-46FF-9F3C-A95C8289A555}"/>
    <cellStyle name="Normal 5 2 2 3 2 5 2 3" xfId="20855" xr:uid="{00E3FB29-F895-4381-9A6F-FB64664582AB}"/>
    <cellStyle name="Normal 5 2 2 3 2 5 2 4" xfId="12407" xr:uid="{033785DC-D0F3-4637-A4AE-88C2B2F3037C}"/>
    <cellStyle name="Normal 5 2 2 3 2 5 3" xfId="6030" xr:uid="{00000000-0005-0000-0000-0000B7170000}"/>
    <cellStyle name="Normal 5 2 2 3 2 5 3 2" xfId="22928" xr:uid="{3BAF63D8-EB59-4D4E-9DB9-4CB19315AEE0}"/>
    <cellStyle name="Normal 5 2 2 3 2 5 3 3" xfId="14480" xr:uid="{469413CF-E18C-48C4-96B0-DB1114456ABA}"/>
    <cellStyle name="Normal 5 2 2 3 2 5 4" xfId="18710" xr:uid="{8A15F9B5-FD0A-4318-9508-A9A3AA4165F4}"/>
    <cellStyle name="Normal 5 2 2 3 2 5 5" xfId="10262" xr:uid="{09FFB07C-1E64-4A0B-A581-C54FAC36C2FB}"/>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25486" xr:uid="{0049CF95-3EC6-476E-867E-E5C3B5CCC068}"/>
    <cellStyle name="Normal 5 2 2 3 2 6 2 2 3" xfId="17038" xr:uid="{D4193A63-E453-4BCA-B357-54AED03DCC18}"/>
    <cellStyle name="Normal 5 2 2 3 2 6 2 3" xfId="21268" xr:uid="{2060825E-E72A-41CC-AB3B-0D0EDA558F39}"/>
    <cellStyle name="Normal 5 2 2 3 2 6 2 4" xfId="12820" xr:uid="{927EAF09-023C-4554-AD1A-1CD3ACBE6956}"/>
    <cellStyle name="Normal 5 2 2 3 2 6 3" xfId="6443" xr:uid="{00000000-0005-0000-0000-0000BB170000}"/>
    <cellStyle name="Normal 5 2 2 3 2 6 3 2" xfId="23341" xr:uid="{D3CC1552-6F00-469C-B31C-C58017F753DB}"/>
    <cellStyle name="Normal 5 2 2 3 2 6 3 3" xfId="14893" xr:uid="{99C4407F-8B8A-44C9-9E77-8718A81BDA40}"/>
    <cellStyle name="Normal 5 2 2 3 2 6 4" xfId="19123" xr:uid="{4AB663EF-1A23-4609-8BB6-BE880975174F}"/>
    <cellStyle name="Normal 5 2 2 3 2 6 5" xfId="10675" xr:uid="{6F63BFA9-4795-44EA-B1F7-A7E6DC044B85}"/>
    <cellStyle name="Normal 5 2 2 3 2 7" xfId="2573" xr:uid="{00000000-0005-0000-0000-0000BC170000}"/>
    <cellStyle name="Normal 5 2 2 3 2 7 2" xfId="6856" xr:uid="{00000000-0005-0000-0000-0000BD170000}"/>
    <cellStyle name="Normal 5 2 2 3 2 7 2 2" xfId="23754" xr:uid="{03A7A7AB-8F95-45D4-A9C9-B3E731D63A87}"/>
    <cellStyle name="Normal 5 2 2 3 2 7 2 3" xfId="15306" xr:uid="{5022C07B-75A6-4C68-9D0A-9C660DFFE326}"/>
    <cellStyle name="Normal 5 2 2 3 2 7 3" xfId="19536" xr:uid="{D99DB145-F9A1-4F4B-BEA2-6B3FE8AFC2E2}"/>
    <cellStyle name="Normal 5 2 2 3 2 7 4" xfId="11088" xr:uid="{0082B96B-AFDC-4354-B8E5-5D65EEBDE4A2}"/>
    <cellStyle name="Normal 5 2 2 3 2 8" xfId="4791" xr:uid="{00000000-0005-0000-0000-0000BE170000}"/>
    <cellStyle name="Normal 5 2 2 3 2 8 2" xfId="21689" xr:uid="{2F09915B-749F-435E-AAD3-63B93656B22F}"/>
    <cellStyle name="Normal 5 2 2 3 2 8 3" xfId="13241" xr:uid="{864EACC1-E64D-45B1-8461-0DFAC9118C85}"/>
    <cellStyle name="Normal 5 2 2 3 2 9" xfId="17471" xr:uid="{35660F6F-021C-4252-8E42-42466593EA7D}"/>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24249" xr:uid="{925D541A-5F32-46EF-8CC4-B23CF1BA14C2}"/>
    <cellStyle name="Normal 5 2 2 3 3 2 2 2 3" xfId="15801" xr:uid="{618D3DE8-DC85-44C5-9CDE-832E45EF1530}"/>
    <cellStyle name="Normal 5 2 2 3 3 2 2 3" xfId="20031" xr:uid="{050E174D-CB1F-4553-945C-3519C3A6B898}"/>
    <cellStyle name="Normal 5 2 2 3 3 2 2 4" xfId="11583" xr:uid="{4CBC67CB-9C90-430F-AED2-CF5F177DF02E}"/>
    <cellStyle name="Normal 5 2 2 3 3 2 3" xfId="5206" xr:uid="{00000000-0005-0000-0000-0000C3170000}"/>
    <cellStyle name="Normal 5 2 2 3 3 2 3 2" xfId="22104" xr:uid="{2776932F-4C33-4E4A-8A76-616FD80497AE}"/>
    <cellStyle name="Normal 5 2 2 3 3 2 3 3" xfId="13656" xr:uid="{370D8E37-B114-4CDE-98B4-751CF2FCC924}"/>
    <cellStyle name="Normal 5 2 2 3 3 2 4" xfId="17886" xr:uid="{26EFA21E-9254-47CF-87A0-7BBA779961A4}"/>
    <cellStyle name="Normal 5 2 2 3 3 2 5" xfId="9438" xr:uid="{421A7011-6E83-4ACB-80CF-D8AD8434285A}"/>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24662" xr:uid="{DC3D7CD9-FA64-4C73-A24C-AB3A82C1C7EC}"/>
    <cellStyle name="Normal 5 2 2 3 3 3 2 2 3" xfId="16214" xr:uid="{B33FD514-4FDE-4AF4-B059-914D9563F7F9}"/>
    <cellStyle name="Normal 5 2 2 3 3 3 2 3" xfId="20444" xr:uid="{A5A1056D-954A-4FF2-B382-EC20A203546A}"/>
    <cellStyle name="Normal 5 2 2 3 3 3 2 4" xfId="11996" xr:uid="{B6DAD6EC-9003-4FF7-9FD4-407C587A3783}"/>
    <cellStyle name="Normal 5 2 2 3 3 3 3" xfId="5619" xr:uid="{00000000-0005-0000-0000-0000C7170000}"/>
    <cellStyle name="Normal 5 2 2 3 3 3 3 2" xfId="22517" xr:uid="{9A730B19-325A-41C5-BC72-8F16E3896231}"/>
    <cellStyle name="Normal 5 2 2 3 3 3 3 3" xfId="14069" xr:uid="{9EDC7EF1-F77E-4D45-B017-3BC5956603D6}"/>
    <cellStyle name="Normal 5 2 2 3 3 3 4" xfId="18299" xr:uid="{3C36EDF6-39F4-4AF5-A69C-2A4EDC478C9C}"/>
    <cellStyle name="Normal 5 2 2 3 3 3 5" xfId="9851" xr:uid="{7CF0456A-C3F1-464A-9E44-259A7068577C}"/>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25075" xr:uid="{1CF28287-6BE9-4F19-945F-21334097552F}"/>
    <cellStyle name="Normal 5 2 2 3 3 4 2 2 3" xfId="16627" xr:uid="{9C962435-9DD7-414F-A219-38CFF64F580E}"/>
    <cellStyle name="Normal 5 2 2 3 3 4 2 3" xfId="20857" xr:uid="{37B44B79-519A-4077-8BEE-F05FB5A39A7E}"/>
    <cellStyle name="Normal 5 2 2 3 3 4 2 4" xfId="12409" xr:uid="{5C121F2D-783C-4BB6-B2BD-4807A531738C}"/>
    <cellStyle name="Normal 5 2 2 3 3 4 3" xfId="6032" xr:uid="{00000000-0005-0000-0000-0000CB170000}"/>
    <cellStyle name="Normal 5 2 2 3 3 4 3 2" xfId="22930" xr:uid="{0BA0D168-3743-4160-A5EB-DF03F0CA29B2}"/>
    <cellStyle name="Normal 5 2 2 3 3 4 3 3" xfId="14482" xr:uid="{0AB6A571-6148-4D02-ADFD-3E73F635B4F7}"/>
    <cellStyle name="Normal 5 2 2 3 3 4 4" xfId="18712" xr:uid="{95BBB38B-ECCE-4E5E-B26D-E8E33912F3E5}"/>
    <cellStyle name="Normal 5 2 2 3 3 4 5" xfId="10264" xr:uid="{256E3429-255D-4D0F-9D0B-7AB40CE7BECE}"/>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25488" xr:uid="{327E4398-7147-4319-9468-4CF55E70DCDA}"/>
    <cellStyle name="Normal 5 2 2 3 3 5 2 2 3" xfId="17040" xr:uid="{F27FD223-EB96-440E-9F5E-E082E028EC99}"/>
    <cellStyle name="Normal 5 2 2 3 3 5 2 3" xfId="21270" xr:uid="{C03BDAB3-5D17-443E-A84F-E75C1E789423}"/>
    <cellStyle name="Normal 5 2 2 3 3 5 2 4" xfId="12822" xr:uid="{353D364E-B94C-439E-A999-9107C8B933EE}"/>
    <cellStyle name="Normal 5 2 2 3 3 5 3" xfId="6445" xr:uid="{00000000-0005-0000-0000-0000CF170000}"/>
    <cellStyle name="Normal 5 2 2 3 3 5 3 2" xfId="23343" xr:uid="{5569AA42-A486-43FE-82AE-4B2B9599F017}"/>
    <cellStyle name="Normal 5 2 2 3 3 5 3 3" xfId="14895" xr:uid="{755D52B0-09CB-4328-9B82-B2F1429FFEE6}"/>
    <cellStyle name="Normal 5 2 2 3 3 5 4" xfId="19125" xr:uid="{63F2BFB4-91C4-4875-A2E8-EB7A99A029FE}"/>
    <cellStyle name="Normal 5 2 2 3 3 5 5" xfId="10677" xr:uid="{F7D8ADAD-EEC8-461B-B07A-EBC04ADA16E1}"/>
    <cellStyle name="Normal 5 2 2 3 3 6" xfId="2575" xr:uid="{00000000-0005-0000-0000-0000D0170000}"/>
    <cellStyle name="Normal 5 2 2 3 3 6 2" xfId="6858" xr:uid="{00000000-0005-0000-0000-0000D1170000}"/>
    <cellStyle name="Normal 5 2 2 3 3 6 2 2" xfId="23756" xr:uid="{EEC9B86E-EE89-4EF3-94B5-0BEB5B309B71}"/>
    <cellStyle name="Normal 5 2 2 3 3 6 2 3" xfId="15308" xr:uid="{3A294854-8046-4F3A-9DD5-AADB898A3F11}"/>
    <cellStyle name="Normal 5 2 2 3 3 6 3" xfId="19538" xr:uid="{AFBFF5E0-5819-43C4-8133-1A9A80EC272A}"/>
    <cellStyle name="Normal 5 2 2 3 3 6 4" xfId="11090" xr:uid="{8A102F67-6228-4D45-A0A3-39FF69D352A8}"/>
    <cellStyle name="Normal 5 2 2 3 3 7" xfId="4793" xr:uid="{00000000-0005-0000-0000-0000D2170000}"/>
    <cellStyle name="Normal 5 2 2 3 3 7 2" xfId="21691" xr:uid="{55C3D06D-F4C9-4A0D-83E1-D19AE16A2932}"/>
    <cellStyle name="Normal 5 2 2 3 3 7 3" xfId="13243" xr:uid="{CDCB3A40-50FF-4F3C-AF27-83A7EB180166}"/>
    <cellStyle name="Normal 5 2 2 3 3 8" xfId="17473" xr:uid="{93050B10-525F-4C6B-AB89-3E07B90BEBBD}"/>
    <cellStyle name="Normal 5 2 2 3 3 9" xfId="9025" xr:uid="{3F29A285-9F83-43FA-B8C3-8F518B7F1FC5}"/>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24246" xr:uid="{C7666243-F807-4490-9CF3-FCE70F2BBFEC}"/>
    <cellStyle name="Normal 5 2 2 3 4 2 2 3" xfId="15798" xr:uid="{01E0B7E5-B977-4AD5-8352-3619E074D6F9}"/>
    <cellStyle name="Normal 5 2 2 3 4 2 3" xfId="20028" xr:uid="{4FE17391-F904-49EE-93C3-F7B35E583A76}"/>
    <cellStyle name="Normal 5 2 2 3 4 2 4" xfId="11580" xr:uid="{2C89196B-8CDB-43A7-9B6B-BE81670B3CB9}"/>
    <cellStyle name="Normal 5 2 2 3 4 3" xfId="5203" xr:uid="{00000000-0005-0000-0000-0000D6170000}"/>
    <cellStyle name="Normal 5 2 2 3 4 3 2" xfId="22101" xr:uid="{AF9C313F-EE86-4096-89BE-2081ABD21F50}"/>
    <cellStyle name="Normal 5 2 2 3 4 3 3" xfId="13653" xr:uid="{7CB21827-C09D-4282-B0E0-9D81397BB175}"/>
    <cellStyle name="Normal 5 2 2 3 4 4" xfId="17883" xr:uid="{C9D492DF-EC5D-4965-B4A0-7F4C0823C4F3}"/>
    <cellStyle name="Normal 5 2 2 3 4 5" xfId="9435" xr:uid="{953E1B6F-0445-433A-8859-EE7207906802}"/>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24659" xr:uid="{98DD1E99-A49F-4D95-9C54-338BF0C34DF0}"/>
    <cellStyle name="Normal 5 2 2 3 5 2 2 3" xfId="16211" xr:uid="{C091879D-CA4A-48FE-9151-4D942AEF867A}"/>
    <cellStyle name="Normal 5 2 2 3 5 2 3" xfId="20441" xr:uid="{D14F21D0-B98F-46B7-AC28-5FC5A0CF0F77}"/>
    <cellStyle name="Normal 5 2 2 3 5 2 4" xfId="11993" xr:uid="{7E7BCC91-7A85-464D-B536-2B99BBF85935}"/>
    <cellStyle name="Normal 5 2 2 3 5 3" xfId="5616" xr:uid="{00000000-0005-0000-0000-0000DA170000}"/>
    <cellStyle name="Normal 5 2 2 3 5 3 2" xfId="22514" xr:uid="{6EAC1245-A7F4-49BB-8F23-77E76E5627BD}"/>
    <cellStyle name="Normal 5 2 2 3 5 3 3" xfId="14066" xr:uid="{8F91E733-B32E-43BA-9EA7-D164EC0A76EC}"/>
    <cellStyle name="Normal 5 2 2 3 5 4" xfId="18296" xr:uid="{43D2CA1E-FE5E-4F14-B68F-C0703817A31E}"/>
    <cellStyle name="Normal 5 2 2 3 5 5" xfId="9848" xr:uid="{7AE1FE42-1892-4431-B261-3DE4C3013C5C}"/>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25072" xr:uid="{F88C0C83-B589-4F0F-BAFB-4CF9BF603BD9}"/>
    <cellStyle name="Normal 5 2 2 3 6 2 2 3" xfId="16624" xr:uid="{133D13B2-D490-4F02-9850-05B4D7D0A7E1}"/>
    <cellStyle name="Normal 5 2 2 3 6 2 3" xfId="20854" xr:uid="{DAB60114-6346-40A7-9451-155F057A4832}"/>
    <cellStyle name="Normal 5 2 2 3 6 2 4" xfId="12406" xr:uid="{48DCF296-10D9-40E0-843E-E4D0FA7BF53F}"/>
    <cellStyle name="Normal 5 2 2 3 6 3" xfId="6029" xr:uid="{00000000-0005-0000-0000-0000DE170000}"/>
    <cellStyle name="Normal 5 2 2 3 6 3 2" xfId="22927" xr:uid="{397EE650-C5D4-43F3-B74F-11A6A4509268}"/>
    <cellStyle name="Normal 5 2 2 3 6 3 3" xfId="14479" xr:uid="{FDA063D4-C878-46EF-A304-6BC405D81439}"/>
    <cellStyle name="Normal 5 2 2 3 6 4" xfId="18709" xr:uid="{2C4092EA-A802-47D8-86A6-6F17C777C856}"/>
    <cellStyle name="Normal 5 2 2 3 6 5" xfId="10261" xr:uid="{3FA5B82F-D9F0-4CAB-879A-18C62A7C4DB9}"/>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25485" xr:uid="{160F55CE-79C5-472F-A137-FBA0C7CDE318}"/>
    <cellStyle name="Normal 5 2 2 3 7 2 2 3" xfId="17037" xr:uid="{F041D390-2F50-4886-A1D7-694BECA08875}"/>
    <cellStyle name="Normal 5 2 2 3 7 2 3" xfId="21267" xr:uid="{0CF5B0AE-A32D-4424-9FF6-E789B9C70216}"/>
    <cellStyle name="Normal 5 2 2 3 7 2 4" xfId="12819" xr:uid="{D2696616-72FA-43B2-AF14-30899F9FEDA6}"/>
    <cellStyle name="Normal 5 2 2 3 7 3" xfId="6442" xr:uid="{00000000-0005-0000-0000-0000E2170000}"/>
    <cellStyle name="Normal 5 2 2 3 7 3 2" xfId="23340" xr:uid="{A373F5B2-7997-4BBC-961A-9CB2F7B8FDA0}"/>
    <cellStyle name="Normal 5 2 2 3 7 3 3" xfId="14892" xr:uid="{DFD94EED-17FC-41D1-9F52-5AA86B2E7EC2}"/>
    <cellStyle name="Normal 5 2 2 3 7 4" xfId="19122" xr:uid="{B7960BE1-85B8-4B22-A6BC-60A44CDCD7D2}"/>
    <cellStyle name="Normal 5 2 2 3 7 5" xfId="10674" xr:uid="{E2EC8FA8-8645-4712-8BB7-9E2BF107D1BC}"/>
    <cellStyle name="Normal 5 2 2 3 8" xfId="2572" xr:uid="{00000000-0005-0000-0000-0000E3170000}"/>
    <cellStyle name="Normal 5 2 2 3 8 2" xfId="6855" xr:uid="{00000000-0005-0000-0000-0000E4170000}"/>
    <cellStyle name="Normal 5 2 2 3 8 2 2" xfId="23753" xr:uid="{7452E942-69E0-4030-BA32-9014F057041C}"/>
    <cellStyle name="Normal 5 2 2 3 8 2 3" xfId="15305" xr:uid="{88BDDA97-45F7-40C7-A7B9-17F10127B8A5}"/>
    <cellStyle name="Normal 5 2 2 3 8 3" xfId="19535" xr:uid="{CCCB804F-48A0-43D7-A5BE-2F3B406AA41F}"/>
    <cellStyle name="Normal 5 2 2 3 8 4" xfId="11087" xr:uid="{6A09D924-F7E2-48B0-9A38-F11FA58B3297}"/>
    <cellStyle name="Normal 5 2 2 3 9" xfId="4790" xr:uid="{00000000-0005-0000-0000-0000E5170000}"/>
    <cellStyle name="Normal 5 2 2 3 9 2" xfId="21688" xr:uid="{AA8D9676-A2DB-493F-B0A6-FDFA4D8BF898}"/>
    <cellStyle name="Normal 5 2 2 3 9 3" xfId="13240" xr:uid="{EF4B4100-2341-4672-A56A-51C741ED11C6}"/>
    <cellStyle name="Normal 5 2 2 4" xfId="421" xr:uid="{00000000-0005-0000-0000-0000E6170000}"/>
    <cellStyle name="Normal 5 2 2 4 10" xfId="9026" xr:uid="{F8637732-8332-4097-8F07-8E2E219CC597}"/>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24251" xr:uid="{2D988B4C-8DD5-4D84-B25B-3A127B3C29E4}"/>
    <cellStyle name="Normal 5 2 2 4 2 2 2 2 3" xfId="15803" xr:uid="{BE16FCAD-8C28-49BB-A2A7-9E85AD5810D2}"/>
    <cellStyle name="Normal 5 2 2 4 2 2 2 3" xfId="20033" xr:uid="{8D6B3C46-3CE1-4882-93F0-04A794404844}"/>
    <cellStyle name="Normal 5 2 2 4 2 2 2 4" xfId="11585" xr:uid="{D0D5ECDF-E454-4203-BEE9-432AB1CC08D1}"/>
    <cellStyle name="Normal 5 2 2 4 2 2 3" xfId="5208" xr:uid="{00000000-0005-0000-0000-0000EB170000}"/>
    <cellStyle name="Normal 5 2 2 4 2 2 3 2" xfId="22106" xr:uid="{F608D397-3418-4254-A7BA-AC8FE80C8A52}"/>
    <cellStyle name="Normal 5 2 2 4 2 2 3 3" xfId="13658" xr:uid="{412E2003-91BA-40AB-B562-AD259F6FCFE5}"/>
    <cellStyle name="Normal 5 2 2 4 2 2 4" xfId="17888" xr:uid="{ECED586E-379A-4C48-BFE1-0DDA5A22C1E2}"/>
    <cellStyle name="Normal 5 2 2 4 2 2 5" xfId="9440" xr:uid="{358F48C5-8EB3-4393-91AE-29A2C339CD73}"/>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24664" xr:uid="{81D220D6-AF34-4BB7-93A8-7B79BDBDF086}"/>
    <cellStyle name="Normal 5 2 2 4 2 3 2 2 3" xfId="16216" xr:uid="{75A06137-CBAF-4AD3-B755-B3E1E5A91834}"/>
    <cellStyle name="Normal 5 2 2 4 2 3 2 3" xfId="20446" xr:uid="{0D07C7B8-0147-49A9-B56A-EF2505DC9AEF}"/>
    <cellStyle name="Normal 5 2 2 4 2 3 2 4" xfId="11998" xr:uid="{440F5F04-24ED-4AD0-A272-A430441BD7B2}"/>
    <cellStyle name="Normal 5 2 2 4 2 3 3" xfId="5621" xr:uid="{00000000-0005-0000-0000-0000EF170000}"/>
    <cellStyle name="Normal 5 2 2 4 2 3 3 2" xfId="22519" xr:uid="{8FCD607D-751D-4E51-A029-4EC1E90B98A3}"/>
    <cellStyle name="Normal 5 2 2 4 2 3 3 3" xfId="14071" xr:uid="{DC60FA21-0839-464D-B4B5-C45FE88D908A}"/>
    <cellStyle name="Normal 5 2 2 4 2 3 4" xfId="18301" xr:uid="{78C49AF6-982F-4D00-9D81-63EA279CD48A}"/>
    <cellStyle name="Normal 5 2 2 4 2 3 5" xfId="9853" xr:uid="{F169C61D-FDD4-4DFD-AE0E-87B15E4E9C9D}"/>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25077" xr:uid="{C5868C92-1EFE-45C4-9159-1BAD44976F44}"/>
    <cellStyle name="Normal 5 2 2 4 2 4 2 2 3" xfId="16629" xr:uid="{5896633F-8962-4642-80C7-EC2613117063}"/>
    <cellStyle name="Normal 5 2 2 4 2 4 2 3" xfId="20859" xr:uid="{F55308C2-741A-4BFA-B9C2-D4A0FFA56750}"/>
    <cellStyle name="Normal 5 2 2 4 2 4 2 4" xfId="12411" xr:uid="{DA58B279-3953-4D87-BAF2-EC6818FC9C84}"/>
    <cellStyle name="Normal 5 2 2 4 2 4 3" xfId="6034" xr:uid="{00000000-0005-0000-0000-0000F3170000}"/>
    <cellStyle name="Normal 5 2 2 4 2 4 3 2" xfId="22932" xr:uid="{E7AF2E31-0DC7-4AEC-9E37-0CD61317204A}"/>
    <cellStyle name="Normal 5 2 2 4 2 4 3 3" xfId="14484" xr:uid="{5CE5BD76-ED90-4910-812B-8EB3F9CD2E75}"/>
    <cellStyle name="Normal 5 2 2 4 2 4 4" xfId="18714" xr:uid="{1F8CD25E-A185-44FD-922D-76AFCDC026FB}"/>
    <cellStyle name="Normal 5 2 2 4 2 4 5" xfId="10266" xr:uid="{19E65063-4A7A-4EA6-9A83-9B518E2DAAFF}"/>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25490" xr:uid="{FF732B95-DDB1-4989-9084-FF129A943949}"/>
    <cellStyle name="Normal 5 2 2 4 2 5 2 2 3" xfId="17042" xr:uid="{1276C9D2-4AE6-405C-AAF7-7D076C2BE3F1}"/>
    <cellStyle name="Normal 5 2 2 4 2 5 2 3" xfId="21272" xr:uid="{CA5E8756-7E15-42CC-ACAE-1021BA42E4A1}"/>
    <cellStyle name="Normal 5 2 2 4 2 5 2 4" xfId="12824" xr:uid="{B2406FFE-64B6-469B-9BBD-474DC956D4C6}"/>
    <cellStyle name="Normal 5 2 2 4 2 5 3" xfId="6447" xr:uid="{00000000-0005-0000-0000-0000F7170000}"/>
    <cellStyle name="Normal 5 2 2 4 2 5 3 2" xfId="23345" xr:uid="{FC874EB7-1F0E-4E7A-9AA8-A7BD514F3DCB}"/>
    <cellStyle name="Normal 5 2 2 4 2 5 3 3" xfId="14897" xr:uid="{F54EF7A8-07D4-4BA8-A32D-9DE58014CF7B}"/>
    <cellStyle name="Normal 5 2 2 4 2 5 4" xfId="19127" xr:uid="{4DD93C04-BF0F-42AA-814A-7E899E362F31}"/>
    <cellStyle name="Normal 5 2 2 4 2 5 5" xfId="10679" xr:uid="{74B38DD7-AA75-4C68-B58A-F1C903E762F0}"/>
    <cellStyle name="Normal 5 2 2 4 2 6" xfId="2577" xr:uid="{00000000-0005-0000-0000-0000F8170000}"/>
    <cellStyle name="Normal 5 2 2 4 2 6 2" xfId="6860" xr:uid="{00000000-0005-0000-0000-0000F9170000}"/>
    <cellStyle name="Normal 5 2 2 4 2 6 2 2" xfId="23758" xr:uid="{A896B1AF-5E1C-4AEC-9A72-4950A3ACE618}"/>
    <cellStyle name="Normal 5 2 2 4 2 6 2 3" xfId="15310" xr:uid="{53C5CF24-0763-4980-B30C-D10BAB6F4873}"/>
    <cellStyle name="Normal 5 2 2 4 2 6 3" xfId="19540" xr:uid="{D717AFF2-4304-4DB5-B51B-E5F87CED43D9}"/>
    <cellStyle name="Normal 5 2 2 4 2 6 4" xfId="11092" xr:uid="{659EA44F-2B92-41C1-989A-0C0729B60BAE}"/>
    <cellStyle name="Normal 5 2 2 4 2 7" xfId="4795" xr:uid="{00000000-0005-0000-0000-0000FA170000}"/>
    <cellStyle name="Normal 5 2 2 4 2 7 2" xfId="21693" xr:uid="{2D05E949-35A7-4C48-8EAD-DBFF1B816B2F}"/>
    <cellStyle name="Normal 5 2 2 4 2 7 3" xfId="13245" xr:uid="{2EBE943A-0BFC-46BE-B900-8A35F3697727}"/>
    <cellStyle name="Normal 5 2 2 4 2 8" xfId="17475" xr:uid="{D678A67A-2871-44B7-A629-5FF687F58D13}"/>
    <cellStyle name="Normal 5 2 2 4 2 9" xfId="9027" xr:uid="{BCEFA100-B31D-407A-9F76-C0D3F50E4615}"/>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24250" xr:uid="{79AB9C69-5983-4B1C-BCC8-16CE010D5D79}"/>
    <cellStyle name="Normal 5 2 2 4 3 2 2 3" xfId="15802" xr:uid="{706F3156-54D1-41C6-A16A-8CEE2772C6DF}"/>
    <cellStyle name="Normal 5 2 2 4 3 2 3" xfId="20032" xr:uid="{A34EC412-8873-4800-AA02-6A00BE06C8D7}"/>
    <cellStyle name="Normal 5 2 2 4 3 2 4" xfId="11584" xr:uid="{6AF644A1-23B7-4C09-81B2-E830AB57BAF7}"/>
    <cellStyle name="Normal 5 2 2 4 3 3" xfId="5207" xr:uid="{00000000-0005-0000-0000-0000FE170000}"/>
    <cellStyle name="Normal 5 2 2 4 3 3 2" xfId="22105" xr:uid="{574ACC58-76E7-4819-BD89-3E9431D56EAB}"/>
    <cellStyle name="Normal 5 2 2 4 3 3 3" xfId="13657" xr:uid="{F5DD9E16-D7EB-41D5-AC33-33AADAB48F7C}"/>
    <cellStyle name="Normal 5 2 2 4 3 4" xfId="17887" xr:uid="{1A62C8E6-8C07-46A2-8444-9DA3D871A080}"/>
    <cellStyle name="Normal 5 2 2 4 3 5" xfId="9439" xr:uid="{BCBECE18-993C-421C-BC47-CDB54275F1FE}"/>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24663" xr:uid="{3737CBE3-8731-4C0C-802A-8EF6CDBC4C24}"/>
    <cellStyle name="Normal 5 2 2 4 4 2 2 3" xfId="16215" xr:uid="{CA91B1D4-FABA-4B06-99C3-8AF69FC5310C}"/>
    <cellStyle name="Normal 5 2 2 4 4 2 3" xfId="20445" xr:uid="{10978442-AD89-4C14-89D9-AF219BC7CA66}"/>
    <cellStyle name="Normal 5 2 2 4 4 2 4" xfId="11997" xr:uid="{7C6D9E6B-A1EA-4FE5-85C5-6B6B8BB86245}"/>
    <cellStyle name="Normal 5 2 2 4 4 3" xfId="5620" xr:uid="{00000000-0005-0000-0000-000002180000}"/>
    <cellStyle name="Normal 5 2 2 4 4 3 2" xfId="22518" xr:uid="{1441F475-7CB3-4850-BD56-579A2D3C82DD}"/>
    <cellStyle name="Normal 5 2 2 4 4 3 3" xfId="14070" xr:uid="{B2D3B710-40EC-4B84-BC07-5E91E7940FE8}"/>
    <cellStyle name="Normal 5 2 2 4 4 4" xfId="18300" xr:uid="{93B1FB18-D061-477F-91AF-F2C7EB41A788}"/>
    <cellStyle name="Normal 5 2 2 4 4 5" xfId="9852" xr:uid="{BEB367FD-5746-4A55-9801-A93221B28B44}"/>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25076" xr:uid="{B5DC0970-93A3-43D5-848A-B258ED366532}"/>
    <cellStyle name="Normal 5 2 2 4 5 2 2 3" xfId="16628" xr:uid="{A06286D6-A348-4A12-B312-56C9EA94AC98}"/>
    <cellStyle name="Normal 5 2 2 4 5 2 3" xfId="20858" xr:uid="{44F5D920-682A-489E-9FC9-C908C4FF61E0}"/>
    <cellStyle name="Normal 5 2 2 4 5 2 4" xfId="12410" xr:uid="{FB13515B-5114-411C-BFE7-FC3A92664C46}"/>
    <cellStyle name="Normal 5 2 2 4 5 3" xfId="6033" xr:uid="{00000000-0005-0000-0000-000006180000}"/>
    <cellStyle name="Normal 5 2 2 4 5 3 2" xfId="22931" xr:uid="{CB48E3B4-D41F-4596-9B42-6446870EB2C3}"/>
    <cellStyle name="Normal 5 2 2 4 5 3 3" xfId="14483" xr:uid="{731E168E-B693-43DC-8B35-1D92893664E5}"/>
    <cellStyle name="Normal 5 2 2 4 5 4" xfId="18713" xr:uid="{E20E6656-7E43-4819-B65C-CAB22E605E9B}"/>
    <cellStyle name="Normal 5 2 2 4 5 5" xfId="10265" xr:uid="{EBD05B3D-97A3-467A-B91F-351A8D13FD49}"/>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25489" xr:uid="{B2160B73-BA7C-4ACA-9E41-5C816FCCAD0D}"/>
    <cellStyle name="Normal 5 2 2 4 6 2 2 3" xfId="17041" xr:uid="{98940808-9793-486F-8AED-350CCCD667F0}"/>
    <cellStyle name="Normal 5 2 2 4 6 2 3" xfId="21271" xr:uid="{CFB8914D-9451-4D30-805B-AA5512473AB9}"/>
    <cellStyle name="Normal 5 2 2 4 6 2 4" xfId="12823" xr:uid="{C5FABC75-6BC2-4940-9C6F-23BC7BCCB78B}"/>
    <cellStyle name="Normal 5 2 2 4 6 3" xfId="6446" xr:uid="{00000000-0005-0000-0000-00000A180000}"/>
    <cellStyle name="Normal 5 2 2 4 6 3 2" xfId="23344" xr:uid="{ACF5AF8C-43C4-4892-B124-72A05E5ED4C9}"/>
    <cellStyle name="Normal 5 2 2 4 6 3 3" xfId="14896" xr:uid="{0537B0E1-8E57-4FA3-85C3-CCE63A194E63}"/>
    <cellStyle name="Normal 5 2 2 4 6 4" xfId="19126" xr:uid="{CEA7C967-2392-4248-A3DF-4B2883ED06B2}"/>
    <cellStyle name="Normal 5 2 2 4 6 5" xfId="10678" xr:uid="{6E16D0F7-2F4A-4239-8BC6-EC32EB3F0AD7}"/>
    <cellStyle name="Normal 5 2 2 4 7" xfId="2576" xr:uid="{00000000-0005-0000-0000-00000B180000}"/>
    <cellStyle name="Normal 5 2 2 4 7 2" xfId="6859" xr:uid="{00000000-0005-0000-0000-00000C180000}"/>
    <cellStyle name="Normal 5 2 2 4 7 2 2" xfId="23757" xr:uid="{938AB196-0184-4C30-AA34-A808175794BD}"/>
    <cellStyle name="Normal 5 2 2 4 7 2 3" xfId="15309" xr:uid="{2D51D426-B4EA-4ACD-8D65-FB61F4D1E982}"/>
    <cellStyle name="Normal 5 2 2 4 7 3" xfId="19539" xr:uid="{3E89F285-F2FF-4FEF-AF34-DAA5AD5975DB}"/>
    <cellStyle name="Normal 5 2 2 4 7 4" xfId="11091" xr:uid="{48B2C3DE-C3B8-4523-A711-2B32EAEA575B}"/>
    <cellStyle name="Normal 5 2 2 4 8" xfId="4794" xr:uid="{00000000-0005-0000-0000-00000D180000}"/>
    <cellStyle name="Normal 5 2 2 4 8 2" xfId="21692" xr:uid="{B6FBF017-182D-4FFF-A3CE-306B33656898}"/>
    <cellStyle name="Normal 5 2 2 4 8 3" xfId="13244" xr:uid="{F0192316-F495-4B04-ADE4-FF07838F4761}"/>
    <cellStyle name="Normal 5 2 2 4 9" xfId="17474" xr:uid="{4AB64FF4-43F0-4641-A0BE-97CE1F064CD4}"/>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24252" xr:uid="{D214FBEF-F4F9-426D-ADAF-8D79F2EE1A9D}"/>
    <cellStyle name="Normal 5 2 2 5 2 2 2 3" xfId="15804" xr:uid="{314179DC-8DDE-4767-89B4-B13E22E5F9FA}"/>
    <cellStyle name="Normal 5 2 2 5 2 2 3" xfId="20034" xr:uid="{BCDBFFB0-154C-4D73-851C-EF1C4C819898}"/>
    <cellStyle name="Normal 5 2 2 5 2 2 4" xfId="11586" xr:uid="{0F4EE6F2-9671-4699-A11F-26BF47BD89B5}"/>
    <cellStyle name="Normal 5 2 2 5 2 3" xfId="5209" xr:uid="{00000000-0005-0000-0000-000012180000}"/>
    <cellStyle name="Normal 5 2 2 5 2 3 2" xfId="22107" xr:uid="{7D6324F8-6390-47C0-AA83-D84C4571DF36}"/>
    <cellStyle name="Normal 5 2 2 5 2 3 3" xfId="13659" xr:uid="{B550EEEE-0CD1-4947-B88D-A175DC20BE69}"/>
    <cellStyle name="Normal 5 2 2 5 2 4" xfId="17889" xr:uid="{2D69DDA7-519B-4E50-A21E-4116F9F25755}"/>
    <cellStyle name="Normal 5 2 2 5 2 5" xfId="9441" xr:uid="{609FCA87-3044-46F3-A15E-50D211353322}"/>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24665" xr:uid="{C17067FA-CC2D-4249-9112-323C71366504}"/>
    <cellStyle name="Normal 5 2 2 5 3 2 2 3" xfId="16217" xr:uid="{69DBA67B-6439-48C3-B9E2-90B4C7682333}"/>
    <cellStyle name="Normal 5 2 2 5 3 2 3" xfId="20447" xr:uid="{FB8B506A-A33E-4136-9F23-EB95D3269985}"/>
    <cellStyle name="Normal 5 2 2 5 3 2 4" xfId="11999" xr:uid="{6DE8E6F7-D397-4428-B91A-DAC581D844D5}"/>
    <cellStyle name="Normal 5 2 2 5 3 3" xfId="5622" xr:uid="{00000000-0005-0000-0000-000016180000}"/>
    <cellStyle name="Normal 5 2 2 5 3 3 2" xfId="22520" xr:uid="{52FA4F95-C407-4410-8F0E-D93D022333EC}"/>
    <cellStyle name="Normal 5 2 2 5 3 3 3" xfId="14072" xr:uid="{020C8255-9403-4E22-A383-D6122744DF81}"/>
    <cellStyle name="Normal 5 2 2 5 3 4" xfId="18302" xr:uid="{A4CC056A-1BC1-49A2-A3CB-A9D222BBBAA9}"/>
    <cellStyle name="Normal 5 2 2 5 3 5" xfId="9854" xr:uid="{80DEB47F-1EE5-4884-964F-5254C9E8DEB1}"/>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25078" xr:uid="{3D42B862-1C3E-4324-A682-3D35BCC9B8E8}"/>
    <cellStyle name="Normal 5 2 2 5 4 2 2 3" xfId="16630" xr:uid="{1179726A-8CA5-4F3F-82E4-7FE8F9B7342D}"/>
    <cellStyle name="Normal 5 2 2 5 4 2 3" xfId="20860" xr:uid="{B7A99222-F215-4368-A903-4C8E256E927E}"/>
    <cellStyle name="Normal 5 2 2 5 4 2 4" xfId="12412" xr:uid="{50894371-1442-4216-8855-6AF4EF88DA35}"/>
    <cellStyle name="Normal 5 2 2 5 4 3" xfId="6035" xr:uid="{00000000-0005-0000-0000-00001A180000}"/>
    <cellStyle name="Normal 5 2 2 5 4 3 2" xfId="22933" xr:uid="{F0CD0826-A841-47C7-A144-7BD451DB5241}"/>
    <cellStyle name="Normal 5 2 2 5 4 3 3" xfId="14485" xr:uid="{45C893C7-09FC-4D8A-B677-D6C1EC9F79DC}"/>
    <cellStyle name="Normal 5 2 2 5 4 4" xfId="18715" xr:uid="{AD11D0B6-53F8-48BB-BBCE-6CA2DEC7FFA5}"/>
    <cellStyle name="Normal 5 2 2 5 4 5" xfId="10267" xr:uid="{0E63FB55-5299-4079-BE69-D8D94C908D0A}"/>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25491" xr:uid="{52A926B9-B8C5-4578-8642-45E0B9C8D3CC}"/>
    <cellStyle name="Normal 5 2 2 5 5 2 2 3" xfId="17043" xr:uid="{7EE78A21-13C3-4EBB-8486-2539B456CC95}"/>
    <cellStyle name="Normal 5 2 2 5 5 2 3" xfId="21273" xr:uid="{7C275526-E31A-4395-99A7-369E32A4297E}"/>
    <cellStyle name="Normal 5 2 2 5 5 2 4" xfId="12825" xr:uid="{FF2D4F01-6374-4619-991D-3A9FB822C679}"/>
    <cellStyle name="Normal 5 2 2 5 5 3" xfId="6448" xr:uid="{00000000-0005-0000-0000-00001E180000}"/>
    <cellStyle name="Normal 5 2 2 5 5 3 2" xfId="23346" xr:uid="{7957C0D9-D727-4258-B125-68748AFB421D}"/>
    <cellStyle name="Normal 5 2 2 5 5 3 3" xfId="14898" xr:uid="{C6C41208-8DCC-42E6-945A-4EE5653F2C95}"/>
    <cellStyle name="Normal 5 2 2 5 5 4" xfId="19128" xr:uid="{A6F36B0B-7ADA-499D-ACF8-8A627F457DFF}"/>
    <cellStyle name="Normal 5 2 2 5 5 5" xfId="10680" xr:uid="{64FA4C95-2856-4C4F-B5F8-22404068DE9A}"/>
    <cellStyle name="Normal 5 2 2 5 6" xfId="2578" xr:uid="{00000000-0005-0000-0000-00001F180000}"/>
    <cellStyle name="Normal 5 2 2 5 6 2" xfId="6861" xr:uid="{00000000-0005-0000-0000-000020180000}"/>
    <cellStyle name="Normal 5 2 2 5 6 2 2" xfId="23759" xr:uid="{E28FC44E-7DBF-4EBB-9F61-BA5C9CC29460}"/>
    <cellStyle name="Normal 5 2 2 5 6 2 3" xfId="15311" xr:uid="{12151469-A717-4CD8-8888-1AFCE834F56F}"/>
    <cellStyle name="Normal 5 2 2 5 6 3" xfId="19541" xr:uid="{FC02BFD0-5DEB-4325-BE0D-DC73BC188A9E}"/>
    <cellStyle name="Normal 5 2 2 5 6 4" xfId="11093" xr:uid="{D369193F-CB88-4F30-B30F-04CA097346E8}"/>
    <cellStyle name="Normal 5 2 2 5 7" xfId="4796" xr:uid="{00000000-0005-0000-0000-000021180000}"/>
    <cellStyle name="Normal 5 2 2 5 7 2" xfId="21694" xr:uid="{474771C1-D7C8-4086-9DE4-A1B96FA482C5}"/>
    <cellStyle name="Normal 5 2 2 5 7 3" xfId="13246" xr:uid="{6DC6598E-06BF-4734-9BC5-98208822825D}"/>
    <cellStyle name="Normal 5 2 2 5 8" xfId="17476" xr:uid="{BB57B9A6-C9D6-4E04-9E78-A711530EE5BD}"/>
    <cellStyle name="Normal 5 2 2 5 9" xfId="9028" xr:uid="{C1FC9295-2566-4DB4-9622-5F184F271F40}"/>
    <cellStyle name="Normal 5 2 2 6" xfId="882" xr:uid="{00000000-0005-0000-0000-000022180000}"/>
    <cellStyle name="Normal 5 2 2 6 2" xfId="3117" xr:uid="{00000000-0005-0000-0000-000023180000}"/>
    <cellStyle name="Normal 5 2 2 6 2 2" xfId="7339" xr:uid="{00000000-0005-0000-0000-000024180000}"/>
    <cellStyle name="Normal 5 2 2 6 2 2 2" xfId="24237" xr:uid="{EB85AA4A-966E-4AD9-8128-3F3CED26EE51}"/>
    <cellStyle name="Normal 5 2 2 6 2 2 3" xfId="15789" xr:uid="{140F1581-5DF7-432F-8EB6-A339CD19356A}"/>
    <cellStyle name="Normal 5 2 2 6 2 3" xfId="20019" xr:uid="{45153930-C395-4A4B-87C3-C1B1D8994649}"/>
    <cellStyle name="Normal 5 2 2 6 2 4" xfId="11571" xr:uid="{6A15894E-BAE0-4E93-8B5D-3B1A7A3E7CC3}"/>
    <cellStyle name="Normal 5 2 2 6 3" xfId="5194" xr:uid="{00000000-0005-0000-0000-000025180000}"/>
    <cellStyle name="Normal 5 2 2 6 3 2" xfId="22092" xr:uid="{23AFBA24-6DE3-45D4-94BB-5FC03419A021}"/>
    <cellStyle name="Normal 5 2 2 6 3 3" xfId="13644" xr:uid="{8E0F3CB4-C81A-46A1-84BF-3A1C227E79B4}"/>
    <cellStyle name="Normal 5 2 2 6 4" xfId="17874" xr:uid="{D2312A44-494F-4CC7-97E7-627561032641}"/>
    <cellStyle name="Normal 5 2 2 6 5" xfId="9426" xr:uid="{69116023-D79F-47BC-A6E1-04ACE5247FCF}"/>
    <cellStyle name="Normal 5 2 2 7" xfId="1300" xr:uid="{00000000-0005-0000-0000-000026180000}"/>
    <cellStyle name="Normal 5 2 2 7 2" xfId="3530" xr:uid="{00000000-0005-0000-0000-000027180000}"/>
    <cellStyle name="Normal 5 2 2 7 2 2" xfId="7752" xr:uid="{00000000-0005-0000-0000-000028180000}"/>
    <cellStyle name="Normal 5 2 2 7 2 2 2" xfId="24650" xr:uid="{99CCE7AD-30D2-4B37-879D-4A2294905EAB}"/>
    <cellStyle name="Normal 5 2 2 7 2 2 3" xfId="16202" xr:uid="{4F82B62D-9D7A-469E-9DB4-E33158F35F65}"/>
    <cellStyle name="Normal 5 2 2 7 2 3" xfId="20432" xr:uid="{5E1F6424-D1EC-43A8-9651-8A1BB0E993F2}"/>
    <cellStyle name="Normal 5 2 2 7 2 4" xfId="11984" xr:uid="{CC4728AD-943D-4738-B411-A14A92257AA4}"/>
    <cellStyle name="Normal 5 2 2 7 3" xfId="5607" xr:uid="{00000000-0005-0000-0000-000029180000}"/>
    <cellStyle name="Normal 5 2 2 7 3 2" xfId="22505" xr:uid="{AE64A9B0-493B-4F75-BCE7-27FE2B63F1F4}"/>
    <cellStyle name="Normal 5 2 2 7 3 3" xfId="14057" xr:uid="{94B8BB7C-603C-4731-873E-ED236D376985}"/>
    <cellStyle name="Normal 5 2 2 7 4" xfId="18287" xr:uid="{280247B4-248F-400F-B7EE-E612D5641884}"/>
    <cellStyle name="Normal 5 2 2 7 5" xfId="9839" xr:uid="{068CFF48-77C3-4172-A8CA-1E4876186835}"/>
    <cellStyle name="Normal 5 2 2 8" xfId="1713" xr:uid="{00000000-0005-0000-0000-00002A180000}"/>
    <cellStyle name="Normal 5 2 2 8 2" xfId="3943" xr:uid="{00000000-0005-0000-0000-00002B180000}"/>
    <cellStyle name="Normal 5 2 2 8 2 2" xfId="8165" xr:uid="{00000000-0005-0000-0000-00002C180000}"/>
    <cellStyle name="Normal 5 2 2 8 2 2 2" xfId="25063" xr:uid="{6631919F-1EAC-4106-A406-A02E5EAD82FA}"/>
    <cellStyle name="Normal 5 2 2 8 2 2 3" xfId="16615" xr:uid="{A22F8F7A-26D1-4EE6-8F16-1734A84DF8FF}"/>
    <cellStyle name="Normal 5 2 2 8 2 3" xfId="20845" xr:uid="{6C368676-5138-46CB-9196-EA2F50EC7D12}"/>
    <cellStyle name="Normal 5 2 2 8 2 4" xfId="12397" xr:uid="{6C08B7D7-51DC-4774-91A6-1EB69A931655}"/>
    <cellStyle name="Normal 5 2 2 8 3" xfId="6020" xr:uid="{00000000-0005-0000-0000-00002D180000}"/>
    <cellStyle name="Normal 5 2 2 8 3 2" xfId="22918" xr:uid="{9E6EA1B2-ECE5-42C3-A014-AA684E2991A1}"/>
    <cellStyle name="Normal 5 2 2 8 3 3" xfId="14470" xr:uid="{0711D667-4F5A-4564-89E2-2F1FBA19377D}"/>
    <cellStyle name="Normal 5 2 2 8 4" xfId="18700" xr:uid="{CA80905F-2489-45CA-A018-A6F80D46877E}"/>
    <cellStyle name="Normal 5 2 2 8 5" xfId="10252" xr:uid="{5A0A3973-C2D3-43F8-98EC-DB8C6B75B35F}"/>
    <cellStyle name="Normal 5 2 2 9" xfId="2127" xr:uid="{00000000-0005-0000-0000-00002E180000}"/>
    <cellStyle name="Normal 5 2 2 9 2" xfId="4356" xr:uid="{00000000-0005-0000-0000-00002F180000}"/>
    <cellStyle name="Normal 5 2 2 9 2 2" xfId="8578" xr:uid="{00000000-0005-0000-0000-000030180000}"/>
    <cellStyle name="Normal 5 2 2 9 2 2 2" xfId="25476" xr:uid="{280546F2-33EE-490D-A7D9-CB6BC1653959}"/>
    <cellStyle name="Normal 5 2 2 9 2 2 3" xfId="17028" xr:uid="{1A0633CC-F6BF-4EF8-8A4A-DCC1A32A8F67}"/>
    <cellStyle name="Normal 5 2 2 9 2 3" xfId="21258" xr:uid="{26089113-8ECA-4C64-872F-E210073D0DBC}"/>
    <cellStyle name="Normal 5 2 2 9 2 4" xfId="12810" xr:uid="{39FC3EA2-CF75-4884-915B-F0FBA6619E4A}"/>
    <cellStyle name="Normal 5 2 2 9 3" xfId="6433" xr:uid="{00000000-0005-0000-0000-000031180000}"/>
    <cellStyle name="Normal 5 2 2 9 3 2" xfId="23331" xr:uid="{020481EF-2382-4ABC-A073-25580F5C7AE1}"/>
    <cellStyle name="Normal 5 2 2 9 3 3" xfId="14883" xr:uid="{A6233DD7-8941-4DD0-A153-799588DE5450}"/>
    <cellStyle name="Normal 5 2 2 9 4" xfId="19113" xr:uid="{523BBD8A-3904-44BE-AC1B-6DA7F16CB050}"/>
    <cellStyle name="Normal 5 2 2 9 5" xfId="10665" xr:uid="{B7327EAD-D935-4E15-A033-874221F172B6}"/>
    <cellStyle name="Normal 5 2 3" xfId="424" xr:uid="{00000000-0005-0000-0000-000032180000}"/>
    <cellStyle name="Normal 5 2 3 10" xfId="4797" xr:uid="{00000000-0005-0000-0000-000033180000}"/>
    <cellStyle name="Normal 5 2 3 10 2" xfId="21695" xr:uid="{E54472E5-E448-4EA1-B942-58FF96ECABAB}"/>
    <cellStyle name="Normal 5 2 3 10 3" xfId="13247" xr:uid="{B402274A-21C6-4529-9746-E92A89AE0823}"/>
    <cellStyle name="Normal 5 2 3 11" xfId="17477" xr:uid="{47B49DF7-5D70-43A7-81C3-001FB87AA427}"/>
    <cellStyle name="Normal 5 2 3 12" xfId="9029" xr:uid="{68DFC4CA-227D-48E7-BA2F-FFC6B0EC2BAA}"/>
    <cellStyle name="Normal 5 2 3 2" xfId="425" xr:uid="{00000000-0005-0000-0000-000034180000}"/>
    <cellStyle name="Normal 5 2 3 2 10" xfId="17478" xr:uid="{801FD453-B830-4051-889C-AB6634EE3D28}"/>
    <cellStyle name="Normal 5 2 3 2 11" xfId="9030" xr:uid="{921F275B-BE13-4BA0-BD57-874441DE7038}"/>
    <cellStyle name="Normal 5 2 3 2 2" xfId="426" xr:uid="{00000000-0005-0000-0000-000035180000}"/>
    <cellStyle name="Normal 5 2 3 2 2 10" xfId="9031" xr:uid="{3C4CD5E5-7300-45BE-BAD6-18486FBE972E}"/>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24256" xr:uid="{EDEFE712-2D5C-4A70-88EA-E3833C15BCEA}"/>
    <cellStyle name="Normal 5 2 3 2 2 2 2 2 2 3" xfId="15808" xr:uid="{DEE4F311-3BAD-491F-A6B8-0369F370DE50}"/>
    <cellStyle name="Normal 5 2 3 2 2 2 2 2 3" xfId="20038" xr:uid="{580CEE79-40D6-4409-A12D-8DCFB0E6350A}"/>
    <cellStyle name="Normal 5 2 3 2 2 2 2 2 4" xfId="11590" xr:uid="{499F88F4-3322-437E-BD8F-D721F440C6ED}"/>
    <cellStyle name="Normal 5 2 3 2 2 2 2 3" xfId="5213" xr:uid="{00000000-0005-0000-0000-00003A180000}"/>
    <cellStyle name="Normal 5 2 3 2 2 2 2 3 2" xfId="22111" xr:uid="{605820A1-E954-4B74-B718-F078409BA2E8}"/>
    <cellStyle name="Normal 5 2 3 2 2 2 2 3 3" xfId="13663" xr:uid="{79AA6B51-FF22-4324-B34A-48F519E3BB1F}"/>
    <cellStyle name="Normal 5 2 3 2 2 2 2 4" xfId="17893" xr:uid="{54773C4E-2CB7-4CB3-8868-84016022953C}"/>
    <cellStyle name="Normal 5 2 3 2 2 2 2 5" xfId="9445" xr:uid="{07168600-8D48-4A00-8034-3628FFE63ECA}"/>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24669" xr:uid="{70E2E918-713A-40EC-B7E6-DCB468381D19}"/>
    <cellStyle name="Normal 5 2 3 2 2 2 3 2 2 3" xfId="16221" xr:uid="{099451E0-5114-4E28-9ACA-00B5A840C42F}"/>
    <cellStyle name="Normal 5 2 3 2 2 2 3 2 3" xfId="20451" xr:uid="{87A9FFC8-9414-465F-9661-6202D20C7DC9}"/>
    <cellStyle name="Normal 5 2 3 2 2 2 3 2 4" xfId="12003" xr:uid="{3D9CD450-71AC-483C-A8D6-5B7179537FBB}"/>
    <cellStyle name="Normal 5 2 3 2 2 2 3 3" xfId="5626" xr:uid="{00000000-0005-0000-0000-00003E180000}"/>
    <cellStyle name="Normal 5 2 3 2 2 2 3 3 2" xfId="22524" xr:uid="{B7AD696F-E104-47A7-A436-EEB58AFD9DA2}"/>
    <cellStyle name="Normal 5 2 3 2 2 2 3 3 3" xfId="14076" xr:uid="{83952B60-90FA-48CC-B862-148C935A8F26}"/>
    <cellStyle name="Normal 5 2 3 2 2 2 3 4" xfId="18306" xr:uid="{712163E6-6DB8-4AB8-811C-B82E223BE971}"/>
    <cellStyle name="Normal 5 2 3 2 2 2 3 5" xfId="9858" xr:uid="{B82A59B8-B3E9-4667-B5B1-9D3EEDE757C6}"/>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25082" xr:uid="{353955F0-6600-47E4-B771-E93D381467AA}"/>
    <cellStyle name="Normal 5 2 3 2 2 2 4 2 2 3" xfId="16634" xr:uid="{09C35B45-B87F-448E-ACB3-F833AC29874A}"/>
    <cellStyle name="Normal 5 2 3 2 2 2 4 2 3" xfId="20864" xr:uid="{9BB4DF9C-EB4C-4EEA-985D-B90627FCC96B}"/>
    <cellStyle name="Normal 5 2 3 2 2 2 4 2 4" xfId="12416" xr:uid="{5ADB740B-C209-4380-B0C4-A2543F2E82AF}"/>
    <cellStyle name="Normal 5 2 3 2 2 2 4 3" xfId="6039" xr:uid="{00000000-0005-0000-0000-000042180000}"/>
    <cellStyle name="Normal 5 2 3 2 2 2 4 3 2" xfId="22937" xr:uid="{9FA2D3FE-E6BE-4B6B-833B-A6968427AF89}"/>
    <cellStyle name="Normal 5 2 3 2 2 2 4 3 3" xfId="14489" xr:uid="{2DF438C0-9BC1-4108-867F-EE699C02D367}"/>
    <cellStyle name="Normal 5 2 3 2 2 2 4 4" xfId="18719" xr:uid="{4F34E024-A318-4A7F-8F6F-B486735139FB}"/>
    <cellStyle name="Normal 5 2 3 2 2 2 4 5" xfId="10271" xr:uid="{FD2D81E4-7B1A-41F4-BD28-02CBD53338B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25495" xr:uid="{93B57137-6B1E-4296-B61F-0F2B95A87CA9}"/>
    <cellStyle name="Normal 5 2 3 2 2 2 5 2 2 3" xfId="17047" xr:uid="{C9FE9CAD-4141-47B7-9952-140FFF4DF145}"/>
    <cellStyle name="Normal 5 2 3 2 2 2 5 2 3" xfId="21277" xr:uid="{ED344D4B-D761-4C41-8581-4026F5F6A58C}"/>
    <cellStyle name="Normal 5 2 3 2 2 2 5 2 4" xfId="12829" xr:uid="{DD488ADB-47CE-4674-9F43-7B2FFEB7B7A5}"/>
    <cellStyle name="Normal 5 2 3 2 2 2 5 3" xfId="6452" xr:uid="{00000000-0005-0000-0000-000046180000}"/>
    <cellStyle name="Normal 5 2 3 2 2 2 5 3 2" xfId="23350" xr:uid="{7724A5A7-B27D-4F57-B377-1E3141F7B340}"/>
    <cellStyle name="Normal 5 2 3 2 2 2 5 3 3" xfId="14902" xr:uid="{6E3B633B-FDF2-4594-B095-4D8144E6887A}"/>
    <cellStyle name="Normal 5 2 3 2 2 2 5 4" xfId="19132" xr:uid="{67FFA84C-205C-437C-ADA4-7ED6D7513EB6}"/>
    <cellStyle name="Normal 5 2 3 2 2 2 5 5" xfId="10684" xr:uid="{DA393C1E-0B6E-4C49-A8BB-B79E88996669}"/>
    <cellStyle name="Normal 5 2 3 2 2 2 6" xfId="2582" xr:uid="{00000000-0005-0000-0000-000047180000}"/>
    <cellStyle name="Normal 5 2 3 2 2 2 6 2" xfId="6865" xr:uid="{00000000-0005-0000-0000-000048180000}"/>
    <cellStyle name="Normal 5 2 3 2 2 2 6 2 2" xfId="23763" xr:uid="{90335436-4509-429C-AE5D-7E86F401D805}"/>
    <cellStyle name="Normal 5 2 3 2 2 2 6 2 3" xfId="15315" xr:uid="{78FDD54F-A2ED-4D71-BC9A-4A01C51EE081}"/>
    <cellStyle name="Normal 5 2 3 2 2 2 6 3" xfId="19545" xr:uid="{CD57F9F6-E240-4AE1-BBDE-C7CC51342800}"/>
    <cellStyle name="Normal 5 2 3 2 2 2 6 4" xfId="11097" xr:uid="{690EFBDC-35F5-4912-A92E-1DD903137308}"/>
    <cellStyle name="Normal 5 2 3 2 2 2 7" xfId="4800" xr:uid="{00000000-0005-0000-0000-000049180000}"/>
    <cellStyle name="Normal 5 2 3 2 2 2 7 2" xfId="21698" xr:uid="{755E6E9A-6274-482F-AA0F-F814010E7B67}"/>
    <cellStyle name="Normal 5 2 3 2 2 2 7 3" xfId="13250" xr:uid="{88613AAC-18F7-4058-BD3D-A4DA74C0F117}"/>
    <cellStyle name="Normal 5 2 3 2 2 2 8" xfId="17480" xr:uid="{7567E985-8C3B-4383-B7E4-022A89593AE2}"/>
    <cellStyle name="Normal 5 2 3 2 2 2 9" xfId="9032" xr:uid="{73F8C438-0C0A-458A-9899-D7DC37CE48A8}"/>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24255" xr:uid="{109DF880-795E-4069-B782-1EA1EBB3C715}"/>
    <cellStyle name="Normal 5 2 3 2 2 3 2 2 3" xfId="15807" xr:uid="{5FA0027E-1207-47CC-8D73-42597EF01D17}"/>
    <cellStyle name="Normal 5 2 3 2 2 3 2 3" xfId="20037" xr:uid="{382BF0CB-A7C0-487D-A062-6264097CA178}"/>
    <cellStyle name="Normal 5 2 3 2 2 3 2 4" xfId="11589" xr:uid="{F1DA8446-D7A0-4D0D-B68D-A687C472CF21}"/>
    <cellStyle name="Normal 5 2 3 2 2 3 3" xfId="5212" xr:uid="{00000000-0005-0000-0000-00004D180000}"/>
    <cellStyle name="Normal 5 2 3 2 2 3 3 2" xfId="22110" xr:uid="{5FBB5F83-CD09-4CEB-B099-D561C1CBE694}"/>
    <cellStyle name="Normal 5 2 3 2 2 3 3 3" xfId="13662" xr:uid="{8CA81724-D8DA-41BD-80A1-9DA6554090C0}"/>
    <cellStyle name="Normal 5 2 3 2 2 3 4" xfId="17892" xr:uid="{A38E67F3-210A-4344-8B2C-0356587A2686}"/>
    <cellStyle name="Normal 5 2 3 2 2 3 5" xfId="9444" xr:uid="{BAAE8080-A052-4B99-B1B8-7BEE1E4983B7}"/>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24668" xr:uid="{32739564-64EA-4932-AE8C-70DEAC33200D}"/>
    <cellStyle name="Normal 5 2 3 2 2 4 2 2 3" xfId="16220" xr:uid="{48F8FC62-F28D-4753-9CFA-10FDC95233B0}"/>
    <cellStyle name="Normal 5 2 3 2 2 4 2 3" xfId="20450" xr:uid="{8FDADE2D-4E4B-4600-A958-D19EB6F5BF9E}"/>
    <cellStyle name="Normal 5 2 3 2 2 4 2 4" xfId="12002" xr:uid="{76B90914-C20F-4617-98CB-8A8FC9A78E2E}"/>
    <cellStyle name="Normal 5 2 3 2 2 4 3" xfId="5625" xr:uid="{00000000-0005-0000-0000-000051180000}"/>
    <cellStyle name="Normal 5 2 3 2 2 4 3 2" xfId="22523" xr:uid="{D5D81B4A-A825-4CE0-B23F-ED2C16A5554A}"/>
    <cellStyle name="Normal 5 2 3 2 2 4 3 3" xfId="14075" xr:uid="{637A4E03-4B21-4F11-BB4A-851BE8D148B9}"/>
    <cellStyle name="Normal 5 2 3 2 2 4 4" xfId="18305" xr:uid="{B818EC51-699F-4A27-91AD-B607BBBC149F}"/>
    <cellStyle name="Normal 5 2 3 2 2 4 5" xfId="9857" xr:uid="{7E32B4B5-8C05-4E48-B79F-2013663057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25081" xr:uid="{781D6F61-31A0-4D1B-B0AD-F5AFA072731C}"/>
    <cellStyle name="Normal 5 2 3 2 2 5 2 2 3" xfId="16633" xr:uid="{C38D3ABA-2710-4CD5-8A9A-F04FD4C8222D}"/>
    <cellStyle name="Normal 5 2 3 2 2 5 2 3" xfId="20863" xr:uid="{1651DFAF-A244-447D-BA57-CF8E2A2CB0ED}"/>
    <cellStyle name="Normal 5 2 3 2 2 5 2 4" xfId="12415" xr:uid="{70069395-C426-4937-A514-41B7FEF0D778}"/>
    <cellStyle name="Normal 5 2 3 2 2 5 3" xfId="6038" xr:uid="{00000000-0005-0000-0000-000055180000}"/>
    <cellStyle name="Normal 5 2 3 2 2 5 3 2" xfId="22936" xr:uid="{C1D5E39F-FAF8-4EB8-A9E5-49497066CCEC}"/>
    <cellStyle name="Normal 5 2 3 2 2 5 3 3" xfId="14488" xr:uid="{838D8010-19F4-4937-886D-131653F7873D}"/>
    <cellStyle name="Normal 5 2 3 2 2 5 4" xfId="18718" xr:uid="{92A88E7A-074C-47BB-BF5D-DF6FBF449681}"/>
    <cellStyle name="Normal 5 2 3 2 2 5 5" xfId="10270" xr:uid="{4A023B98-8C85-4A4D-8559-813BDB9F755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25494" xr:uid="{4759067F-81E0-4C06-AFF4-BDD1C0BACE8C}"/>
    <cellStyle name="Normal 5 2 3 2 2 6 2 2 3" xfId="17046" xr:uid="{7ADA5C33-7A70-499F-B630-D925790C8A36}"/>
    <cellStyle name="Normal 5 2 3 2 2 6 2 3" xfId="21276" xr:uid="{FEE90B81-094D-4AE2-99FC-D6197F1436DF}"/>
    <cellStyle name="Normal 5 2 3 2 2 6 2 4" xfId="12828" xr:uid="{0ECA8CEF-DB26-4790-BC74-2E6BC03B677D}"/>
    <cellStyle name="Normal 5 2 3 2 2 6 3" xfId="6451" xr:uid="{00000000-0005-0000-0000-000059180000}"/>
    <cellStyle name="Normal 5 2 3 2 2 6 3 2" xfId="23349" xr:uid="{E1D382B5-359E-4473-B321-4AE28D908F5A}"/>
    <cellStyle name="Normal 5 2 3 2 2 6 3 3" xfId="14901" xr:uid="{C5C993F8-DD40-483E-A0F2-2E1F00F6E019}"/>
    <cellStyle name="Normal 5 2 3 2 2 6 4" xfId="19131" xr:uid="{602AC908-94DB-4A28-B1BE-29BE9FC28941}"/>
    <cellStyle name="Normal 5 2 3 2 2 6 5" xfId="10683" xr:uid="{582E477D-7216-4C1D-8232-F485A2FF36C3}"/>
    <cellStyle name="Normal 5 2 3 2 2 7" xfId="2581" xr:uid="{00000000-0005-0000-0000-00005A180000}"/>
    <cellStyle name="Normal 5 2 3 2 2 7 2" xfId="6864" xr:uid="{00000000-0005-0000-0000-00005B180000}"/>
    <cellStyle name="Normal 5 2 3 2 2 7 2 2" xfId="23762" xr:uid="{198A5219-E073-4937-9BD7-101B36E32433}"/>
    <cellStyle name="Normal 5 2 3 2 2 7 2 3" xfId="15314" xr:uid="{E5911084-43E2-45DE-8EEF-AB6A084A00E2}"/>
    <cellStyle name="Normal 5 2 3 2 2 7 3" xfId="19544" xr:uid="{938DC314-1F03-4F9F-8E6A-A61508C229B7}"/>
    <cellStyle name="Normal 5 2 3 2 2 7 4" xfId="11096" xr:uid="{F787E65F-4A86-4096-91B6-97228193C86A}"/>
    <cellStyle name="Normal 5 2 3 2 2 8" xfId="4799" xr:uid="{00000000-0005-0000-0000-00005C180000}"/>
    <cellStyle name="Normal 5 2 3 2 2 8 2" xfId="21697" xr:uid="{A0046514-FA1E-4862-9DE2-5C31B4436E86}"/>
    <cellStyle name="Normal 5 2 3 2 2 8 3" xfId="13249" xr:uid="{A94B8F8B-26DB-4E5F-9D62-B87AFC236A8F}"/>
    <cellStyle name="Normal 5 2 3 2 2 9" xfId="17479" xr:uid="{23E87C37-2ACE-4CE3-BB05-B33C38A80FCC}"/>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24257" xr:uid="{BD0DA0E4-7E48-43EA-B4E8-1E6E4317D61F}"/>
    <cellStyle name="Normal 5 2 3 2 3 2 2 2 3" xfId="15809" xr:uid="{E7B8D7B0-7A4F-44CC-BBFC-C7E6E639115A}"/>
    <cellStyle name="Normal 5 2 3 2 3 2 2 3" xfId="20039" xr:uid="{5CB51C9D-8328-4AF7-9B88-0C78A57C5670}"/>
    <cellStyle name="Normal 5 2 3 2 3 2 2 4" xfId="11591" xr:uid="{8A3FB16A-370F-4376-A964-2500591E8045}"/>
    <cellStyle name="Normal 5 2 3 2 3 2 3" xfId="5214" xr:uid="{00000000-0005-0000-0000-000061180000}"/>
    <cellStyle name="Normal 5 2 3 2 3 2 3 2" xfId="22112" xr:uid="{65F639E6-82BD-4C27-AE4B-D6531362579F}"/>
    <cellStyle name="Normal 5 2 3 2 3 2 3 3" xfId="13664" xr:uid="{DE0BF9AB-E57F-486A-8CBE-700BFA78122B}"/>
    <cellStyle name="Normal 5 2 3 2 3 2 4" xfId="17894" xr:uid="{D8C7A282-4EAF-41B6-AEBB-BF15E9E27E51}"/>
    <cellStyle name="Normal 5 2 3 2 3 2 5" xfId="9446" xr:uid="{F8F40A1D-BF61-474D-B46B-13E279DF178E}"/>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24670" xr:uid="{9981CE42-F676-4AA3-BD7B-F57A3677FCF3}"/>
    <cellStyle name="Normal 5 2 3 2 3 3 2 2 3" xfId="16222" xr:uid="{BD549836-D69A-4160-9DFD-2913851350D5}"/>
    <cellStyle name="Normal 5 2 3 2 3 3 2 3" xfId="20452" xr:uid="{BAEDD34C-9E0D-443F-BDDC-FEEFD3B0F446}"/>
    <cellStyle name="Normal 5 2 3 2 3 3 2 4" xfId="12004" xr:uid="{1B472FBA-EC61-455B-90AC-D3C0BEEDF97D}"/>
    <cellStyle name="Normal 5 2 3 2 3 3 3" xfId="5627" xr:uid="{00000000-0005-0000-0000-000065180000}"/>
    <cellStyle name="Normal 5 2 3 2 3 3 3 2" xfId="22525" xr:uid="{E5DD08E0-5338-4B17-A9CB-80A836FC85CB}"/>
    <cellStyle name="Normal 5 2 3 2 3 3 3 3" xfId="14077" xr:uid="{9A975097-953A-4B1B-B20E-B458A134A1BB}"/>
    <cellStyle name="Normal 5 2 3 2 3 3 4" xfId="18307" xr:uid="{A3F821FE-5C67-48BE-BF25-2E2C390456C3}"/>
    <cellStyle name="Normal 5 2 3 2 3 3 5" xfId="9859" xr:uid="{150644A5-3D10-4060-B4BF-3B4B60059631}"/>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25083" xr:uid="{80DE8872-E53B-468F-9390-0DCA9A5C59F6}"/>
    <cellStyle name="Normal 5 2 3 2 3 4 2 2 3" xfId="16635" xr:uid="{71AAD62A-20D8-4D79-B8CA-6CA363A1A8F8}"/>
    <cellStyle name="Normal 5 2 3 2 3 4 2 3" xfId="20865" xr:uid="{D4DD3085-148F-4F43-AF02-AA5C6ACE9E95}"/>
    <cellStyle name="Normal 5 2 3 2 3 4 2 4" xfId="12417" xr:uid="{16C4EDD6-E1E2-4C7C-BCE0-942180333FFC}"/>
    <cellStyle name="Normal 5 2 3 2 3 4 3" xfId="6040" xr:uid="{00000000-0005-0000-0000-000069180000}"/>
    <cellStyle name="Normal 5 2 3 2 3 4 3 2" xfId="22938" xr:uid="{EF560982-D9A2-479E-BA62-39A548B8570B}"/>
    <cellStyle name="Normal 5 2 3 2 3 4 3 3" xfId="14490" xr:uid="{F9E57B8C-1B49-4E1A-9639-BB099CB3DEFE}"/>
    <cellStyle name="Normal 5 2 3 2 3 4 4" xfId="18720" xr:uid="{82DB2CFF-2BE0-41F7-9292-20476B30AE49}"/>
    <cellStyle name="Normal 5 2 3 2 3 4 5" xfId="10272" xr:uid="{E6233A6C-CFF7-46F8-A74A-C9A6C1D95E3E}"/>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25496" xr:uid="{41F123B6-16E5-48EE-A548-F205FFA7B724}"/>
    <cellStyle name="Normal 5 2 3 2 3 5 2 2 3" xfId="17048" xr:uid="{75AB2CE5-117B-402A-A4B1-0F02932D5187}"/>
    <cellStyle name="Normal 5 2 3 2 3 5 2 3" xfId="21278" xr:uid="{1E0D0110-0551-4BAA-A3B9-B4F9EBE30B23}"/>
    <cellStyle name="Normal 5 2 3 2 3 5 2 4" xfId="12830" xr:uid="{7E6AD791-999A-4C4B-9DCA-02A13F01AB76}"/>
    <cellStyle name="Normal 5 2 3 2 3 5 3" xfId="6453" xr:uid="{00000000-0005-0000-0000-00006D180000}"/>
    <cellStyle name="Normal 5 2 3 2 3 5 3 2" xfId="23351" xr:uid="{7A133A0C-84D6-4AD1-B0F7-CE58EDA0C14B}"/>
    <cellStyle name="Normal 5 2 3 2 3 5 3 3" xfId="14903" xr:uid="{32A268A5-F24F-44B1-AA89-415C649FA00D}"/>
    <cellStyle name="Normal 5 2 3 2 3 5 4" xfId="19133" xr:uid="{258C94FB-8FFB-4EA6-B86F-8B6B84F38F85}"/>
    <cellStyle name="Normal 5 2 3 2 3 5 5" xfId="10685" xr:uid="{4024A999-437D-4FB5-AE34-414BCD2B3148}"/>
    <cellStyle name="Normal 5 2 3 2 3 6" xfId="2583" xr:uid="{00000000-0005-0000-0000-00006E180000}"/>
    <cellStyle name="Normal 5 2 3 2 3 6 2" xfId="6866" xr:uid="{00000000-0005-0000-0000-00006F180000}"/>
    <cellStyle name="Normal 5 2 3 2 3 6 2 2" xfId="23764" xr:uid="{2B3784F8-CD65-4B1B-92A4-E71952403086}"/>
    <cellStyle name="Normal 5 2 3 2 3 6 2 3" xfId="15316" xr:uid="{1C06D366-2B83-4889-84F8-B5EACAD997BE}"/>
    <cellStyle name="Normal 5 2 3 2 3 6 3" xfId="19546" xr:uid="{8D080686-3E3F-4C27-A9F3-F4CA08316A65}"/>
    <cellStyle name="Normal 5 2 3 2 3 6 4" xfId="11098" xr:uid="{F0DC23D2-A969-4162-8009-72987BB358CA}"/>
    <cellStyle name="Normal 5 2 3 2 3 7" xfId="4801" xr:uid="{00000000-0005-0000-0000-000070180000}"/>
    <cellStyle name="Normal 5 2 3 2 3 7 2" xfId="21699" xr:uid="{6FD4A301-5E5B-4938-8152-737CF680D265}"/>
    <cellStyle name="Normal 5 2 3 2 3 7 3" xfId="13251" xr:uid="{74CB84E6-1A8F-4E98-B677-00E3E959E53D}"/>
    <cellStyle name="Normal 5 2 3 2 3 8" xfId="17481" xr:uid="{7A7F1CF7-6F68-4913-88CD-AAAB623BB6D7}"/>
    <cellStyle name="Normal 5 2 3 2 3 9" xfId="9033" xr:uid="{E5044954-2E15-402B-A000-E55B73E08565}"/>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24254" xr:uid="{0C10EE2A-0DA5-42F8-B4A0-8D175C586EBE}"/>
    <cellStyle name="Normal 5 2 3 2 4 2 2 3" xfId="15806" xr:uid="{04CFF468-CBDB-4742-A331-AA632CA8858D}"/>
    <cellStyle name="Normal 5 2 3 2 4 2 3" xfId="20036" xr:uid="{5B11118A-FD49-47EB-B52A-7B2439239B59}"/>
    <cellStyle name="Normal 5 2 3 2 4 2 4" xfId="11588" xr:uid="{CF522E56-4034-4F8F-A394-286AFAB11B1B}"/>
    <cellStyle name="Normal 5 2 3 2 4 3" xfId="5211" xr:uid="{00000000-0005-0000-0000-000074180000}"/>
    <cellStyle name="Normal 5 2 3 2 4 3 2" xfId="22109" xr:uid="{895CA130-1116-4DD4-A604-74071F6E502B}"/>
    <cellStyle name="Normal 5 2 3 2 4 3 3" xfId="13661" xr:uid="{E83AA547-FE6C-4AE3-8670-3660085E4D72}"/>
    <cellStyle name="Normal 5 2 3 2 4 4" xfId="17891" xr:uid="{18FA4E92-A864-4A87-9535-846A642596B6}"/>
    <cellStyle name="Normal 5 2 3 2 4 5" xfId="9443" xr:uid="{A95320C1-79F6-4D7A-90AE-B842954BE21F}"/>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24667" xr:uid="{8B46514A-22A8-42C6-9FB3-1FBF8F9FAB11}"/>
    <cellStyle name="Normal 5 2 3 2 5 2 2 3" xfId="16219" xr:uid="{6725ABE3-90EA-4DA4-ABD6-49B43025F186}"/>
    <cellStyle name="Normal 5 2 3 2 5 2 3" xfId="20449" xr:uid="{B173E12C-A7E0-47AD-A879-E6C566B94A30}"/>
    <cellStyle name="Normal 5 2 3 2 5 2 4" xfId="12001" xr:uid="{149E4DBB-1BFD-42D3-B923-FB0388E32737}"/>
    <cellStyle name="Normal 5 2 3 2 5 3" xfId="5624" xr:uid="{00000000-0005-0000-0000-000078180000}"/>
    <cellStyle name="Normal 5 2 3 2 5 3 2" xfId="22522" xr:uid="{517240D6-037D-4473-97D4-B5CB773E472C}"/>
    <cellStyle name="Normal 5 2 3 2 5 3 3" xfId="14074" xr:uid="{F2258002-EBC9-4B31-8337-222C571473C7}"/>
    <cellStyle name="Normal 5 2 3 2 5 4" xfId="18304" xr:uid="{F3A81D7F-7AE8-4160-9687-F901CED75664}"/>
    <cellStyle name="Normal 5 2 3 2 5 5" xfId="9856" xr:uid="{1BEBC9C7-9B8C-46B1-9AB8-F38C9B5D1969}"/>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25080" xr:uid="{018133D2-16E5-4A12-BC57-459677BF7D76}"/>
    <cellStyle name="Normal 5 2 3 2 6 2 2 3" xfId="16632" xr:uid="{07F37251-5BC9-4DF6-AFBA-AFADAED195E1}"/>
    <cellStyle name="Normal 5 2 3 2 6 2 3" xfId="20862" xr:uid="{EDE1BD84-0563-4571-BACC-3CAD53002FA1}"/>
    <cellStyle name="Normal 5 2 3 2 6 2 4" xfId="12414" xr:uid="{3AFD6A40-1FD7-4FEC-AF41-58298C6D5AB1}"/>
    <cellStyle name="Normal 5 2 3 2 6 3" xfId="6037" xr:uid="{00000000-0005-0000-0000-00007C180000}"/>
    <cellStyle name="Normal 5 2 3 2 6 3 2" xfId="22935" xr:uid="{969AC485-D509-491A-A538-3980D1A695D9}"/>
    <cellStyle name="Normal 5 2 3 2 6 3 3" xfId="14487" xr:uid="{E05DB3C1-3961-4720-8AE5-A6D60DD1F06C}"/>
    <cellStyle name="Normal 5 2 3 2 6 4" xfId="18717" xr:uid="{55A95923-BF3F-4100-8A22-C01C90A7C163}"/>
    <cellStyle name="Normal 5 2 3 2 6 5" xfId="10269" xr:uid="{1F34EC2A-3773-4BA6-8963-87466FD21894}"/>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25493" xr:uid="{FDE3BDFF-96E0-4107-88C2-C7B8E701D52D}"/>
    <cellStyle name="Normal 5 2 3 2 7 2 2 3" xfId="17045" xr:uid="{E9D2B071-A1B0-41E7-96CE-DB605D808E8D}"/>
    <cellStyle name="Normal 5 2 3 2 7 2 3" xfId="21275" xr:uid="{48AD01F6-1A2C-44F5-BC5E-4E4F796E000D}"/>
    <cellStyle name="Normal 5 2 3 2 7 2 4" xfId="12827" xr:uid="{70B9763A-6B04-4450-B035-2F65ED992BEE}"/>
    <cellStyle name="Normal 5 2 3 2 7 3" xfId="6450" xr:uid="{00000000-0005-0000-0000-000080180000}"/>
    <cellStyle name="Normal 5 2 3 2 7 3 2" xfId="23348" xr:uid="{C6543E9E-8F02-4296-8A09-ABC9BED1127D}"/>
    <cellStyle name="Normal 5 2 3 2 7 3 3" xfId="14900" xr:uid="{355CD779-E131-400F-940D-FF7D7107A3EB}"/>
    <cellStyle name="Normal 5 2 3 2 7 4" xfId="19130" xr:uid="{ABE45EE3-58E3-4285-B4E4-2F643F6CE0DE}"/>
    <cellStyle name="Normal 5 2 3 2 7 5" xfId="10682" xr:uid="{882969B3-62A0-4D8D-B77A-AC8344C5F142}"/>
    <cellStyle name="Normal 5 2 3 2 8" xfId="2580" xr:uid="{00000000-0005-0000-0000-000081180000}"/>
    <cellStyle name="Normal 5 2 3 2 8 2" xfId="6863" xr:uid="{00000000-0005-0000-0000-000082180000}"/>
    <cellStyle name="Normal 5 2 3 2 8 2 2" xfId="23761" xr:uid="{39AD651A-92BF-4FB5-9357-2AF25EF8CB4A}"/>
    <cellStyle name="Normal 5 2 3 2 8 2 3" xfId="15313" xr:uid="{4EC3577C-972A-4C98-B6C7-7D6442320F55}"/>
    <cellStyle name="Normal 5 2 3 2 8 3" xfId="19543" xr:uid="{00C531EC-3800-40E9-8EEA-A79FF59A77CB}"/>
    <cellStyle name="Normal 5 2 3 2 8 4" xfId="11095" xr:uid="{E0C02845-BC58-4AE2-B585-F49D9FAFB3E0}"/>
    <cellStyle name="Normal 5 2 3 2 9" xfId="4798" xr:uid="{00000000-0005-0000-0000-000083180000}"/>
    <cellStyle name="Normal 5 2 3 2 9 2" xfId="21696" xr:uid="{B89BFB71-2175-4EFA-B80A-4E7B13341B91}"/>
    <cellStyle name="Normal 5 2 3 2 9 3" xfId="13248" xr:uid="{0FEC5DB5-9ECC-4FF0-8488-9B08A27AC5D8}"/>
    <cellStyle name="Normal 5 2 3 3" xfId="429" xr:uid="{00000000-0005-0000-0000-000084180000}"/>
    <cellStyle name="Normal 5 2 3 3 10" xfId="9034" xr:uid="{B05DECA2-E7B6-46D6-B485-AE4D3568179A}"/>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24259" xr:uid="{13AF6DEA-C06F-4D12-B80E-0555F09648E1}"/>
    <cellStyle name="Normal 5 2 3 3 2 2 2 2 3" xfId="15811" xr:uid="{D23DB4E9-2978-4529-AED7-3A0EDD6CDD71}"/>
    <cellStyle name="Normal 5 2 3 3 2 2 2 3" xfId="20041" xr:uid="{7E28763A-C3A7-4004-B7A8-57C73F2C2576}"/>
    <cellStyle name="Normal 5 2 3 3 2 2 2 4" xfId="11593" xr:uid="{9503A39D-B189-42CF-844D-DB394CC66D66}"/>
    <cellStyle name="Normal 5 2 3 3 2 2 3" xfId="5216" xr:uid="{00000000-0005-0000-0000-000089180000}"/>
    <cellStyle name="Normal 5 2 3 3 2 2 3 2" xfId="22114" xr:uid="{6DB560B5-A9CE-48ED-B20D-71246167BC9E}"/>
    <cellStyle name="Normal 5 2 3 3 2 2 3 3" xfId="13666" xr:uid="{7549918C-622F-4E08-9BEF-4AD5DDCD2882}"/>
    <cellStyle name="Normal 5 2 3 3 2 2 4" xfId="17896" xr:uid="{5A848D72-B30A-4D43-AB5E-998671C8B51E}"/>
    <cellStyle name="Normal 5 2 3 3 2 2 5" xfId="9448" xr:uid="{22696BB0-6134-4601-8647-1AC026CBFA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24672" xr:uid="{21F45DCC-1721-4EBD-A87E-1AF08B94E646}"/>
    <cellStyle name="Normal 5 2 3 3 2 3 2 2 3" xfId="16224" xr:uid="{FD182F89-59C7-4EE4-89B9-1D4BE0F6E4EC}"/>
    <cellStyle name="Normal 5 2 3 3 2 3 2 3" xfId="20454" xr:uid="{9B5F4FF7-1E23-4EFD-928B-9A5BEEAB7A97}"/>
    <cellStyle name="Normal 5 2 3 3 2 3 2 4" xfId="12006" xr:uid="{C593DC73-F1E2-43FD-86EB-E7ABE60D21D9}"/>
    <cellStyle name="Normal 5 2 3 3 2 3 3" xfId="5629" xr:uid="{00000000-0005-0000-0000-00008D180000}"/>
    <cellStyle name="Normal 5 2 3 3 2 3 3 2" xfId="22527" xr:uid="{E8FE438B-641A-4045-8800-18FEEDE9CB04}"/>
    <cellStyle name="Normal 5 2 3 3 2 3 3 3" xfId="14079" xr:uid="{2953F9F6-AE3F-4073-A1AD-67A0AD5F21F0}"/>
    <cellStyle name="Normal 5 2 3 3 2 3 4" xfId="18309" xr:uid="{34AF1528-4691-4E8B-A5C3-E8CA4DEB1038}"/>
    <cellStyle name="Normal 5 2 3 3 2 3 5" xfId="9861" xr:uid="{669A69A5-D5E6-434F-98F4-371121D49A12}"/>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25085" xr:uid="{B5192FCB-E4D0-4B2C-A8F7-405D0B3F7E82}"/>
    <cellStyle name="Normal 5 2 3 3 2 4 2 2 3" xfId="16637" xr:uid="{169D4EB4-3AF5-431D-B553-78DA9816CB6E}"/>
    <cellStyle name="Normal 5 2 3 3 2 4 2 3" xfId="20867" xr:uid="{35227B66-8EFF-43D0-BC6D-7AC75C11FFB6}"/>
    <cellStyle name="Normal 5 2 3 3 2 4 2 4" xfId="12419" xr:uid="{6DC79723-5334-41C0-BE67-0A0B32B57AF9}"/>
    <cellStyle name="Normal 5 2 3 3 2 4 3" xfId="6042" xr:uid="{00000000-0005-0000-0000-000091180000}"/>
    <cellStyle name="Normal 5 2 3 3 2 4 3 2" xfId="22940" xr:uid="{BA71A9D2-4745-4830-BF19-4F31F7DBC113}"/>
    <cellStyle name="Normal 5 2 3 3 2 4 3 3" xfId="14492" xr:uid="{E21A1408-59F9-4D26-9F43-709DD62A0286}"/>
    <cellStyle name="Normal 5 2 3 3 2 4 4" xfId="18722" xr:uid="{AFDD5B4F-BDD3-4181-8E83-A1B32FD4B092}"/>
    <cellStyle name="Normal 5 2 3 3 2 4 5" xfId="10274" xr:uid="{62FA55EE-99AA-4E5D-9F8D-5D90182E05FD}"/>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25498" xr:uid="{409C40B7-D4BB-40EF-8B9E-386E3064F7B3}"/>
    <cellStyle name="Normal 5 2 3 3 2 5 2 2 3" xfId="17050" xr:uid="{F291B2E0-99A0-4C7E-B28B-956B7128F530}"/>
    <cellStyle name="Normal 5 2 3 3 2 5 2 3" xfId="21280" xr:uid="{3236EAB6-2DB9-4B91-95A1-B5E70E701F6F}"/>
    <cellStyle name="Normal 5 2 3 3 2 5 2 4" xfId="12832" xr:uid="{43D547D0-0382-4A6B-85F1-9BE597B26771}"/>
    <cellStyle name="Normal 5 2 3 3 2 5 3" xfId="6455" xr:uid="{00000000-0005-0000-0000-000095180000}"/>
    <cellStyle name="Normal 5 2 3 3 2 5 3 2" xfId="23353" xr:uid="{310F1E04-C527-42B0-A991-80748412C318}"/>
    <cellStyle name="Normal 5 2 3 3 2 5 3 3" xfId="14905" xr:uid="{03E37CB9-C4DF-44F2-9A39-0AAE52F6269A}"/>
    <cellStyle name="Normal 5 2 3 3 2 5 4" xfId="19135" xr:uid="{504CB927-83FF-490B-A864-89371129A31C}"/>
    <cellStyle name="Normal 5 2 3 3 2 5 5" xfId="10687" xr:uid="{E0997216-CC69-402B-A2EE-5613FBC261C3}"/>
    <cellStyle name="Normal 5 2 3 3 2 6" xfId="2585" xr:uid="{00000000-0005-0000-0000-000096180000}"/>
    <cellStyle name="Normal 5 2 3 3 2 6 2" xfId="6868" xr:uid="{00000000-0005-0000-0000-000097180000}"/>
    <cellStyle name="Normal 5 2 3 3 2 6 2 2" xfId="23766" xr:uid="{9ACB4666-753D-4B2E-8CF9-5A15BD0880BF}"/>
    <cellStyle name="Normal 5 2 3 3 2 6 2 3" xfId="15318" xr:uid="{3C1ABA78-BCB1-4F5F-AC75-95B475A3524C}"/>
    <cellStyle name="Normal 5 2 3 3 2 6 3" xfId="19548" xr:uid="{2A4C9F4E-5DB8-4414-8AB7-D68CCC0D7382}"/>
    <cellStyle name="Normal 5 2 3 3 2 6 4" xfId="11100" xr:uid="{6F134334-74C3-4A41-AC50-110D469B399F}"/>
    <cellStyle name="Normal 5 2 3 3 2 7" xfId="4803" xr:uid="{00000000-0005-0000-0000-000098180000}"/>
    <cellStyle name="Normal 5 2 3 3 2 7 2" xfId="21701" xr:uid="{123965DA-54B1-45DF-8936-D479F78ABEA5}"/>
    <cellStyle name="Normal 5 2 3 3 2 7 3" xfId="13253" xr:uid="{A1EA8A7D-D6A6-4733-8792-C8CF4F72B3D7}"/>
    <cellStyle name="Normal 5 2 3 3 2 8" xfId="17483" xr:uid="{6B56389A-8093-4049-ABD0-9FBCD8B032EA}"/>
    <cellStyle name="Normal 5 2 3 3 2 9" xfId="9035" xr:uid="{BA7A2A1F-79FF-45EC-AF25-B94D6C2A4FB0}"/>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24258" xr:uid="{09832A41-DC07-4A21-B0B4-EFD89772BCA8}"/>
    <cellStyle name="Normal 5 2 3 3 3 2 2 3" xfId="15810" xr:uid="{0745DDF8-E442-477E-AFD2-F1E0CE93561E}"/>
    <cellStyle name="Normal 5 2 3 3 3 2 3" xfId="20040" xr:uid="{0F72B36F-A275-46F1-86DE-A3E9D0716D9B}"/>
    <cellStyle name="Normal 5 2 3 3 3 2 4" xfId="11592" xr:uid="{A75EEFB8-B93E-4022-AD3A-310E7C8D4403}"/>
    <cellStyle name="Normal 5 2 3 3 3 3" xfId="5215" xr:uid="{00000000-0005-0000-0000-00009C180000}"/>
    <cellStyle name="Normal 5 2 3 3 3 3 2" xfId="22113" xr:uid="{CA96238C-3FA5-4989-9D53-BB807841F1F7}"/>
    <cellStyle name="Normal 5 2 3 3 3 3 3" xfId="13665" xr:uid="{DFB7147E-2DB1-41A2-AA6A-F0E6CBF62F07}"/>
    <cellStyle name="Normal 5 2 3 3 3 4" xfId="17895" xr:uid="{44001843-7030-461D-9BE5-B7B782550CFC}"/>
    <cellStyle name="Normal 5 2 3 3 3 5" xfId="9447" xr:uid="{38546F7E-E8E9-4A33-84AC-1A8114384A20}"/>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24671" xr:uid="{DBA466F0-3DAF-4EAE-9627-3D78EC287952}"/>
    <cellStyle name="Normal 5 2 3 3 4 2 2 3" xfId="16223" xr:uid="{DD116D45-54ED-406A-8AD7-248854BE1E23}"/>
    <cellStyle name="Normal 5 2 3 3 4 2 3" xfId="20453" xr:uid="{19F538EE-5AD5-4AF1-8AA2-76DCFA7F2632}"/>
    <cellStyle name="Normal 5 2 3 3 4 2 4" xfId="12005" xr:uid="{5E9ADC2D-ACCE-4B8F-A982-8325EBD10642}"/>
    <cellStyle name="Normal 5 2 3 3 4 3" xfId="5628" xr:uid="{00000000-0005-0000-0000-0000A0180000}"/>
    <cellStyle name="Normal 5 2 3 3 4 3 2" xfId="22526" xr:uid="{E12D2410-C73D-4934-A9E0-8154AB5D8555}"/>
    <cellStyle name="Normal 5 2 3 3 4 3 3" xfId="14078" xr:uid="{A09BB58D-52C6-4CF8-996D-8C69C3182D84}"/>
    <cellStyle name="Normal 5 2 3 3 4 4" xfId="18308" xr:uid="{EAFABB6B-B71C-438C-A868-D6D44E9DE483}"/>
    <cellStyle name="Normal 5 2 3 3 4 5" xfId="9860" xr:uid="{D4198B5C-80DC-4787-B80C-28E0B9381651}"/>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25084" xr:uid="{1BF9B842-FE1E-4AAA-8B64-09407C6EF10E}"/>
    <cellStyle name="Normal 5 2 3 3 5 2 2 3" xfId="16636" xr:uid="{B7451316-9278-43BA-9880-776BA763655F}"/>
    <cellStyle name="Normal 5 2 3 3 5 2 3" xfId="20866" xr:uid="{B8CD0064-1822-495C-AA11-0AA7808E288F}"/>
    <cellStyle name="Normal 5 2 3 3 5 2 4" xfId="12418" xr:uid="{2CB53353-1D4D-4BB7-A2D1-347EBC3E098F}"/>
    <cellStyle name="Normal 5 2 3 3 5 3" xfId="6041" xr:uid="{00000000-0005-0000-0000-0000A4180000}"/>
    <cellStyle name="Normal 5 2 3 3 5 3 2" xfId="22939" xr:uid="{A40D29BD-4DBE-4AE4-A0A2-C618007F0F4A}"/>
    <cellStyle name="Normal 5 2 3 3 5 3 3" xfId="14491" xr:uid="{7066EF5B-BEBE-4274-8D48-AC7401395326}"/>
    <cellStyle name="Normal 5 2 3 3 5 4" xfId="18721" xr:uid="{9C039B4A-C648-4CBD-8271-4699DCF79862}"/>
    <cellStyle name="Normal 5 2 3 3 5 5" xfId="10273" xr:uid="{87175ABD-99EC-4740-9609-1030B9925B3A}"/>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25497" xr:uid="{731F4E08-19F2-4620-9B3E-A895A4F5BD77}"/>
    <cellStyle name="Normal 5 2 3 3 6 2 2 3" xfId="17049" xr:uid="{C6EDBAA5-E5BB-40BD-AA0B-1C4B167A817A}"/>
    <cellStyle name="Normal 5 2 3 3 6 2 3" xfId="21279" xr:uid="{20C1177F-6B09-4E64-8016-9C9A878F0F09}"/>
    <cellStyle name="Normal 5 2 3 3 6 2 4" xfId="12831" xr:uid="{B1AB863A-6BDD-4FFD-9C98-A6E79CA2FAB2}"/>
    <cellStyle name="Normal 5 2 3 3 6 3" xfId="6454" xr:uid="{00000000-0005-0000-0000-0000A8180000}"/>
    <cellStyle name="Normal 5 2 3 3 6 3 2" xfId="23352" xr:uid="{B202B3E6-3DA0-48A3-BB77-77E156FD74ED}"/>
    <cellStyle name="Normal 5 2 3 3 6 3 3" xfId="14904" xr:uid="{B764D494-464D-4C32-AAC1-6A6CD6988ACA}"/>
    <cellStyle name="Normal 5 2 3 3 6 4" xfId="19134" xr:uid="{32C2AB61-C08C-42F7-A96C-353989E3FBA8}"/>
    <cellStyle name="Normal 5 2 3 3 6 5" xfId="10686" xr:uid="{D77C3412-A5AF-46D9-B6C2-8A3D87446F5A}"/>
    <cellStyle name="Normal 5 2 3 3 7" xfId="2584" xr:uid="{00000000-0005-0000-0000-0000A9180000}"/>
    <cellStyle name="Normal 5 2 3 3 7 2" xfId="6867" xr:uid="{00000000-0005-0000-0000-0000AA180000}"/>
    <cellStyle name="Normal 5 2 3 3 7 2 2" xfId="23765" xr:uid="{D05AFB11-819E-49BF-9200-A6D619FD8613}"/>
    <cellStyle name="Normal 5 2 3 3 7 2 3" xfId="15317" xr:uid="{C896D880-3FE3-4203-9ED4-DB02BF4486F6}"/>
    <cellStyle name="Normal 5 2 3 3 7 3" xfId="19547" xr:uid="{9E1FD5F8-A8BE-4BDF-8452-003F6B75758C}"/>
    <cellStyle name="Normal 5 2 3 3 7 4" xfId="11099" xr:uid="{705A04A1-8113-47C5-A04E-E471B8F6BBCD}"/>
    <cellStyle name="Normal 5 2 3 3 8" xfId="4802" xr:uid="{00000000-0005-0000-0000-0000AB180000}"/>
    <cellStyle name="Normal 5 2 3 3 8 2" xfId="21700" xr:uid="{F71A6777-3EAE-4C74-86F0-0A9DE2E9FD25}"/>
    <cellStyle name="Normal 5 2 3 3 8 3" xfId="13252" xr:uid="{20C4C6DC-3B45-4F5C-85E4-3AB6B80A7C40}"/>
    <cellStyle name="Normal 5 2 3 3 9" xfId="17482" xr:uid="{56EEEDF4-F44A-4748-9033-305BC1395175}"/>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24260" xr:uid="{1D7B6052-711A-4C5B-8F53-052D9919EF72}"/>
    <cellStyle name="Normal 5 2 3 4 2 2 2 3" xfId="15812" xr:uid="{641D4050-4D85-4658-A676-6F75DF02F7FA}"/>
    <cellStyle name="Normal 5 2 3 4 2 2 3" xfId="20042" xr:uid="{D9D92BFB-221D-4335-B024-55F4F0613B09}"/>
    <cellStyle name="Normal 5 2 3 4 2 2 4" xfId="11594" xr:uid="{E1169EA5-9811-455D-BDC0-607B194B7B77}"/>
    <cellStyle name="Normal 5 2 3 4 2 3" xfId="5217" xr:uid="{00000000-0005-0000-0000-0000B0180000}"/>
    <cellStyle name="Normal 5 2 3 4 2 3 2" xfId="22115" xr:uid="{79B074A6-7B07-40B6-95CB-25CA87BB8B34}"/>
    <cellStyle name="Normal 5 2 3 4 2 3 3" xfId="13667" xr:uid="{ABD3614A-48A1-4758-BA8F-2B178BD529B7}"/>
    <cellStyle name="Normal 5 2 3 4 2 4" xfId="17897" xr:uid="{47B60825-F114-4152-868F-6D4607A603FE}"/>
    <cellStyle name="Normal 5 2 3 4 2 5" xfId="9449" xr:uid="{B60D6D45-C332-4CAC-9145-F9B4D9AB75C6}"/>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24673" xr:uid="{A434C07A-0DD3-4E56-B2E0-65DAE6C70096}"/>
    <cellStyle name="Normal 5 2 3 4 3 2 2 3" xfId="16225" xr:uid="{907ADA74-1378-4FAE-A4EA-93EB1049604A}"/>
    <cellStyle name="Normal 5 2 3 4 3 2 3" xfId="20455" xr:uid="{1DBE160E-D0F8-4F78-845D-F407C5C7BEDC}"/>
    <cellStyle name="Normal 5 2 3 4 3 2 4" xfId="12007" xr:uid="{E221AAD8-6E68-4C44-9C5F-EA0171EC9302}"/>
    <cellStyle name="Normal 5 2 3 4 3 3" xfId="5630" xr:uid="{00000000-0005-0000-0000-0000B4180000}"/>
    <cellStyle name="Normal 5 2 3 4 3 3 2" xfId="22528" xr:uid="{BCC5595E-219C-4193-8A5B-7DC2F3AE8AD9}"/>
    <cellStyle name="Normal 5 2 3 4 3 3 3" xfId="14080" xr:uid="{41E544CE-0F00-409C-A946-7B66BBF4240F}"/>
    <cellStyle name="Normal 5 2 3 4 3 4" xfId="18310" xr:uid="{FB08C502-2762-49E4-BFDE-D43249F6525C}"/>
    <cellStyle name="Normal 5 2 3 4 3 5" xfId="9862" xr:uid="{4F2D1220-61A0-4C8D-A429-76165026F7B0}"/>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25086" xr:uid="{BA938A50-DE51-4E8F-B0B8-91862D564266}"/>
    <cellStyle name="Normal 5 2 3 4 4 2 2 3" xfId="16638" xr:uid="{A8CB3FAB-23C8-4D60-B42C-4AF4ED239F78}"/>
    <cellStyle name="Normal 5 2 3 4 4 2 3" xfId="20868" xr:uid="{A5A6B8EA-EF3E-499B-A452-01EAE516A88D}"/>
    <cellStyle name="Normal 5 2 3 4 4 2 4" xfId="12420" xr:uid="{E2078DD8-247F-4FCB-83BA-AD31B9389105}"/>
    <cellStyle name="Normal 5 2 3 4 4 3" xfId="6043" xr:uid="{00000000-0005-0000-0000-0000B8180000}"/>
    <cellStyle name="Normal 5 2 3 4 4 3 2" xfId="22941" xr:uid="{4D0FE6F4-7978-4EC9-B30B-EB2E68BAA79F}"/>
    <cellStyle name="Normal 5 2 3 4 4 3 3" xfId="14493" xr:uid="{698AC1D5-30DE-41D7-B6E4-D920ECF2A453}"/>
    <cellStyle name="Normal 5 2 3 4 4 4" xfId="18723" xr:uid="{FD15259D-C7C8-4883-A6CB-642DE0DB80C9}"/>
    <cellStyle name="Normal 5 2 3 4 4 5" xfId="10275" xr:uid="{9B75A80E-53AB-48A2-B4BF-CDFAD88EA5AB}"/>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25499" xr:uid="{E8185A89-DA3D-4486-8C18-A85C3CDEB82C}"/>
    <cellStyle name="Normal 5 2 3 4 5 2 2 3" xfId="17051" xr:uid="{EE39C336-9075-40D6-B477-F477B82FF3F6}"/>
    <cellStyle name="Normal 5 2 3 4 5 2 3" xfId="21281" xr:uid="{9F4B51EB-1D30-43A8-AF97-32AB716FEEF7}"/>
    <cellStyle name="Normal 5 2 3 4 5 2 4" xfId="12833" xr:uid="{4258E1A0-AE9C-4534-8205-F20C17DCF0CA}"/>
    <cellStyle name="Normal 5 2 3 4 5 3" xfId="6456" xr:uid="{00000000-0005-0000-0000-0000BC180000}"/>
    <cellStyle name="Normal 5 2 3 4 5 3 2" xfId="23354" xr:uid="{A50BDA85-515B-4B09-9926-812AF48625B8}"/>
    <cellStyle name="Normal 5 2 3 4 5 3 3" xfId="14906" xr:uid="{9587D8E8-9EE3-4E8A-973A-50B96CC54A99}"/>
    <cellStyle name="Normal 5 2 3 4 5 4" xfId="19136" xr:uid="{90F8D54C-E0FF-4A6B-8061-11536D4B7809}"/>
    <cellStyle name="Normal 5 2 3 4 5 5" xfId="10688" xr:uid="{627385DA-9AE5-46A3-9E30-D7A7949C3083}"/>
    <cellStyle name="Normal 5 2 3 4 6" xfId="2586" xr:uid="{00000000-0005-0000-0000-0000BD180000}"/>
    <cellStyle name="Normal 5 2 3 4 6 2" xfId="6869" xr:uid="{00000000-0005-0000-0000-0000BE180000}"/>
    <cellStyle name="Normal 5 2 3 4 6 2 2" xfId="23767" xr:uid="{493DEDCA-C104-4676-B761-E7280F57B5E5}"/>
    <cellStyle name="Normal 5 2 3 4 6 2 3" xfId="15319" xr:uid="{BD46AA8A-277C-48A1-BC03-5DF95DEEB24C}"/>
    <cellStyle name="Normal 5 2 3 4 6 3" xfId="19549" xr:uid="{EECE695A-4E8A-49A0-A108-579CC66FA1F5}"/>
    <cellStyle name="Normal 5 2 3 4 6 4" xfId="11101" xr:uid="{B1BDBAA5-5359-43DD-8BE5-740DB348A4AF}"/>
    <cellStyle name="Normal 5 2 3 4 7" xfId="4804" xr:uid="{00000000-0005-0000-0000-0000BF180000}"/>
    <cellStyle name="Normal 5 2 3 4 7 2" xfId="21702" xr:uid="{5BE6032E-6D40-4C24-89D7-AFF996B43A7D}"/>
    <cellStyle name="Normal 5 2 3 4 7 3" xfId="13254" xr:uid="{94E2AFFB-F28D-4D30-9E97-56ED05C4BB2A}"/>
    <cellStyle name="Normal 5 2 3 4 8" xfId="17484" xr:uid="{490DE405-03C8-47AF-9EFE-648561CACA9E}"/>
    <cellStyle name="Normal 5 2 3 4 9" xfId="9036" xr:uid="{CA8B799B-FF1A-4685-BA90-0EEECB838BCB}"/>
    <cellStyle name="Normal 5 2 3 5" xfId="898" xr:uid="{00000000-0005-0000-0000-0000C0180000}"/>
    <cellStyle name="Normal 5 2 3 5 2" xfId="3133" xr:uid="{00000000-0005-0000-0000-0000C1180000}"/>
    <cellStyle name="Normal 5 2 3 5 2 2" xfId="7355" xr:uid="{00000000-0005-0000-0000-0000C2180000}"/>
    <cellStyle name="Normal 5 2 3 5 2 2 2" xfId="24253" xr:uid="{74726DE7-6E52-4A0A-A029-4C15B87C5462}"/>
    <cellStyle name="Normal 5 2 3 5 2 2 3" xfId="15805" xr:uid="{BD8ACF08-1EA9-4D3D-970D-22A167286BCF}"/>
    <cellStyle name="Normal 5 2 3 5 2 3" xfId="20035" xr:uid="{A447377D-49A1-4159-B523-2D14A5D10DAD}"/>
    <cellStyle name="Normal 5 2 3 5 2 4" xfId="11587" xr:uid="{1056221C-EAE8-4F53-8C77-CF9B99F24B85}"/>
    <cellStyle name="Normal 5 2 3 5 3" xfId="5210" xr:uid="{00000000-0005-0000-0000-0000C3180000}"/>
    <cellStyle name="Normal 5 2 3 5 3 2" xfId="22108" xr:uid="{B66E1533-108C-4792-A49E-6ACC9E15DAE3}"/>
    <cellStyle name="Normal 5 2 3 5 3 3" xfId="13660" xr:uid="{77BB6A77-E349-4185-A4FE-7B1B4E2DE15B}"/>
    <cellStyle name="Normal 5 2 3 5 4" xfId="17890" xr:uid="{678F2D33-84D8-4060-B378-D4F7AE464AD4}"/>
    <cellStyle name="Normal 5 2 3 5 5" xfId="9442" xr:uid="{3B80F683-351E-44A0-A44C-E846600FBFD9}"/>
    <cellStyle name="Normal 5 2 3 6" xfId="1316" xr:uid="{00000000-0005-0000-0000-0000C4180000}"/>
    <cellStyle name="Normal 5 2 3 6 2" xfId="3546" xr:uid="{00000000-0005-0000-0000-0000C5180000}"/>
    <cellStyle name="Normal 5 2 3 6 2 2" xfId="7768" xr:uid="{00000000-0005-0000-0000-0000C6180000}"/>
    <cellStyle name="Normal 5 2 3 6 2 2 2" xfId="24666" xr:uid="{17847C1F-41BF-403E-9808-3F7B33A3AFEF}"/>
    <cellStyle name="Normal 5 2 3 6 2 2 3" xfId="16218" xr:uid="{272463B0-C84C-4013-ACD7-E870176B1D59}"/>
    <cellStyle name="Normal 5 2 3 6 2 3" xfId="20448" xr:uid="{E806ECD0-352B-4626-8199-736E50BBE9DD}"/>
    <cellStyle name="Normal 5 2 3 6 2 4" xfId="12000" xr:uid="{71F55F58-FAB4-4B58-9D40-1108B068CBDF}"/>
    <cellStyle name="Normal 5 2 3 6 3" xfId="5623" xr:uid="{00000000-0005-0000-0000-0000C7180000}"/>
    <cellStyle name="Normal 5 2 3 6 3 2" xfId="22521" xr:uid="{9CA7756D-C0AA-43F7-97FA-58991A871D49}"/>
    <cellStyle name="Normal 5 2 3 6 3 3" xfId="14073" xr:uid="{6841E0FA-655D-4E75-87B8-35366C6B66FA}"/>
    <cellStyle name="Normal 5 2 3 6 4" xfId="18303" xr:uid="{82EC99A8-6712-4379-99D1-673F4DE3B33C}"/>
    <cellStyle name="Normal 5 2 3 6 5" xfId="9855" xr:uid="{15B4236E-847E-4284-9748-EB96D2DC8E55}"/>
    <cellStyle name="Normal 5 2 3 7" xfId="1729" xr:uid="{00000000-0005-0000-0000-0000C8180000}"/>
    <cellStyle name="Normal 5 2 3 7 2" xfId="3959" xr:uid="{00000000-0005-0000-0000-0000C9180000}"/>
    <cellStyle name="Normal 5 2 3 7 2 2" xfId="8181" xr:uid="{00000000-0005-0000-0000-0000CA180000}"/>
    <cellStyle name="Normal 5 2 3 7 2 2 2" xfId="25079" xr:uid="{8D18EC59-55C9-4EE3-A6C4-98661752D4D8}"/>
    <cellStyle name="Normal 5 2 3 7 2 2 3" xfId="16631" xr:uid="{243FCEFC-1A99-400B-BE4E-1A0C07C554D4}"/>
    <cellStyle name="Normal 5 2 3 7 2 3" xfId="20861" xr:uid="{A5359C76-C870-4417-A6E8-71F2CF15D3E2}"/>
    <cellStyle name="Normal 5 2 3 7 2 4" xfId="12413" xr:uid="{20B1AF6E-AAC4-4DFC-A1E7-3C5712AA66D2}"/>
    <cellStyle name="Normal 5 2 3 7 3" xfId="6036" xr:uid="{00000000-0005-0000-0000-0000CB180000}"/>
    <cellStyle name="Normal 5 2 3 7 3 2" xfId="22934" xr:uid="{AB5E4FB6-1DF0-4A4E-A1D1-A5C74C923741}"/>
    <cellStyle name="Normal 5 2 3 7 3 3" xfId="14486" xr:uid="{DA19E25B-8263-40BA-AFCD-EE1C7FD8E9DF}"/>
    <cellStyle name="Normal 5 2 3 7 4" xfId="18716" xr:uid="{907EF1F4-639F-43A0-A9D7-4EB89C124596}"/>
    <cellStyle name="Normal 5 2 3 7 5" xfId="10268" xr:uid="{4C398026-0CEA-483E-9639-E1214ABCEB34}"/>
    <cellStyle name="Normal 5 2 3 8" xfId="2143" xr:uid="{00000000-0005-0000-0000-0000CC180000}"/>
    <cellStyle name="Normal 5 2 3 8 2" xfId="4372" xr:uid="{00000000-0005-0000-0000-0000CD180000}"/>
    <cellStyle name="Normal 5 2 3 8 2 2" xfId="8594" xr:uid="{00000000-0005-0000-0000-0000CE180000}"/>
    <cellStyle name="Normal 5 2 3 8 2 2 2" xfId="25492" xr:uid="{98BA1528-7F52-4F0B-A786-EEAF9AC25D79}"/>
    <cellStyle name="Normal 5 2 3 8 2 2 3" xfId="17044" xr:uid="{97C9BC39-C994-46DB-BB3C-0A50157230C0}"/>
    <cellStyle name="Normal 5 2 3 8 2 3" xfId="21274" xr:uid="{8E3157CF-50E9-42AA-AAA1-3688DAB1C4EE}"/>
    <cellStyle name="Normal 5 2 3 8 2 4" xfId="12826" xr:uid="{F15BEB9F-CD42-4D81-9977-C87751A60A5A}"/>
    <cellStyle name="Normal 5 2 3 8 3" xfId="6449" xr:uid="{00000000-0005-0000-0000-0000CF180000}"/>
    <cellStyle name="Normal 5 2 3 8 3 2" xfId="23347" xr:uid="{6D2CD1DD-38B0-4DC6-A577-66CB8376AE7E}"/>
    <cellStyle name="Normal 5 2 3 8 3 3" xfId="14899" xr:uid="{B8A61F1B-537A-4A6D-ADD2-23BDE41F4FA0}"/>
    <cellStyle name="Normal 5 2 3 8 4" xfId="19129" xr:uid="{A10546CB-40D8-4A2C-9AEC-6D6B2F743B1E}"/>
    <cellStyle name="Normal 5 2 3 8 5" xfId="10681" xr:uid="{9AAD782C-E297-4837-AD41-0C83143ED63D}"/>
    <cellStyle name="Normal 5 2 3 9" xfId="2579" xr:uid="{00000000-0005-0000-0000-0000D0180000}"/>
    <cellStyle name="Normal 5 2 3 9 2" xfId="6862" xr:uid="{00000000-0005-0000-0000-0000D1180000}"/>
    <cellStyle name="Normal 5 2 3 9 2 2" xfId="23760" xr:uid="{1EFFAB8D-5B73-4034-AF02-BA94A1844715}"/>
    <cellStyle name="Normal 5 2 3 9 2 3" xfId="15312" xr:uid="{462495E6-E1E6-42BA-9F4B-810620FEDE7D}"/>
    <cellStyle name="Normal 5 2 3 9 3" xfId="19542" xr:uid="{6D5611B3-93C1-49EF-BEC0-3EEA6B08B03B}"/>
    <cellStyle name="Normal 5 2 3 9 4" xfId="11094" xr:uid="{AF7F281F-680C-4413-A979-6CD5EE9229F8}"/>
    <cellStyle name="Normal 5 2 4" xfId="432" xr:uid="{00000000-0005-0000-0000-0000D2180000}"/>
    <cellStyle name="Normal 5 2 4 10" xfId="17485" xr:uid="{616A78AF-F2B2-4B8C-AA68-288CF38410C3}"/>
    <cellStyle name="Normal 5 2 4 11" xfId="9037" xr:uid="{39644587-0C43-42E6-93E3-CD11BFCD2E11}"/>
    <cellStyle name="Normal 5 2 4 2" xfId="433" xr:uid="{00000000-0005-0000-0000-0000D3180000}"/>
    <cellStyle name="Normal 5 2 4 2 10" xfId="9038" xr:uid="{86CC174F-83E0-4175-928F-902F36BDA3EA}"/>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24263" xr:uid="{19910EE8-BD7C-451C-A07B-D9C5B66C8099}"/>
    <cellStyle name="Normal 5 2 4 2 2 2 2 2 3" xfId="15815" xr:uid="{D87B2293-9771-44C6-B9CA-B12BF53D6576}"/>
    <cellStyle name="Normal 5 2 4 2 2 2 2 3" xfId="20045" xr:uid="{10B5EEB4-FFF7-48BF-A1B9-BD049C1E3596}"/>
    <cellStyle name="Normal 5 2 4 2 2 2 2 4" xfId="11597" xr:uid="{EDE41569-3D6A-4C98-A431-35E102ED4FDB}"/>
    <cellStyle name="Normal 5 2 4 2 2 2 3" xfId="5220" xr:uid="{00000000-0005-0000-0000-0000D8180000}"/>
    <cellStyle name="Normal 5 2 4 2 2 2 3 2" xfId="22118" xr:uid="{72EB3912-446C-4BE3-86BD-8C51FF81FE45}"/>
    <cellStyle name="Normal 5 2 4 2 2 2 3 3" xfId="13670" xr:uid="{E01E5F0B-9C70-4774-BC90-866E9575D4AC}"/>
    <cellStyle name="Normal 5 2 4 2 2 2 4" xfId="17900" xr:uid="{40BF0503-DDB1-4FFA-B06F-0B86FA47CF21}"/>
    <cellStyle name="Normal 5 2 4 2 2 2 5" xfId="9452" xr:uid="{6773CD09-D736-47A6-9A8D-3BCF28E6F474}"/>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24676" xr:uid="{E2100079-9736-437D-B973-534B1FF24D4A}"/>
    <cellStyle name="Normal 5 2 4 2 2 3 2 2 3" xfId="16228" xr:uid="{5FE4E0D0-EAE7-4D1D-BD7D-20046102EE21}"/>
    <cellStyle name="Normal 5 2 4 2 2 3 2 3" xfId="20458" xr:uid="{56AE57B6-DCD7-4CAE-8241-9AB8FF2054C4}"/>
    <cellStyle name="Normal 5 2 4 2 2 3 2 4" xfId="12010" xr:uid="{8332F046-7E1C-43F4-92D8-86551F85D497}"/>
    <cellStyle name="Normal 5 2 4 2 2 3 3" xfId="5633" xr:uid="{00000000-0005-0000-0000-0000DC180000}"/>
    <cellStyle name="Normal 5 2 4 2 2 3 3 2" xfId="22531" xr:uid="{214A2C74-8719-46A6-A761-8F44BAD28360}"/>
    <cellStyle name="Normal 5 2 4 2 2 3 3 3" xfId="14083" xr:uid="{7787BF16-3824-49D8-BB66-31118ABE89A8}"/>
    <cellStyle name="Normal 5 2 4 2 2 3 4" xfId="18313" xr:uid="{3F78111E-480F-4EF2-8A8A-B10BB0C40FC3}"/>
    <cellStyle name="Normal 5 2 4 2 2 3 5" xfId="9865" xr:uid="{AD6A8C99-C22E-46A2-B6A1-262B0584B81E}"/>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25089" xr:uid="{26665B26-D7E9-4757-AEDF-2296E2F34458}"/>
    <cellStyle name="Normal 5 2 4 2 2 4 2 2 3" xfId="16641" xr:uid="{25B30FC1-05F2-4F68-91CD-9D2ABBB117ED}"/>
    <cellStyle name="Normal 5 2 4 2 2 4 2 3" xfId="20871" xr:uid="{1BFF79A1-82CF-4F09-BE4C-0329707C75F1}"/>
    <cellStyle name="Normal 5 2 4 2 2 4 2 4" xfId="12423" xr:uid="{582E3FB2-2591-45BE-BB61-9FA65A59298C}"/>
    <cellStyle name="Normal 5 2 4 2 2 4 3" xfId="6046" xr:uid="{00000000-0005-0000-0000-0000E0180000}"/>
    <cellStyle name="Normal 5 2 4 2 2 4 3 2" xfId="22944" xr:uid="{0F55664B-1EC0-4C92-B4B2-87ECFD21BA28}"/>
    <cellStyle name="Normal 5 2 4 2 2 4 3 3" xfId="14496" xr:uid="{629E283F-90C2-4A25-B267-E6CCA0E90D9A}"/>
    <cellStyle name="Normal 5 2 4 2 2 4 4" xfId="18726" xr:uid="{AF9DDE06-F5CC-40B7-A64D-F160CBDA95A7}"/>
    <cellStyle name="Normal 5 2 4 2 2 4 5" xfId="10278" xr:uid="{028D149A-AE38-4FEC-92A4-DB5279CE2D93}"/>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25502" xr:uid="{10CE79DB-8E63-4714-BCAF-3CAE5D71A566}"/>
    <cellStyle name="Normal 5 2 4 2 2 5 2 2 3" xfId="17054" xr:uid="{58D1EFF7-8F70-4C75-A20A-B59B0D6045E3}"/>
    <cellStyle name="Normal 5 2 4 2 2 5 2 3" xfId="21284" xr:uid="{1AD93CAF-866E-4631-B408-FB1AAB7BACF6}"/>
    <cellStyle name="Normal 5 2 4 2 2 5 2 4" xfId="12836" xr:uid="{DC304C43-8E34-40A9-9060-A48BD76C8012}"/>
    <cellStyle name="Normal 5 2 4 2 2 5 3" xfId="6459" xr:uid="{00000000-0005-0000-0000-0000E4180000}"/>
    <cellStyle name="Normal 5 2 4 2 2 5 3 2" xfId="23357" xr:uid="{5DC4CD6A-A256-4A2F-94A7-B8FD290735D4}"/>
    <cellStyle name="Normal 5 2 4 2 2 5 3 3" xfId="14909" xr:uid="{006C5F3D-33E6-4F2B-8694-0114E614200D}"/>
    <cellStyle name="Normal 5 2 4 2 2 5 4" xfId="19139" xr:uid="{BEE12A62-5E60-4D0B-80EC-A4060CBE69A3}"/>
    <cellStyle name="Normal 5 2 4 2 2 5 5" xfId="10691" xr:uid="{A12A0255-39C5-4618-8139-DA1B59E9E490}"/>
    <cellStyle name="Normal 5 2 4 2 2 6" xfId="2589" xr:uid="{00000000-0005-0000-0000-0000E5180000}"/>
    <cellStyle name="Normal 5 2 4 2 2 6 2" xfId="6872" xr:uid="{00000000-0005-0000-0000-0000E6180000}"/>
    <cellStyle name="Normal 5 2 4 2 2 6 2 2" xfId="23770" xr:uid="{F9E0E348-F6BA-4B99-9467-CD40668AA44C}"/>
    <cellStyle name="Normal 5 2 4 2 2 6 2 3" xfId="15322" xr:uid="{6C8DD502-3C61-4F87-B87D-35392D3BAFC8}"/>
    <cellStyle name="Normal 5 2 4 2 2 6 3" xfId="19552" xr:uid="{B43E4A25-2DF1-4D33-80DC-A0912493ADF4}"/>
    <cellStyle name="Normal 5 2 4 2 2 6 4" xfId="11104" xr:uid="{EEB3BAB2-1941-4A6D-8682-E44B8C8D6A74}"/>
    <cellStyle name="Normal 5 2 4 2 2 7" xfId="4807" xr:uid="{00000000-0005-0000-0000-0000E7180000}"/>
    <cellStyle name="Normal 5 2 4 2 2 7 2" xfId="21705" xr:uid="{31D8C947-2963-4DB6-83B8-ED2C07B336BA}"/>
    <cellStyle name="Normal 5 2 4 2 2 7 3" xfId="13257" xr:uid="{0BAB0C92-FB6C-4EC4-A70D-5505BD0D0C28}"/>
    <cellStyle name="Normal 5 2 4 2 2 8" xfId="17487" xr:uid="{C7D0F201-FD95-410F-9C73-4F8B5B0FD38A}"/>
    <cellStyle name="Normal 5 2 4 2 2 9" xfId="9039" xr:uid="{C365862C-98DF-4652-BD60-4E1E2BC32659}"/>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24262" xr:uid="{6BA047E4-E059-4467-ADF3-BF99BC2D115A}"/>
    <cellStyle name="Normal 5 2 4 2 3 2 2 3" xfId="15814" xr:uid="{24B415CF-D2CC-45B1-BE77-6C3F0128D6D6}"/>
    <cellStyle name="Normal 5 2 4 2 3 2 3" xfId="20044" xr:uid="{394ADEA8-1F78-4C93-948A-1AE3B6FD3702}"/>
    <cellStyle name="Normal 5 2 4 2 3 2 4" xfId="11596" xr:uid="{2778DF81-222E-49D2-BFC0-A39A6E94DE22}"/>
    <cellStyle name="Normal 5 2 4 2 3 3" xfId="5219" xr:uid="{00000000-0005-0000-0000-0000EB180000}"/>
    <cellStyle name="Normal 5 2 4 2 3 3 2" xfId="22117" xr:uid="{FA6FCF56-B168-4D85-BE00-E0B9F5C752EE}"/>
    <cellStyle name="Normal 5 2 4 2 3 3 3" xfId="13669" xr:uid="{C3E86E55-050E-485E-866A-36C710EF82CC}"/>
    <cellStyle name="Normal 5 2 4 2 3 4" xfId="17899" xr:uid="{5524AC4B-713F-46E2-9773-C4FD30818546}"/>
    <cellStyle name="Normal 5 2 4 2 3 5" xfId="9451" xr:uid="{7EC1F594-5551-4A65-9059-A254D887F9FA}"/>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24675" xr:uid="{8EB00F9F-46F4-475F-A299-47F96DF82184}"/>
    <cellStyle name="Normal 5 2 4 2 4 2 2 3" xfId="16227" xr:uid="{EDCFA9F7-1AA8-4555-9686-29B7B4B33C53}"/>
    <cellStyle name="Normal 5 2 4 2 4 2 3" xfId="20457" xr:uid="{D00480E7-E50C-4813-83FB-CE91E87C0970}"/>
    <cellStyle name="Normal 5 2 4 2 4 2 4" xfId="12009" xr:uid="{6521E7D4-0634-44BF-8011-2E26902DDF93}"/>
    <cellStyle name="Normal 5 2 4 2 4 3" xfId="5632" xr:uid="{00000000-0005-0000-0000-0000EF180000}"/>
    <cellStyle name="Normal 5 2 4 2 4 3 2" xfId="22530" xr:uid="{3040DA2D-D00C-40F7-AFE6-34252B3323C4}"/>
    <cellStyle name="Normal 5 2 4 2 4 3 3" xfId="14082" xr:uid="{54262F6B-2854-4286-BB44-C26C4853DAAD}"/>
    <cellStyle name="Normal 5 2 4 2 4 4" xfId="18312" xr:uid="{C1DE19F2-5D21-4B2C-AD5C-B9BC44589612}"/>
    <cellStyle name="Normal 5 2 4 2 4 5" xfId="9864" xr:uid="{754563BD-354A-4EBF-A3EE-A9D373D60D42}"/>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25088" xr:uid="{89DA5C58-387C-4E3A-88D0-B38E1B143E7D}"/>
    <cellStyle name="Normal 5 2 4 2 5 2 2 3" xfId="16640" xr:uid="{395FE9BE-0802-4D44-96AA-211D916027B0}"/>
    <cellStyle name="Normal 5 2 4 2 5 2 3" xfId="20870" xr:uid="{363E4000-53EB-4A88-8A83-6ADC5453AFFA}"/>
    <cellStyle name="Normal 5 2 4 2 5 2 4" xfId="12422" xr:uid="{49D0F735-5793-4BFF-9145-81E0E6D35BED}"/>
    <cellStyle name="Normal 5 2 4 2 5 3" xfId="6045" xr:uid="{00000000-0005-0000-0000-0000F3180000}"/>
    <cellStyle name="Normal 5 2 4 2 5 3 2" xfId="22943" xr:uid="{6BAAA576-1FD3-4C2A-A135-D9DB141E22A7}"/>
    <cellStyle name="Normal 5 2 4 2 5 3 3" xfId="14495" xr:uid="{F1FCEC90-51A9-4BA0-8682-D5BDFD724E36}"/>
    <cellStyle name="Normal 5 2 4 2 5 4" xfId="18725" xr:uid="{3E927193-D1A9-4976-90AA-8B6CCC7EBCD6}"/>
    <cellStyle name="Normal 5 2 4 2 5 5" xfId="10277" xr:uid="{BFEE2A91-323C-446C-888E-1EBCBA5438B9}"/>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25501" xr:uid="{50764A0D-2072-4590-87AB-F8AEE24981C9}"/>
    <cellStyle name="Normal 5 2 4 2 6 2 2 3" xfId="17053" xr:uid="{B1C99E92-F980-4317-B09E-6F1E70CCFB42}"/>
    <cellStyle name="Normal 5 2 4 2 6 2 3" xfId="21283" xr:uid="{F943D17C-9267-4C6F-AA94-8A9B1894729E}"/>
    <cellStyle name="Normal 5 2 4 2 6 2 4" xfId="12835" xr:uid="{F9C02ADC-C161-46B0-A2D0-9BB501D9B272}"/>
    <cellStyle name="Normal 5 2 4 2 6 3" xfId="6458" xr:uid="{00000000-0005-0000-0000-0000F7180000}"/>
    <cellStyle name="Normal 5 2 4 2 6 3 2" xfId="23356" xr:uid="{3ADAF66A-3E11-407D-B526-508A80E7D638}"/>
    <cellStyle name="Normal 5 2 4 2 6 3 3" xfId="14908" xr:uid="{8898960F-F86A-4860-8D88-CB16B8C57DB6}"/>
    <cellStyle name="Normal 5 2 4 2 6 4" xfId="19138" xr:uid="{253DB53C-6DA8-4458-8469-88B8FAC40BA0}"/>
    <cellStyle name="Normal 5 2 4 2 6 5" xfId="10690" xr:uid="{B1EC5FEF-F438-44B2-A24D-806D8FDE3E3C}"/>
    <cellStyle name="Normal 5 2 4 2 7" xfId="2588" xr:uid="{00000000-0005-0000-0000-0000F8180000}"/>
    <cellStyle name="Normal 5 2 4 2 7 2" xfId="6871" xr:uid="{00000000-0005-0000-0000-0000F9180000}"/>
    <cellStyle name="Normal 5 2 4 2 7 2 2" xfId="23769" xr:uid="{C805BC4E-A52F-4E5F-842C-B3401B3C682A}"/>
    <cellStyle name="Normal 5 2 4 2 7 2 3" xfId="15321" xr:uid="{AA799CE1-DC3B-41C4-825D-3A48E3B733F6}"/>
    <cellStyle name="Normal 5 2 4 2 7 3" xfId="19551" xr:uid="{E35845C4-6D26-4E72-9CD0-A322EBCF8BA2}"/>
    <cellStyle name="Normal 5 2 4 2 7 4" xfId="11103" xr:uid="{91ACB715-9B2A-427C-8C27-427E57C96420}"/>
    <cellStyle name="Normal 5 2 4 2 8" xfId="4806" xr:uid="{00000000-0005-0000-0000-0000FA180000}"/>
    <cellStyle name="Normal 5 2 4 2 8 2" xfId="21704" xr:uid="{81E2D0AD-F6CB-478A-BFF2-D4D1A66EAF4C}"/>
    <cellStyle name="Normal 5 2 4 2 8 3" xfId="13256" xr:uid="{AFA4E856-68D7-4451-A03A-A627CCB93A4C}"/>
    <cellStyle name="Normal 5 2 4 2 9" xfId="17486" xr:uid="{202ECDC0-8ABD-4482-A0CA-FC93C33C062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24264" xr:uid="{8CE312FC-86C5-43BC-B765-30CEAB4BBDC1}"/>
    <cellStyle name="Normal 5 2 4 3 2 2 2 3" xfId="15816" xr:uid="{7127B13E-C2E8-4C4A-8704-DAD456901533}"/>
    <cellStyle name="Normal 5 2 4 3 2 2 3" xfId="20046" xr:uid="{FC0C57AD-9FAF-487F-BA39-5B529D131511}"/>
    <cellStyle name="Normal 5 2 4 3 2 2 4" xfId="11598" xr:uid="{11464DBE-D74B-4662-8108-80B497453D31}"/>
    <cellStyle name="Normal 5 2 4 3 2 3" xfId="5221" xr:uid="{00000000-0005-0000-0000-0000FF180000}"/>
    <cellStyle name="Normal 5 2 4 3 2 3 2" xfId="22119" xr:uid="{B518B7E8-B6A1-42DD-86A0-75325A5E53A5}"/>
    <cellStyle name="Normal 5 2 4 3 2 3 3" xfId="13671" xr:uid="{57084E3B-851C-4943-9E56-ADE143890C2B}"/>
    <cellStyle name="Normal 5 2 4 3 2 4" xfId="17901" xr:uid="{35BB5144-93DE-41DD-90BA-81FBE4D357D1}"/>
    <cellStyle name="Normal 5 2 4 3 2 5" xfId="9453" xr:uid="{F16F4AE7-B245-4F05-8BDB-299DC20B6A8C}"/>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24677" xr:uid="{706D2DA1-EAA6-4B3E-90DD-67DBDBB4D113}"/>
    <cellStyle name="Normal 5 2 4 3 3 2 2 3" xfId="16229" xr:uid="{0E9FC92A-3FA8-43AF-B917-323DB5E64D54}"/>
    <cellStyle name="Normal 5 2 4 3 3 2 3" xfId="20459" xr:uid="{4FB09A31-49A6-4F5E-ACED-BCBA6177F611}"/>
    <cellStyle name="Normal 5 2 4 3 3 2 4" xfId="12011" xr:uid="{FDE99216-B797-4ADC-9431-08CE3D63A01C}"/>
    <cellStyle name="Normal 5 2 4 3 3 3" xfId="5634" xr:uid="{00000000-0005-0000-0000-000003190000}"/>
    <cellStyle name="Normal 5 2 4 3 3 3 2" xfId="22532" xr:uid="{54383E95-FA78-45EB-B988-5783FC8377AD}"/>
    <cellStyle name="Normal 5 2 4 3 3 3 3" xfId="14084" xr:uid="{197A5CCE-0871-4F49-9202-BA75870A44C5}"/>
    <cellStyle name="Normal 5 2 4 3 3 4" xfId="18314" xr:uid="{F03EC947-731C-4FD4-97DE-4F80104AA9DA}"/>
    <cellStyle name="Normal 5 2 4 3 3 5" xfId="9866" xr:uid="{44B444DF-A1ED-4BA4-9056-68D0F4E57A49}"/>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25090" xr:uid="{1AB2F148-23B2-4CE2-8A7F-58EFC1DA0578}"/>
    <cellStyle name="Normal 5 2 4 3 4 2 2 3" xfId="16642" xr:uid="{EDE547C4-9FC1-42B9-A5CC-3262413B43A6}"/>
    <cellStyle name="Normal 5 2 4 3 4 2 3" xfId="20872" xr:uid="{A1C422E5-B4B5-4B5C-AC04-036A0FB30DE3}"/>
    <cellStyle name="Normal 5 2 4 3 4 2 4" xfId="12424" xr:uid="{F8566B2E-CEDE-4B00-B1D2-97665582E1BB}"/>
    <cellStyle name="Normal 5 2 4 3 4 3" xfId="6047" xr:uid="{00000000-0005-0000-0000-000007190000}"/>
    <cellStyle name="Normal 5 2 4 3 4 3 2" xfId="22945" xr:uid="{7D892F22-AF2F-47C9-A402-7B907053AE76}"/>
    <cellStyle name="Normal 5 2 4 3 4 3 3" xfId="14497" xr:uid="{5DF3C484-20D1-4DF3-B390-A01EBD7DA67D}"/>
    <cellStyle name="Normal 5 2 4 3 4 4" xfId="18727" xr:uid="{A4D9659F-7C91-4982-B292-04B8B32A6542}"/>
    <cellStyle name="Normal 5 2 4 3 4 5" xfId="10279" xr:uid="{B8BCE869-5B2E-4687-92ED-6DD30516F6EE}"/>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25503" xr:uid="{EC7EE849-5A15-411D-9F5A-98C3A6177C13}"/>
    <cellStyle name="Normal 5 2 4 3 5 2 2 3" xfId="17055" xr:uid="{57915B25-96B5-4593-A906-654774B6DC87}"/>
    <cellStyle name="Normal 5 2 4 3 5 2 3" xfId="21285" xr:uid="{FA0755B3-2CBB-4737-A4B8-79909311347C}"/>
    <cellStyle name="Normal 5 2 4 3 5 2 4" xfId="12837" xr:uid="{F6D1E3CA-C38C-4550-86BC-1BFAB15958FC}"/>
    <cellStyle name="Normal 5 2 4 3 5 3" xfId="6460" xr:uid="{00000000-0005-0000-0000-00000B190000}"/>
    <cellStyle name="Normal 5 2 4 3 5 3 2" xfId="23358" xr:uid="{5555E3B4-215A-414A-B84F-BD2BE5F1CD5F}"/>
    <cellStyle name="Normal 5 2 4 3 5 3 3" xfId="14910" xr:uid="{E1B2D57F-94E7-4053-ADA8-A5EF5A0C7DAF}"/>
    <cellStyle name="Normal 5 2 4 3 5 4" xfId="19140" xr:uid="{054CAE67-36C6-4429-8F52-B45661E84F2C}"/>
    <cellStyle name="Normal 5 2 4 3 5 5" xfId="10692" xr:uid="{4E74CDCB-5C26-40CF-8517-0F02B45B1F50}"/>
    <cellStyle name="Normal 5 2 4 3 6" xfId="2590" xr:uid="{00000000-0005-0000-0000-00000C190000}"/>
    <cellStyle name="Normal 5 2 4 3 6 2" xfId="6873" xr:uid="{00000000-0005-0000-0000-00000D190000}"/>
    <cellStyle name="Normal 5 2 4 3 6 2 2" xfId="23771" xr:uid="{72D3E4A4-FB16-495D-A41C-EAEA7CEAD7D0}"/>
    <cellStyle name="Normal 5 2 4 3 6 2 3" xfId="15323" xr:uid="{36E140EC-36A5-42CC-BF1D-A073A2E011C1}"/>
    <cellStyle name="Normal 5 2 4 3 6 3" xfId="19553" xr:uid="{013956D5-3E46-4A14-95C4-445693DD07FB}"/>
    <cellStyle name="Normal 5 2 4 3 6 4" xfId="11105" xr:uid="{1F0F7457-15F7-46A0-938B-681711E54A39}"/>
    <cellStyle name="Normal 5 2 4 3 7" xfId="4808" xr:uid="{00000000-0005-0000-0000-00000E190000}"/>
    <cellStyle name="Normal 5 2 4 3 7 2" xfId="21706" xr:uid="{D46F45A0-BE88-43E5-9C1E-D80EB44F6021}"/>
    <cellStyle name="Normal 5 2 4 3 7 3" xfId="13258" xr:uid="{08929CE8-CD85-4342-95A4-087720F993BA}"/>
    <cellStyle name="Normal 5 2 4 3 8" xfId="17488" xr:uid="{4701D62E-D33C-41FB-95C8-C609D397F77A}"/>
    <cellStyle name="Normal 5 2 4 3 9" xfId="9040" xr:uid="{E07940C8-8BF6-41C7-97BF-6BF175ADF321}"/>
    <cellStyle name="Normal 5 2 4 4" xfId="906" xr:uid="{00000000-0005-0000-0000-00000F190000}"/>
    <cellStyle name="Normal 5 2 4 4 2" xfId="3141" xr:uid="{00000000-0005-0000-0000-000010190000}"/>
    <cellStyle name="Normal 5 2 4 4 2 2" xfId="7363" xr:uid="{00000000-0005-0000-0000-000011190000}"/>
    <cellStyle name="Normal 5 2 4 4 2 2 2" xfId="24261" xr:uid="{0D4FB1CC-4E7E-4077-8BFB-800C81DD2A8B}"/>
    <cellStyle name="Normal 5 2 4 4 2 2 3" xfId="15813" xr:uid="{DFBCB17D-8B42-4F3C-B8DA-F7FB1C62DAA0}"/>
    <cellStyle name="Normal 5 2 4 4 2 3" xfId="20043" xr:uid="{CE85FA25-B2C9-47D0-AC21-B28CF8BB19A0}"/>
    <cellStyle name="Normal 5 2 4 4 2 4" xfId="11595" xr:uid="{D4EE9F47-14CD-41D5-B7D6-E0AD5108D550}"/>
    <cellStyle name="Normal 5 2 4 4 3" xfId="5218" xr:uid="{00000000-0005-0000-0000-000012190000}"/>
    <cellStyle name="Normal 5 2 4 4 3 2" xfId="22116" xr:uid="{A0BCCCED-1DCB-4E59-8CE2-1D6BBE0656A1}"/>
    <cellStyle name="Normal 5 2 4 4 3 3" xfId="13668" xr:uid="{B285F5B3-99FB-42CC-9E13-B584E7CD0DF4}"/>
    <cellStyle name="Normal 5 2 4 4 4" xfId="17898" xr:uid="{7E585A9F-C5A9-45E1-85FC-29DDAF40DA9D}"/>
    <cellStyle name="Normal 5 2 4 4 5" xfId="9450" xr:uid="{FB582792-219C-44A2-9F4E-AD986CE42B6C}"/>
    <cellStyle name="Normal 5 2 4 5" xfId="1324" xr:uid="{00000000-0005-0000-0000-000013190000}"/>
    <cellStyle name="Normal 5 2 4 5 2" xfId="3554" xr:uid="{00000000-0005-0000-0000-000014190000}"/>
    <cellStyle name="Normal 5 2 4 5 2 2" xfId="7776" xr:uid="{00000000-0005-0000-0000-000015190000}"/>
    <cellStyle name="Normal 5 2 4 5 2 2 2" xfId="24674" xr:uid="{B5BDB3BF-A26F-48A7-8361-DAFFAD115ACB}"/>
    <cellStyle name="Normal 5 2 4 5 2 2 3" xfId="16226" xr:uid="{1D138F55-7B5A-40E4-937C-8ACBEEB942E8}"/>
    <cellStyle name="Normal 5 2 4 5 2 3" xfId="20456" xr:uid="{39DCC4B3-27DE-4951-A493-5F8DAB12E3E2}"/>
    <cellStyle name="Normal 5 2 4 5 2 4" xfId="12008" xr:uid="{B7D31082-7BBD-4586-B50C-159BA4F239F2}"/>
    <cellStyle name="Normal 5 2 4 5 3" xfId="5631" xr:uid="{00000000-0005-0000-0000-000016190000}"/>
    <cellStyle name="Normal 5 2 4 5 3 2" xfId="22529" xr:uid="{C40C2242-399D-404C-8930-061E4EA941F5}"/>
    <cellStyle name="Normal 5 2 4 5 3 3" xfId="14081" xr:uid="{D739F950-A6A5-44DD-B2E3-D9D6A7916B47}"/>
    <cellStyle name="Normal 5 2 4 5 4" xfId="18311" xr:uid="{C25D7324-8DCE-4A8A-9333-8A0B246DAD1D}"/>
    <cellStyle name="Normal 5 2 4 5 5" xfId="9863" xr:uid="{9815E04D-8720-4088-8DA0-37974A24C776}"/>
    <cellStyle name="Normal 5 2 4 6" xfId="1737" xr:uid="{00000000-0005-0000-0000-000017190000}"/>
    <cellStyle name="Normal 5 2 4 6 2" xfId="3967" xr:uid="{00000000-0005-0000-0000-000018190000}"/>
    <cellStyle name="Normal 5 2 4 6 2 2" xfId="8189" xr:uid="{00000000-0005-0000-0000-000019190000}"/>
    <cellStyle name="Normal 5 2 4 6 2 2 2" xfId="25087" xr:uid="{F6D20C6F-A312-4762-BFFB-90F49EB31D17}"/>
    <cellStyle name="Normal 5 2 4 6 2 2 3" xfId="16639" xr:uid="{F6B62168-F6B9-43B8-A019-EB42E7C5D1BC}"/>
    <cellStyle name="Normal 5 2 4 6 2 3" xfId="20869" xr:uid="{872713BF-F7BD-42D1-A5A7-196A503E4FFE}"/>
    <cellStyle name="Normal 5 2 4 6 2 4" xfId="12421" xr:uid="{0E3FE9F8-FBB6-4CE9-8106-2095B501BDEC}"/>
    <cellStyle name="Normal 5 2 4 6 3" xfId="6044" xr:uid="{00000000-0005-0000-0000-00001A190000}"/>
    <cellStyle name="Normal 5 2 4 6 3 2" xfId="22942" xr:uid="{0A8FA389-5399-4473-9C52-8CCF8D916D2F}"/>
    <cellStyle name="Normal 5 2 4 6 3 3" xfId="14494" xr:uid="{00DD1E9A-A118-46E8-9E5B-1E2D83FC0A26}"/>
    <cellStyle name="Normal 5 2 4 6 4" xfId="18724" xr:uid="{AFDA96C8-55E8-4FC0-9F80-03E0C6E8945E}"/>
    <cellStyle name="Normal 5 2 4 6 5" xfId="10276" xr:uid="{25D67D69-16A9-495F-8517-473E0AF3DAA3}"/>
    <cellStyle name="Normal 5 2 4 7" xfId="2151" xr:uid="{00000000-0005-0000-0000-00001B190000}"/>
    <cellStyle name="Normal 5 2 4 7 2" xfId="4380" xr:uid="{00000000-0005-0000-0000-00001C190000}"/>
    <cellStyle name="Normal 5 2 4 7 2 2" xfId="8602" xr:uid="{00000000-0005-0000-0000-00001D190000}"/>
    <cellStyle name="Normal 5 2 4 7 2 2 2" xfId="25500" xr:uid="{42937940-C57F-428B-BC62-5B7CAB069C46}"/>
    <cellStyle name="Normal 5 2 4 7 2 2 3" xfId="17052" xr:uid="{6B330FDE-87DE-4143-9AA9-D68FFE46BD83}"/>
    <cellStyle name="Normal 5 2 4 7 2 3" xfId="21282" xr:uid="{E8227770-4BDB-4480-A9DC-CBC9CE4BE8D9}"/>
    <cellStyle name="Normal 5 2 4 7 2 4" xfId="12834" xr:uid="{9D99E2A0-C3A2-43D0-94F5-15E32EAECC95}"/>
    <cellStyle name="Normal 5 2 4 7 3" xfId="6457" xr:uid="{00000000-0005-0000-0000-00001E190000}"/>
    <cellStyle name="Normal 5 2 4 7 3 2" xfId="23355" xr:uid="{82054C19-AC5A-40FB-A92B-E703F0B7D98E}"/>
    <cellStyle name="Normal 5 2 4 7 3 3" xfId="14907" xr:uid="{8B261B50-19AE-4EE7-9977-E6ADAE9DFF53}"/>
    <cellStyle name="Normal 5 2 4 7 4" xfId="19137" xr:uid="{1094D040-8B5A-4678-ADD8-298649CC8A97}"/>
    <cellStyle name="Normal 5 2 4 7 5" xfId="10689" xr:uid="{5D8CAE64-28A7-4C28-BC03-19BF6C156871}"/>
    <cellStyle name="Normal 5 2 4 8" xfId="2587" xr:uid="{00000000-0005-0000-0000-00001F190000}"/>
    <cellStyle name="Normal 5 2 4 8 2" xfId="6870" xr:uid="{00000000-0005-0000-0000-000020190000}"/>
    <cellStyle name="Normal 5 2 4 8 2 2" xfId="23768" xr:uid="{269F12EC-337A-4348-BD94-CAF04EE67EEB}"/>
    <cellStyle name="Normal 5 2 4 8 2 3" xfId="15320" xr:uid="{8890ABCB-7198-4195-9E19-6F2420721E46}"/>
    <cellStyle name="Normal 5 2 4 8 3" xfId="19550" xr:uid="{28788F6B-D6F5-4C80-B12D-A00698F52C4B}"/>
    <cellStyle name="Normal 5 2 4 8 4" xfId="11102" xr:uid="{D08734C7-8BC3-411B-9770-DE51B820162A}"/>
    <cellStyle name="Normal 5 2 4 9" xfId="4805" xr:uid="{00000000-0005-0000-0000-000021190000}"/>
    <cellStyle name="Normal 5 2 4 9 2" xfId="21703" xr:uid="{E1DFCF41-E76D-4B83-9271-2D4684093C81}"/>
    <cellStyle name="Normal 5 2 4 9 3" xfId="13255" xr:uid="{326BA64B-3396-4B2E-8E86-54D28948DB6C}"/>
    <cellStyle name="Normal 5 2 5" xfId="436" xr:uid="{00000000-0005-0000-0000-000022190000}"/>
    <cellStyle name="Normal 5 2 5 10" xfId="9041" xr:uid="{EF6E1878-ED5A-42BE-8861-C2DF0BA2FD83}"/>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24266" xr:uid="{DBEA9F19-4B3F-4C61-B1E6-748738D96045}"/>
    <cellStyle name="Normal 5 2 5 2 2 2 2 3" xfId="15818" xr:uid="{1A058DF7-5277-4E6E-A7C7-E219B47CF606}"/>
    <cellStyle name="Normal 5 2 5 2 2 2 3" xfId="20048" xr:uid="{CB4E0A54-1B16-4D05-A92E-82CA5B01B96D}"/>
    <cellStyle name="Normal 5 2 5 2 2 2 4" xfId="11600" xr:uid="{D2D92B62-29A6-4030-AF18-C659BB36415C}"/>
    <cellStyle name="Normal 5 2 5 2 2 3" xfId="5223" xr:uid="{00000000-0005-0000-0000-000027190000}"/>
    <cellStyle name="Normal 5 2 5 2 2 3 2" xfId="22121" xr:uid="{B89BCE93-CA08-4BA5-91AD-8645C6E3546F}"/>
    <cellStyle name="Normal 5 2 5 2 2 3 3" xfId="13673" xr:uid="{C813A723-A234-4BCC-A7EE-0F2ED3FE02B3}"/>
    <cellStyle name="Normal 5 2 5 2 2 4" xfId="17903" xr:uid="{A5462D1E-AD78-449C-BAFE-CCAA3F246B9A}"/>
    <cellStyle name="Normal 5 2 5 2 2 5" xfId="9455" xr:uid="{EBE7C908-C010-43F3-9D35-952A5FC7AC1E}"/>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24679" xr:uid="{4219CF66-7AF1-41F0-AD07-9BABCAB8AF86}"/>
    <cellStyle name="Normal 5 2 5 2 3 2 2 3" xfId="16231" xr:uid="{B3A57886-5DFF-4C2A-BF61-3F1487D51F37}"/>
    <cellStyle name="Normal 5 2 5 2 3 2 3" xfId="20461" xr:uid="{097B2590-57FC-426C-92A9-723D396CE00F}"/>
    <cellStyle name="Normal 5 2 5 2 3 2 4" xfId="12013" xr:uid="{805DF6D6-B250-4D68-A55E-081961AE24B5}"/>
    <cellStyle name="Normal 5 2 5 2 3 3" xfId="5636" xr:uid="{00000000-0005-0000-0000-00002B190000}"/>
    <cellStyle name="Normal 5 2 5 2 3 3 2" xfId="22534" xr:uid="{E4CCCA20-B133-476E-B4D6-4E10D09584C5}"/>
    <cellStyle name="Normal 5 2 5 2 3 3 3" xfId="14086" xr:uid="{44B20893-3CA1-481C-A3A6-44B306426E01}"/>
    <cellStyle name="Normal 5 2 5 2 3 4" xfId="18316" xr:uid="{73AF4733-2B4C-45B6-9428-3A809A46BC4C}"/>
    <cellStyle name="Normal 5 2 5 2 3 5" xfId="9868" xr:uid="{B29C9FDD-0216-40CB-899F-F0DB8ADECAD7}"/>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25092" xr:uid="{0580EC81-5ABF-4B8E-AE9F-8C62A5A7122E}"/>
    <cellStyle name="Normal 5 2 5 2 4 2 2 3" xfId="16644" xr:uid="{7CC38023-FC2C-4D80-85B0-EFF8CB59B933}"/>
    <cellStyle name="Normal 5 2 5 2 4 2 3" xfId="20874" xr:uid="{9A47D154-5889-4DEE-AB7C-4BB50FD74EC3}"/>
    <cellStyle name="Normal 5 2 5 2 4 2 4" xfId="12426" xr:uid="{9BE67F87-EDE8-462A-BB85-8AEFA38900AF}"/>
    <cellStyle name="Normal 5 2 5 2 4 3" xfId="6049" xr:uid="{00000000-0005-0000-0000-00002F190000}"/>
    <cellStyle name="Normal 5 2 5 2 4 3 2" xfId="22947" xr:uid="{386A0E7A-CC76-491F-A404-D21E261835A5}"/>
    <cellStyle name="Normal 5 2 5 2 4 3 3" xfId="14499" xr:uid="{12852ECE-21D1-453A-A5BD-E59224443C8D}"/>
    <cellStyle name="Normal 5 2 5 2 4 4" xfId="18729" xr:uid="{535C2DB6-BB96-4566-B8D3-823A5F481AA5}"/>
    <cellStyle name="Normal 5 2 5 2 4 5" xfId="10281" xr:uid="{23B929DE-A23F-40F4-AC8C-D19C61EA4F1C}"/>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25505" xr:uid="{D667A3FD-419F-4FE1-ABCB-ABAC9874AD6F}"/>
    <cellStyle name="Normal 5 2 5 2 5 2 2 3" xfId="17057" xr:uid="{6A008713-4812-4D81-B758-F21976FC6028}"/>
    <cellStyle name="Normal 5 2 5 2 5 2 3" xfId="21287" xr:uid="{6CC82B96-D193-43C2-B623-E2D6B133E98E}"/>
    <cellStyle name="Normal 5 2 5 2 5 2 4" xfId="12839" xr:uid="{AE959ACC-18A8-4527-86BF-88090F88DE09}"/>
    <cellStyle name="Normal 5 2 5 2 5 3" xfId="6462" xr:uid="{00000000-0005-0000-0000-000033190000}"/>
    <cellStyle name="Normal 5 2 5 2 5 3 2" xfId="23360" xr:uid="{C88931D1-AF38-4033-8C94-AAB18CDCCEB1}"/>
    <cellStyle name="Normal 5 2 5 2 5 3 3" xfId="14912" xr:uid="{36D11238-CBFB-4EE2-A3D9-D56695F1A3B5}"/>
    <cellStyle name="Normal 5 2 5 2 5 4" xfId="19142" xr:uid="{E4FAADC2-63E7-49F1-9413-4CC6147014DC}"/>
    <cellStyle name="Normal 5 2 5 2 5 5" xfId="10694" xr:uid="{00E257B0-7F51-43B2-B2A4-86BD270946FE}"/>
    <cellStyle name="Normal 5 2 5 2 6" xfId="2592" xr:uid="{00000000-0005-0000-0000-000034190000}"/>
    <cellStyle name="Normal 5 2 5 2 6 2" xfId="6875" xr:uid="{00000000-0005-0000-0000-000035190000}"/>
    <cellStyle name="Normal 5 2 5 2 6 2 2" xfId="23773" xr:uid="{BB0B481E-9980-4578-B6CD-79E9F5CB356D}"/>
    <cellStyle name="Normal 5 2 5 2 6 2 3" xfId="15325" xr:uid="{B3C3618F-B9D1-4321-8A9F-7163AC5FB39A}"/>
    <cellStyle name="Normal 5 2 5 2 6 3" xfId="19555" xr:uid="{2DB25595-C162-40DC-B791-4C5184617729}"/>
    <cellStyle name="Normal 5 2 5 2 6 4" xfId="11107" xr:uid="{E027B6DA-D832-413C-88DE-17AEF3ACD991}"/>
    <cellStyle name="Normal 5 2 5 2 7" xfId="4810" xr:uid="{00000000-0005-0000-0000-000036190000}"/>
    <cellStyle name="Normal 5 2 5 2 7 2" xfId="21708" xr:uid="{C599723A-D9D4-4997-8A89-8C7E662B704D}"/>
    <cellStyle name="Normal 5 2 5 2 7 3" xfId="13260" xr:uid="{669D2AED-B6A6-4A77-85CF-D2E5879F1197}"/>
    <cellStyle name="Normal 5 2 5 2 8" xfId="17490" xr:uid="{AE382DBD-68AE-4288-BFFC-D2EDDCC47445}"/>
    <cellStyle name="Normal 5 2 5 2 9" xfId="9042" xr:uid="{15B6A837-72E0-4C0A-B0C5-617F84080E69}"/>
    <cellStyle name="Normal 5 2 5 3" xfId="910" xr:uid="{00000000-0005-0000-0000-000037190000}"/>
    <cellStyle name="Normal 5 2 5 3 2" xfId="3145" xr:uid="{00000000-0005-0000-0000-000038190000}"/>
    <cellStyle name="Normal 5 2 5 3 2 2" xfId="7367" xr:uid="{00000000-0005-0000-0000-000039190000}"/>
    <cellStyle name="Normal 5 2 5 3 2 2 2" xfId="24265" xr:uid="{0F7C49F2-0CFB-4594-8730-F39723D39CE1}"/>
    <cellStyle name="Normal 5 2 5 3 2 2 3" xfId="15817" xr:uid="{FB291BA9-57A3-47A1-B6DE-98FA82E4714F}"/>
    <cellStyle name="Normal 5 2 5 3 2 3" xfId="20047" xr:uid="{19BA068A-902C-48A6-802A-E521AF8F14C7}"/>
    <cellStyle name="Normal 5 2 5 3 2 4" xfId="11599" xr:uid="{10AD52F8-CB07-4957-88E3-E361C2FAF45E}"/>
    <cellStyle name="Normal 5 2 5 3 3" xfId="5222" xr:uid="{00000000-0005-0000-0000-00003A190000}"/>
    <cellStyle name="Normal 5 2 5 3 3 2" xfId="22120" xr:uid="{D94E12DF-3FB4-4078-A03B-F3FF93E2DCB4}"/>
    <cellStyle name="Normal 5 2 5 3 3 3" xfId="13672" xr:uid="{2CAC7B47-9DCD-4D3D-810B-144F622F9A00}"/>
    <cellStyle name="Normal 5 2 5 3 4" xfId="17902" xr:uid="{C0B96C96-E468-4C3B-ADE0-A201DDAEFA18}"/>
    <cellStyle name="Normal 5 2 5 3 5" xfId="9454" xr:uid="{344FDEF4-231E-448E-AD1B-EFC593C27748}"/>
    <cellStyle name="Normal 5 2 5 4" xfId="1328" xr:uid="{00000000-0005-0000-0000-00003B190000}"/>
    <cellStyle name="Normal 5 2 5 4 2" xfId="3558" xr:uid="{00000000-0005-0000-0000-00003C190000}"/>
    <cellStyle name="Normal 5 2 5 4 2 2" xfId="7780" xr:uid="{00000000-0005-0000-0000-00003D190000}"/>
    <cellStyle name="Normal 5 2 5 4 2 2 2" xfId="24678" xr:uid="{5125649B-F90A-4D36-88FF-461E7D8A79FA}"/>
    <cellStyle name="Normal 5 2 5 4 2 2 3" xfId="16230" xr:uid="{53361073-12D3-410E-B386-FB1724D1CE7B}"/>
    <cellStyle name="Normal 5 2 5 4 2 3" xfId="20460" xr:uid="{B6EE558A-8395-48AC-8CE1-42AB737A6BA2}"/>
    <cellStyle name="Normal 5 2 5 4 2 4" xfId="12012" xr:uid="{9E24EBA5-F867-44CE-BC2E-9FCDC7F40A0F}"/>
    <cellStyle name="Normal 5 2 5 4 3" xfId="5635" xr:uid="{00000000-0005-0000-0000-00003E190000}"/>
    <cellStyle name="Normal 5 2 5 4 3 2" xfId="22533" xr:uid="{FF181677-2B5A-4F52-A0C6-82323062FE5F}"/>
    <cellStyle name="Normal 5 2 5 4 3 3" xfId="14085" xr:uid="{1BB594D9-7646-4AC1-8FBD-1788D012E3BE}"/>
    <cellStyle name="Normal 5 2 5 4 4" xfId="18315" xr:uid="{1E862FC8-A6B1-4F53-8E32-4F69F3B7F56A}"/>
    <cellStyle name="Normal 5 2 5 4 5" xfId="9867" xr:uid="{56F1D27B-7DAD-4332-A282-F9C9E9A99031}"/>
    <cellStyle name="Normal 5 2 5 5" xfId="1741" xr:uid="{00000000-0005-0000-0000-00003F190000}"/>
    <cellStyle name="Normal 5 2 5 5 2" xfId="3971" xr:uid="{00000000-0005-0000-0000-000040190000}"/>
    <cellStyle name="Normal 5 2 5 5 2 2" xfId="8193" xr:uid="{00000000-0005-0000-0000-000041190000}"/>
    <cellStyle name="Normal 5 2 5 5 2 2 2" xfId="25091" xr:uid="{51C5406C-0BAC-4F06-B0BC-B330FF401994}"/>
    <cellStyle name="Normal 5 2 5 5 2 2 3" xfId="16643" xr:uid="{FD17438F-8851-4E1E-99B1-7F9F08EEB2A7}"/>
    <cellStyle name="Normal 5 2 5 5 2 3" xfId="20873" xr:uid="{13F6955E-87B2-4239-B830-2B985AAE4850}"/>
    <cellStyle name="Normal 5 2 5 5 2 4" xfId="12425" xr:uid="{D36482B5-48ED-4EB0-9EB1-77DFF5947219}"/>
    <cellStyle name="Normal 5 2 5 5 3" xfId="6048" xr:uid="{00000000-0005-0000-0000-000042190000}"/>
    <cellStyle name="Normal 5 2 5 5 3 2" xfId="22946" xr:uid="{ADC12C19-4B70-4EF0-B241-B05F34D5CFF9}"/>
    <cellStyle name="Normal 5 2 5 5 3 3" xfId="14498" xr:uid="{EC8A9443-9AD4-4A17-8175-055DC580F9BB}"/>
    <cellStyle name="Normal 5 2 5 5 4" xfId="18728" xr:uid="{DBE5C708-9835-4FB6-8D2E-A08F26BB19CD}"/>
    <cellStyle name="Normal 5 2 5 5 5" xfId="10280" xr:uid="{F0C74A04-4358-4AFA-AE9B-D5A7114A9DF7}"/>
    <cellStyle name="Normal 5 2 5 6" xfId="2155" xr:uid="{00000000-0005-0000-0000-000043190000}"/>
    <cellStyle name="Normal 5 2 5 6 2" xfId="4384" xr:uid="{00000000-0005-0000-0000-000044190000}"/>
    <cellStyle name="Normal 5 2 5 6 2 2" xfId="8606" xr:uid="{00000000-0005-0000-0000-000045190000}"/>
    <cellStyle name="Normal 5 2 5 6 2 2 2" xfId="25504" xr:uid="{DBF1C478-911B-428A-9078-B8FA10A1C6C9}"/>
    <cellStyle name="Normal 5 2 5 6 2 2 3" xfId="17056" xr:uid="{5D4EB9D0-2265-4E57-9684-49AF97F2AB19}"/>
    <cellStyle name="Normal 5 2 5 6 2 3" xfId="21286" xr:uid="{B8A90C25-82EE-4AC9-9DB4-500324229249}"/>
    <cellStyle name="Normal 5 2 5 6 2 4" xfId="12838" xr:uid="{1892789D-5FD2-441A-88F3-8169D5C31DC6}"/>
    <cellStyle name="Normal 5 2 5 6 3" xfId="6461" xr:uid="{00000000-0005-0000-0000-000046190000}"/>
    <cellStyle name="Normal 5 2 5 6 3 2" xfId="23359" xr:uid="{36D5BB20-8EC6-4363-AE11-70C7B8C19E95}"/>
    <cellStyle name="Normal 5 2 5 6 3 3" xfId="14911" xr:uid="{56EAEAC6-C73C-4631-A1FA-3070ECE46C34}"/>
    <cellStyle name="Normal 5 2 5 6 4" xfId="19141" xr:uid="{E429EB56-287E-4A7A-892A-CD27ABE80E8A}"/>
    <cellStyle name="Normal 5 2 5 6 5" xfId="10693" xr:uid="{863A7D5F-9C17-48C8-9DE9-C248DDCB10EB}"/>
    <cellStyle name="Normal 5 2 5 7" xfId="2591" xr:uid="{00000000-0005-0000-0000-000047190000}"/>
    <cellStyle name="Normal 5 2 5 7 2" xfId="6874" xr:uid="{00000000-0005-0000-0000-000048190000}"/>
    <cellStyle name="Normal 5 2 5 7 2 2" xfId="23772" xr:uid="{73E11B38-A5A9-42C8-99A4-4E399F20F1BB}"/>
    <cellStyle name="Normal 5 2 5 7 2 3" xfId="15324" xr:uid="{45108BDF-A152-4ED6-B518-FA99E10ADA38}"/>
    <cellStyle name="Normal 5 2 5 7 3" xfId="19554" xr:uid="{9243286A-CBE2-484B-969A-801FD805A2D1}"/>
    <cellStyle name="Normal 5 2 5 7 4" xfId="11106" xr:uid="{A4B0E311-5FF7-4433-8F91-F117F9B2B659}"/>
    <cellStyle name="Normal 5 2 5 8" xfId="4809" xr:uid="{00000000-0005-0000-0000-000049190000}"/>
    <cellStyle name="Normal 5 2 5 8 2" xfId="21707" xr:uid="{76564BF5-CDFF-45AC-A241-CA04584101C8}"/>
    <cellStyle name="Normal 5 2 5 8 3" xfId="13259" xr:uid="{0FEEF9CE-FA69-4DA5-857B-E0D508E28727}"/>
    <cellStyle name="Normal 5 2 5 9" xfId="17489" xr:uid="{8BF30B22-E26A-4EBC-9344-80957466A54E}"/>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2 2 2" xfId="24267" xr:uid="{1B258E25-977B-4655-83DD-F622FFCBD4EA}"/>
    <cellStyle name="Normal 5 2 6 2 2 2 3" xfId="15819" xr:uid="{C18580EE-A45B-409B-BAAB-33886E4DE1B2}"/>
    <cellStyle name="Normal 5 2 6 2 2 3" xfId="20049" xr:uid="{08C5A487-985B-4FFD-978E-862E0D884A2F}"/>
    <cellStyle name="Normal 5 2 6 2 2 4" xfId="11601" xr:uid="{2B3FD916-B59C-4F80-9BA3-C205DD0D4656}"/>
    <cellStyle name="Normal 5 2 6 2 3" xfId="5224" xr:uid="{00000000-0005-0000-0000-00004E190000}"/>
    <cellStyle name="Normal 5 2 6 2 3 2" xfId="22122" xr:uid="{72082B78-7769-405C-BE48-F94C34611F1F}"/>
    <cellStyle name="Normal 5 2 6 2 3 3" xfId="13674" xr:uid="{BE8DED19-164C-4F5B-855A-2FFD379F4BD8}"/>
    <cellStyle name="Normal 5 2 6 2 4" xfId="17904" xr:uid="{06A34F0A-8D90-49EC-A7E3-7ADEB2AC17AD}"/>
    <cellStyle name="Normal 5 2 6 2 5" xfId="9456" xr:uid="{D6F0AD07-9888-494A-8B6E-CCB4A8B232D5}"/>
    <cellStyle name="Normal 5 2 6 3" xfId="1330" xr:uid="{00000000-0005-0000-0000-00004F190000}"/>
    <cellStyle name="Normal 5 2 6 3 2" xfId="3560" xr:uid="{00000000-0005-0000-0000-000050190000}"/>
    <cellStyle name="Normal 5 2 6 3 2 2" xfId="7782" xr:uid="{00000000-0005-0000-0000-000051190000}"/>
    <cellStyle name="Normal 5 2 6 3 2 2 2" xfId="24680" xr:uid="{E32D5FB0-8FAD-4C5D-9B1D-E898670B8892}"/>
    <cellStyle name="Normal 5 2 6 3 2 2 3" xfId="16232" xr:uid="{0EDF532B-F53A-4448-B91A-C693999AC065}"/>
    <cellStyle name="Normal 5 2 6 3 2 3" xfId="20462" xr:uid="{05381A8B-1F13-406C-AD9A-710B6B51AFD5}"/>
    <cellStyle name="Normal 5 2 6 3 2 4" xfId="12014" xr:uid="{A7C34B25-AC02-4CB2-B75F-E3C9E0864FC2}"/>
    <cellStyle name="Normal 5 2 6 3 3" xfId="5637" xr:uid="{00000000-0005-0000-0000-000052190000}"/>
    <cellStyle name="Normal 5 2 6 3 3 2" xfId="22535" xr:uid="{98F0B56B-6BC3-4A35-A8C8-C2A04D1BCD57}"/>
    <cellStyle name="Normal 5 2 6 3 3 3" xfId="14087" xr:uid="{8C1BDE72-E556-4047-8C76-A32CACAC1B66}"/>
    <cellStyle name="Normal 5 2 6 3 4" xfId="18317" xr:uid="{BCBB66E9-7FF3-48C1-95EC-0F93A0118517}"/>
    <cellStyle name="Normal 5 2 6 3 5" xfId="9869" xr:uid="{7A48DC15-FFFB-4DA0-9E05-8CBB81C0D037}"/>
    <cellStyle name="Normal 5 2 6 4" xfId="1743" xr:uid="{00000000-0005-0000-0000-000053190000}"/>
    <cellStyle name="Normal 5 2 6 4 2" xfId="3973" xr:uid="{00000000-0005-0000-0000-000054190000}"/>
    <cellStyle name="Normal 5 2 6 4 2 2" xfId="8195" xr:uid="{00000000-0005-0000-0000-000055190000}"/>
    <cellStyle name="Normal 5 2 6 4 2 2 2" xfId="25093" xr:uid="{29F80AE2-18FD-4034-862C-DC0A57FCA11F}"/>
    <cellStyle name="Normal 5 2 6 4 2 2 3" xfId="16645" xr:uid="{2567F40E-26F3-412E-B567-33DCD090C50B}"/>
    <cellStyle name="Normal 5 2 6 4 2 3" xfId="20875" xr:uid="{BB26E136-EF11-420B-9FD7-65B53E584C30}"/>
    <cellStyle name="Normal 5 2 6 4 2 4" xfId="12427" xr:uid="{4F12A610-C9CC-49DC-A620-633D45E7985E}"/>
    <cellStyle name="Normal 5 2 6 4 3" xfId="6050" xr:uid="{00000000-0005-0000-0000-000056190000}"/>
    <cellStyle name="Normal 5 2 6 4 3 2" xfId="22948" xr:uid="{F82DC239-10F5-446E-B95B-3C3312199D6D}"/>
    <cellStyle name="Normal 5 2 6 4 3 3" xfId="14500" xr:uid="{C51B9A1C-CC73-4C7F-943C-FF3C102C1D81}"/>
    <cellStyle name="Normal 5 2 6 4 4" xfId="18730" xr:uid="{C7D741C2-3075-43FC-BF4D-DE6449018BEF}"/>
    <cellStyle name="Normal 5 2 6 4 5" xfId="10282" xr:uid="{5A42E538-AD26-4FDF-B7BC-9E7F754BE097}"/>
    <cellStyle name="Normal 5 2 6 5" xfId="2157" xr:uid="{00000000-0005-0000-0000-000057190000}"/>
    <cellStyle name="Normal 5 2 6 5 2" xfId="4386" xr:uid="{00000000-0005-0000-0000-000058190000}"/>
    <cellStyle name="Normal 5 2 6 5 2 2" xfId="8608" xr:uid="{00000000-0005-0000-0000-000059190000}"/>
    <cellStyle name="Normal 5 2 6 5 2 2 2" xfId="25506" xr:uid="{80F8290B-7F6D-45E3-A846-B6141BD202B7}"/>
    <cellStyle name="Normal 5 2 6 5 2 2 3" xfId="17058" xr:uid="{26A2A698-153B-4B76-85C9-37D56F6A5736}"/>
    <cellStyle name="Normal 5 2 6 5 2 3" xfId="21288" xr:uid="{1ECA7C86-CF88-4617-82DC-CDB80F04065F}"/>
    <cellStyle name="Normal 5 2 6 5 2 4" xfId="12840" xr:uid="{1AD8F303-6A54-48AC-8FBF-D4D5D3937BC6}"/>
    <cellStyle name="Normal 5 2 6 5 3" xfId="6463" xr:uid="{00000000-0005-0000-0000-00005A190000}"/>
    <cellStyle name="Normal 5 2 6 5 3 2" xfId="23361" xr:uid="{A70491FB-6868-49D8-8CBF-1EBB3511C2B5}"/>
    <cellStyle name="Normal 5 2 6 5 3 3" xfId="14913" xr:uid="{D42AC77C-5A07-4F1C-93AC-59837132AA2A}"/>
    <cellStyle name="Normal 5 2 6 5 4" xfId="19143" xr:uid="{44558542-F685-4762-AF83-320C46C765CA}"/>
    <cellStyle name="Normal 5 2 6 5 5" xfId="10695" xr:uid="{99C98202-AB35-4496-949F-D283CEA731EC}"/>
    <cellStyle name="Normal 5 2 6 6" xfId="2593" xr:uid="{00000000-0005-0000-0000-00005B190000}"/>
    <cellStyle name="Normal 5 2 6 6 2" xfId="6876" xr:uid="{00000000-0005-0000-0000-00005C190000}"/>
    <cellStyle name="Normal 5 2 6 6 2 2" xfId="23774" xr:uid="{5CC3752C-6F5B-4110-A304-39FF39073F06}"/>
    <cellStyle name="Normal 5 2 6 6 2 3" xfId="15326" xr:uid="{358AE686-B75C-4060-9E5A-23C99536D90F}"/>
    <cellStyle name="Normal 5 2 6 6 3" xfId="19556" xr:uid="{30EAD546-2919-4C3F-A0B8-0AB969ACBC23}"/>
    <cellStyle name="Normal 5 2 6 6 4" xfId="11108" xr:uid="{02EA02BC-5358-40BB-B9C0-0DA789254056}"/>
    <cellStyle name="Normal 5 2 6 7" xfId="4811" xr:uid="{00000000-0005-0000-0000-00005D190000}"/>
    <cellStyle name="Normal 5 2 6 7 2" xfId="21709" xr:uid="{2176CEC0-2380-4928-9D4C-52F8D07A66B9}"/>
    <cellStyle name="Normal 5 2 6 7 3" xfId="13261" xr:uid="{54FDE340-4422-4C32-967A-C8D2AA0987A9}"/>
    <cellStyle name="Normal 5 2 6 8" xfId="17491" xr:uid="{BAC7A5A8-666F-4A3B-AB87-F99A8AB3F876}"/>
    <cellStyle name="Normal 5 2 6 9" xfId="9043" xr:uid="{4A6F911D-36F7-4DAC-ACD2-7C28A66B7D81}"/>
    <cellStyle name="Normal 5 2 7" xfId="881" xr:uid="{00000000-0005-0000-0000-00005E190000}"/>
    <cellStyle name="Normal 5 2 7 2" xfId="3116" xr:uid="{00000000-0005-0000-0000-00005F190000}"/>
    <cellStyle name="Normal 5 2 7 2 2" xfId="7338" xr:uid="{00000000-0005-0000-0000-000060190000}"/>
    <cellStyle name="Normal 5 2 7 2 2 2" xfId="24236" xr:uid="{2FA68154-BC53-48AE-825C-6F11E0766315}"/>
    <cellStyle name="Normal 5 2 7 2 2 3" xfId="15788" xr:uid="{587B82EE-FDBD-4C66-A880-96105692FD6C}"/>
    <cellStyle name="Normal 5 2 7 2 3" xfId="20018" xr:uid="{A4225B76-095C-4661-B94E-B5A99868D461}"/>
    <cellStyle name="Normal 5 2 7 2 4" xfId="11570" xr:uid="{DE42C933-5FC3-45F6-B012-941C4226397E}"/>
    <cellStyle name="Normal 5 2 7 3" xfId="5193" xr:uid="{00000000-0005-0000-0000-000061190000}"/>
    <cellStyle name="Normal 5 2 7 3 2" xfId="22091" xr:uid="{70B9A0AD-8BFD-4F35-AE6F-34DE833FD3C8}"/>
    <cellStyle name="Normal 5 2 7 3 3" xfId="13643" xr:uid="{039F3742-BA89-4671-9013-A3CCC38B24C2}"/>
    <cellStyle name="Normal 5 2 7 4" xfId="17873" xr:uid="{591723EA-0F81-4E37-86A0-BB8834956D4E}"/>
    <cellStyle name="Normal 5 2 7 5" xfId="9425" xr:uid="{503F2E34-5D3D-4D6C-B086-FD5CB58813E7}"/>
    <cellStyle name="Normal 5 2 8" xfId="1299" xr:uid="{00000000-0005-0000-0000-000062190000}"/>
    <cellStyle name="Normal 5 2 8 2" xfId="3529" xr:uid="{00000000-0005-0000-0000-000063190000}"/>
    <cellStyle name="Normal 5 2 8 2 2" xfId="7751" xr:uid="{00000000-0005-0000-0000-000064190000}"/>
    <cellStyle name="Normal 5 2 8 2 2 2" xfId="24649" xr:uid="{FAF42F62-11E1-4F0B-886A-CF08AFB7E254}"/>
    <cellStyle name="Normal 5 2 8 2 2 3" xfId="16201" xr:uid="{CCD76132-0752-4A57-9A75-84F5B042D21E}"/>
    <cellStyle name="Normal 5 2 8 2 3" xfId="20431" xr:uid="{79DE45D5-6CA0-4CAF-8E0F-0442F2C9BE67}"/>
    <cellStyle name="Normal 5 2 8 2 4" xfId="11983" xr:uid="{A46708FC-A15A-4CAC-81C9-B2972B78B6F7}"/>
    <cellStyle name="Normal 5 2 8 3" xfId="5606" xr:uid="{00000000-0005-0000-0000-000065190000}"/>
    <cellStyle name="Normal 5 2 8 3 2" xfId="22504" xr:uid="{CB85EE02-9E44-4A34-9B56-D60539885D68}"/>
    <cellStyle name="Normal 5 2 8 3 3" xfId="14056" xr:uid="{70740E28-F2D1-4F3A-A270-1811C0370784}"/>
    <cellStyle name="Normal 5 2 8 4" xfId="18286" xr:uid="{53DD42AA-3FE6-4C55-9EAC-65D83F9AE047}"/>
    <cellStyle name="Normal 5 2 8 5" xfId="9838" xr:uid="{F37BE9DC-93E3-4503-BF23-650AB3C73E54}"/>
    <cellStyle name="Normal 5 2 9" xfId="1712" xr:uid="{00000000-0005-0000-0000-000066190000}"/>
    <cellStyle name="Normal 5 2 9 2" xfId="3942" xr:uid="{00000000-0005-0000-0000-000067190000}"/>
    <cellStyle name="Normal 5 2 9 2 2" xfId="8164" xr:uid="{00000000-0005-0000-0000-000068190000}"/>
    <cellStyle name="Normal 5 2 9 2 2 2" xfId="25062" xr:uid="{51A0A826-0F7A-4E5E-8A27-E8C733C50867}"/>
    <cellStyle name="Normal 5 2 9 2 2 3" xfId="16614" xr:uid="{8D0C3618-73E7-4DE1-8BC6-5E65396D386E}"/>
    <cellStyle name="Normal 5 2 9 2 3" xfId="20844" xr:uid="{A97172F8-157C-42AC-B5AE-E893FCE4DF86}"/>
    <cellStyle name="Normal 5 2 9 2 4" xfId="12396" xr:uid="{41A35DD4-E491-45CE-B713-E873A278D6A6}"/>
    <cellStyle name="Normal 5 2 9 3" xfId="6019" xr:uid="{00000000-0005-0000-0000-000069190000}"/>
    <cellStyle name="Normal 5 2 9 3 2" xfId="22917" xr:uid="{8D7BDCC0-D145-4261-B718-9D43E0A0915B}"/>
    <cellStyle name="Normal 5 2 9 3 3" xfId="14469" xr:uid="{22CC85B3-DB01-402F-AF6D-F9BF2D679881}"/>
    <cellStyle name="Normal 5 2 9 4" xfId="18699" xr:uid="{525B358E-AD70-4C6D-AC72-91C86150E9F9}"/>
    <cellStyle name="Normal 5 2 9 5" xfId="10251" xr:uid="{0426D3F2-B1A7-41CA-8088-95C7DA57FFF2}"/>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25507" xr:uid="{1C91CE16-1B9E-4EC1-AC66-29D836F3D45C}"/>
    <cellStyle name="Normal 5 3 10 2 2 3" xfId="17059" xr:uid="{A935473A-3A1D-4519-B629-2AC30F1F0FEB}"/>
    <cellStyle name="Normal 5 3 10 2 3" xfId="21289" xr:uid="{9DC5A079-05FE-4E32-B3E8-8FD817832558}"/>
    <cellStyle name="Normal 5 3 10 2 4" xfId="12841" xr:uid="{4CFFD321-91D9-48F2-8E66-0B885E2F6552}"/>
    <cellStyle name="Normal 5 3 10 3" xfId="6464" xr:uid="{00000000-0005-0000-0000-00006E190000}"/>
    <cellStyle name="Normal 5 3 10 3 2" xfId="23362" xr:uid="{58C0CCF6-9C2A-4383-A95B-EAFEE790998D}"/>
    <cellStyle name="Normal 5 3 10 3 3" xfId="14914" xr:uid="{A8860DE8-3001-4F14-8115-0761367405AE}"/>
    <cellStyle name="Normal 5 3 10 4" xfId="19144" xr:uid="{55510280-444F-493A-83E1-8B97F29A9B0F}"/>
    <cellStyle name="Normal 5 3 10 5" xfId="10696" xr:uid="{93A3108C-9D20-40C4-8BF2-AFE04843E1F8}"/>
    <cellStyle name="Normal 5 3 11" xfId="2594" xr:uid="{00000000-0005-0000-0000-00006F190000}"/>
    <cellStyle name="Normal 5 3 11 2" xfId="6877" xr:uid="{00000000-0005-0000-0000-000070190000}"/>
    <cellStyle name="Normal 5 3 11 2 2" xfId="23775" xr:uid="{5E657343-91E4-408D-9A18-114CEEA6EDCB}"/>
    <cellStyle name="Normal 5 3 11 2 3" xfId="15327" xr:uid="{02295F71-1A24-4FA0-8AD7-98D53DDB09AD}"/>
    <cellStyle name="Normal 5 3 11 3" xfId="19557" xr:uid="{FF15B028-0171-432E-BCD4-40419D66864B}"/>
    <cellStyle name="Normal 5 3 11 4" xfId="11109" xr:uid="{73694076-95D6-4B08-9693-911F593E3821}"/>
    <cellStyle name="Normal 5 3 12" xfId="4812" xr:uid="{00000000-0005-0000-0000-000071190000}"/>
    <cellStyle name="Normal 5 3 12 2" xfId="21710" xr:uid="{26B366BE-2056-4B3C-9B9C-2B4D949847E4}"/>
    <cellStyle name="Normal 5 3 12 3" xfId="13262" xr:uid="{CDB6F73F-A5A3-4866-924C-CA667558C40A}"/>
    <cellStyle name="Normal 5 3 13" xfId="17492" xr:uid="{4D6719C7-FB02-4244-92EF-A32588BA5E4E}"/>
    <cellStyle name="Normal 5 3 14" xfId="9044" xr:uid="{805C74BE-84FD-4D64-8AEC-DEC206FE553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21711" xr:uid="{38EDE158-A0D8-4118-830A-E7A086BF0933}"/>
    <cellStyle name="Normal 5 3 3 10 3" xfId="13263" xr:uid="{AB527FB3-892D-4BE8-A9E9-D2A6B599BFD9}"/>
    <cellStyle name="Normal 5 3 3 11" xfId="17493" xr:uid="{EB26A120-54B4-43B1-BF5F-94AD3B5AF2C2}"/>
    <cellStyle name="Normal 5 3 3 12" xfId="9045" xr:uid="{9BFCECD9-0CDE-40C8-902A-104344A617DB}"/>
    <cellStyle name="Normal 5 3 3 2" xfId="442" xr:uid="{00000000-0005-0000-0000-000076190000}"/>
    <cellStyle name="Normal 5 3 3 2 10" xfId="17494" xr:uid="{A187CB96-A8C7-43D5-9FA3-4A87B81C447C}"/>
    <cellStyle name="Normal 5 3 3 2 11" xfId="9046" xr:uid="{50E56DFE-B575-4C21-B418-BEBF0FB886D7}"/>
    <cellStyle name="Normal 5 3 3 2 2" xfId="443" xr:uid="{00000000-0005-0000-0000-000077190000}"/>
    <cellStyle name="Normal 5 3 3 2 2 10" xfId="9047" xr:uid="{7474C7D3-6FB6-4196-8842-8FECD3AB29EA}"/>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24272" xr:uid="{B3549FBD-4B8E-4EE9-BC33-E70821893C10}"/>
    <cellStyle name="Normal 5 3 3 2 2 2 2 2 2 3" xfId="15824" xr:uid="{BA0287D5-18C0-4155-8C46-37E1A96C3607}"/>
    <cellStyle name="Normal 5 3 3 2 2 2 2 2 3" xfId="20054" xr:uid="{540E32FD-20E3-4966-84F5-90FB02473AD5}"/>
    <cellStyle name="Normal 5 3 3 2 2 2 2 2 4" xfId="11606" xr:uid="{B57BBFBF-E4B0-49B1-BC30-3E8963669DA1}"/>
    <cellStyle name="Normal 5 3 3 2 2 2 2 3" xfId="5229" xr:uid="{00000000-0005-0000-0000-00007C190000}"/>
    <cellStyle name="Normal 5 3 3 2 2 2 2 3 2" xfId="22127" xr:uid="{961D1720-7B1E-4959-9673-7C7BE95C9C49}"/>
    <cellStyle name="Normal 5 3 3 2 2 2 2 3 3" xfId="13679" xr:uid="{D121047D-146B-4C61-AFDE-ABB9952C1F75}"/>
    <cellStyle name="Normal 5 3 3 2 2 2 2 4" xfId="17909" xr:uid="{683399E6-BFE9-41EB-B66A-C8F7DFCED3C8}"/>
    <cellStyle name="Normal 5 3 3 2 2 2 2 5" xfId="9461" xr:uid="{061F661B-B0AF-43E0-9CC8-317A72B4772C}"/>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24685" xr:uid="{1063FCC3-34B1-4ED7-85CF-F95E1C570C9F}"/>
    <cellStyle name="Normal 5 3 3 2 2 2 3 2 2 3" xfId="16237" xr:uid="{53BCE071-4CA0-4FC3-8A70-A67CB6D08FF0}"/>
    <cellStyle name="Normal 5 3 3 2 2 2 3 2 3" xfId="20467" xr:uid="{B0F8412B-77D6-4DD9-873A-A5EF88D5B68B}"/>
    <cellStyle name="Normal 5 3 3 2 2 2 3 2 4" xfId="12019" xr:uid="{EBA7D5A9-D7EB-4CFE-8444-5F54F9DBB390}"/>
    <cellStyle name="Normal 5 3 3 2 2 2 3 3" xfId="5642" xr:uid="{00000000-0005-0000-0000-000080190000}"/>
    <cellStyle name="Normal 5 3 3 2 2 2 3 3 2" xfId="22540" xr:uid="{D5AC1D49-A31D-4E39-ABCF-9B2EE59284AF}"/>
    <cellStyle name="Normal 5 3 3 2 2 2 3 3 3" xfId="14092" xr:uid="{7284201C-2199-48FF-94B7-46705F788932}"/>
    <cellStyle name="Normal 5 3 3 2 2 2 3 4" xfId="18322" xr:uid="{8E3A2FDB-1DCC-49EA-9BC6-C313AF2D9F3C}"/>
    <cellStyle name="Normal 5 3 3 2 2 2 3 5" xfId="9874" xr:uid="{A42064F8-E200-42BD-9DEB-5E962B86CAEE}"/>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25098" xr:uid="{16FBF70E-A386-4469-A4BB-AF0B7EAD0475}"/>
    <cellStyle name="Normal 5 3 3 2 2 2 4 2 2 3" xfId="16650" xr:uid="{B1B59471-477F-403B-A761-B1D2AECA560B}"/>
    <cellStyle name="Normal 5 3 3 2 2 2 4 2 3" xfId="20880" xr:uid="{A1E3328E-19DB-4B53-A36D-E90EA9922ED5}"/>
    <cellStyle name="Normal 5 3 3 2 2 2 4 2 4" xfId="12432" xr:uid="{9B15C524-D94F-4EC4-A466-264319DC5EED}"/>
    <cellStyle name="Normal 5 3 3 2 2 2 4 3" xfId="6055" xr:uid="{00000000-0005-0000-0000-000084190000}"/>
    <cellStyle name="Normal 5 3 3 2 2 2 4 3 2" xfId="22953" xr:uid="{2C268594-9ED0-4551-9CFD-4E1A5BD5FBD3}"/>
    <cellStyle name="Normal 5 3 3 2 2 2 4 3 3" xfId="14505" xr:uid="{372D52E5-1FC0-487B-AF5A-7A1ED082F75B}"/>
    <cellStyle name="Normal 5 3 3 2 2 2 4 4" xfId="18735" xr:uid="{176F2620-99C8-40ED-ABA7-9A325ADE9B91}"/>
    <cellStyle name="Normal 5 3 3 2 2 2 4 5" xfId="10287" xr:uid="{6128004E-EB1A-4830-A7E2-0FD0611941D2}"/>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25511" xr:uid="{A755627C-F646-4453-92EF-DA959ED95FED}"/>
    <cellStyle name="Normal 5 3 3 2 2 2 5 2 2 3" xfId="17063" xr:uid="{82927298-B0AB-4F1F-AE79-6A00B896A786}"/>
    <cellStyle name="Normal 5 3 3 2 2 2 5 2 3" xfId="21293" xr:uid="{95299B18-6A41-4ABE-9BA5-B3B9C2C99C09}"/>
    <cellStyle name="Normal 5 3 3 2 2 2 5 2 4" xfId="12845" xr:uid="{5C4E4F8E-9EC5-41C8-A153-CED7FF099D4C}"/>
    <cellStyle name="Normal 5 3 3 2 2 2 5 3" xfId="6468" xr:uid="{00000000-0005-0000-0000-000088190000}"/>
    <cellStyle name="Normal 5 3 3 2 2 2 5 3 2" xfId="23366" xr:uid="{4D94CB1C-05C0-4BD6-A4B3-A234BFA4F729}"/>
    <cellStyle name="Normal 5 3 3 2 2 2 5 3 3" xfId="14918" xr:uid="{FF8CF70C-758F-4E0E-9A78-90E48EE2205B}"/>
    <cellStyle name="Normal 5 3 3 2 2 2 5 4" xfId="19148" xr:uid="{1B3E8276-E7CF-473E-B9A4-5BF4A72E924D}"/>
    <cellStyle name="Normal 5 3 3 2 2 2 5 5" xfId="10700" xr:uid="{704AB9DB-8CD8-4012-861C-E6E1798F0ECE}"/>
    <cellStyle name="Normal 5 3 3 2 2 2 6" xfId="2598" xr:uid="{00000000-0005-0000-0000-000089190000}"/>
    <cellStyle name="Normal 5 3 3 2 2 2 6 2" xfId="6881" xr:uid="{00000000-0005-0000-0000-00008A190000}"/>
    <cellStyle name="Normal 5 3 3 2 2 2 6 2 2" xfId="23779" xr:uid="{7614A203-6080-429F-8B48-D625F0F0B183}"/>
    <cellStyle name="Normal 5 3 3 2 2 2 6 2 3" xfId="15331" xr:uid="{C632808B-C92D-44AF-9708-7DC5DE83BE0A}"/>
    <cellStyle name="Normal 5 3 3 2 2 2 6 3" xfId="19561" xr:uid="{C35024A6-356F-4147-9925-6A95B3CBA122}"/>
    <cellStyle name="Normal 5 3 3 2 2 2 6 4" xfId="11113" xr:uid="{F239A6D6-8E9D-4A7B-82B1-3B9033FB4EBB}"/>
    <cellStyle name="Normal 5 3 3 2 2 2 7" xfId="4816" xr:uid="{00000000-0005-0000-0000-00008B190000}"/>
    <cellStyle name="Normal 5 3 3 2 2 2 7 2" xfId="21714" xr:uid="{4C49969F-5DF3-482D-9910-B768177FB62C}"/>
    <cellStyle name="Normal 5 3 3 2 2 2 7 3" xfId="13266" xr:uid="{30BE0503-2604-426C-903E-2CC0BF416EF9}"/>
    <cellStyle name="Normal 5 3 3 2 2 2 8" xfId="17496" xr:uid="{95F8A0F2-056F-4FB1-8E41-C24395AB8C27}"/>
    <cellStyle name="Normal 5 3 3 2 2 2 9" xfId="9048" xr:uid="{F0D0B81A-BD10-41A8-AB1C-5FEE199A4D3B}"/>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24271" xr:uid="{E8BF22D9-5A32-498A-B9CD-07660E514B1E}"/>
    <cellStyle name="Normal 5 3 3 2 2 3 2 2 3" xfId="15823" xr:uid="{FA3C065B-7941-4503-9C75-72206883C125}"/>
    <cellStyle name="Normal 5 3 3 2 2 3 2 3" xfId="20053" xr:uid="{41DD473A-7C86-4AF2-8EBB-FBFCA65F4104}"/>
    <cellStyle name="Normal 5 3 3 2 2 3 2 4" xfId="11605" xr:uid="{84ED12E2-6500-4730-BFF9-A327B2583715}"/>
    <cellStyle name="Normal 5 3 3 2 2 3 3" xfId="5228" xr:uid="{00000000-0005-0000-0000-00008F190000}"/>
    <cellStyle name="Normal 5 3 3 2 2 3 3 2" xfId="22126" xr:uid="{38977397-FD59-4462-BE44-D77E6A4CD89D}"/>
    <cellStyle name="Normal 5 3 3 2 2 3 3 3" xfId="13678" xr:uid="{1FD2D2CE-2019-4659-B126-F8824C124515}"/>
    <cellStyle name="Normal 5 3 3 2 2 3 4" xfId="17908" xr:uid="{E1F9D469-B45D-4DEA-8C4F-3DAD2659946E}"/>
    <cellStyle name="Normal 5 3 3 2 2 3 5" xfId="9460" xr:uid="{807CCF20-DE94-411A-9DAB-7A17CF1562DC}"/>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24684" xr:uid="{69DAE10F-5D4F-4620-B47C-7D46AB338411}"/>
    <cellStyle name="Normal 5 3 3 2 2 4 2 2 3" xfId="16236" xr:uid="{0638225E-C364-43B5-BCB8-96C813A3DBCD}"/>
    <cellStyle name="Normal 5 3 3 2 2 4 2 3" xfId="20466" xr:uid="{3C2C1CC4-B618-4AF6-93A6-FDD77831275E}"/>
    <cellStyle name="Normal 5 3 3 2 2 4 2 4" xfId="12018" xr:uid="{B8F27C3C-44A7-4BE3-8AC4-B767C6254489}"/>
    <cellStyle name="Normal 5 3 3 2 2 4 3" xfId="5641" xr:uid="{00000000-0005-0000-0000-000093190000}"/>
    <cellStyle name="Normal 5 3 3 2 2 4 3 2" xfId="22539" xr:uid="{BF72D25C-A5CB-416A-AF94-8B88854B7412}"/>
    <cellStyle name="Normal 5 3 3 2 2 4 3 3" xfId="14091" xr:uid="{17923D38-8570-483E-8E32-24DC7DF91BCC}"/>
    <cellStyle name="Normal 5 3 3 2 2 4 4" xfId="18321" xr:uid="{193BAF35-B091-40D9-976D-787975714CD8}"/>
    <cellStyle name="Normal 5 3 3 2 2 4 5" xfId="9873" xr:uid="{FE5E89FE-7A88-46A1-BCDC-4B55F8417897}"/>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25097" xr:uid="{F8320505-3473-45C8-B0A4-B3B39620DB90}"/>
    <cellStyle name="Normal 5 3 3 2 2 5 2 2 3" xfId="16649" xr:uid="{1096236E-700D-402C-A118-BA9B12E08564}"/>
    <cellStyle name="Normal 5 3 3 2 2 5 2 3" xfId="20879" xr:uid="{712CF636-0479-4593-A5D6-8E989608B826}"/>
    <cellStyle name="Normal 5 3 3 2 2 5 2 4" xfId="12431" xr:uid="{9D075764-5F9A-4924-BDD7-F6B415B477A7}"/>
    <cellStyle name="Normal 5 3 3 2 2 5 3" xfId="6054" xr:uid="{00000000-0005-0000-0000-000097190000}"/>
    <cellStyle name="Normal 5 3 3 2 2 5 3 2" xfId="22952" xr:uid="{9674CFB2-61F7-4579-8145-D5822936629E}"/>
    <cellStyle name="Normal 5 3 3 2 2 5 3 3" xfId="14504" xr:uid="{22C4AAE6-E2B7-467A-9BF5-653947A5FB67}"/>
    <cellStyle name="Normal 5 3 3 2 2 5 4" xfId="18734" xr:uid="{9F5B861D-FBCC-4865-B12C-1699663816EE}"/>
    <cellStyle name="Normal 5 3 3 2 2 5 5" xfId="10286" xr:uid="{85F27FBC-8DE4-4CAF-BFFD-A1382D4EB4CF}"/>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25510" xr:uid="{2D2258E4-9A29-4047-92AE-D434C63B9845}"/>
    <cellStyle name="Normal 5 3 3 2 2 6 2 2 3" xfId="17062" xr:uid="{B9B4F83C-B92C-484F-AC53-E9BEE1094693}"/>
    <cellStyle name="Normal 5 3 3 2 2 6 2 3" xfId="21292" xr:uid="{F1E5A55F-3B9F-4DA3-9DB9-D5A5CE8C1A71}"/>
    <cellStyle name="Normal 5 3 3 2 2 6 2 4" xfId="12844" xr:uid="{D5F56062-413B-41FA-AA8B-B91B545687F9}"/>
    <cellStyle name="Normal 5 3 3 2 2 6 3" xfId="6467" xr:uid="{00000000-0005-0000-0000-00009B190000}"/>
    <cellStyle name="Normal 5 3 3 2 2 6 3 2" xfId="23365" xr:uid="{21CB3BFC-B4A2-4F32-8E5A-C573F71E2652}"/>
    <cellStyle name="Normal 5 3 3 2 2 6 3 3" xfId="14917" xr:uid="{3EB37FEC-8F29-43F2-8E0A-23D9580215AC}"/>
    <cellStyle name="Normal 5 3 3 2 2 6 4" xfId="19147" xr:uid="{ABA1F565-952F-4660-92C2-C6F882CECC0C}"/>
    <cellStyle name="Normal 5 3 3 2 2 6 5" xfId="10699" xr:uid="{93343FCE-0141-40C9-828E-6EA3CA445DAA}"/>
    <cellStyle name="Normal 5 3 3 2 2 7" xfId="2597" xr:uid="{00000000-0005-0000-0000-00009C190000}"/>
    <cellStyle name="Normal 5 3 3 2 2 7 2" xfId="6880" xr:uid="{00000000-0005-0000-0000-00009D190000}"/>
    <cellStyle name="Normal 5 3 3 2 2 7 2 2" xfId="23778" xr:uid="{3BBC0C0B-244E-4318-ACAD-FB0CDAEDBC7B}"/>
    <cellStyle name="Normal 5 3 3 2 2 7 2 3" xfId="15330" xr:uid="{7EF5D074-EDDA-459E-95AA-B508014CF179}"/>
    <cellStyle name="Normal 5 3 3 2 2 7 3" xfId="19560" xr:uid="{31B6DC47-374D-4723-9269-CB5111C89F8F}"/>
    <cellStyle name="Normal 5 3 3 2 2 7 4" xfId="11112" xr:uid="{77544688-6D37-4293-BC47-207990D58CA0}"/>
    <cellStyle name="Normal 5 3 3 2 2 8" xfId="4815" xr:uid="{00000000-0005-0000-0000-00009E190000}"/>
    <cellStyle name="Normal 5 3 3 2 2 8 2" xfId="21713" xr:uid="{5B35F5A6-8B36-4735-A5AA-FA0301E8086F}"/>
    <cellStyle name="Normal 5 3 3 2 2 8 3" xfId="13265" xr:uid="{ABFA7073-7642-44F4-A193-762FB0E6164B}"/>
    <cellStyle name="Normal 5 3 3 2 2 9" xfId="17495" xr:uid="{25DD73C0-3E7D-4DFA-8F3B-024026764658}"/>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24273" xr:uid="{341C0862-5F6B-443C-B16F-743AFD45DA92}"/>
    <cellStyle name="Normal 5 3 3 2 3 2 2 2 3" xfId="15825" xr:uid="{6A6DFF77-60BF-4318-9B29-90CCE0EE556D}"/>
    <cellStyle name="Normal 5 3 3 2 3 2 2 3" xfId="20055" xr:uid="{3BD0D8A7-D944-487A-AC5C-428DD4DFDD1A}"/>
    <cellStyle name="Normal 5 3 3 2 3 2 2 4" xfId="11607" xr:uid="{9B053DC7-7812-43B3-A28C-A59222EE75E7}"/>
    <cellStyle name="Normal 5 3 3 2 3 2 3" xfId="5230" xr:uid="{00000000-0005-0000-0000-0000A3190000}"/>
    <cellStyle name="Normal 5 3 3 2 3 2 3 2" xfId="22128" xr:uid="{0B1F880B-AD85-4D66-A566-6B0B2C055C79}"/>
    <cellStyle name="Normal 5 3 3 2 3 2 3 3" xfId="13680" xr:uid="{135A5F71-9E6E-45E0-B98D-44A795707618}"/>
    <cellStyle name="Normal 5 3 3 2 3 2 4" xfId="17910" xr:uid="{72D4A608-BD56-4CCD-A733-A3A4944A9E8F}"/>
    <cellStyle name="Normal 5 3 3 2 3 2 5" xfId="9462" xr:uid="{40B22AA5-D2D0-43AB-90BD-7C6C024EE7BA}"/>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24686" xr:uid="{EF958DC0-21BC-4CEA-89FB-66C1CCDB784C}"/>
    <cellStyle name="Normal 5 3 3 2 3 3 2 2 3" xfId="16238" xr:uid="{CCAD1F5C-019B-498C-B3A5-30EE1385C4FC}"/>
    <cellStyle name="Normal 5 3 3 2 3 3 2 3" xfId="20468" xr:uid="{1746CA74-7B2C-4739-B6EF-BF2E756D8AAA}"/>
    <cellStyle name="Normal 5 3 3 2 3 3 2 4" xfId="12020" xr:uid="{7013051F-27F1-4328-BF2C-491329ABD0BB}"/>
    <cellStyle name="Normal 5 3 3 2 3 3 3" xfId="5643" xr:uid="{00000000-0005-0000-0000-0000A7190000}"/>
    <cellStyle name="Normal 5 3 3 2 3 3 3 2" xfId="22541" xr:uid="{0EFD8555-4D62-4E29-83C9-F903B2178B02}"/>
    <cellStyle name="Normal 5 3 3 2 3 3 3 3" xfId="14093" xr:uid="{D9CBC05E-A8F8-44CD-80E0-7EC66FDF1364}"/>
    <cellStyle name="Normal 5 3 3 2 3 3 4" xfId="18323" xr:uid="{4D8E5FFC-6F73-4075-AD0D-F39B3BDFBAF1}"/>
    <cellStyle name="Normal 5 3 3 2 3 3 5" xfId="9875" xr:uid="{C3CD48B4-2518-45FD-BFF8-70F8CBBBC144}"/>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25099" xr:uid="{5DB7E7A5-D984-43B4-9293-672466570352}"/>
    <cellStyle name="Normal 5 3 3 2 3 4 2 2 3" xfId="16651" xr:uid="{22EB3561-0DD2-4A1C-96AB-6D5AA4225D98}"/>
    <cellStyle name="Normal 5 3 3 2 3 4 2 3" xfId="20881" xr:uid="{A3D190B3-68A8-4EF8-AC82-386E05A51C74}"/>
    <cellStyle name="Normal 5 3 3 2 3 4 2 4" xfId="12433" xr:uid="{552BB808-6269-421E-8C2A-B72B485F16D3}"/>
    <cellStyle name="Normal 5 3 3 2 3 4 3" xfId="6056" xr:uid="{00000000-0005-0000-0000-0000AB190000}"/>
    <cellStyle name="Normal 5 3 3 2 3 4 3 2" xfId="22954" xr:uid="{2C46157C-0D01-494F-8D8F-1BDA350C6EBB}"/>
    <cellStyle name="Normal 5 3 3 2 3 4 3 3" xfId="14506" xr:uid="{4F2B90F0-3C77-4581-B598-8EA2B2820D60}"/>
    <cellStyle name="Normal 5 3 3 2 3 4 4" xfId="18736" xr:uid="{E75646A4-F876-4DD5-872E-4F6772B183E1}"/>
    <cellStyle name="Normal 5 3 3 2 3 4 5" xfId="10288" xr:uid="{1D24E7FC-3178-47DE-A469-15B565006702}"/>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25512" xr:uid="{5006E7A7-4262-4E9A-94C9-ABD5ABCC87B8}"/>
    <cellStyle name="Normal 5 3 3 2 3 5 2 2 3" xfId="17064" xr:uid="{FC4A2526-E18E-470D-A8B9-CF3BE1421121}"/>
    <cellStyle name="Normal 5 3 3 2 3 5 2 3" xfId="21294" xr:uid="{3896B2A8-BB9E-49E6-BEC6-039F82096C80}"/>
    <cellStyle name="Normal 5 3 3 2 3 5 2 4" xfId="12846" xr:uid="{B6A9173A-D8CD-4406-B22E-E24857A96164}"/>
    <cellStyle name="Normal 5 3 3 2 3 5 3" xfId="6469" xr:uid="{00000000-0005-0000-0000-0000AF190000}"/>
    <cellStyle name="Normal 5 3 3 2 3 5 3 2" xfId="23367" xr:uid="{5AF3E50B-604D-42DE-A95C-D390D05F25F0}"/>
    <cellStyle name="Normal 5 3 3 2 3 5 3 3" xfId="14919" xr:uid="{59A3DBB3-46AA-4EE0-BF10-B87D77EA60C5}"/>
    <cellStyle name="Normal 5 3 3 2 3 5 4" xfId="19149" xr:uid="{203887CE-5943-476D-BCAC-C2804F099C7C}"/>
    <cellStyle name="Normal 5 3 3 2 3 5 5" xfId="10701" xr:uid="{E1B1111C-2482-408C-A898-715F21FA12C7}"/>
    <cellStyle name="Normal 5 3 3 2 3 6" xfId="2599" xr:uid="{00000000-0005-0000-0000-0000B0190000}"/>
    <cellStyle name="Normal 5 3 3 2 3 6 2" xfId="6882" xr:uid="{00000000-0005-0000-0000-0000B1190000}"/>
    <cellStyle name="Normal 5 3 3 2 3 6 2 2" xfId="23780" xr:uid="{50800C73-A00B-430F-848D-3637E6E133AE}"/>
    <cellStyle name="Normal 5 3 3 2 3 6 2 3" xfId="15332" xr:uid="{5A6DD9B4-A456-458F-9DA2-523F896DC778}"/>
    <cellStyle name="Normal 5 3 3 2 3 6 3" xfId="19562" xr:uid="{EEB56C61-43CD-4CCE-9539-193D2F19610D}"/>
    <cellStyle name="Normal 5 3 3 2 3 6 4" xfId="11114" xr:uid="{DA6CBE7F-DC3B-4E79-95E8-30F5A4362502}"/>
    <cellStyle name="Normal 5 3 3 2 3 7" xfId="4817" xr:uid="{00000000-0005-0000-0000-0000B2190000}"/>
    <cellStyle name="Normal 5 3 3 2 3 7 2" xfId="21715" xr:uid="{B9E5C9B2-797E-409E-860A-1DDA41663AEE}"/>
    <cellStyle name="Normal 5 3 3 2 3 7 3" xfId="13267" xr:uid="{E05F40A6-AD15-49F2-A296-B7991D127FE5}"/>
    <cellStyle name="Normal 5 3 3 2 3 8" xfId="17497" xr:uid="{BB6559F6-2BCD-4B63-939A-6C6B8C71A567}"/>
    <cellStyle name="Normal 5 3 3 2 3 9" xfId="9049" xr:uid="{0532E11D-49B0-47AF-B9A0-FDE433352B3A}"/>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24270" xr:uid="{FC4FD38F-7715-4BFA-8C11-4C8691C31D26}"/>
    <cellStyle name="Normal 5 3 3 2 4 2 2 3" xfId="15822" xr:uid="{FCD7E8FA-4B2A-495B-9FD7-84E497B63567}"/>
    <cellStyle name="Normal 5 3 3 2 4 2 3" xfId="20052" xr:uid="{11AEADDE-7B36-45A0-95BA-44404DCD99A0}"/>
    <cellStyle name="Normal 5 3 3 2 4 2 4" xfId="11604" xr:uid="{3D33F57E-8525-43B9-B831-EE11CD2735AF}"/>
    <cellStyle name="Normal 5 3 3 2 4 3" xfId="5227" xr:uid="{00000000-0005-0000-0000-0000B6190000}"/>
    <cellStyle name="Normal 5 3 3 2 4 3 2" xfId="22125" xr:uid="{8EE0FDF8-95C3-4EC9-AA7A-86675D7C751F}"/>
    <cellStyle name="Normal 5 3 3 2 4 3 3" xfId="13677" xr:uid="{100DAA95-2858-499A-987C-EE516B0C3EDD}"/>
    <cellStyle name="Normal 5 3 3 2 4 4" xfId="17907" xr:uid="{EA682D42-98F3-4CC3-BB5F-6223290BE150}"/>
    <cellStyle name="Normal 5 3 3 2 4 5" xfId="9459" xr:uid="{AF9B775B-F5FF-447E-9E35-5BE21CCA3E14}"/>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24683" xr:uid="{10F1021E-0F00-43CB-AD3A-7D170DB4AF18}"/>
    <cellStyle name="Normal 5 3 3 2 5 2 2 3" xfId="16235" xr:uid="{23EE6AC1-AF88-4E09-925D-D126DA8DE5F1}"/>
    <cellStyle name="Normal 5 3 3 2 5 2 3" xfId="20465" xr:uid="{913E1126-021A-46BC-BDE3-6C7B415049FC}"/>
    <cellStyle name="Normal 5 3 3 2 5 2 4" xfId="12017" xr:uid="{4B6C3228-175B-47D5-89E1-F1DCD82A0E4D}"/>
    <cellStyle name="Normal 5 3 3 2 5 3" xfId="5640" xr:uid="{00000000-0005-0000-0000-0000BA190000}"/>
    <cellStyle name="Normal 5 3 3 2 5 3 2" xfId="22538" xr:uid="{B9CEA907-CB1C-4066-A86B-E4E80988AF98}"/>
    <cellStyle name="Normal 5 3 3 2 5 3 3" xfId="14090" xr:uid="{4AB56CBA-B3A4-4C66-A8F0-16CEF82C5011}"/>
    <cellStyle name="Normal 5 3 3 2 5 4" xfId="18320" xr:uid="{F55BCD20-4813-4EEE-B282-80CAF6D2AAAB}"/>
    <cellStyle name="Normal 5 3 3 2 5 5" xfId="9872" xr:uid="{82D2B51B-B044-4A24-B8E4-5C790A431E3F}"/>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25096" xr:uid="{365AF735-77BA-4634-BF96-6DCA9659FD5A}"/>
    <cellStyle name="Normal 5 3 3 2 6 2 2 3" xfId="16648" xr:uid="{93B19F8A-2A7A-415D-A1AA-B97BA8F7F566}"/>
    <cellStyle name="Normal 5 3 3 2 6 2 3" xfId="20878" xr:uid="{5DF95D89-E48C-4DA8-8AC4-4EC723E746BB}"/>
    <cellStyle name="Normal 5 3 3 2 6 2 4" xfId="12430" xr:uid="{A4FD3145-E5F0-4823-BD9A-2542A71DBC1A}"/>
    <cellStyle name="Normal 5 3 3 2 6 3" xfId="6053" xr:uid="{00000000-0005-0000-0000-0000BE190000}"/>
    <cellStyle name="Normal 5 3 3 2 6 3 2" xfId="22951" xr:uid="{EA963ABC-BB79-429A-80B5-8DED31743564}"/>
    <cellStyle name="Normal 5 3 3 2 6 3 3" xfId="14503" xr:uid="{5BA5BA38-60FA-485A-96FD-9B14566D8B5C}"/>
    <cellStyle name="Normal 5 3 3 2 6 4" xfId="18733" xr:uid="{54594A7C-F8A3-4F2D-B87F-DBC7036C21A4}"/>
    <cellStyle name="Normal 5 3 3 2 6 5" xfId="10285" xr:uid="{47CE0898-1EFE-4D3E-B469-354A704558FB}"/>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25509" xr:uid="{56927882-411D-4FD8-BDEB-88146315D8A5}"/>
    <cellStyle name="Normal 5 3 3 2 7 2 2 3" xfId="17061" xr:uid="{919C2184-4938-4837-A87C-CB1E9B35A007}"/>
    <cellStyle name="Normal 5 3 3 2 7 2 3" xfId="21291" xr:uid="{F9A95E15-11AD-42CE-A409-6F09C7C2DF3A}"/>
    <cellStyle name="Normal 5 3 3 2 7 2 4" xfId="12843" xr:uid="{1972B3B7-0FA7-4003-BC0A-A902B667D48A}"/>
    <cellStyle name="Normal 5 3 3 2 7 3" xfId="6466" xr:uid="{00000000-0005-0000-0000-0000C2190000}"/>
    <cellStyle name="Normal 5 3 3 2 7 3 2" xfId="23364" xr:uid="{505D9119-6111-462B-9638-8B296FE898BA}"/>
    <cellStyle name="Normal 5 3 3 2 7 3 3" xfId="14916" xr:uid="{CE3C8197-6F39-4823-855F-6BE521971734}"/>
    <cellStyle name="Normal 5 3 3 2 7 4" xfId="19146" xr:uid="{ABA0D68D-E2BA-4BD0-A7E6-AAA44578EA3A}"/>
    <cellStyle name="Normal 5 3 3 2 7 5" xfId="10698" xr:uid="{057DAD00-9B3D-4CE6-AE4E-0A62864B6426}"/>
    <cellStyle name="Normal 5 3 3 2 8" xfId="2596" xr:uid="{00000000-0005-0000-0000-0000C3190000}"/>
    <cellStyle name="Normal 5 3 3 2 8 2" xfId="6879" xr:uid="{00000000-0005-0000-0000-0000C4190000}"/>
    <cellStyle name="Normal 5 3 3 2 8 2 2" xfId="23777" xr:uid="{918C8E43-116C-457B-9416-242AAAF146A2}"/>
    <cellStyle name="Normal 5 3 3 2 8 2 3" xfId="15329" xr:uid="{25FC156C-9FFB-43CB-8415-E0337122695F}"/>
    <cellStyle name="Normal 5 3 3 2 8 3" xfId="19559" xr:uid="{BF87A906-B82D-4856-9F3A-A1A2648A8CFB}"/>
    <cellStyle name="Normal 5 3 3 2 8 4" xfId="11111" xr:uid="{22EFA516-C202-4781-9F6C-8D95D0B6FA9A}"/>
    <cellStyle name="Normal 5 3 3 2 9" xfId="4814" xr:uid="{00000000-0005-0000-0000-0000C5190000}"/>
    <cellStyle name="Normal 5 3 3 2 9 2" xfId="21712" xr:uid="{0D3D1754-79EA-44A7-98C1-CA24F34F5AB1}"/>
    <cellStyle name="Normal 5 3 3 2 9 3" xfId="13264" xr:uid="{1700549B-E145-4ED0-B0AB-9C0BDC6ECF3D}"/>
    <cellStyle name="Normal 5 3 3 3" xfId="446" xr:uid="{00000000-0005-0000-0000-0000C6190000}"/>
    <cellStyle name="Normal 5 3 3 3 10" xfId="9050" xr:uid="{5C8AD9BC-C4A5-4C45-B1E2-58C45D5C00AC}"/>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24275" xr:uid="{0DDB2D0E-E9D6-4BD0-8AD4-4E5D476C43F0}"/>
    <cellStyle name="Normal 5 3 3 3 2 2 2 2 3" xfId="15827" xr:uid="{E1DC89E0-5335-4FC2-8CE9-C04D99200379}"/>
    <cellStyle name="Normal 5 3 3 3 2 2 2 3" xfId="20057" xr:uid="{45401103-DC52-4D36-8973-8AEEB4786909}"/>
    <cellStyle name="Normal 5 3 3 3 2 2 2 4" xfId="11609" xr:uid="{E5D57481-5FCD-40E0-8C3C-DC60EE626043}"/>
    <cellStyle name="Normal 5 3 3 3 2 2 3" xfId="5232" xr:uid="{00000000-0005-0000-0000-0000CB190000}"/>
    <cellStyle name="Normal 5 3 3 3 2 2 3 2" xfId="22130" xr:uid="{2DDA5493-4EAF-47ED-A740-82CBADF53F12}"/>
    <cellStyle name="Normal 5 3 3 3 2 2 3 3" xfId="13682" xr:uid="{01830705-4E43-4513-AC49-F2D95E0613EA}"/>
    <cellStyle name="Normal 5 3 3 3 2 2 4" xfId="17912" xr:uid="{1A85B533-950D-457A-BA91-A2839C2C7B4C}"/>
    <cellStyle name="Normal 5 3 3 3 2 2 5" xfId="9464" xr:uid="{1E1BA30A-797D-4D3E-9995-AD2C1CFF8E2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24688" xr:uid="{178CF497-B614-461F-89CA-A1041C236CDE}"/>
    <cellStyle name="Normal 5 3 3 3 2 3 2 2 3" xfId="16240" xr:uid="{DA21010D-FCC1-4E90-8EA7-BB604CD42C9F}"/>
    <cellStyle name="Normal 5 3 3 3 2 3 2 3" xfId="20470" xr:uid="{F081FEA9-64AB-4029-9EF0-E94EB12CFE89}"/>
    <cellStyle name="Normal 5 3 3 3 2 3 2 4" xfId="12022" xr:uid="{45502051-DBF9-460A-8971-368F48B1EF20}"/>
    <cellStyle name="Normal 5 3 3 3 2 3 3" xfId="5645" xr:uid="{00000000-0005-0000-0000-0000CF190000}"/>
    <cellStyle name="Normal 5 3 3 3 2 3 3 2" xfId="22543" xr:uid="{18DD92D4-7E3D-46FD-AC4A-8AC10C152F9A}"/>
    <cellStyle name="Normal 5 3 3 3 2 3 3 3" xfId="14095" xr:uid="{5C9D8B44-377A-41D7-A17B-C06D74B8473A}"/>
    <cellStyle name="Normal 5 3 3 3 2 3 4" xfId="18325" xr:uid="{07102AA2-5AA3-4589-9FE3-FCA90CE1F359}"/>
    <cellStyle name="Normal 5 3 3 3 2 3 5" xfId="9877" xr:uid="{E5184A0B-C968-42B2-A7CE-7A8CC3EA45F8}"/>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25101" xr:uid="{5D54E7F4-7309-481E-930B-388DD2C434FC}"/>
    <cellStyle name="Normal 5 3 3 3 2 4 2 2 3" xfId="16653" xr:uid="{0BFAAEFC-EE44-4373-B292-82DCD0791328}"/>
    <cellStyle name="Normal 5 3 3 3 2 4 2 3" xfId="20883" xr:uid="{24AE3555-CC8F-4749-9D9B-743B59E0FF1F}"/>
    <cellStyle name="Normal 5 3 3 3 2 4 2 4" xfId="12435" xr:uid="{60D8E2C5-F1B1-4C54-AF4D-F26995A484BA}"/>
    <cellStyle name="Normal 5 3 3 3 2 4 3" xfId="6058" xr:uid="{00000000-0005-0000-0000-0000D3190000}"/>
    <cellStyle name="Normal 5 3 3 3 2 4 3 2" xfId="22956" xr:uid="{6EBDD320-E3F4-47E6-9A25-E0236442B00A}"/>
    <cellStyle name="Normal 5 3 3 3 2 4 3 3" xfId="14508" xr:uid="{274181A2-6D57-408C-BF3F-1F031E4FAB28}"/>
    <cellStyle name="Normal 5 3 3 3 2 4 4" xfId="18738" xr:uid="{48949C87-84D9-47A8-923B-46B234371571}"/>
    <cellStyle name="Normal 5 3 3 3 2 4 5" xfId="10290" xr:uid="{C331EFF2-0078-4839-82C6-37C434911815}"/>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25514" xr:uid="{622F542E-BA1F-4F0E-BFD5-FAD138EF03DD}"/>
    <cellStyle name="Normal 5 3 3 3 2 5 2 2 3" xfId="17066" xr:uid="{2AF9754F-BC4A-4384-8104-D50B43B598CC}"/>
    <cellStyle name="Normal 5 3 3 3 2 5 2 3" xfId="21296" xr:uid="{51B76CD1-00B5-4809-9E10-AF569AF4E6CD}"/>
    <cellStyle name="Normal 5 3 3 3 2 5 2 4" xfId="12848" xr:uid="{7C1670AF-962A-4F5E-9447-12F413080DF4}"/>
    <cellStyle name="Normal 5 3 3 3 2 5 3" xfId="6471" xr:uid="{00000000-0005-0000-0000-0000D7190000}"/>
    <cellStyle name="Normal 5 3 3 3 2 5 3 2" xfId="23369" xr:uid="{F4172F9E-F1C8-4BA9-B367-ECD0075639E8}"/>
    <cellStyle name="Normal 5 3 3 3 2 5 3 3" xfId="14921" xr:uid="{7C2D0AAB-C28C-4C4A-88C3-51DBD94C18F5}"/>
    <cellStyle name="Normal 5 3 3 3 2 5 4" xfId="19151" xr:uid="{A4D140DE-63E6-4BDA-AC9A-91DA1B3E2E30}"/>
    <cellStyle name="Normal 5 3 3 3 2 5 5" xfId="10703" xr:uid="{BA87CF56-AD02-467E-AEE0-FA59A33A8919}"/>
    <cellStyle name="Normal 5 3 3 3 2 6" xfId="2601" xr:uid="{00000000-0005-0000-0000-0000D8190000}"/>
    <cellStyle name="Normal 5 3 3 3 2 6 2" xfId="6884" xr:uid="{00000000-0005-0000-0000-0000D9190000}"/>
    <cellStyle name="Normal 5 3 3 3 2 6 2 2" xfId="23782" xr:uid="{73BAD9A2-8BBD-4746-98E4-CCFF5AF37ED0}"/>
    <cellStyle name="Normal 5 3 3 3 2 6 2 3" xfId="15334" xr:uid="{B2C59294-D1D3-44A1-A74E-02D1760828E3}"/>
    <cellStyle name="Normal 5 3 3 3 2 6 3" xfId="19564" xr:uid="{8532F8A6-4A06-44A7-BA20-25F5ED7F570B}"/>
    <cellStyle name="Normal 5 3 3 3 2 6 4" xfId="11116" xr:uid="{A4A2E9D6-826E-4645-9895-343930435470}"/>
    <cellStyle name="Normal 5 3 3 3 2 7" xfId="4819" xr:uid="{00000000-0005-0000-0000-0000DA190000}"/>
    <cellStyle name="Normal 5 3 3 3 2 7 2" xfId="21717" xr:uid="{A324E2F6-FE02-4624-A32B-EAA7F649EFC9}"/>
    <cellStyle name="Normal 5 3 3 3 2 7 3" xfId="13269" xr:uid="{1EF6D1A1-EF93-4EFC-9AB9-9D416E974B6E}"/>
    <cellStyle name="Normal 5 3 3 3 2 8" xfId="17499" xr:uid="{C73094D1-4B73-4E8D-B3AD-E932BF6E3100}"/>
    <cellStyle name="Normal 5 3 3 3 2 9" xfId="9051" xr:uid="{CDA213ED-CF57-4D76-91C8-DE4692BCB6D7}"/>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24274" xr:uid="{1BE6BD7D-9B57-49C1-BD94-409E461C85E1}"/>
    <cellStyle name="Normal 5 3 3 3 3 2 2 3" xfId="15826" xr:uid="{67834921-02DB-46B6-967E-A62164F88EE8}"/>
    <cellStyle name="Normal 5 3 3 3 3 2 3" xfId="20056" xr:uid="{07F3F22D-C1D5-4B27-AB7F-86EF914EAAC3}"/>
    <cellStyle name="Normal 5 3 3 3 3 2 4" xfId="11608" xr:uid="{B882062A-E1B3-469B-9D41-FD262FA0B772}"/>
    <cellStyle name="Normal 5 3 3 3 3 3" xfId="5231" xr:uid="{00000000-0005-0000-0000-0000DE190000}"/>
    <cellStyle name="Normal 5 3 3 3 3 3 2" xfId="22129" xr:uid="{CB7660E3-2D3E-40B8-91B1-E163E8B2D43D}"/>
    <cellStyle name="Normal 5 3 3 3 3 3 3" xfId="13681" xr:uid="{C7DF71C7-41F1-4BED-A9E3-23007636575B}"/>
    <cellStyle name="Normal 5 3 3 3 3 4" xfId="17911" xr:uid="{78761E04-5FFF-4478-AAD4-11E640FDBDD3}"/>
    <cellStyle name="Normal 5 3 3 3 3 5" xfId="9463" xr:uid="{407F10B9-0753-4416-B01C-0EBE3F1A0A5C}"/>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24687" xr:uid="{7B3E6055-1BA8-47D6-B8B7-52A5964E3376}"/>
    <cellStyle name="Normal 5 3 3 3 4 2 2 3" xfId="16239" xr:uid="{C2A0FE03-C4D0-4C88-88E3-484CBFBBD5FB}"/>
    <cellStyle name="Normal 5 3 3 3 4 2 3" xfId="20469" xr:uid="{9C1C52E6-D844-49FD-BD92-99D49E7665CA}"/>
    <cellStyle name="Normal 5 3 3 3 4 2 4" xfId="12021" xr:uid="{9813F8AA-FC2D-4CC0-BA90-13BDD1607F30}"/>
    <cellStyle name="Normal 5 3 3 3 4 3" xfId="5644" xr:uid="{00000000-0005-0000-0000-0000E2190000}"/>
    <cellStyle name="Normal 5 3 3 3 4 3 2" xfId="22542" xr:uid="{5A7EE31D-3460-489E-B866-7853481BD594}"/>
    <cellStyle name="Normal 5 3 3 3 4 3 3" xfId="14094" xr:uid="{AD5A30AD-EA48-4770-BE6C-C23F90C52064}"/>
    <cellStyle name="Normal 5 3 3 3 4 4" xfId="18324" xr:uid="{CF8FEB62-4772-426D-8A1E-DAE230F7B47E}"/>
    <cellStyle name="Normal 5 3 3 3 4 5" xfId="9876" xr:uid="{4CA37AFE-9874-4C09-AE1D-7479E5FA7B16}"/>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25100" xr:uid="{428339E4-AA4F-418F-AD2F-9607B7B91E1C}"/>
    <cellStyle name="Normal 5 3 3 3 5 2 2 3" xfId="16652" xr:uid="{D4E4FD78-6EDD-454D-8D8D-3BDE53632A97}"/>
    <cellStyle name="Normal 5 3 3 3 5 2 3" xfId="20882" xr:uid="{9D2A4F8D-5B5E-4B77-B80D-7FA62D66E79F}"/>
    <cellStyle name="Normal 5 3 3 3 5 2 4" xfId="12434" xr:uid="{FBD19053-8CFB-4236-998D-AEDB5BF9BCA4}"/>
    <cellStyle name="Normal 5 3 3 3 5 3" xfId="6057" xr:uid="{00000000-0005-0000-0000-0000E6190000}"/>
    <cellStyle name="Normal 5 3 3 3 5 3 2" xfId="22955" xr:uid="{D2235CD1-72EA-4E7F-AAE3-BFC0D8949D52}"/>
    <cellStyle name="Normal 5 3 3 3 5 3 3" xfId="14507" xr:uid="{4EB02C06-E137-47F4-8109-763AB5D4691A}"/>
    <cellStyle name="Normal 5 3 3 3 5 4" xfId="18737" xr:uid="{D0725E03-18B5-44F0-836A-AACF873E90F5}"/>
    <cellStyle name="Normal 5 3 3 3 5 5" xfId="10289" xr:uid="{1273E41B-1E6F-43A0-AC33-9850ECE1C844}"/>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25513" xr:uid="{7B2AE8EC-06DA-496B-824E-B94EE249A061}"/>
    <cellStyle name="Normal 5 3 3 3 6 2 2 3" xfId="17065" xr:uid="{810DF3D6-8C8A-457E-9D58-4F28D8D79A78}"/>
    <cellStyle name="Normal 5 3 3 3 6 2 3" xfId="21295" xr:uid="{17A1F1B6-A76A-4A49-B966-811BAE5968C0}"/>
    <cellStyle name="Normal 5 3 3 3 6 2 4" xfId="12847" xr:uid="{CE291B04-ADF8-4257-88B6-A7FC81B478C3}"/>
    <cellStyle name="Normal 5 3 3 3 6 3" xfId="6470" xr:uid="{00000000-0005-0000-0000-0000EA190000}"/>
    <cellStyle name="Normal 5 3 3 3 6 3 2" xfId="23368" xr:uid="{7E251E6E-B783-4CB1-8A8A-CE853244A258}"/>
    <cellStyle name="Normal 5 3 3 3 6 3 3" xfId="14920" xr:uid="{19407626-C378-4947-A7D1-49CC35D9F80B}"/>
    <cellStyle name="Normal 5 3 3 3 6 4" xfId="19150" xr:uid="{004903CF-4CC1-4B70-AADA-3ED4BF027FE9}"/>
    <cellStyle name="Normal 5 3 3 3 6 5" xfId="10702" xr:uid="{0770598F-E92A-4C94-B493-499C09653343}"/>
    <cellStyle name="Normal 5 3 3 3 7" xfId="2600" xr:uid="{00000000-0005-0000-0000-0000EB190000}"/>
    <cellStyle name="Normal 5 3 3 3 7 2" xfId="6883" xr:uid="{00000000-0005-0000-0000-0000EC190000}"/>
    <cellStyle name="Normal 5 3 3 3 7 2 2" xfId="23781" xr:uid="{03ABF428-6E64-4F22-A7A9-FA6941E2F6CC}"/>
    <cellStyle name="Normal 5 3 3 3 7 2 3" xfId="15333" xr:uid="{C8A35404-FA49-4D2C-9549-2E5B63B2E803}"/>
    <cellStyle name="Normal 5 3 3 3 7 3" xfId="19563" xr:uid="{D66DE46E-22BF-429E-B290-9DAE37963C9D}"/>
    <cellStyle name="Normal 5 3 3 3 7 4" xfId="11115" xr:uid="{4DB24584-E504-44F7-BC25-99D56B06FD7E}"/>
    <cellStyle name="Normal 5 3 3 3 8" xfId="4818" xr:uid="{00000000-0005-0000-0000-0000ED190000}"/>
    <cellStyle name="Normal 5 3 3 3 8 2" xfId="21716" xr:uid="{4ACFBF06-EFA5-4D16-8646-0BD8A2FBFACA}"/>
    <cellStyle name="Normal 5 3 3 3 8 3" xfId="13268" xr:uid="{F901C3DB-B0D3-4E28-BCA2-9F8A9725BBC8}"/>
    <cellStyle name="Normal 5 3 3 3 9" xfId="17498" xr:uid="{0AF6F447-3FE2-4EE2-94F0-E8190BEF7C52}"/>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24276" xr:uid="{39B0AD66-4A56-45B0-9853-00C3C7DDF459}"/>
    <cellStyle name="Normal 5 3 3 4 2 2 2 3" xfId="15828" xr:uid="{0A4E2268-6DC5-48B7-9F67-3DE60A2F027D}"/>
    <cellStyle name="Normal 5 3 3 4 2 2 3" xfId="20058" xr:uid="{D1BFA2C7-0A0D-41BC-B421-D4809EB236A4}"/>
    <cellStyle name="Normal 5 3 3 4 2 2 4" xfId="11610" xr:uid="{FAA4EC26-5590-435B-B3DB-13803531D30E}"/>
    <cellStyle name="Normal 5 3 3 4 2 3" xfId="5233" xr:uid="{00000000-0005-0000-0000-0000F2190000}"/>
    <cellStyle name="Normal 5 3 3 4 2 3 2" xfId="22131" xr:uid="{2DB3E38C-BBB7-435C-B130-42B5B41D3AE6}"/>
    <cellStyle name="Normal 5 3 3 4 2 3 3" xfId="13683" xr:uid="{19B0C83B-2512-4976-8F0E-A22F2C95ED3F}"/>
    <cellStyle name="Normal 5 3 3 4 2 4" xfId="17913" xr:uid="{6CE162CE-04FA-4C36-B88A-4FDF25778B6E}"/>
    <cellStyle name="Normal 5 3 3 4 2 5" xfId="9465" xr:uid="{7E1F2A01-450F-421A-8A6A-73AE22133EBD}"/>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24689" xr:uid="{400D89BC-3952-44CB-9C89-F0E4C31F079E}"/>
    <cellStyle name="Normal 5 3 3 4 3 2 2 3" xfId="16241" xr:uid="{9D2BAB05-37B8-4A0E-A270-911BF52DCE5E}"/>
    <cellStyle name="Normal 5 3 3 4 3 2 3" xfId="20471" xr:uid="{009C9F12-2979-4DEB-905C-33BA73921C45}"/>
    <cellStyle name="Normal 5 3 3 4 3 2 4" xfId="12023" xr:uid="{454E51CE-F9F4-4945-A7D2-F10742AC2B53}"/>
    <cellStyle name="Normal 5 3 3 4 3 3" xfId="5646" xr:uid="{00000000-0005-0000-0000-0000F6190000}"/>
    <cellStyle name="Normal 5 3 3 4 3 3 2" xfId="22544" xr:uid="{540B57CA-3C95-42CE-B134-9254B3959461}"/>
    <cellStyle name="Normal 5 3 3 4 3 3 3" xfId="14096" xr:uid="{0E8658A4-D3E9-4C76-A946-D58B1BEE8A0B}"/>
    <cellStyle name="Normal 5 3 3 4 3 4" xfId="18326" xr:uid="{570D3938-77D4-419C-8BFE-010E85CCE47D}"/>
    <cellStyle name="Normal 5 3 3 4 3 5" xfId="9878" xr:uid="{420901BC-DAE1-4040-9F20-7C9099F57C45}"/>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25102" xr:uid="{26ABE405-F7FF-4CC5-A64D-86C8FA74F22F}"/>
    <cellStyle name="Normal 5 3 3 4 4 2 2 3" xfId="16654" xr:uid="{7812F445-DC8F-4D10-8579-661E9AEF3DCA}"/>
    <cellStyle name="Normal 5 3 3 4 4 2 3" xfId="20884" xr:uid="{76798DB8-C180-4F53-8EB0-9D4A6CEE8564}"/>
    <cellStyle name="Normal 5 3 3 4 4 2 4" xfId="12436" xr:uid="{3DDBC2B4-E58C-46CD-B581-3CBD7D06CD68}"/>
    <cellStyle name="Normal 5 3 3 4 4 3" xfId="6059" xr:uid="{00000000-0005-0000-0000-0000FA190000}"/>
    <cellStyle name="Normal 5 3 3 4 4 3 2" xfId="22957" xr:uid="{3DA472A4-C56A-462B-97F7-7744E3886B31}"/>
    <cellStyle name="Normal 5 3 3 4 4 3 3" xfId="14509" xr:uid="{760A45BB-BE37-493E-861A-BFAB15D1EA9B}"/>
    <cellStyle name="Normal 5 3 3 4 4 4" xfId="18739" xr:uid="{BA2945A3-938F-499E-A60B-5F7949AB2557}"/>
    <cellStyle name="Normal 5 3 3 4 4 5" xfId="10291" xr:uid="{B9563B7D-6622-449C-B309-54DEA050883D}"/>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25515" xr:uid="{77384716-1BE4-4F7E-9719-E702E7AE70CB}"/>
    <cellStyle name="Normal 5 3 3 4 5 2 2 3" xfId="17067" xr:uid="{244487F8-4B6C-4DE0-A309-C8E5FDF94DBE}"/>
    <cellStyle name="Normal 5 3 3 4 5 2 3" xfId="21297" xr:uid="{7716253F-2F97-419A-8083-08AFF044DAFD}"/>
    <cellStyle name="Normal 5 3 3 4 5 2 4" xfId="12849" xr:uid="{033D49CE-131B-4370-84FB-077E627EA361}"/>
    <cellStyle name="Normal 5 3 3 4 5 3" xfId="6472" xr:uid="{00000000-0005-0000-0000-0000FE190000}"/>
    <cellStyle name="Normal 5 3 3 4 5 3 2" xfId="23370" xr:uid="{E4E1713A-09CD-48DB-8EB7-575BFA28B6C0}"/>
    <cellStyle name="Normal 5 3 3 4 5 3 3" xfId="14922" xr:uid="{E29B40E7-12D7-4E7D-8197-0055FC0A7932}"/>
    <cellStyle name="Normal 5 3 3 4 5 4" xfId="19152" xr:uid="{7F5AEA07-0378-44CF-BB3D-748A81D25F07}"/>
    <cellStyle name="Normal 5 3 3 4 5 5" xfId="10704" xr:uid="{66006B6B-21DD-41BD-BABD-7CC2F7B6F9E8}"/>
    <cellStyle name="Normal 5 3 3 4 6" xfId="2602" xr:uid="{00000000-0005-0000-0000-0000FF190000}"/>
    <cellStyle name="Normal 5 3 3 4 6 2" xfId="6885" xr:uid="{00000000-0005-0000-0000-0000001A0000}"/>
    <cellStyle name="Normal 5 3 3 4 6 2 2" xfId="23783" xr:uid="{91B0957A-94B1-455A-9F82-44A31DB88413}"/>
    <cellStyle name="Normal 5 3 3 4 6 2 3" xfId="15335" xr:uid="{0375D8F5-BA33-4B96-A970-345DF3161C26}"/>
    <cellStyle name="Normal 5 3 3 4 6 3" xfId="19565" xr:uid="{D2C33AAF-7E5B-4785-8AD2-02E1B722E6F4}"/>
    <cellStyle name="Normal 5 3 3 4 6 4" xfId="11117" xr:uid="{5F9293A0-1E34-4641-A6CD-EB5B8CF0B1D4}"/>
    <cellStyle name="Normal 5 3 3 4 7" xfId="4820" xr:uid="{00000000-0005-0000-0000-0000011A0000}"/>
    <cellStyle name="Normal 5 3 3 4 7 2" xfId="21718" xr:uid="{87A25945-8178-4768-9CBD-19FD3874840A}"/>
    <cellStyle name="Normal 5 3 3 4 7 3" xfId="13270" xr:uid="{09C138D5-4E04-40A2-A214-4264BAAD16CC}"/>
    <cellStyle name="Normal 5 3 3 4 8" xfId="17500" xr:uid="{828E69E6-8570-4CFB-B231-E8EA6BBFC1D4}"/>
    <cellStyle name="Normal 5 3 3 4 9" xfId="9052" xr:uid="{8598D85D-19E5-4C65-8B15-60ACFBD31CA1}"/>
    <cellStyle name="Normal 5 3 3 5" xfId="915" xr:uid="{00000000-0005-0000-0000-0000021A0000}"/>
    <cellStyle name="Normal 5 3 3 5 2" xfId="3149" xr:uid="{00000000-0005-0000-0000-0000031A0000}"/>
    <cellStyle name="Normal 5 3 3 5 2 2" xfId="7371" xr:uid="{00000000-0005-0000-0000-0000041A0000}"/>
    <cellStyle name="Normal 5 3 3 5 2 2 2" xfId="24269" xr:uid="{3EC75640-C785-4154-ADA9-C39F3E7BB143}"/>
    <cellStyle name="Normal 5 3 3 5 2 2 3" xfId="15821" xr:uid="{DB6342A9-6252-44AB-9CE0-7666D7FF03C2}"/>
    <cellStyle name="Normal 5 3 3 5 2 3" xfId="20051" xr:uid="{EF682C91-360A-4414-B1CC-B16BFCDBFC6D}"/>
    <cellStyle name="Normal 5 3 3 5 2 4" xfId="11603" xr:uid="{9DEF4B16-4DD0-4E4A-8B26-70E8A8055087}"/>
    <cellStyle name="Normal 5 3 3 5 3" xfId="5226" xr:uid="{00000000-0005-0000-0000-0000051A0000}"/>
    <cellStyle name="Normal 5 3 3 5 3 2" xfId="22124" xr:uid="{6D1EF25C-6887-4035-8F85-AA575BF0AB93}"/>
    <cellStyle name="Normal 5 3 3 5 3 3" xfId="13676" xr:uid="{04BE62B3-5A51-4708-BA97-B001C5CC0A0E}"/>
    <cellStyle name="Normal 5 3 3 5 4" xfId="17906" xr:uid="{56B609DD-FA1A-4CF6-A35D-EB1A84965323}"/>
    <cellStyle name="Normal 5 3 3 5 5" xfId="9458" xr:uid="{06987890-6F3C-4A99-B633-33DDEC79CC07}"/>
    <cellStyle name="Normal 5 3 3 6" xfId="1332" xr:uid="{00000000-0005-0000-0000-0000061A0000}"/>
    <cellStyle name="Normal 5 3 3 6 2" xfId="3562" xr:uid="{00000000-0005-0000-0000-0000071A0000}"/>
    <cellStyle name="Normal 5 3 3 6 2 2" xfId="7784" xr:uid="{00000000-0005-0000-0000-0000081A0000}"/>
    <cellStyle name="Normal 5 3 3 6 2 2 2" xfId="24682" xr:uid="{61B42425-F511-48A4-BD5A-6E2C97AC6A92}"/>
    <cellStyle name="Normal 5 3 3 6 2 2 3" xfId="16234" xr:uid="{E4F67CAB-6D59-402F-9C0A-103E573B4E46}"/>
    <cellStyle name="Normal 5 3 3 6 2 3" xfId="20464" xr:uid="{899F18A6-DC3C-498A-8310-909676F67487}"/>
    <cellStyle name="Normal 5 3 3 6 2 4" xfId="12016" xr:uid="{A0D9C114-B4E4-49A7-94AF-B1E31B8766B4}"/>
    <cellStyle name="Normal 5 3 3 6 3" xfId="5639" xr:uid="{00000000-0005-0000-0000-0000091A0000}"/>
    <cellStyle name="Normal 5 3 3 6 3 2" xfId="22537" xr:uid="{7C2D26E0-CF5F-44B3-8636-33B287A57D03}"/>
    <cellStyle name="Normal 5 3 3 6 3 3" xfId="14089" xr:uid="{5F8E4406-CD17-4483-B265-DD4010FA80DC}"/>
    <cellStyle name="Normal 5 3 3 6 4" xfId="18319" xr:uid="{87F21388-1003-4538-BF6D-A8805224C38C}"/>
    <cellStyle name="Normal 5 3 3 6 5" xfId="9871" xr:uid="{717C0B4F-5471-40BF-BFC5-7E741B1412D9}"/>
    <cellStyle name="Normal 5 3 3 7" xfId="1745" xr:uid="{00000000-0005-0000-0000-00000A1A0000}"/>
    <cellStyle name="Normal 5 3 3 7 2" xfId="3975" xr:uid="{00000000-0005-0000-0000-00000B1A0000}"/>
    <cellStyle name="Normal 5 3 3 7 2 2" xfId="8197" xr:uid="{00000000-0005-0000-0000-00000C1A0000}"/>
    <cellStyle name="Normal 5 3 3 7 2 2 2" xfId="25095" xr:uid="{703F9A33-1906-4DD3-AA6F-F04856D9B0EB}"/>
    <cellStyle name="Normal 5 3 3 7 2 2 3" xfId="16647" xr:uid="{2AE6DA49-86DD-4688-B357-E972F1CE2C1C}"/>
    <cellStyle name="Normal 5 3 3 7 2 3" xfId="20877" xr:uid="{26764374-2152-4327-8BA3-20ADA91D3015}"/>
    <cellStyle name="Normal 5 3 3 7 2 4" xfId="12429" xr:uid="{81340452-818A-4505-B569-F729A57E9338}"/>
    <cellStyle name="Normal 5 3 3 7 3" xfId="6052" xr:uid="{00000000-0005-0000-0000-00000D1A0000}"/>
    <cellStyle name="Normal 5 3 3 7 3 2" xfId="22950" xr:uid="{BC077509-61C6-40E7-9C8D-DC22F0DD3C25}"/>
    <cellStyle name="Normal 5 3 3 7 3 3" xfId="14502" xr:uid="{4154A9E7-BA9F-4099-8453-C88AB8F9860B}"/>
    <cellStyle name="Normal 5 3 3 7 4" xfId="18732" xr:uid="{D283B60A-5551-489F-A273-7E1BFCC51477}"/>
    <cellStyle name="Normal 5 3 3 7 5" xfId="10284" xr:uid="{7911D642-7CC7-4C3B-87D4-D08E0C66BA2C}"/>
    <cellStyle name="Normal 5 3 3 8" xfId="2159" xr:uid="{00000000-0005-0000-0000-00000E1A0000}"/>
    <cellStyle name="Normal 5 3 3 8 2" xfId="4388" xr:uid="{00000000-0005-0000-0000-00000F1A0000}"/>
    <cellStyle name="Normal 5 3 3 8 2 2" xfId="8610" xr:uid="{00000000-0005-0000-0000-0000101A0000}"/>
    <cellStyle name="Normal 5 3 3 8 2 2 2" xfId="25508" xr:uid="{437ED78F-CF33-41AA-AE5F-DFAFF26A6C6F}"/>
    <cellStyle name="Normal 5 3 3 8 2 2 3" xfId="17060" xr:uid="{8DE97CB3-5163-45C4-B8E4-E88AAD80F3FD}"/>
    <cellStyle name="Normal 5 3 3 8 2 3" xfId="21290" xr:uid="{3F7DDA4C-A361-4911-AB38-AEC0334FFB90}"/>
    <cellStyle name="Normal 5 3 3 8 2 4" xfId="12842" xr:uid="{86703B70-19DF-4F73-984F-F97462133AC5}"/>
    <cellStyle name="Normal 5 3 3 8 3" xfId="6465" xr:uid="{00000000-0005-0000-0000-0000111A0000}"/>
    <cellStyle name="Normal 5 3 3 8 3 2" xfId="23363" xr:uid="{037E8AFA-24A0-47C6-9AA0-A39E1B2CAC22}"/>
    <cellStyle name="Normal 5 3 3 8 3 3" xfId="14915" xr:uid="{D7B8A70D-54B4-4B0C-BE87-9F9119E2F41A}"/>
    <cellStyle name="Normal 5 3 3 8 4" xfId="19145" xr:uid="{DAD92ABE-D884-47EC-B109-159992BA1145}"/>
    <cellStyle name="Normal 5 3 3 8 5" xfId="10697" xr:uid="{53924815-1F41-48F9-8361-6AE65AA90D38}"/>
    <cellStyle name="Normal 5 3 3 9" xfId="2595" xr:uid="{00000000-0005-0000-0000-0000121A0000}"/>
    <cellStyle name="Normal 5 3 3 9 2" xfId="6878" xr:uid="{00000000-0005-0000-0000-0000131A0000}"/>
    <cellStyle name="Normal 5 3 3 9 2 2" xfId="23776" xr:uid="{892A858A-56B5-4889-913E-6EF79AC933CB}"/>
    <cellStyle name="Normal 5 3 3 9 2 3" xfId="15328" xr:uid="{DC81451E-FC0B-4B21-9E58-71C2D968A686}"/>
    <cellStyle name="Normal 5 3 3 9 3" xfId="19558" xr:uid="{AC2B81A9-4F5E-4795-80CB-52C6AFE72118}"/>
    <cellStyle name="Normal 5 3 3 9 4" xfId="11110" xr:uid="{9B97ADA9-DC85-483E-9B82-06A315069083}"/>
    <cellStyle name="Normal 5 3 4" xfId="449" xr:uid="{00000000-0005-0000-0000-0000141A0000}"/>
    <cellStyle name="Normal 5 3 4 10" xfId="17501" xr:uid="{89B86196-6178-4E3C-9AA9-297FCE7FB1AE}"/>
    <cellStyle name="Normal 5 3 4 11" xfId="9053" xr:uid="{5AC0FBEE-0565-488C-BE99-86E612771A1A}"/>
    <cellStyle name="Normal 5 3 4 2" xfId="450" xr:uid="{00000000-0005-0000-0000-0000151A0000}"/>
    <cellStyle name="Normal 5 3 4 2 10" xfId="9054" xr:uid="{72434E19-6276-4770-8102-381A1558D1BE}"/>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24279" xr:uid="{D6E05628-4A42-4078-812D-F0571C655DCB}"/>
    <cellStyle name="Normal 5 3 4 2 2 2 2 2 3" xfId="15831" xr:uid="{A960DB76-A42A-4EA8-8ED6-C04A03D075C4}"/>
    <cellStyle name="Normal 5 3 4 2 2 2 2 3" xfId="20061" xr:uid="{847CA02C-BB21-4BBC-8B01-ADD44316A4EE}"/>
    <cellStyle name="Normal 5 3 4 2 2 2 2 4" xfId="11613" xr:uid="{D5198580-5688-4288-87BA-DD41ADBF8837}"/>
    <cellStyle name="Normal 5 3 4 2 2 2 3" xfId="5236" xr:uid="{00000000-0005-0000-0000-00001A1A0000}"/>
    <cellStyle name="Normal 5 3 4 2 2 2 3 2" xfId="22134" xr:uid="{A96D5310-A997-4C3E-8B48-A701F6A96B27}"/>
    <cellStyle name="Normal 5 3 4 2 2 2 3 3" xfId="13686" xr:uid="{ACBDB00D-0CEB-42D3-A59C-C2A7E7605852}"/>
    <cellStyle name="Normal 5 3 4 2 2 2 4" xfId="17916" xr:uid="{41D5A17D-A9C7-411C-BE22-B1A7EBC9064D}"/>
    <cellStyle name="Normal 5 3 4 2 2 2 5" xfId="9468" xr:uid="{C6B10781-621E-4771-BB6A-7AFD8351629E}"/>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24692" xr:uid="{DE2C3086-DFA9-43F1-9FF6-801E0236DABD}"/>
    <cellStyle name="Normal 5 3 4 2 2 3 2 2 3" xfId="16244" xr:uid="{FF9E81FD-38C5-45CB-9100-AC0E088EC819}"/>
    <cellStyle name="Normal 5 3 4 2 2 3 2 3" xfId="20474" xr:uid="{C2566736-4090-4F8F-BA01-D77A0E9B13CF}"/>
    <cellStyle name="Normal 5 3 4 2 2 3 2 4" xfId="12026" xr:uid="{0F6778B6-CEEF-4D56-AE4B-411A5EDCD19C}"/>
    <cellStyle name="Normal 5 3 4 2 2 3 3" xfId="5649" xr:uid="{00000000-0005-0000-0000-00001E1A0000}"/>
    <cellStyle name="Normal 5 3 4 2 2 3 3 2" xfId="22547" xr:uid="{DFB8D0DA-352B-460E-9558-1F6BEFB9A305}"/>
    <cellStyle name="Normal 5 3 4 2 2 3 3 3" xfId="14099" xr:uid="{75A32861-6F17-4C54-8E1E-53436D767937}"/>
    <cellStyle name="Normal 5 3 4 2 2 3 4" xfId="18329" xr:uid="{AB77C434-2148-4FB2-A4FC-D9A015B7EFC5}"/>
    <cellStyle name="Normal 5 3 4 2 2 3 5" xfId="9881" xr:uid="{1959412E-2EA0-49BF-8949-78D01BB03AF6}"/>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25105" xr:uid="{E1EE31AD-9C86-4D5A-9E9F-F071676B7F9C}"/>
    <cellStyle name="Normal 5 3 4 2 2 4 2 2 3" xfId="16657" xr:uid="{CAED143B-24D5-4310-9127-8086123E27C8}"/>
    <cellStyle name="Normal 5 3 4 2 2 4 2 3" xfId="20887" xr:uid="{9C23ECDE-653B-45D5-8FD3-DCA6B5B134B7}"/>
    <cellStyle name="Normal 5 3 4 2 2 4 2 4" xfId="12439" xr:uid="{8775A4E9-D1E4-47DC-85A0-688056409172}"/>
    <cellStyle name="Normal 5 3 4 2 2 4 3" xfId="6062" xr:uid="{00000000-0005-0000-0000-0000221A0000}"/>
    <cellStyle name="Normal 5 3 4 2 2 4 3 2" xfId="22960" xr:uid="{26F20D77-1CCF-43AF-B46C-B971AD0A3A0A}"/>
    <cellStyle name="Normal 5 3 4 2 2 4 3 3" xfId="14512" xr:uid="{CBD6D877-5B26-489C-9A07-5EFD4C2BDFEB}"/>
    <cellStyle name="Normal 5 3 4 2 2 4 4" xfId="18742" xr:uid="{64D506DC-E08C-419F-ACB9-009960F59C4F}"/>
    <cellStyle name="Normal 5 3 4 2 2 4 5" xfId="10294" xr:uid="{744D05B1-D722-43F1-A025-49A579248F86}"/>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25518" xr:uid="{AAC552B4-8855-42D3-A89D-5AFCE0D20BF2}"/>
    <cellStyle name="Normal 5 3 4 2 2 5 2 2 3" xfId="17070" xr:uid="{7D04523F-AE07-4F07-8748-D48A82E2DFCC}"/>
    <cellStyle name="Normal 5 3 4 2 2 5 2 3" xfId="21300" xr:uid="{1BABAEFC-DC73-42EA-8C2B-6779FCA19966}"/>
    <cellStyle name="Normal 5 3 4 2 2 5 2 4" xfId="12852" xr:uid="{34F95667-407A-40E9-81AC-513F878C04DF}"/>
    <cellStyle name="Normal 5 3 4 2 2 5 3" xfId="6475" xr:uid="{00000000-0005-0000-0000-0000261A0000}"/>
    <cellStyle name="Normal 5 3 4 2 2 5 3 2" xfId="23373" xr:uid="{B4B1F20A-8573-4ECD-9425-90FB5FD5D0D8}"/>
    <cellStyle name="Normal 5 3 4 2 2 5 3 3" xfId="14925" xr:uid="{88566F6E-033B-467E-9E87-4E9B22C394E9}"/>
    <cellStyle name="Normal 5 3 4 2 2 5 4" xfId="19155" xr:uid="{4E75FEBE-C35F-47F9-B97E-33D936ED117D}"/>
    <cellStyle name="Normal 5 3 4 2 2 5 5" xfId="10707" xr:uid="{80864928-EB7E-44FB-8017-359066EE8C5B}"/>
    <cellStyle name="Normal 5 3 4 2 2 6" xfId="2605" xr:uid="{00000000-0005-0000-0000-0000271A0000}"/>
    <cellStyle name="Normal 5 3 4 2 2 6 2" xfId="6888" xr:uid="{00000000-0005-0000-0000-0000281A0000}"/>
    <cellStyle name="Normal 5 3 4 2 2 6 2 2" xfId="23786" xr:uid="{1A815A57-64D9-4ED6-900B-31824F8C53A0}"/>
    <cellStyle name="Normal 5 3 4 2 2 6 2 3" xfId="15338" xr:uid="{C75E46E7-41B1-41C4-A77D-3D811F12AB1D}"/>
    <cellStyle name="Normal 5 3 4 2 2 6 3" xfId="19568" xr:uid="{2CC2F0DF-A4E6-48E8-BEEF-E7883264F55F}"/>
    <cellStyle name="Normal 5 3 4 2 2 6 4" xfId="11120" xr:uid="{F17EAFF4-5535-4B9E-8DE0-DF330C4B135F}"/>
    <cellStyle name="Normal 5 3 4 2 2 7" xfId="4823" xr:uid="{00000000-0005-0000-0000-0000291A0000}"/>
    <cellStyle name="Normal 5 3 4 2 2 7 2" xfId="21721" xr:uid="{6963A447-EDB6-42BC-BCB3-BF9FABF187BD}"/>
    <cellStyle name="Normal 5 3 4 2 2 7 3" xfId="13273" xr:uid="{A7173CAC-8E51-4658-81FE-74A2D399E84C}"/>
    <cellStyle name="Normal 5 3 4 2 2 8" xfId="17503" xr:uid="{CEFCABF2-F5D9-42AD-AC70-AC294C1C49C9}"/>
    <cellStyle name="Normal 5 3 4 2 2 9" xfId="9055" xr:uid="{FE90D89E-9EB5-4C07-9E04-B40EF29AA946}"/>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24278" xr:uid="{19E161A3-9F3E-4EAB-A7C1-785AA9A718F9}"/>
    <cellStyle name="Normal 5 3 4 2 3 2 2 3" xfId="15830" xr:uid="{2C1249D2-69C9-45CE-9315-26685655754A}"/>
    <cellStyle name="Normal 5 3 4 2 3 2 3" xfId="20060" xr:uid="{2AE904D3-8362-42FE-AE09-F2CF21B60197}"/>
    <cellStyle name="Normal 5 3 4 2 3 2 4" xfId="11612" xr:uid="{6334F1DA-C63D-4BB4-A657-8E8F750D16E1}"/>
    <cellStyle name="Normal 5 3 4 2 3 3" xfId="5235" xr:uid="{00000000-0005-0000-0000-00002D1A0000}"/>
    <cellStyle name="Normal 5 3 4 2 3 3 2" xfId="22133" xr:uid="{009C1540-287B-4BA7-B94C-92610C6219F1}"/>
    <cellStyle name="Normal 5 3 4 2 3 3 3" xfId="13685" xr:uid="{80D3C4ED-DBE7-46A0-A915-F9A76C9E0F58}"/>
    <cellStyle name="Normal 5 3 4 2 3 4" xfId="17915" xr:uid="{93D325F3-F6E4-496E-9F26-9971F7AFEA6D}"/>
    <cellStyle name="Normal 5 3 4 2 3 5" xfId="9467" xr:uid="{50844E4A-DC32-4114-B7A1-240214E74660}"/>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24691" xr:uid="{327B5B27-6ED2-4A0A-A65B-8D2D1733426B}"/>
    <cellStyle name="Normal 5 3 4 2 4 2 2 3" xfId="16243" xr:uid="{DE0108F3-9668-4951-8A42-5936EB578BAF}"/>
    <cellStyle name="Normal 5 3 4 2 4 2 3" xfId="20473" xr:uid="{2B5E3EFA-E219-4150-9D78-7E506425F731}"/>
    <cellStyle name="Normal 5 3 4 2 4 2 4" xfId="12025" xr:uid="{FA5DBF54-49DA-492A-A119-BBC266C9D680}"/>
    <cellStyle name="Normal 5 3 4 2 4 3" xfId="5648" xr:uid="{00000000-0005-0000-0000-0000311A0000}"/>
    <cellStyle name="Normal 5 3 4 2 4 3 2" xfId="22546" xr:uid="{626E0116-00E8-4C00-9E8E-6E03D4B41BD9}"/>
    <cellStyle name="Normal 5 3 4 2 4 3 3" xfId="14098" xr:uid="{E91AF34E-9B8E-451F-9834-13602C036AB8}"/>
    <cellStyle name="Normal 5 3 4 2 4 4" xfId="18328" xr:uid="{9FB5F540-1E71-40B5-AA4A-D209CA77E206}"/>
    <cellStyle name="Normal 5 3 4 2 4 5" xfId="9880" xr:uid="{84E707A9-91BB-46D5-AD03-60B25D007079}"/>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25104" xr:uid="{01DDB7C0-0B30-485C-8053-E38D81B79D4F}"/>
    <cellStyle name="Normal 5 3 4 2 5 2 2 3" xfId="16656" xr:uid="{18909F1E-CFA9-4FBB-8F7D-6FEBDC3A28EB}"/>
    <cellStyle name="Normal 5 3 4 2 5 2 3" xfId="20886" xr:uid="{0CC45020-B143-48BE-96F3-D4E622A187CF}"/>
    <cellStyle name="Normal 5 3 4 2 5 2 4" xfId="12438" xr:uid="{468A177D-A026-44A0-8B72-2AE439CF7874}"/>
    <cellStyle name="Normal 5 3 4 2 5 3" xfId="6061" xr:uid="{00000000-0005-0000-0000-0000351A0000}"/>
    <cellStyle name="Normal 5 3 4 2 5 3 2" xfId="22959" xr:uid="{135E7C55-CA75-4FB2-8DF9-9091839613CB}"/>
    <cellStyle name="Normal 5 3 4 2 5 3 3" xfId="14511" xr:uid="{7B5FFBDC-DC38-4AC2-BB42-473BA2770158}"/>
    <cellStyle name="Normal 5 3 4 2 5 4" xfId="18741" xr:uid="{378FD13E-A74F-4D3D-99A9-B1ACD1422B8E}"/>
    <cellStyle name="Normal 5 3 4 2 5 5" xfId="10293" xr:uid="{BE9B64B0-DD59-4FAA-882B-60935DDFCA22}"/>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25517" xr:uid="{896F8A71-8029-4C3C-9363-476AD7F4AB79}"/>
    <cellStyle name="Normal 5 3 4 2 6 2 2 3" xfId="17069" xr:uid="{750B5CCD-551D-4D92-94E8-0E28C7B8C187}"/>
    <cellStyle name="Normal 5 3 4 2 6 2 3" xfId="21299" xr:uid="{11B161FB-2F7D-486F-A812-C70A6C048595}"/>
    <cellStyle name="Normal 5 3 4 2 6 2 4" xfId="12851" xr:uid="{613AF01E-07C4-4154-A157-CCDF1CAC04D9}"/>
    <cellStyle name="Normal 5 3 4 2 6 3" xfId="6474" xr:uid="{00000000-0005-0000-0000-0000391A0000}"/>
    <cellStyle name="Normal 5 3 4 2 6 3 2" xfId="23372" xr:uid="{2F1EFB15-06D9-41EA-8D39-0F9441524758}"/>
    <cellStyle name="Normal 5 3 4 2 6 3 3" xfId="14924" xr:uid="{DBA0D054-E288-4897-8F1D-1E3699532F9E}"/>
    <cellStyle name="Normal 5 3 4 2 6 4" xfId="19154" xr:uid="{F91A4D49-ACAA-4963-AD1E-1C1F56C1F8C4}"/>
    <cellStyle name="Normal 5 3 4 2 6 5" xfId="10706" xr:uid="{8EE47513-C450-49F7-9616-79365A8A719A}"/>
    <cellStyle name="Normal 5 3 4 2 7" xfId="2604" xr:uid="{00000000-0005-0000-0000-00003A1A0000}"/>
    <cellStyle name="Normal 5 3 4 2 7 2" xfId="6887" xr:uid="{00000000-0005-0000-0000-00003B1A0000}"/>
    <cellStyle name="Normal 5 3 4 2 7 2 2" xfId="23785" xr:uid="{23183650-4938-488E-A314-6E12162E93F1}"/>
    <cellStyle name="Normal 5 3 4 2 7 2 3" xfId="15337" xr:uid="{05362B64-D953-4F99-B137-D8E313E1A390}"/>
    <cellStyle name="Normal 5 3 4 2 7 3" xfId="19567" xr:uid="{7AC805B5-ACC2-49D2-A0AA-BED342B30E58}"/>
    <cellStyle name="Normal 5 3 4 2 7 4" xfId="11119" xr:uid="{84FD2D0D-3A9A-4331-ADDE-7CF7CB326B73}"/>
    <cellStyle name="Normal 5 3 4 2 8" xfId="4822" xr:uid="{00000000-0005-0000-0000-00003C1A0000}"/>
    <cellStyle name="Normal 5 3 4 2 8 2" xfId="21720" xr:uid="{59583EF8-74FA-4279-A092-A07B4A946596}"/>
    <cellStyle name="Normal 5 3 4 2 8 3" xfId="13272" xr:uid="{91624681-2C7D-4DD9-953F-10336E5E339E}"/>
    <cellStyle name="Normal 5 3 4 2 9" xfId="17502" xr:uid="{55D4AF80-B915-4D17-B7CB-1C13A96BDA3E}"/>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24280" xr:uid="{6ACB7A57-9C92-4A7E-887B-BA37FB7B6F0B}"/>
    <cellStyle name="Normal 5 3 4 3 2 2 2 3" xfId="15832" xr:uid="{8013AAFE-3928-4936-AC00-5EC9AE4A3460}"/>
    <cellStyle name="Normal 5 3 4 3 2 2 3" xfId="20062" xr:uid="{00D5E754-973C-4E19-B27D-158875E34BA8}"/>
    <cellStyle name="Normal 5 3 4 3 2 2 4" xfId="11614" xr:uid="{29EC7A19-2D35-4A93-8204-46D48DB27272}"/>
    <cellStyle name="Normal 5 3 4 3 2 3" xfId="5237" xr:uid="{00000000-0005-0000-0000-0000411A0000}"/>
    <cellStyle name="Normal 5 3 4 3 2 3 2" xfId="22135" xr:uid="{7190706C-F9BF-42C9-841F-760D0E2CB170}"/>
    <cellStyle name="Normal 5 3 4 3 2 3 3" xfId="13687" xr:uid="{33571692-DDEC-417E-A903-1AD6115C2945}"/>
    <cellStyle name="Normal 5 3 4 3 2 4" xfId="17917" xr:uid="{BC0C1AB1-14E8-4759-8730-7D53FB165F15}"/>
    <cellStyle name="Normal 5 3 4 3 2 5" xfId="9469" xr:uid="{180568A3-EB9D-4D86-984A-256A833D66B4}"/>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24693" xr:uid="{22FAE85F-F3D2-4B7D-AFFE-8E9A3B047B4C}"/>
    <cellStyle name="Normal 5 3 4 3 3 2 2 3" xfId="16245" xr:uid="{57949241-5E38-428E-B72E-46DD90F9A89C}"/>
    <cellStyle name="Normal 5 3 4 3 3 2 3" xfId="20475" xr:uid="{0CB039A3-4728-4D9C-B8D0-DD8F12B1E36D}"/>
    <cellStyle name="Normal 5 3 4 3 3 2 4" xfId="12027" xr:uid="{04AB69C7-5D9B-4336-89DB-B4AB8C9EB1B4}"/>
    <cellStyle name="Normal 5 3 4 3 3 3" xfId="5650" xr:uid="{00000000-0005-0000-0000-0000451A0000}"/>
    <cellStyle name="Normal 5 3 4 3 3 3 2" xfId="22548" xr:uid="{ABA69C9B-6171-435E-BD31-DD012C0B84C3}"/>
    <cellStyle name="Normal 5 3 4 3 3 3 3" xfId="14100" xr:uid="{9A2A2B62-CDB7-4E16-A8CC-D99FAE35FFAA}"/>
    <cellStyle name="Normal 5 3 4 3 3 4" xfId="18330" xr:uid="{EADFF254-132B-4FA4-ACB5-40566BF5179D}"/>
    <cellStyle name="Normal 5 3 4 3 3 5" xfId="9882" xr:uid="{6151E91A-C040-41CA-815A-365D274C1277}"/>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25106" xr:uid="{F7B7C82E-93A4-49C5-87C2-EC1DEF9DDCE2}"/>
    <cellStyle name="Normal 5 3 4 3 4 2 2 3" xfId="16658" xr:uid="{34D06F66-51D4-4948-A0EB-77F21EC25EBA}"/>
    <cellStyle name="Normal 5 3 4 3 4 2 3" xfId="20888" xr:uid="{90A07946-16A9-4C7B-8189-B26CFD6E4146}"/>
    <cellStyle name="Normal 5 3 4 3 4 2 4" xfId="12440" xr:uid="{1DFC9B5F-8592-4607-892A-205B511CA3BF}"/>
    <cellStyle name="Normal 5 3 4 3 4 3" xfId="6063" xr:uid="{00000000-0005-0000-0000-0000491A0000}"/>
    <cellStyle name="Normal 5 3 4 3 4 3 2" xfId="22961" xr:uid="{17FD18FD-5C79-4E2E-BCF1-E30C5A5CCEB8}"/>
    <cellStyle name="Normal 5 3 4 3 4 3 3" xfId="14513" xr:uid="{F290910B-3E61-4ED1-B069-469D7348553B}"/>
    <cellStyle name="Normal 5 3 4 3 4 4" xfId="18743" xr:uid="{0E58E99F-8C50-4FFD-8F1F-1F9A763082EF}"/>
    <cellStyle name="Normal 5 3 4 3 4 5" xfId="10295" xr:uid="{7244E8BA-E90E-4D83-8C23-59D99F53E4AD}"/>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25519" xr:uid="{4B74C877-073D-4267-89EB-70856ED7881A}"/>
    <cellStyle name="Normal 5 3 4 3 5 2 2 3" xfId="17071" xr:uid="{DDED657C-6C68-44C0-AEF1-D6C9A9C519DA}"/>
    <cellStyle name="Normal 5 3 4 3 5 2 3" xfId="21301" xr:uid="{9FEFCACA-DBD7-4FE4-B8CA-AE99D443A531}"/>
    <cellStyle name="Normal 5 3 4 3 5 2 4" xfId="12853" xr:uid="{5751AE83-FE82-479C-BEA1-BDF0CD40109D}"/>
    <cellStyle name="Normal 5 3 4 3 5 3" xfId="6476" xr:uid="{00000000-0005-0000-0000-00004D1A0000}"/>
    <cellStyle name="Normal 5 3 4 3 5 3 2" xfId="23374" xr:uid="{E579F669-8440-469E-B8D9-51B1EA842A50}"/>
    <cellStyle name="Normal 5 3 4 3 5 3 3" xfId="14926" xr:uid="{9E7643F2-8D68-4088-B75F-F8EC388081EA}"/>
    <cellStyle name="Normal 5 3 4 3 5 4" xfId="19156" xr:uid="{C4A985CA-F521-4453-8D0A-9E936B1D542D}"/>
    <cellStyle name="Normal 5 3 4 3 5 5" xfId="10708" xr:uid="{36AF4333-7F75-4F80-AD36-39E9AB666EA3}"/>
    <cellStyle name="Normal 5 3 4 3 6" xfId="2606" xr:uid="{00000000-0005-0000-0000-00004E1A0000}"/>
    <cellStyle name="Normal 5 3 4 3 6 2" xfId="6889" xr:uid="{00000000-0005-0000-0000-00004F1A0000}"/>
    <cellStyle name="Normal 5 3 4 3 6 2 2" xfId="23787" xr:uid="{D45C7083-C6C4-48C5-BB94-B6843920CC10}"/>
    <cellStyle name="Normal 5 3 4 3 6 2 3" xfId="15339" xr:uid="{5FC020C5-85ED-46DE-BED5-1AA8AF0CA4AD}"/>
    <cellStyle name="Normal 5 3 4 3 6 3" xfId="19569" xr:uid="{3877EE35-9B21-44E7-A67C-644EB7DFDF2A}"/>
    <cellStyle name="Normal 5 3 4 3 6 4" xfId="11121" xr:uid="{B2F1F3B8-F22A-4970-B66C-A3B50493AF78}"/>
    <cellStyle name="Normal 5 3 4 3 7" xfId="4824" xr:uid="{00000000-0005-0000-0000-0000501A0000}"/>
    <cellStyle name="Normal 5 3 4 3 7 2" xfId="21722" xr:uid="{C7739D37-7CE7-4DF3-A7B0-06B99F403FED}"/>
    <cellStyle name="Normal 5 3 4 3 7 3" xfId="13274" xr:uid="{41FF10C7-12C9-4E38-B429-F0F0431EE0A9}"/>
    <cellStyle name="Normal 5 3 4 3 8" xfId="17504" xr:uid="{42F3017D-B40A-47B5-A284-4A3466930DAA}"/>
    <cellStyle name="Normal 5 3 4 3 9" xfId="9056" xr:uid="{7195CE5C-3A5A-4A91-B482-6670468FADD1}"/>
    <cellStyle name="Normal 5 3 4 4" xfId="923" xr:uid="{00000000-0005-0000-0000-0000511A0000}"/>
    <cellStyle name="Normal 5 3 4 4 2" xfId="3157" xr:uid="{00000000-0005-0000-0000-0000521A0000}"/>
    <cellStyle name="Normal 5 3 4 4 2 2" xfId="7379" xr:uid="{00000000-0005-0000-0000-0000531A0000}"/>
    <cellStyle name="Normal 5 3 4 4 2 2 2" xfId="24277" xr:uid="{44686C1F-8360-4E85-86B6-1AFBFA578FF6}"/>
    <cellStyle name="Normal 5 3 4 4 2 2 3" xfId="15829" xr:uid="{C386DFB7-31F7-4438-95D1-6CE077BB9123}"/>
    <cellStyle name="Normal 5 3 4 4 2 3" xfId="20059" xr:uid="{3CB47B71-32DC-45F1-9CA0-EE47C6794BB7}"/>
    <cellStyle name="Normal 5 3 4 4 2 4" xfId="11611" xr:uid="{12DFB06B-3B64-4C84-82A7-4B6764CBF3B7}"/>
    <cellStyle name="Normal 5 3 4 4 3" xfId="5234" xr:uid="{00000000-0005-0000-0000-0000541A0000}"/>
    <cellStyle name="Normal 5 3 4 4 3 2" xfId="22132" xr:uid="{A354A4AC-A057-46ED-A40F-420B9527B795}"/>
    <cellStyle name="Normal 5 3 4 4 3 3" xfId="13684" xr:uid="{884FA5C7-967C-4652-9087-DAD9389B541F}"/>
    <cellStyle name="Normal 5 3 4 4 4" xfId="17914" xr:uid="{F42D3119-555A-4CDB-B585-40DE408CD878}"/>
    <cellStyle name="Normal 5 3 4 4 5" xfId="9466" xr:uid="{D55E9211-E8B0-4BB9-A293-BFC98633209A}"/>
    <cellStyle name="Normal 5 3 4 5" xfId="1340" xr:uid="{00000000-0005-0000-0000-0000551A0000}"/>
    <cellStyle name="Normal 5 3 4 5 2" xfId="3570" xr:uid="{00000000-0005-0000-0000-0000561A0000}"/>
    <cellStyle name="Normal 5 3 4 5 2 2" xfId="7792" xr:uid="{00000000-0005-0000-0000-0000571A0000}"/>
    <cellStyle name="Normal 5 3 4 5 2 2 2" xfId="24690" xr:uid="{5E054892-2CF7-434A-B285-2EA8B7F2A0D7}"/>
    <cellStyle name="Normal 5 3 4 5 2 2 3" xfId="16242" xr:uid="{6AA5FA4C-4937-47CA-BC30-A49F1DF02BB7}"/>
    <cellStyle name="Normal 5 3 4 5 2 3" xfId="20472" xr:uid="{EC89C7B1-1197-41A1-8190-77CFB95FCD1C}"/>
    <cellStyle name="Normal 5 3 4 5 2 4" xfId="12024" xr:uid="{0DC18D90-0493-4FE1-A916-487D2D7ED92B}"/>
    <cellStyle name="Normal 5 3 4 5 3" xfId="5647" xr:uid="{00000000-0005-0000-0000-0000581A0000}"/>
    <cellStyle name="Normal 5 3 4 5 3 2" xfId="22545" xr:uid="{A34C56E3-B9A4-4288-A835-11B19BB7ACB9}"/>
    <cellStyle name="Normal 5 3 4 5 3 3" xfId="14097" xr:uid="{6A37D049-A1C7-4CF7-B9E9-DF0F0F9591AC}"/>
    <cellStyle name="Normal 5 3 4 5 4" xfId="18327" xr:uid="{67D4DB9C-DA3D-4B4E-8DC5-0C1BCC06D0A1}"/>
    <cellStyle name="Normal 5 3 4 5 5" xfId="9879" xr:uid="{6550F9EA-D3D3-4F5D-AA20-A8B5A610A5AA}"/>
    <cellStyle name="Normal 5 3 4 6" xfId="1753" xr:uid="{00000000-0005-0000-0000-0000591A0000}"/>
    <cellStyle name="Normal 5 3 4 6 2" xfId="3983" xr:uid="{00000000-0005-0000-0000-00005A1A0000}"/>
    <cellStyle name="Normal 5 3 4 6 2 2" xfId="8205" xr:uid="{00000000-0005-0000-0000-00005B1A0000}"/>
    <cellStyle name="Normal 5 3 4 6 2 2 2" xfId="25103" xr:uid="{D9CB6F17-7F58-4CAF-BC4F-CBC3377EB793}"/>
    <cellStyle name="Normal 5 3 4 6 2 2 3" xfId="16655" xr:uid="{CCB9EC38-E8B1-4E27-AB16-364E2DC5032F}"/>
    <cellStyle name="Normal 5 3 4 6 2 3" xfId="20885" xr:uid="{9AEA141B-1E57-4607-BC93-11A0F51E7F09}"/>
    <cellStyle name="Normal 5 3 4 6 2 4" xfId="12437" xr:uid="{C5D82EAA-0C55-41AE-A383-E12E0346EA34}"/>
    <cellStyle name="Normal 5 3 4 6 3" xfId="6060" xr:uid="{00000000-0005-0000-0000-00005C1A0000}"/>
    <cellStyle name="Normal 5 3 4 6 3 2" xfId="22958" xr:uid="{B26566B0-2135-467B-B25F-90C789C6AC19}"/>
    <cellStyle name="Normal 5 3 4 6 3 3" xfId="14510" xr:uid="{EAE1606A-07DC-4E1E-AA9A-CAECCC7A4BA3}"/>
    <cellStyle name="Normal 5 3 4 6 4" xfId="18740" xr:uid="{94D0AA0A-ADE2-4389-BB02-88519EE7B2A2}"/>
    <cellStyle name="Normal 5 3 4 6 5" xfId="10292" xr:uid="{CEFF2F54-279D-4533-B9DF-C88EDBE6C5F0}"/>
    <cellStyle name="Normal 5 3 4 7" xfId="2167" xr:uid="{00000000-0005-0000-0000-00005D1A0000}"/>
    <cellStyle name="Normal 5 3 4 7 2" xfId="4396" xr:uid="{00000000-0005-0000-0000-00005E1A0000}"/>
    <cellStyle name="Normal 5 3 4 7 2 2" xfId="8618" xr:uid="{00000000-0005-0000-0000-00005F1A0000}"/>
    <cellStyle name="Normal 5 3 4 7 2 2 2" xfId="25516" xr:uid="{3C863243-578E-4B2B-A5DE-0F9C2821B4F8}"/>
    <cellStyle name="Normal 5 3 4 7 2 2 3" xfId="17068" xr:uid="{6E76D67D-506A-4201-BDCB-108A91830537}"/>
    <cellStyle name="Normal 5 3 4 7 2 3" xfId="21298" xr:uid="{D9F9313B-7F65-403B-AF09-3110E1305DA7}"/>
    <cellStyle name="Normal 5 3 4 7 2 4" xfId="12850" xr:uid="{1769164B-D590-43EE-8733-E7EE160A7815}"/>
    <cellStyle name="Normal 5 3 4 7 3" xfId="6473" xr:uid="{00000000-0005-0000-0000-0000601A0000}"/>
    <cellStyle name="Normal 5 3 4 7 3 2" xfId="23371" xr:uid="{13AA61BB-A0C1-4B54-808D-4614A8712791}"/>
    <cellStyle name="Normal 5 3 4 7 3 3" xfId="14923" xr:uid="{42A0C7A9-2E99-4381-98D4-FD2C6D76620E}"/>
    <cellStyle name="Normal 5 3 4 7 4" xfId="19153" xr:uid="{E9DBA8C1-A7C2-4709-9565-D154E6733C65}"/>
    <cellStyle name="Normal 5 3 4 7 5" xfId="10705" xr:uid="{727CA4B2-3DAD-46FF-BA00-123D952F3B1E}"/>
    <cellStyle name="Normal 5 3 4 8" xfId="2603" xr:uid="{00000000-0005-0000-0000-0000611A0000}"/>
    <cellStyle name="Normal 5 3 4 8 2" xfId="6886" xr:uid="{00000000-0005-0000-0000-0000621A0000}"/>
    <cellStyle name="Normal 5 3 4 8 2 2" xfId="23784" xr:uid="{4093A8B5-D941-4F42-BC36-1FB7FF37973C}"/>
    <cellStyle name="Normal 5 3 4 8 2 3" xfId="15336" xr:uid="{4177814E-6FF4-4EC7-A230-96EF4D4067E7}"/>
    <cellStyle name="Normal 5 3 4 8 3" xfId="19566" xr:uid="{0E9FBB18-9679-408B-8EE4-4976ED4CFC2D}"/>
    <cellStyle name="Normal 5 3 4 8 4" xfId="11118" xr:uid="{057B44E0-F65C-4EA6-B4C4-45C2E42D19CF}"/>
    <cellStyle name="Normal 5 3 4 9" xfId="4821" xr:uid="{00000000-0005-0000-0000-0000631A0000}"/>
    <cellStyle name="Normal 5 3 4 9 2" xfId="21719" xr:uid="{8B14C6C6-7EEB-446A-B982-6ED35E471256}"/>
    <cellStyle name="Normal 5 3 4 9 3" xfId="13271" xr:uid="{5EA179AC-FCD7-4F30-9CDB-AF9F5E3D2D07}"/>
    <cellStyle name="Normal 5 3 5" xfId="453" xr:uid="{00000000-0005-0000-0000-0000641A0000}"/>
    <cellStyle name="Normal 5 3 5 10" xfId="9057" xr:uid="{EE55DDD3-89E8-4A6D-B476-88F5812B50BC}"/>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24282" xr:uid="{E37F16B1-FABF-4A3F-A2A8-EF86F084A1C4}"/>
    <cellStyle name="Normal 5 3 5 2 2 2 2 3" xfId="15834" xr:uid="{9EF34BAA-9A71-4E02-91BE-7D4C215E9CA3}"/>
    <cellStyle name="Normal 5 3 5 2 2 2 3" xfId="20064" xr:uid="{286086F7-72EE-4FA1-BEE7-6D9D686AB5EE}"/>
    <cellStyle name="Normal 5 3 5 2 2 2 4" xfId="11616" xr:uid="{E1B44790-C2A7-49C3-87CE-BC9C54D2F3F8}"/>
    <cellStyle name="Normal 5 3 5 2 2 3" xfId="5239" xr:uid="{00000000-0005-0000-0000-0000691A0000}"/>
    <cellStyle name="Normal 5 3 5 2 2 3 2" xfId="22137" xr:uid="{021537B5-E546-4FA7-A3EA-DD1774B7F298}"/>
    <cellStyle name="Normal 5 3 5 2 2 3 3" xfId="13689" xr:uid="{3FE97D71-30D8-46D5-8CB4-B8F80123023B}"/>
    <cellStyle name="Normal 5 3 5 2 2 4" xfId="17919" xr:uid="{ACE601EC-FC7E-4B93-BAA8-0B0A133F51CA}"/>
    <cellStyle name="Normal 5 3 5 2 2 5" xfId="9471" xr:uid="{356044EF-14A3-4A2E-AC8F-1E1DFF218447}"/>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24695" xr:uid="{69ADDEEF-1B7F-488D-9194-13B2725F418A}"/>
    <cellStyle name="Normal 5 3 5 2 3 2 2 3" xfId="16247" xr:uid="{F74FD448-B22D-45DA-AB3C-2C84F3353FAC}"/>
    <cellStyle name="Normal 5 3 5 2 3 2 3" xfId="20477" xr:uid="{8ACFBA79-F271-4A87-AA4A-214B8638718D}"/>
    <cellStyle name="Normal 5 3 5 2 3 2 4" xfId="12029" xr:uid="{14213B7E-EB31-4CF4-A665-38578640C293}"/>
    <cellStyle name="Normal 5 3 5 2 3 3" xfId="5652" xr:uid="{00000000-0005-0000-0000-00006D1A0000}"/>
    <cellStyle name="Normal 5 3 5 2 3 3 2" xfId="22550" xr:uid="{B4CB83E1-BDF8-48B7-9BD5-9D2E5A71B07A}"/>
    <cellStyle name="Normal 5 3 5 2 3 3 3" xfId="14102" xr:uid="{C976FEB9-51C2-40B7-8229-19CD998F266E}"/>
    <cellStyle name="Normal 5 3 5 2 3 4" xfId="18332" xr:uid="{FF93B4F0-A482-451E-B486-FFCABFA05CA1}"/>
    <cellStyle name="Normal 5 3 5 2 3 5" xfId="9884" xr:uid="{4555B99D-B03A-4FDF-A57F-5164EA7E4E46}"/>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25108" xr:uid="{48C6C296-A891-4CD3-9B22-89007EBFC32C}"/>
    <cellStyle name="Normal 5 3 5 2 4 2 2 3" xfId="16660" xr:uid="{1DC19D51-45D7-4ABA-BC89-4469E2829EAF}"/>
    <cellStyle name="Normal 5 3 5 2 4 2 3" xfId="20890" xr:uid="{71D856B1-C7AE-4F08-A960-134D096FC4E1}"/>
    <cellStyle name="Normal 5 3 5 2 4 2 4" xfId="12442" xr:uid="{83CF4AD3-5308-45CC-A330-E9BF284D517D}"/>
    <cellStyle name="Normal 5 3 5 2 4 3" xfId="6065" xr:uid="{00000000-0005-0000-0000-0000711A0000}"/>
    <cellStyle name="Normal 5 3 5 2 4 3 2" xfId="22963" xr:uid="{25EAB6EB-79B8-4BED-A5E1-385BE4FF4E3D}"/>
    <cellStyle name="Normal 5 3 5 2 4 3 3" xfId="14515" xr:uid="{8244EDE7-06E8-4025-8CA8-71AED6B86752}"/>
    <cellStyle name="Normal 5 3 5 2 4 4" xfId="18745" xr:uid="{F1599FB4-B8F2-49DF-BEA0-44F61734BD70}"/>
    <cellStyle name="Normal 5 3 5 2 4 5" xfId="10297" xr:uid="{E4795B6E-3AF4-40A1-AC98-E16B9D6A7984}"/>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25521" xr:uid="{630AAE3B-3587-4064-BB58-299B90F8ED35}"/>
    <cellStyle name="Normal 5 3 5 2 5 2 2 3" xfId="17073" xr:uid="{B9BE5257-475C-4698-B68C-C0F313E341B8}"/>
    <cellStyle name="Normal 5 3 5 2 5 2 3" xfId="21303" xr:uid="{AE6F8B41-8995-4FC0-9B81-51928442B959}"/>
    <cellStyle name="Normal 5 3 5 2 5 2 4" xfId="12855" xr:uid="{0A7FB647-9761-475C-AE85-F829DA37C27D}"/>
    <cellStyle name="Normal 5 3 5 2 5 3" xfId="6478" xr:uid="{00000000-0005-0000-0000-0000751A0000}"/>
    <cellStyle name="Normal 5 3 5 2 5 3 2" xfId="23376" xr:uid="{BBA14127-BAD3-4023-BCBD-8FE5D4526DEB}"/>
    <cellStyle name="Normal 5 3 5 2 5 3 3" xfId="14928" xr:uid="{13BB3B21-72FE-43E2-8ECE-0AD8A48262D2}"/>
    <cellStyle name="Normal 5 3 5 2 5 4" xfId="19158" xr:uid="{F02BF0EB-9B1F-4D0D-8394-13C1E07206A0}"/>
    <cellStyle name="Normal 5 3 5 2 5 5" xfId="10710" xr:uid="{A6497420-E567-4C7F-AE3E-5A923BD7704A}"/>
    <cellStyle name="Normal 5 3 5 2 6" xfId="2608" xr:uid="{00000000-0005-0000-0000-0000761A0000}"/>
    <cellStyle name="Normal 5 3 5 2 6 2" xfId="6891" xr:uid="{00000000-0005-0000-0000-0000771A0000}"/>
    <cellStyle name="Normal 5 3 5 2 6 2 2" xfId="23789" xr:uid="{67EDA31F-8EE9-46DF-9CE5-2FDC5F9101A1}"/>
    <cellStyle name="Normal 5 3 5 2 6 2 3" xfId="15341" xr:uid="{BAEFA9DB-5498-448E-891A-ABFA81FCB9F4}"/>
    <cellStyle name="Normal 5 3 5 2 6 3" xfId="19571" xr:uid="{85E8AFEA-599B-4A6F-9285-4790A107D473}"/>
    <cellStyle name="Normal 5 3 5 2 6 4" xfId="11123" xr:uid="{D91C2592-C6B7-453D-94BE-8204427FD4AD}"/>
    <cellStyle name="Normal 5 3 5 2 7" xfId="4826" xr:uid="{00000000-0005-0000-0000-0000781A0000}"/>
    <cellStyle name="Normal 5 3 5 2 7 2" xfId="21724" xr:uid="{57A503F0-9154-40D9-938F-A3AF33C553DC}"/>
    <cellStyle name="Normal 5 3 5 2 7 3" xfId="13276" xr:uid="{309D215F-C28D-4D83-8B8E-7EC54E43A1F2}"/>
    <cellStyle name="Normal 5 3 5 2 8" xfId="17506" xr:uid="{746F8824-51B6-4326-A07D-B2D4B52D9BB8}"/>
    <cellStyle name="Normal 5 3 5 2 9" xfId="9058" xr:uid="{EB4A54D7-ECFB-45C7-8FD0-8FF4D5A441D2}"/>
    <cellStyle name="Normal 5 3 5 3" xfId="927" xr:uid="{00000000-0005-0000-0000-0000791A0000}"/>
    <cellStyle name="Normal 5 3 5 3 2" xfId="3161" xr:uid="{00000000-0005-0000-0000-00007A1A0000}"/>
    <cellStyle name="Normal 5 3 5 3 2 2" xfId="7383" xr:uid="{00000000-0005-0000-0000-00007B1A0000}"/>
    <cellStyle name="Normal 5 3 5 3 2 2 2" xfId="24281" xr:uid="{768987F6-BFEF-45E3-B8FB-933AE927B3F9}"/>
    <cellStyle name="Normal 5 3 5 3 2 2 3" xfId="15833" xr:uid="{8DBBF579-A573-40A9-ACE3-EB4DCE819ED9}"/>
    <cellStyle name="Normal 5 3 5 3 2 3" xfId="20063" xr:uid="{F3CD7F1C-87E9-47D6-BE9E-EF1024188A68}"/>
    <cellStyle name="Normal 5 3 5 3 2 4" xfId="11615" xr:uid="{5DAE8E74-8400-4F25-B155-62D7D2AD092B}"/>
    <cellStyle name="Normal 5 3 5 3 3" xfId="5238" xr:uid="{00000000-0005-0000-0000-00007C1A0000}"/>
    <cellStyle name="Normal 5 3 5 3 3 2" xfId="22136" xr:uid="{57C238B0-79CA-4104-902B-C145F3B93641}"/>
    <cellStyle name="Normal 5 3 5 3 3 3" xfId="13688" xr:uid="{E35B8377-AD2E-4CBE-9828-F17B8BD21427}"/>
    <cellStyle name="Normal 5 3 5 3 4" xfId="17918" xr:uid="{4D24D2DB-F0D5-4D4B-A610-3B0DBFB6233B}"/>
    <cellStyle name="Normal 5 3 5 3 5" xfId="9470" xr:uid="{1B1A70FB-B8A7-4B71-8C15-C9BCDF8DF637}"/>
    <cellStyle name="Normal 5 3 5 4" xfId="1344" xr:uid="{00000000-0005-0000-0000-00007D1A0000}"/>
    <cellStyle name="Normal 5 3 5 4 2" xfId="3574" xr:uid="{00000000-0005-0000-0000-00007E1A0000}"/>
    <cellStyle name="Normal 5 3 5 4 2 2" xfId="7796" xr:uid="{00000000-0005-0000-0000-00007F1A0000}"/>
    <cellStyle name="Normal 5 3 5 4 2 2 2" xfId="24694" xr:uid="{F76DCB2C-43B3-4F5D-A20E-10470129DFAC}"/>
    <cellStyle name="Normal 5 3 5 4 2 2 3" xfId="16246" xr:uid="{78F7CBCE-B89A-429B-9A70-D59F14617CCA}"/>
    <cellStyle name="Normal 5 3 5 4 2 3" xfId="20476" xr:uid="{74B5B5B8-3AA3-442E-91AB-66B1D20FA1F8}"/>
    <cellStyle name="Normal 5 3 5 4 2 4" xfId="12028" xr:uid="{00E49717-C057-4B5A-B3EE-4A6260327756}"/>
    <cellStyle name="Normal 5 3 5 4 3" xfId="5651" xr:uid="{00000000-0005-0000-0000-0000801A0000}"/>
    <cellStyle name="Normal 5 3 5 4 3 2" xfId="22549" xr:uid="{47AFD35D-6770-439C-8EB1-E3705D1E0C9E}"/>
    <cellStyle name="Normal 5 3 5 4 3 3" xfId="14101" xr:uid="{7F348B37-E759-40A6-8A3E-F2381936862B}"/>
    <cellStyle name="Normal 5 3 5 4 4" xfId="18331" xr:uid="{F6859E3A-DFB9-49BF-8101-938C5547A7FA}"/>
    <cellStyle name="Normal 5 3 5 4 5" xfId="9883" xr:uid="{C0A6FAE8-39AD-488A-9A8E-A1C184492025}"/>
    <cellStyle name="Normal 5 3 5 5" xfId="1757" xr:uid="{00000000-0005-0000-0000-0000811A0000}"/>
    <cellStyle name="Normal 5 3 5 5 2" xfId="3987" xr:uid="{00000000-0005-0000-0000-0000821A0000}"/>
    <cellStyle name="Normal 5 3 5 5 2 2" xfId="8209" xr:uid="{00000000-0005-0000-0000-0000831A0000}"/>
    <cellStyle name="Normal 5 3 5 5 2 2 2" xfId="25107" xr:uid="{334111B2-5B74-43EB-B4D6-E29AC638E7C4}"/>
    <cellStyle name="Normal 5 3 5 5 2 2 3" xfId="16659" xr:uid="{32056644-8C7E-48E0-BE7E-0BCCA8A894B3}"/>
    <cellStyle name="Normal 5 3 5 5 2 3" xfId="20889" xr:uid="{3F70F0E3-6CBB-4176-B517-F85D130E49D0}"/>
    <cellStyle name="Normal 5 3 5 5 2 4" xfId="12441" xr:uid="{0B684D0B-9522-4D66-BC11-869319C30E4E}"/>
    <cellStyle name="Normal 5 3 5 5 3" xfId="6064" xr:uid="{00000000-0005-0000-0000-0000841A0000}"/>
    <cellStyle name="Normal 5 3 5 5 3 2" xfId="22962" xr:uid="{A3F9D527-8D83-495A-85D1-06EE8092D2A4}"/>
    <cellStyle name="Normal 5 3 5 5 3 3" xfId="14514" xr:uid="{B7CFAB03-F756-4510-9F0F-6CE9434322E0}"/>
    <cellStyle name="Normal 5 3 5 5 4" xfId="18744" xr:uid="{C0A23340-8075-40A2-9BC6-C4FCF20DFBA9}"/>
    <cellStyle name="Normal 5 3 5 5 5" xfId="10296" xr:uid="{44206733-F0B4-4706-8023-8F0358A22DAA}"/>
    <cellStyle name="Normal 5 3 5 6" xfId="2171" xr:uid="{00000000-0005-0000-0000-0000851A0000}"/>
    <cellStyle name="Normal 5 3 5 6 2" xfId="4400" xr:uid="{00000000-0005-0000-0000-0000861A0000}"/>
    <cellStyle name="Normal 5 3 5 6 2 2" xfId="8622" xr:uid="{00000000-0005-0000-0000-0000871A0000}"/>
    <cellStyle name="Normal 5 3 5 6 2 2 2" xfId="25520" xr:uid="{79DB03C5-C50D-4C35-A71E-1572BE4D4B56}"/>
    <cellStyle name="Normal 5 3 5 6 2 2 3" xfId="17072" xr:uid="{C3434FE6-9722-46A5-9343-8E7070E3005E}"/>
    <cellStyle name="Normal 5 3 5 6 2 3" xfId="21302" xr:uid="{6B8E4319-373B-4653-88EB-E5BEBC036775}"/>
    <cellStyle name="Normal 5 3 5 6 2 4" xfId="12854" xr:uid="{7B41B8B2-7281-4B7E-B8AB-9846522CF02B}"/>
    <cellStyle name="Normal 5 3 5 6 3" xfId="6477" xr:uid="{00000000-0005-0000-0000-0000881A0000}"/>
    <cellStyle name="Normal 5 3 5 6 3 2" xfId="23375" xr:uid="{88903A7D-F06D-4B16-8998-D250322AC4F6}"/>
    <cellStyle name="Normal 5 3 5 6 3 3" xfId="14927" xr:uid="{800AA430-1E34-4B95-8DCE-BBC08CA1238D}"/>
    <cellStyle name="Normal 5 3 5 6 4" xfId="19157" xr:uid="{9516FA1E-D3D4-445D-B89C-B7973219DCCA}"/>
    <cellStyle name="Normal 5 3 5 6 5" xfId="10709" xr:uid="{8EBF1D25-24A3-4720-B46A-0F9E3E63AACE}"/>
    <cellStyle name="Normal 5 3 5 7" xfId="2607" xr:uid="{00000000-0005-0000-0000-0000891A0000}"/>
    <cellStyle name="Normal 5 3 5 7 2" xfId="6890" xr:uid="{00000000-0005-0000-0000-00008A1A0000}"/>
    <cellStyle name="Normal 5 3 5 7 2 2" xfId="23788" xr:uid="{542ADF9F-987E-466B-A40F-D96E9FFDEA67}"/>
    <cellStyle name="Normal 5 3 5 7 2 3" xfId="15340" xr:uid="{36E2A266-FC65-4308-AFC7-1162E27D72AF}"/>
    <cellStyle name="Normal 5 3 5 7 3" xfId="19570" xr:uid="{09322C8F-0CDD-48A7-8BB8-2DA8C3453EDC}"/>
    <cellStyle name="Normal 5 3 5 7 4" xfId="11122" xr:uid="{3EBAC6BE-BF11-470A-9BEA-49DCB191F0EE}"/>
    <cellStyle name="Normal 5 3 5 8" xfId="4825" xr:uid="{00000000-0005-0000-0000-00008B1A0000}"/>
    <cellStyle name="Normal 5 3 5 8 2" xfId="21723" xr:uid="{850C9913-3394-4AEA-BE0C-9E7F4C8A69B7}"/>
    <cellStyle name="Normal 5 3 5 8 3" xfId="13275" xr:uid="{F9E9B23E-8081-4F51-8021-CFAE6D81DA04}"/>
    <cellStyle name="Normal 5 3 5 9" xfId="17505" xr:uid="{EE60F6F3-8B63-4022-BAC3-EE181F152F9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2 2 2" xfId="24283" xr:uid="{751328F9-9638-4C01-B901-E1A3E0C75909}"/>
    <cellStyle name="Normal 5 3 6 2 2 2 3" xfId="15835" xr:uid="{32D86A4D-91F6-4DBB-BFE3-1E9D5775C2A7}"/>
    <cellStyle name="Normal 5 3 6 2 2 3" xfId="20065" xr:uid="{02CDAD63-F0C6-464A-AB92-125E01FA9151}"/>
    <cellStyle name="Normal 5 3 6 2 2 4" xfId="11617" xr:uid="{6020F0BD-9C8D-45F2-A285-F3DBC54E3887}"/>
    <cellStyle name="Normal 5 3 6 2 3" xfId="5240" xr:uid="{00000000-0005-0000-0000-0000901A0000}"/>
    <cellStyle name="Normal 5 3 6 2 3 2" xfId="22138" xr:uid="{A594D18E-C280-4992-84B5-68CD158D196E}"/>
    <cellStyle name="Normal 5 3 6 2 3 3" xfId="13690" xr:uid="{DDC5C5F5-09EB-402B-8AD8-7D43AB5C06C6}"/>
    <cellStyle name="Normal 5 3 6 2 4" xfId="17920" xr:uid="{E3037459-15DE-4335-B410-996281B86594}"/>
    <cellStyle name="Normal 5 3 6 2 5" xfId="9472" xr:uid="{EBFFBB21-D691-4C64-A210-F3869022554D}"/>
    <cellStyle name="Normal 5 3 6 3" xfId="1346" xr:uid="{00000000-0005-0000-0000-0000911A0000}"/>
    <cellStyle name="Normal 5 3 6 3 2" xfId="3576" xr:uid="{00000000-0005-0000-0000-0000921A0000}"/>
    <cellStyle name="Normal 5 3 6 3 2 2" xfId="7798" xr:uid="{00000000-0005-0000-0000-0000931A0000}"/>
    <cellStyle name="Normal 5 3 6 3 2 2 2" xfId="24696" xr:uid="{8446127E-F268-475C-8DFC-C752318ADC6B}"/>
    <cellStyle name="Normal 5 3 6 3 2 2 3" xfId="16248" xr:uid="{C520B288-BB76-4A12-9401-1C94AAE27EA3}"/>
    <cellStyle name="Normal 5 3 6 3 2 3" xfId="20478" xr:uid="{A0E23DBC-D787-4722-8D3D-54930EE85008}"/>
    <cellStyle name="Normal 5 3 6 3 2 4" xfId="12030" xr:uid="{C423F3D7-3A4F-4E4B-B998-649A84F59497}"/>
    <cellStyle name="Normal 5 3 6 3 3" xfId="5653" xr:uid="{00000000-0005-0000-0000-0000941A0000}"/>
    <cellStyle name="Normal 5 3 6 3 3 2" xfId="22551" xr:uid="{2037C26D-9323-4320-A6A5-95239D6CB4B0}"/>
    <cellStyle name="Normal 5 3 6 3 3 3" xfId="14103" xr:uid="{B802F33A-91D7-44FB-9FCE-4CEC406F4A3F}"/>
    <cellStyle name="Normal 5 3 6 3 4" xfId="18333" xr:uid="{77EA1B17-E9F3-4C37-B116-51DF396E1951}"/>
    <cellStyle name="Normal 5 3 6 3 5" xfId="9885" xr:uid="{C9A0C789-99B1-474B-B8EC-50DBD09508E8}"/>
    <cellStyle name="Normal 5 3 6 4" xfId="1759" xr:uid="{00000000-0005-0000-0000-0000951A0000}"/>
    <cellStyle name="Normal 5 3 6 4 2" xfId="3989" xr:uid="{00000000-0005-0000-0000-0000961A0000}"/>
    <cellStyle name="Normal 5 3 6 4 2 2" xfId="8211" xr:uid="{00000000-0005-0000-0000-0000971A0000}"/>
    <cellStyle name="Normal 5 3 6 4 2 2 2" xfId="25109" xr:uid="{58D707CE-0257-4D6A-8D57-FC49CD4836A1}"/>
    <cellStyle name="Normal 5 3 6 4 2 2 3" xfId="16661" xr:uid="{0DB49654-D759-4E0C-8965-C0424C6406D1}"/>
    <cellStyle name="Normal 5 3 6 4 2 3" xfId="20891" xr:uid="{F91FCF65-65D1-4900-9EFC-2728D78C4183}"/>
    <cellStyle name="Normal 5 3 6 4 2 4" xfId="12443" xr:uid="{6CAC4583-A5A8-41BF-866A-D416A21CF44A}"/>
    <cellStyle name="Normal 5 3 6 4 3" xfId="6066" xr:uid="{00000000-0005-0000-0000-0000981A0000}"/>
    <cellStyle name="Normal 5 3 6 4 3 2" xfId="22964" xr:uid="{8A723638-79F2-49AB-894B-18208E692170}"/>
    <cellStyle name="Normal 5 3 6 4 3 3" xfId="14516" xr:uid="{6ED5F95B-2E69-4FDC-BB9C-226F0EACCC57}"/>
    <cellStyle name="Normal 5 3 6 4 4" xfId="18746" xr:uid="{350DFAA1-E443-4576-A1F4-DB57837FD4ED}"/>
    <cellStyle name="Normal 5 3 6 4 5" xfId="10298" xr:uid="{059E208C-1DD0-499A-ACC0-840123D6A287}"/>
    <cellStyle name="Normal 5 3 6 5" xfId="2173" xr:uid="{00000000-0005-0000-0000-0000991A0000}"/>
    <cellStyle name="Normal 5 3 6 5 2" xfId="4402" xr:uid="{00000000-0005-0000-0000-00009A1A0000}"/>
    <cellStyle name="Normal 5 3 6 5 2 2" xfId="8624" xr:uid="{00000000-0005-0000-0000-00009B1A0000}"/>
    <cellStyle name="Normal 5 3 6 5 2 2 2" xfId="25522" xr:uid="{5948872D-908B-443E-AFDE-B8806FD1534D}"/>
    <cellStyle name="Normal 5 3 6 5 2 2 3" xfId="17074" xr:uid="{2584EBB7-AFD3-44E5-84F9-26B48496085C}"/>
    <cellStyle name="Normal 5 3 6 5 2 3" xfId="21304" xr:uid="{A37DCF9B-C7B0-4ABB-9C5A-0B053DDE57B3}"/>
    <cellStyle name="Normal 5 3 6 5 2 4" xfId="12856" xr:uid="{B6B8D555-4178-4C78-98AC-CFAA49C134D6}"/>
    <cellStyle name="Normal 5 3 6 5 3" xfId="6479" xr:uid="{00000000-0005-0000-0000-00009C1A0000}"/>
    <cellStyle name="Normal 5 3 6 5 3 2" xfId="23377" xr:uid="{16878FD8-7966-4E25-BFA1-F2E761B26FDA}"/>
    <cellStyle name="Normal 5 3 6 5 3 3" xfId="14929" xr:uid="{DD0E06A9-7777-4891-A484-A6B9BB30A8E6}"/>
    <cellStyle name="Normal 5 3 6 5 4" xfId="19159" xr:uid="{F0F5FE00-6400-4F51-BEE7-87E0E27035FD}"/>
    <cellStyle name="Normal 5 3 6 5 5" xfId="10711" xr:uid="{BDE5A63F-2345-4402-8775-EFB010FCC671}"/>
    <cellStyle name="Normal 5 3 6 6" xfId="2609" xr:uid="{00000000-0005-0000-0000-00009D1A0000}"/>
    <cellStyle name="Normal 5 3 6 6 2" xfId="6892" xr:uid="{00000000-0005-0000-0000-00009E1A0000}"/>
    <cellStyle name="Normal 5 3 6 6 2 2" xfId="23790" xr:uid="{42EC3FC9-0AA5-46BC-8926-3CFCED868028}"/>
    <cellStyle name="Normal 5 3 6 6 2 3" xfId="15342" xr:uid="{134DD4E5-E65F-436D-8707-5718CF11B28D}"/>
    <cellStyle name="Normal 5 3 6 6 3" xfId="19572" xr:uid="{92391C51-2B9F-413C-ABDD-8DC0BC6495B5}"/>
    <cellStyle name="Normal 5 3 6 6 4" xfId="11124" xr:uid="{83C68159-6999-400F-BB7A-F43318DBE726}"/>
    <cellStyle name="Normal 5 3 6 7" xfId="4827" xr:uid="{00000000-0005-0000-0000-00009F1A0000}"/>
    <cellStyle name="Normal 5 3 6 7 2" xfId="21725" xr:uid="{E1F6F972-DCBB-4A1E-BF70-012B609BC85A}"/>
    <cellStyle name="Normal 5 3 6 7 3" xfId="13277" xr:uid="{0F7B4772-19D2-4D38-B94D-B0EB4D60A433}"/>
    <cellStyle name="Normal 5 3 6 8" xfId="17507" xr:uid="{276D18B7-9A84-440A-B326-9FAD9DA51A5C}"/>
    <cellStyle name="Normal 5 3 6 9" xfId="9059" xr:uid="{F40F3636-BBAD-40A2-95BC-FD463A171B47}"/>
    <cellStyle name="Normal 5 3 7" xfId="913" xr:uid="{00000000-0005-0000-0000-0000A01A0000}"/>
    <cellStyle name="Normal 5 3 7 2" xfId="3148" xr:uid="{00000000-0005-0000-0000-0000A11A0000}"/>
    <cellStyle name="Normal 5 3 7 2 2" xfId="7370" xr:uid="{00000000-0005-0000-0000-0000A21A0000}"/>
    <cellStyle name="Normal 5 3 7 2 2 2" xfId="24268" xr:uid="{85147AFE-2AE9-4FED-98DA-7720C55516A5}"/>
    <cellStyle name="Normal 5 3 7 2 2 3" xfId="15820" xr:uid="{5662B25E-CE1D-4AF7-801A-7AA0344A6291}"/>
    <cellStyle name="Normal 5 3 7 2 3" xfId="20050" xr:uid="{B703D8DC-B75D-4518-AE8D-0849D37589EF}"/>
    <cellStyle name="Normal 5 3 7 2 4" xfId="11602" xr:uid="{A7A55E91-D383-4DE5-8F85-359FB6E59549}"/>
    <cellStyle name="Normal 5 3 7 3" xfId="5225" xr:uid="{00000000-0005-0000-0000-0000A31A0000}"/>
    <cellStyle name="Normal 5 3 7 3 2" xfId="22123" xr:uid="{27B2D898-17D9-45F5-81C9-CD0B4D4B67CE}"/>
    <cellStyle name="Normal 5 3 7 3 3" xfId="13675" xr:uid="{A73F1079-1819-4BB5-BF0E-B052B99BC86D}"/>
    <cellStyle name="Normal 5 3 7 4" xfId="17905" xr:uid="{469F88FC-03C0-4C93-A6A2-A81ED813DDB0}"/>
    <cellStyle name="Normal 5 3 7 5" xfId="9457" xr:uid="{C25F18D3-47D5-4530-8020-C71BB882FAA2}"/>
    <cellStyle name="Normal 5 3 8" xfId="1331" xr:uid="{00000000-0005-0000-0000-0000A41A0000}"/>
    <cellStyle name="Normal 5 3 8 2" xfId="3561" xr:uid="{00000000-0005-0000-0000-0000A51A0000}"/>
    <cellStyle name="Normal 5 3 8 2 2" xfId="7783" xr:uid="{00000000-0005-0000-0000-0000A61A0000}"/>
    <cellStyle name="Normal 5 3 8 2 2 2" xfId="24681" xr:uid="{D8C78C2F-EE09-49D9-8B4B-1DC771DEEA6A}"/>
    <cellStyle name="Normal 5 3 8 2 2 3" xfId="16233" xr:uid="{C4E9ADF0-D67B-4BFD-970A-7300C251E81A}"/>
    <cellStyle name="Normal 5 3 8 2 3" xfId="20463" xr:uid="{FE3E8537-2985-4F07-9E60-2B7E015EA7E6}"/>
    <cellStyle name="Normal 5 3 8 2 4" xfId="12015" xr:uid="{1C96DD52-CFDC-4C8D-91D5-872F6BA32371}"/>
    <cellStyle name="Normal 5 3 8 3" xfId="5638" xr:uid="{00000000-0005-0000-0000-0000A71A0000}"/>
    <cellStyle name="Normal 5 3 8 3 2" xfId="22536" xr:uid="{0421C67E-4AF7-4C08-B269-1424051D9C8F}"/>
    <cellStyle name="Normal 5 3 8 3 3" xfId="14088" xr:uid="{5CC054E3-6A82-4454-9089-DBDDB8FAAB11}"/>
    <cellStyle name="Normal 5 3 8 4" xfId="18318" xr:uid="{EDAA21DC-512F-4653-8424-77E4CACE2B71}"/>
    <cellStyle name="Normal 5 3 8 5" xfId="9870" xr:uid="{468ECB63-98B4-4512-9FCA-45A61FDAD4F8}"/>
    <cellStyle name="Normal 5 3 9" xfId="1744" xr:uid="{00000000-0005-0000-0000-0000A81A0000}"/>
    <cellStyle name="Normal 5 3 9 2" xfId="3974" xr:uid="{00000000-0005-0000-0000-0000A91A0000}"/>
    <cellStyle name="Normal 5 3 9 2 2" xfId="8196" xr:uid="{00000000-0005-0000-0000-0000AA1A0000}"/>
    <cellStyle name="Normal 5 3 9 2 2 2" xfId="25094" xr:uid="{D017E61E-05F8-4CC6-B299-B1D4BF43B4D1}"/>
    <cellStyle name="Normal 5 3 9 2 2 3" xfId="16646" xr:uid="{8B283644-9A8A-4DD5-9663-DB9E1A0540C9}"/>
    <cellStyle name="Normal 5 3 9 2 3" xfId="20876" xr:uid="{2F42B61E-6601-4FDD-AADF-FF39EC3FCFD8}"/>
    <cellStyle name="Normal 5 3 9 2 4" xfId="12428" xr:uid="{EA105F32-137F-42D3-8C51-495543B8C0EF}"/>
    <cellStyle name="Normal 5 3 9 3" xfId="6051" xr:uid="{00000000-0005-0000-0000-0000AB1A0000}"/>
    <cellStyle name="Normal 5 3 9 3 2" xfId="22949" xr:uid="{D9C32E2F-BFAE-42D3-AF8F-783D019C5F84}"/>
    <cellStyle name="Normal 5 3 9 3 3" xfId="14501" xr:uid="{D119D002-64A8-4DD5-B45B-D02F4CE3A4F1}"/>
    <cellStyle name="Normal 5 3 9 4" xfId="18731" xr:uid="{E743C66D-B66E-4C43-9248-6A79BF71334F}"/>
    <cellStyle name="Normal 5 3 9 5" xfId="10283" xr:uid="{AF7ED9FC-4DC0-4FD5-937F-052BA8B154D1}"/>
    <cellStyle name="Normal 5 4" xfId="456" xr:uid="{00000000-0005-0000-0000-0000AC1A0000}"/>
    <cellStyle name="Normal 5 4 10" xfId="4828" xr:uid="{00000000-0005-0000-0000-0000AD1A0000}"/>
    <cellStyle name="Normal 5 4 10 2" xfId="21726" xr:uid="{E071CF48-C072-450C-936E-FECC017FB5E5}"/>
    <cellStyle name="Normal 5 4 10 3" xfId="13278" xr:uid="{C5D4396D-4FC3-4A05-8086-157F0DF5E4FC}"/>
    <cellStyle name="Normal 5 4 11" xfId="17508" xr:uid="{420E24A1-9063-4FB7-8AC8-141A6C2B10D4}"/>
    <cellStyle name="Normal 5 4 12" xfId="9060" xr:uid="{CAE53B16-08CB-451A-9EDD-1445CD46DCEF}"/>
    <cellStyle name="Normal 5 4 2" xfId="457" xr:uid="{00000000-0005-0000-0000-0000AE1A0000}"/>
    <cellStyle name="Normal 5 4 2 10" xfId="17509" xr:uid="{E05A0F82-26EF-4A4E-8DD5-AF3BBB9AAD1A}"/>
    <cellStyle name="Normal 5 4 2 11" xfId="9061" xr:uid="{6100EFD3-F24B-427E-B086-0CBEE3FE9796}"/>
    <cellStyle name="Normal 5 4 2 2" xfId="458" xr:uid="{00000000-0005-0000-0000-0000AF1A0000}"/>
    <cellStyle name="Normal 5 4 2 2 10" xfId="9062" xr:uid="{ABFB7C01-93B9-4FBE-BBC9-DFE18A5D5CDE}"/>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24287" xr:uid="{512175C5-BC06-400C-AB2B-1121DD16A90B}"/>
    <cellStyle name="Normal 5 4 2 2 2 2 2 2 3" xfId="15839" xr:uid="{E4B4DD4C-C755-4113-AEA1-3CACC06CC38F}"/>
    <cellStyle name="Normal 5 4 2 2 2 2 2 3" xfId="20069" xr:uid="{798BB8F2-E4EF-4445-B630-0C7018B397F7}"/>
    <cellStyle name="Normal 5 4 2 2 2 2 2 4" xfId="11621" xr:uid="{306592A3-474A-4D94-9E26-5DEC8759A4AC}"/>
    <cellStyle name="Normal 5 4 2 2 2 2 3" xfId="5244" xr:uid="{00000000-0005-0000-0000-0000B41A0000}"/>
    <cellStyle name="Normal 5 4 2 2 2 2 3 2" xfId="22142" xr:uid="{3ABDAE32-D42F-4106-8CB2-9B3DBA83D88C}"/>
    <cellStyle name="Normal 5 4 2 2 2 2 3 3" xfId="13694" xr:uid="{FA52415C-F713-44A7-864E-E5909F5C5644}"/>
    <cellStyle name="Normal 5 4 2 2 2 2 4" xfId="17924" xr:uid="{B406A24C-AB95-4880-B404-B72365608791}"/>
    <cellStyle name="Normal 5 4 2 2 2 2 5" xfId="9476" xr:uid="{EAB06113-49A2-4491-8B63-D9DB72F3F78E}"/>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24700" xr:uid="{7FEF297F-D8EE-4C83-AB37-FFA01F84197F}"/>
    <cellStyle name="Normal 5 4 2 2 2 3 2 2 3" xfId="16252" xr:uid="{C4113976-0101-4564-B937-A0E3B542C56B}"/>
    <cellStyle name="Normal 5 4 2 2 2 3 2 3" xfId="20482" xr:uid="{C7467BF0-1BFF-45A1-A419-39EC94B786F6}"/>
    <cellStyle name="Normal 5 4 2 2 2 3 2 4" xfId="12034" xr:uid="{53D1527E-3AAA-40C8-9FC2-10AA3F323246}"/>
    <cellStyle name="Normal 5 4 2 2 2 3 3" xfId="5657" xr:uid="{00000000-0005-0000-0000-0000B81A0000}"/>
    <cellStyle name="Normal 5 4 2 2 2 3 3 2" xfId="22555" xr:uid="{A3B03DCD-62F3-4F47-A3DA-E9B71E86A6B4}"/>
    <cellStyle name="Normal 5 4 2 2 2 3 3 3" xfId="14107" xr:uid="{FED2243B-0C22-4D28-AF85-9DD1F98B58AC}"/>
    <cellStyle name="Normal 5 4 2 2 2 3 4" xfId="18337" xr:uid="{6BEC8A43-78A0-462F-8168-128E89E992CA}"/>
    <cellStyle name="Normal 5 4 2 2 2 3 5" xfId="9889" xr:uid="{349227C6-B7E8-408B-979E-40F27E777069}"/>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25113" xr:uid="{0B8C6FD8-3A3F-42F6-BA1A-A07365E0F64D}"/>
    <cellStyle name="Normal 5 4 2 2 2 4 2 2 3" xfId="16665" xr:uid="{B39FA029-4E92-446B-BE72-DB23CECEED89}"/>
    <cellStyle name="Normal 5 4 2 2 2 4 2 3" xfId="20895" xr:uid="{259E2DC2-47CB-4215-9D31-8BC6E440C491}"/>
    <cellStyle name="Normal 5 4 2 2 2 4 2 4" xfId="12447" xr:uid="{FE067743-DFA5-492B-AF59-57FD1C815821}"/>
    <cellStyle name="Normal 5 4 2 2 2 4 3" xfId="6070" xr:uid="{00000000-0005-0000-0000-0000BC1A0000}"/>
    <cellStyle name="Normal 5 4 2 2 2 4 3 2" xfId="22968" xr:uid="{13658E63-1EE9-4913-AA78-71F20F2FA71A}"/>
    <cellStyle name="Normal 5 4 2 2 2 4 3 3" xfId="14520" xr:uid="{475B907D-8DC7-45DA-BD8D-8EBD9F97DFF4}"/>
    <cellStyle name="Normal 5 4 2 2 2 4 4" xfId="18750" xr:uid="{89B5A33C-B6F9-45B9-880D-8C32BDF3A2FC}"/>
    <cellStyle name="Normal 5 4 2 2 2 4 5" xfId="10302" xr:uid="{8EDCD17A-3698-4AA9-BB34-0BD409DC9CAF}"/>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25526" xr:uid="{235DF19A-FD28-413D-93C5-BD946ADC322B}"/>
    <cellStyle name="Normal 5 4 2 2 2 5 2 2 3" xfId="17078" xr:uid="{FD1CC78D-E50B-4ABE-A075-A297C73C33FB}"/>
    <cellStyle name="Normal 5 4 2 2 2 5 2 3" xfId="21308" xr:uid="{F434C675-C492-4A78-851B-A290B91D8435}"/>
    <cellStyle name="Normal 5 4 2 2 2 5 2 4" xfId="12860" xr:uid="{94D0B3FD-B4EE-4F94-9DBA-AFC3F6B83C7C}"/>
    <cellStyle name="Normal 5 4 2 2 2 5 3" xfId="6483" xr:uid="{00000000-0005-0000-0000-0000C01A0000}"/>
    <cellStyle name="Normal 5 4 2 2 2 5 3 2" xfId="23381" xr:uid="{34D6E846-3B11-47C7-ACCC-958C238EE27A}"/>
    <cellStyle name="Normal 5 4 2 2 2 5 3 3" xfId="14933" xr:uid="{E4E2F811-50C8-4E39-B67F-1BE6C94F6889}"/>
    <cellStyle name="Normal 5 4 2 2 2 5 4" xfId="19163" xr:uid="{49046420-374A-433E-9B33-CA6E6937B03A}"/>
    <cellStyle name="Normal 5 4 2 2 2 5 5" xfId="10715" xr:uid="{6E104F2B-AE36-49C8-B5D6-1200209AC39B}"/>
    <cellStyle name="Normal 5 4 2 2 2 6" xfId="2613" xr:uid="{00000000-0005-0000-0000-0000C11A0000}"/>
    <cellStyle name="Normal 5 4 2 2 2 6 2" xfId="6896" xr:uid="{00000000-0005-0000-0000-0000C21A0000}"/>
    <cellStyle name="Normal 5 4 2 2 2 6 2 2" xfId="23794" xr:uid="{5E75FD9D-D83A-4020-BFBF-7F0EB574A590}"/>
    <cellStyle name="Normal 5 4 2 2 2 6 2 3" xfId="15346" xr:uid="{A9273AF7-F529-4168-9797-0CBFACCE759F}"/>
    <cellStyle name="Normal 5 4 2 2 2 6 3" xfId="19576" xr:uid="{63923955-2903-4027-ADBE-DDF2FA7C0777}"/>
    <cellStyle name="Normal 5 4 2 2 2 6 4" xfId="11128" xr:uid="{547820E6-5F49-48FE-93CE-42A507D8EDB9}"/>
    <cellStyle name="Normal 5 4 2 2 2 7" xfId="4831" xr:uid="{00000000-0005-0000-0000-0000C31A0000}"/>
    <cellStyle name="Normal 5 4 2 2 2 7 2" xfId="21729" xr:uid="{9A3BB08A-F2E7-4058-849B-04778FEF9664}"/>
    <cellStyle name="Normal 5 4 2 2 2 7 3" xfId="13281" xr:uid="{F724C747-9BC4-48D2-8F93-1614562542AB}"/>
    <cellStyle name="Normal 5 4 2 2 2 8" xfId="17511" xr:uid="{9BBEAF89-207B-433F-87DD-308711B1B8C4}"/>
    <cellStyle name="Normal 5 4 2 2 2 9" xfId="9063" xr:uid="{1BE8DEB7-087F-44DD-B90A-075A725B5BFA}"/>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24286" xr:uid="{5B69F2B3-1036-4641-808D-93677E213DBC}"/>
    <cellStyle name="Normal 5 4 2 2 3 2 2 3" xfId="15838" xr:uid="{BE8BB3BF-7EB3-4020-B5DB-0FF54CB59634}"/>
    <cellStyle name="Normal 5 4 2 2 3 2 3" xfId="20068" xr:uid="{16A4F4CB-CAC5-490A-AC31-168B187B0AD1}"/>
    <cellStyle name="Normal 5 4 2 2 3 2 4" xfId="11620" xr:uid="{CB6CED59-B2DD-4B7E-8D70-A5157DB75D68}"/>
    <cellStyle name="Normal 5 4 2 2 3 3" xfId="5243" xr:uid="{00000000-0005-0000-0000-0000C71A0000}"/>
    <cellStyle name="Normal 5 4 2 2 3 3 2" xfId="22141" xr:uid="{631DBD19-CC9F-4758-B0FC-8448992974C1}"/>
    <cellStyle name="Normal 5 4 2 2 3 3 3" xfId="13693" xr:uid="{5255DD65-4E66-40DC-A4AA-E9D2F4BA65A7}"/>
    <cellStyle name="Normal 5 4 2 2 3 4" xfId="17923" xr:uid="{CF0D3959-3DEC-4759-B963-3655CAB468EE}"/>
    <cellStyle name="Normal 5 4 2 2 3 5" xfId="9475" xr:uid="{768316B3-9439-4710-9D80-BABDC7767E88}"/>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24699" xr:uid="{B09EAAE6-8FDF-4F68-967A-AE1C212F0007}"/>
    <cellStyle name="Normal 5 4 2 2 4 2 2 3" xfId="16251" xr:uid="{C0D292EC-ADA6-4B79-9F5B-D6A5A74DE475}"/>
    <cellStyle name="Normal 5 4 2 2 4 2 3" xfId="20481" xr:uid="{440C8733-FE30-43AD-B7C6-756DEE694430}"/>
    <cellStyle name="Normal 5 4 2 2 4 2 4" xfId="12033" xr:uid="{5B5B6678-261D-48E6-8E88-44040F82F8C1}"/>
    <cellStyle name="Normal 5 4 2 2 4 3" xfId="5656" xr:uid="{00000000-0005-0000-0000-0000CB1A0000}"/>
    <cellStyle name="Normal 5 4 2 2 4 3 2" xfId="22554" xr:uid="{7BCF32C2-AF5C-4937-AD73-72E962D2D52D}"/>
    <cellStyle name="Normal 5 4 2 2 4 3 3" xfId="14106" xr:uid="{559E9EA2-38FF-47A1-B3AD-E4642AD59E78}"/>
    <cellStyle name="Normal 5 4 2 2 4 4" xfId="18336" xr:uid="{A514D6DA-24F8-466A-9551-667C8918826B}"/>
    <cellStyle name="Normal 5 4 2 2 4 5" xfId="9888" xr:uid="{134CDACE-151A-48CB-BC53-FFAE685375FB}"/>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25112" xr:uid="{56CF1487-3297-4736-A08A-F2ADB28541D5}"/>
    <cellStyle name="Normal 5 4 2 2 5 2 2 3" xfId="16664" xr:uid="{89C765B3-3147-4CB3-BF3F-23718834A7CB}"/>
    <cellStyle name="Normal 5 4 2 2 5 2 3" xfId="20894" xr:uid="{CC49EE05-702C-4515-B434-C19B61313578}"/>
    <cellStyle name="Normal 5 4 2 2 5 2 4" xfId="12446" xr:uid="{A886DE8E-4039-4306-ABC0-700B57CC9F55}"/>
    <cellStyle name="Normal 5 4 2 2 5 3" xfId="6069" xr:uid="{00000000-0005-0000-0000-0000CF1A0000}"/>
    <cellStyle name="Normal 5 4 2 2 5 3 2" xfId="22967" xr:uid="{C8A2E1ED-43AD-4FD2-8EBA-4341B4649364}"/>
    <cellStyle name="Normal 5 4 2 2 5 3 3" xfId="14519" xr:uid="{17016570-16F1-48DD-8EC4-518B5F3678C0}"/>
    <cellStyle name="Normal 5 4 2 2 5 4" xfId="18749" xr:uid="{D2D9325B-4B5E-418D-B43A-0C8352BD8693}"/>
    <cellStyle name="Normal 5 4 2 2 5 5" xfId="10301" xr:uid="{AABE5DCF-5868-4768-9ACE-09F20EBE5488}"/>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25525" xr:uid="{BCE51444-7622-40B5-8397-B15766D95B63}"/>
    <cellStyle name="Normal 5 4 2 2 6 2 2 3" xfId="17077" xr:uid="{E3C56DA5-45F0-4E66-B7AA-9EEF5B02E499}"/>
    <cellStyle name="Normal 5 4 2 2 6 2 3" xfId="21307" xr:uid="{33CE3E9D-7469-452C-9C4A-6B2D64EE3B53}"/>
    <cellStyle name="Normal 5 4 2 2 6 2 4" xfId="12859" xr:uid="{63DB2ED4-AD49-4E3B-A036-084EBEE5D0B8}"/>
    <cellStyle name="Normal 5 4 2 2 6 3" xfId="6482" xr:uid="{00000000-0005-0000-0000-0000D31A0000}"/>
    <cellStyle name="Normal 5 4 2 2 6 3 2" xfId="23380" xr:uid="{106D5A2B-002D-4EF6-BF7D-C63787ED619C}"/>
    <cellStyle name="Normal 5 4 2 2 6 3 3" xfId="14932" xr:uid="{21F32D49-4B4A-469E-85BE-93F216EC4EA7}"/>
    <cellStyle name="Normal 5 4 2 2 6 4" xfId="19162" xr:uid="{189C14AC-34EC-426D-B48D-BCCF60C9E932}"/>
    <cellStyle name="Normal 5 4 2 2 6 5" xfId="10714" xr:uid="{C3C2D3C9-4BBD-44B4-BC3F-6D8F5B7B962A}"/>
    <cellStyle name="Normal 5 4 2 2 7" xfId="2612" xr:uid="{00000000-0005-0000-0000-0000D41A0000}"/>
    <cellStyle name="Normal 5 4 2 2 7 2" xfId="6895" xr:uid="{00000000-0005-0000-0000-0000D51A0000}"/>
    <cellStyle name="Normal 5 4 2 2 7 2 2" xfId="23793" xr:uid="{4CD36CEB-6F8A-40AB-AA44-3A84919BCB05}"/>
    <cellStyle name="Normal 5 4 2 2 7 2 3" xfId="15345" xr:uid="{00FCE3EE-AC96-4778-B1DE-D2326724841A}"/>
    <cellStyle name="Normal 5 4 2 2 7 3" xfId="19575" xr:uid="{46AC68F7-A48C-462D-9F8A-192EF8CCD0A8}"/>
    <cellStyle name="Normal 5 4 2 2 7 4" xfId="11127" xr:uid="{EEF8B1A1-A519-449E-9FC3-3A71A7286E5B}"/>
    <cellStyle name="Normal 5 4 2 2 8" xfId="4830" xr:uid="{00000000-0005-0000-0000-0000D61A0000}"/>
    <cellStyle name="Normal 5 4 2 2 8 2" xfId="21728" xr:uid="{B00B32F9-B271-4DB3-BB38-A038DFC0CF94}"/>
    <cellStyle name="Normal 5 4 2 2 8 3" xfId="13280" xr:uid="{8EE0772C-2E14-4E8F-AAD0-485F5D52CE81}"/>
    <cellStyle name="Normal 5 4 2 2 9" xfId="17510" xr:uid="{5B786F2B-E793-46EB-8B54-08982D4EE31D}"/>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24288" xr:uid="{D0A36328-AC0D-4369-A9F0-2808AEE12376}"/>
    <cellStyle name="Normal 5 4 2 3 2 2 2 3" xfId="15840" xr:uid="{F0A0E96E-1941-424C-B267-0E7AEFBC9F90}"/>
    <cellStyle name="Normal 5 4 2 3 2 2 3" xfId="20070" xr:uid="{D706D7D5-A422-42D3-9433-0B01E16AE377}"/>
    <cellStyle name="Normal 5 4 2 3 2 2 4" xfId="11622" xr:uid="{31BC181A-062D-401D-978D-5BEF11AC6F5C}"/>
    <cellStyle name="Normal 5 4 2 3 2 3" xfId="5245" xr:uid="{00000000-0005-0000-0000-0000DB1A0000}"/>
    <cellStyle name="Normal 5 4 2 3 2 3 2" xfId="22143" xr:uid="{7F156658-C1FA-4C74-90ED-6F1DDDDC8C27}"/>
    <cellStyle name="Normal 5 4 2 3 2 3 3" xfId="13695" xr:uid="{4425B8B1-3AFB-4F92-AD3D-063B78F3AA18}"/>
    <cellStyle name="Normal 5 4 2 3 2 4" xfId="17925" xr:uid="{515ACA92-A8CE-4F1F-AE71-714B326910CC}"/>
    <cellStyle name="Normal 5 4 2 3 2 5" xfId="9477" xr:uid="{88DF580F-A7A2-448E-98BF-866D56F30B4D}"/>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24701" xr:uid="{E6555F28-2ED6-4B73-8452-96E2B487F939}"/>
    <cellStyle name="Normal 5 4 2 3 3 2 2 3" xfId="16253" xr:uid="{7D5611CF-1916-4B8D-B3F9-A454D4426D62}"/>
    <cellStyle name="Normal 5 4 2 3 3 2 3" xfId="20483" xr:uid="{04367A07-98AF-4BAA-8EC0-1F5C0C169E82}"/>
    <cellStyle name="Normal 5 4 2 3 3 2 4" xfId="12035" xr:uid="{BCA9D1A5-603D-4507-B189-5A48695B7FC9}"/>
    <cellStyle name="Normal 5 4 2 3 3 3" xfId="5658" xr:uid="{00000000-0005-0000-0000-0000DF1A0000}"/>
    <cellStyle name="Normal 5 4 2 3 3 3 2" xfId="22556" xr:uid="{40F3BE9B-4985-41F7-AAA6-6F4666766249}"/>
    <cellStyle name="Normal 5 4 2 3 3 3 3" xfId="14108" xr:uid="{F8BB3AEA-F524-4A9D-9C9D-414C01EFB21A}"/>
    <cellStyle name="Normal 5 4 2 3 3 4" xfId="18338" xr:uid="{C0B49FE1-AB72-469B-9169-1537EF3E73BB}"/>
    <cellStyle name="Normal 5 4 2 3 3 5" xfId="9890" xr:uid="{94BA6685-9AF9-4741-9DE2-9B95506E4DAB}"/>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25114" xr:uid="{90BBE7DB-252D-43A6-A156-322E56087B96}"/>
    <cellStyle name="Normal 5 4 2 3 4 2 2 3" xfId="16666" xr:uid="{BF89881C-552E-4A9B-B1A8-FBA370279B85}"/>
    <cellStyle name="Normal 5 4 2 3 4 2 3" xfId="20896" xr:uid="{79B72B4F-A347-4FD8-B20B-B2E81732E3B0}"/>
    <cellStyle name="Normal 5 4 2 3 4 2 4" xfId="12448" xr:uid="{8C178FF2-6D65-48DC-8502-165A4227F699}"/>
    <cellStyle name="Normal 5 4 2 3 4 3" xfId="6071" xr:uid="{00000000-0005-0000-0000-0000E31A0000}"/>
    <cellStyle name="Normal 5 4 2 3 4 3 2" xfId="22969" xr:uid="{7FEA391B-9CE7-44D8-9B1C-5ACF08BE2AFC}"/>
    <cellStyle name="Normal 5 4 2 3 4 3 3" xfId="14521" xr:uid="{556FE3BE-1B2D-4600-B3B6-1F0E927822E2}"/>
    <cellStyle name="Normal 5 4 2 3 4 4" xfId="18751" xr:uid="{1A07740C-75B7-4253-9722-12D8F1A02506}"/>
    <cellStyle name="Normal 5 4 2 3 4 5" xfId="10303" xr:uid="{10896243-77E8-46C7-9730-E909873CD4AD}"/>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25527" xr:uid="{7BF70268-F5B2-44A6-B3E6-ECFDBD5E00EC}"/>
    <cellStyle name="Normal 5 4 2 3 5 2 2 3" xfId="17079" xr:uid="{47329083-FF98-4CF6-B2D3-5F17772985EE}"/>
    <cellStyle name="Normal 5 4 2 3 5 2 3" xfId="21309" xr:uid="{996B7FB7-4EFF-4AC1-B04A-01683769EDF7}"/>
    <cellStyle name="Normal 5 4 2 3 5 2 4" xfId="12861" xr:uid="{7CED748D-0900-4C24-BAA1-D717AAAEC79A}"/>
    <cellStyle name="Normal 5 4 2 3 5 3" xfId="6484" xr:uid="{00000000-0005-0000-0000-0000E71A0000}"/>
    <cellStyle name="Normal 5 4 2 3 5 3 2" xfId="23382" xr:uid="{EEE03DD8-F3D0-4150-8682-AF42FC8B4AEA}"/>
    <cellStyle name="Normal 5 4 2 3 5 3 3" xfId="14934" xr:uid="{E6E477FD-8593-4992-AACC-1FB191CC67C7}"/>
    <cellStyle name="Normal 5 4 2 3 5 4" xfId="19164" xr:uid="{6DC90732-B047-4C86-A504-8F3EA184ABAA}"/>
    <cellStyle name="Normal 5 4 2 3 5 5" xfId="10716" xr:uid="{D4EB64F7-71A7-4D84-9ADD-A83F22CE4F5B}"/>
    <cellStyle name="Normal 5 4 2 3 6" xfId="2614" xr:uid="{00000000-0005-0000-0000-0000E81A0000}"/>
    <cellStyle name="Normal 5 4 2 3 6 2" xfId="6897" xr:uid="{00000000-0005-0000-0000-0000E91A0000}"/>
    <cellStyle name="Normal 5 4 2 3 6 2 2" xfId="23795" xr:uid="{1153D6FF-4D7C-4360-9992-59FB327CA43E}"/>
    <cellStyle name="Normal 5 4 2 3 6 2 3" xfId="15347" xr:uid="{F6238A39-5D72-4B4F-887C-4D3CB21A8F92}"/>
    <cellStyle name="Normal 5 4 2 3 6 3" xfId="19577" xr:uid="{F1DB14CC-A4C0-4A81-B5BA-CE1C3FB08EFA}"/>
    <cellStyle name="Normal 5 4 2 3 6 4" xfId="11129" xr:uid="{1774F588-486C-4FE0-9D72-7122C1130983}"/>
    <cellStyle name="Normal 5 4 2 3 7" xfId="4832" xr:uid="{00000000-0005-0000-0000-0000EA1A0000}"/>
    <cellStyle name="Normal 5 4 2 3 7 2" xfId="21730" xr:uid="{6B25E83B-F374-4F66-BE12-0361DBACDCC5}"/>
    <cellStyle name="Normal 5 4 2 3 7 3" xfId="13282" xr:uid="{82DF6A38-C2FB-4DE8-A6DB-FD1935BE14FD}"/>
    <cellStyle name="Normal 5 4 2 3 8" xfId="17512" xr:uid="{AB276A26-661A-402C-A298-CEF60B05649C}"/>
    <cellStyle name="Normal 5 4 2 3 9" xfId="9064" xr:uid="{5FF7DEF0-D7E3-4AD9-BA81-225FFC8F79ED}"/>
    <cellStyle name="Normal 5 4 2 4" xfId="931" xr:uid="{00000000-0005-0000-0000-0000EB1A0000}"/>
    <cellStyle name="Normal 5 4 2 4 2" xfId="3165" xr:uid="{00000000-0005-0000-0000-0000EC1A0000}"/>
    <cellStyle name="Normal 5 4 2 4 2 2" xfId="7387" xr:uid="{00000000-0005-0000-0000-0000ED1A0000}"/>
    <cellStyle name="Normal 5 4 2 4 2 2 2" xfId="24285" xr:uid="{9643074D-1BC8-495C-A7A9-75F9FDA8D994}"/>
    <cellStyle name="Normal 5 4 2 4 2 2 3" xfId="15837" xr:uid="{9C6AF8CB-CAA4-4DF7-8F59-E0642E957626}"/>
    <cellStyle name="Normal 5 4 2 4 2 3" xfId="20067" xr:uid="{28F5991E-0CF5-470F-9FBF-BF81ED1237D0}"/>
    <cellStyle name="Normal 5 4 2 4 2 4" xfId="11619" xr:uid="{40D94659-8619-4D43-B183-C59A5CA268B1}"/>
    <cellStyle name="Normal 5 4 2 4 3" xfId="5242" xr:uid="{00000000-0005-0000-0000-0000EE1A0000}"/>
    <cellStyle name="Normal 5 4 2 4 3 2" xfId="22140" xr:uid="{B7601892-E28D-47BD-BA2F-907F10D80477}"/>
    <cellStyle name="Normal 5 4 2 4 3 3" xfId="13692" xr:uid="{8DF1CCD7-1F55-4475-B618-51B3683B732B}"/>
    <cellStyle name="Normal 5 4 2 4 4" xfId="17922" xr:uid="{C5F0E5F1-63BC-4E17-835E-874217C11B5E}"/>
    <cellStyle name="Normal 5 4 2 4 5" xfId="9474" xr:uid="{62EC1E52-2777-48E7-8241-138008817F6F}"/>
    <cellStyle name="Normal 5 4 2 5" xfId="1348" xr:uid="{00000000-0005-0000-0000-0000EF1A0000}"/>
    <cellStyle name="Normal 5 4 2 5 2" xfId="3578" xr:uid="{00000000-0005-0000-0000-0000F01A0000}"/>
    <cellStyle name="Normal 5 4 2 5 2 2" xfId="7800" xr:uid="{00000000-0005-0000-0000-0000F11A0000}"/>
    <cellStyle name="Normal 5 4 2 5 2 2 2" xfId="24698" xr:uid="{D0F40B50-0C9D-47C1-AFD2-8692793F3C0C}"/>
    <cellStyle name="Normal 5 4 2 5 2 2 3" xfId="16250" xr:uid="{58AF7B76-7C78-4220-ACA7-FB5CE426768E}"/>
    <cellStyle name="Normal 5 4 2 5 2 3" xfId="20480" xr:uid="{2F66F146-B74D-4143-B6C5-C21248B268AB}"/>
    <cellStyle name="Normal 5 4 2 5 2 4" xfId="12032" xr:uid="{47F0EF05-5631-4F71-A249-C76028360BA3}"/>
    <cellStyle name="Normal 5 4 2 5 3" xfId="5655" xr:uid="{00000000-0005-0000-0000-0000F21A0000}"/>
    <cellStyle name="Normal 5 4 2 5 3 2" xfId="22553" xr:uid="{1C52F54B-32C6-44D9-AC04-794537893A94}"/>
    <cellStyle name="Normal 5 4 2 5 3 3" xfId="14105" xr:uid="{6433FFAD-52BC-45FE-BC3F-39CD888C0B27}"/>
    <cellStyle name="Normal 5 4 2 5 4" xfId="18335" xr:uid="{CDF63E4B-5CF0-497F-A38A-39518D005A41}"/>
    <cellStyle name="Normal 5 4 2 5 5" xfId="9887" xr:uid="{082B0757-2950-4BF7-8650-5D6E29D2C265}"/>
    <cellStyle name="Normal 5 4 2 6" xfId="1761" xr:uid="{00000000-0005-0000-0000-0000F31A0000}"/>
    <cellStyle name="Normal 5 4 2 6 2" xfId="3991" xr:uid="{00000000-0005-0000-0000-0000F41A0000}"/>
    <cellStyle name="Normal 5 4 2 6 2 2" xfId="8213" xr:uid="{00000000-0005-0000-0000-0000F51A0000}"/>
    <cellStyle name="Normal 5 4 2 6 2 2 2" xfId="25111" xr:uid="{71C0B2C3-6D83-4F45-BD85-6792B6536FF8}"/>
    <cellStyle name="Normal 5 4 2 6 2 2 3" xfId="16663" xr:uid="{9DC2EF77-1524-4D5C-A286-7E02CAE6BDA4}"/>
    <cellStyle name="Normal 5 4 2 6 2 3" xfId="20893" xr:uid="{292C7669-2E94-4A81-92B0-9C2F0706FBDB}"/>
    <cellStyle name="Normal 5 4 2 6 2 4" xfId="12445" xr:uid="{C7C7BE46-4CD3-4D74-B861-FDF54072F673}"/>
    <cellStyle name="Normal 5 4 2 6 3" xfId="6068" xr:uid="{00000000-0005-0000-0000-0000F61A0000}"/>
    <cellStyle name="Normal 5 4 2 6 3 2" xfId="22966" xr:uid="{326BE33C-49F2-4999-BB9C-54127B7684AB}"/>
    <cellStyle name="Normal 5 4 2 6 3 3" xfId="14518" xr:uid="{331DA13B-5883-4321-8204-B2DE6AE8B5E7}"/>
    <cellStyle name="Normal 5 4 2 6 4" xfId="18748" xr:uid="{C6682FC2-FAF1-4388-BA1E-3B4626A20022}"/>
    <cellStyle name="Normal 5 4 2 6 5" xfId="10300" xr:uid="{2B7B2B6D-482A-4290-A019-7979E7813F79}"/>
    <cellStyle name="Normal 5 4 2 7" xfId="2175" xr:uid="{00000000-0005-0000-0000-0000F71A0000}"/>
    <cellStyle name="Normal 5 4 2 7 2" xfId="4404" xr:uid="{00000000-0005-0000-0000-0000F81A0000}"/>
    <cellStyle name="Normal 5 4 2 7 2 2" xfId="8626" xr:uid="{00000000-0005-0000-0000-0000F91A0000}"/>
    <cellStyle name="Normal 5 4 2 7 2 2 2" xfId="25524" xr:uid="{BEFAE48C-A218-45C8-A9AB-1681C8E8C5A2}"/>
    <cellStyle name="Normal 5 4 2 7 2 2 3" xfId="17076" xr:uid="{C0A0874E-D2DB-424E-BCFA-96A847A0A7D4}"/>
    <cellStyle name="Normal 5 4 2 7 2 3" xfId="21306" xr:uid="{46876ED1-5C04-4FF8-8111-2B749123AFEA}"/>
    <cellStyle name="Normal 5 4 2 7 2 4" xfId="12858" xr:uid="{9BB6DC37-62C2-4729-B2C0-C8D0B078D2ED}"/>
    <cellStyle name="Normal 5 4 2 7 3" xfId="6481" xr:uid="{00000000-0005-0000-0000-0000FA1A0000}"/>
    <cellStyle name="Normal 5 4 2 7 3 2" xfId="23379" xr:uid="{90B78B8B-8E6B-415F-A853-8B67BAE7FFE0}"/>
    <cellStyle name="Normal 5 4 2 7 3 3" xfId="14931" xr:uid="{EDB34649-58DA-45F1-AC6F-4DE2E618174C}"/>
    <cellStyle name="Normal 5 4 2 7 4" xfId="19161" xr:uid="{B0F4BBF6-EC2C-4EF0-8646-A806BD7EA1DB}"/>
    <cellStyle name="Normal 5 4 2 7 5" xfId="10713" xr:uid="{E78E3F2E-D41F-40D6-96F3-2F43048BB3CB}"/>
    <cellStyle name="Normal 5 4 2 8" xfId="2611" xr:uid="{00000000-0005-0000-0000-0000FB1A0000}"/>
    <cellStyle name="Normal 5 4 2 8 2" xfId="6894" xr:uid="{00000000-0005-0000-0000-0000FC1A0000}"/>
    <cellStyle name="Normal 5 4 2 8 2 2" xfId="23792" xr:uid="{9377D885-5366-4573-820E-E80F0B7DE5B2}"/>
    <cellStyle name="Normal 5 4 2 8 2 3" xfId="15344" xr:uid="{529FD2E8-9315-4384-898B-6283B8E3DB03}"/>
    <cellStyle name="Normal 5 4 2 8 3" xfId="19574" xr:uid="{D80C8A62-28A3-4EAB-921C-B07754E527E7}"/>
    <cellStyle name="Normal 5 4 2 8 4" xfId="11126" xr:uid="{BF08812E-2499-4F3A-929F-4506CE0B200A}"/>
    <cellStyle name="Normal 5 4 2 9" xfId="4829" xr:uid="{00000000-0005-0000-0000-0000FD1A0000}"/>
    <cellStyle name="Normal 5 4 2 9 2" xfId="21727" xr:uid="{306EC695-926A-4388-B60D-C05AD10A941D}"/>
    <cellStyle name="Normal 5 4 2 9 3" xfId="13279" xr:uid="{E68ACA28-5C4D-4F7F-9384-BD2C92B8484E}"/>
    <cellStyle name="Normal 5 4 3" xfId="461" xr:uid="{00000000-0005-0000-0000-0000FE1A0000}"/>
    <cellStyle name="Normal 5 4 3 10" xfId="9065" xr:uid="{C68709C2-B4B5-4B98-BD13-BBC0A37C46C8}"/>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24290" xr:uid="{4D168B5D-42D9-49E8-9EF9-AB1AF5A2DDAE}"/>
    <cellStyle name="Normal 5 4 3 2 2 2 2 3" xfId="15842" xr:uid="{6EEF6848-A515-4C10-ACA5-E9EF15D3198F}"/>
    <cellStyle name="Normal 5 4 3 2 2 2 3" xfId="20072" xr:uid="{DDA97DE0-D2E9-4DF3-B091-3A2D79291E6D}"/>
    <cellStyle name="Normal 5 4 3 2 2 2 4" xfId="11624" xr:uid="{7B2A3F98-41C9-4992-87F8-B741A66B8927}"/>
    <cellStyle name="Normal 5 4 3 2 2 3" xfId="5247" xr:uid="{00000000-0005-0000-0000-0000031B0000}"/>
    <cellStyle name="Normal 5 4 3 2 2 3 2" xfId="22145" xr:uid="{E895E263-2D6E-40A8-997C-56F93CBFE85C}"/>
    <cellStyle name="Normal 5 4 3 2 2 3 3" xfId="13697" xr:uid="{0A4ABC1D-0586-4F57-BA4C-A759B4068F77}"/>
    <cellStyle name="Normal 5 4 3 2 2 4" xfId="17927" xr:uid="{C1803F22-F325-4FF7-A89B-3DD39DC25B61}"/>
    <cellStyle name="Normal 5 4 3 2 2 5" xfId="9479" xr:uid="{7DCD2056-A071-4E9C-977F-9D80D962FF19}"/>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24703" xr:uid="{AD7BC5DB-4D67-4AF9-B2FA-8D212C10A8F1}"/>
    <cellStyle name="Normal 5 4 3 2 3 2 2 3" xfId="16255" xr:uid="{DB6642D8-0923-4AD8-A66B-32A588D736FE}"/>
    <cellStyle name="Normal 5 4 3 2 3 2 3" xfId="20485" xr:uid="{789C21CF-7220-4D24-960B-BB10331415EE}"/>
    <cellStyle name="Normal 5 4 3 2 3 2 4" xfId="12037" xr:uid="{EFDB17CD-057C-4E6F-AAD7-AAB4C6A1C712}"/>
    <cellStyle name="Normal 5 4 3 2 3 3" xfId="5660" xr:uid="{00000000-0005-0000-0000-0000071B0000}"/>
    <cellStyle name="Normal 5 4 3 2 3 3 2" xfId="22558" xr:uid="{8169F13E-482B-454A-8434-64A3B094CF3A}"/>
    <cellStyle name="Normal 5 4 3 2 3 3 3" xfId="14110" xr:uid="{FA97AF26-31D4-4150-9CC6-98591E5CBEA4}"/>
    <cellStyle name="Normal 5 4 3 2 3 4" xfId="18340" xr:uid="{CD4FE042-1E78-49A6-B6C7-978BF738232F}"/>
    <cellStyle name="Normal 5 4 3 2 3 5" xfId="9892" xr:uid="{EB2B1FBE-5878-47BE-9987-3EE5C9ACB251}"/>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25116" xr:uid="{AC5F5668-4C94-4169-8BFB-3A83852E7E26}"/>
    <cellStyle name="Normal 5 4 3 2 4 2 2 3" xfId="16668" xr:uid="{DD2BB7B5-1EE5-4F65-832F-011C1C242A3E}"/>
    <cellStyle name="Normal 5 4 3 2 4 2 3" xfId="20898" xr:uid="{FE2B2B7A-1B9C-4FFD-AC0E-99F538C26441}"/>
    <cellStyle name="Normal 5 4 3 2 4 2 4" xfId="12450" xr:uid="{F4271C90-1624-4BE7-9A83-4859F714F859}"/>
    <cellStyle name="Normal 5 4 3 2 4 3" xfId="6073" xr:uid="{00000000-0005-0000-0000-00000B1B0000}"/>
    <cellStyle name="Normal 5 4 3 2 4 3 2" xfId="22971" xr:uid="{E463ECF0-BBA7-48DD-ACFB-A29FF8026D7F}"/>
    <cellStyle name="Normal 5 4 3 2 4 3 3" xfId="14523" xr:uid="{B24BB255-23F4-45A8-9E72-C602565A92B3}"/>
    <cellStyle name="Normal 5 4 3 2 4 4" xfId="18753" xr:uid="{2F4A1CB5-8F52-4140-9536-4289E4FB53A0}"/>
    <cellStyle name="Normal 5 4 3 2 4 5" xfId="10305" xr:uid="{085EAAD1-A9EB-4B35-83D0-24FE3AE6CE0F}"/>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25529" xr:uid="{CFD04354-BAB4-4AC2-B613-0ED46F453E40}"/>
    <cellStyle name="Normal 5 4 3 2 5 2 2 3" xfId="17081" xr:uid="{47C2CF98-3F8C-43BB-9218-0597A07F5F13}"/>
    <cellStyle name="Normal 5 4 3 2 5 2 3" xfId="21311" xr:uid="{CF4247BC-3856-414B-A9D6-4BD22874EA30}"/>
    <cellStyle name="Normal 5 4 3 2 5 2 4" xfId="12863" xr:uid="{C22B7C0C-E68A-41B7-948F-F1EE15E528A3}"/>
    <cellStyle name="Normal 5 4 3 2 5 3" xfId="6486" xr:uid="{00000000-0005-0000-0000-00000F1B0000}"/>
    <cellStyle name="Normal 5 4 3 2 5 3 2" xfId="23384" xr:uid="{DAA5E27F-7AD5-4C17-B128-2BC17F525905}"/>
    <cellStyle name="Normal 5 4 3 2 5 3 3" xfId="14936" xr:uid="{B8260137-3BAB-4E5F-9C55-47D8D138FCBA}"/>
    <cellStyle name="Normal 5 4 3 2 5 4" xfId="19166" xr:uid="{13ABB459-1A96-4858-8756-8CD7A15A7774}"/>
    <cellStyle name="Normal 5 4 3 2 5 5" xfId="10718" xr:uid="{F20D18B6-6A18-4D07-A4B7-3D0D26B7A6CE}"/>
    <cellStyle name="Normal 5 4 3 2 6" xfId="2616" xr:uid="{00000000-0005-0000-0000-0000101B0000}"/>
    <cellStyle name="Normal 5 4 3 2 6 2" xfId="6899" xr:uid="{00000000-0005-0000-0000-0000111B0000}"/>
    <cellStyle name="Normal 5 4 3 2 6 2 2" xfId="23797" xr:uid="{DACC7097-B04F-48C0-9151-1F6EE3C4B968}"/>
    <cellStyle name="Normal 5 4 3 2 6 2 3" xfId="15349" xr:uid="{C43E256D-55C7-4825-8644-8D1085E15C0A}"/>
    <cellStyle name="Normal 5 4 3 2 6 3" xfId="19579" xr:uid="{51703BC8-6819-445C-8D7C-6F7DCDFDEF7A}"/>
    <cellStyle name="Normal 5 4 3 2 6 4" xfId="11131" xr:uid="{F5BE5001-DD47-4946-8703-61CA2FF2159D}"/>
    <cellStyle name="Normal 5 4 3 2 7" xfId="4834" xr:uid="{00000000-0005-0000-0000-0000121B0000}"/>
    <cellStyle name="Normal 5 4 3 2 7 2" xfId="21732" xr:uid="{26C243DE-DD50-4FE2-BE9C-A5C13F746FB3}"/>
    <cellStyle name="Normal 5 4 3 2 7 3" xfId="13284" xr:uid="{3BAA8896-242A-4348-8DB1-4EFB5FCF50AE}"/>
    <cellStyle name="Normal 5 4 3 2 8" xfId="17514" xr:uid="{A6003CF7-8EC5-4853-A9DB-8D2B71875E36}"/>
    <cellStyle name="Normal 5 4 3 2 9" xfId="9066" xr:uid="{C10DD18E-3673-4854-9358-4E25B1D47D31}"/>
    <cellStyle name="Normal 5 4 3 3" xfId="935" xr:uid="{00000000-0005-0000-0000-0000131B0000}"/>
    <cellStyle name="Normal 5 4 3 3 2" xfId="3169" xr:uid="{00000000-0005-0000-0000-0000141B0000}"/>
    <cellStyle name="Normal 5 4 3 3 2 2" xfId="7391" xr:uid="{00000000-0005-0000-0000-0000151B0000}"/>
    <cellStyle name="Normal 5 4 3 3 2 2 2" xfId="24289" xr:uid="{3ACAD50F-05CE-42D0-BBAF-03E978CD20C1}"/>
    <cellStyle name="Normal 5 4 3 3 2 2 3" xfId="15841" xr:uid="{B8F38043-0E2F-41F1-84F9-F8A85676CFE1}"/>
    <cellStyle name="Normal 5 4 3 3 2 3" xfId="20071" xr:uid="{9AA41903-D883-42B0-A0AF-B2377E577F48}"/>
    <cellStyle name="Normal 5 4 3 3 2 4" xfId="11623" xr:uid="{68A1231C-145F-4069-8460-5CDF63AA16A2}"/>
    <cellStyle name="Normal 5 4 3 3 3" xfId="5246" xr:uid="{00000000-0005-0000-0000-0000161B0000}"/>
    <cellStyle name="Normal 5 4 3 3 3 2" xfId="22144" xr:uid="{AB80D3B5-B508-4B30-B489-8BDF9F418138}"/>
    <cellStyle name="Normal 5 4 3 3 3 3" xfId="13696" xr:uid="{AC1F0BDA-3899-467C-9C0D-9EC277E98DFD}"/>
    <cellStyle name="Normal 5 4 3 3 4" xfId="17926" xr:uid="{CDD88698-A34D-4CB2-9C4E-DDC75548E7DD}"/>
    <cellStyle name="Normal 5 4 3 3 5" xfId="9478" xr:uid="{517DA7BC-00BB-4F49-87F4-19DB9F1D7B85}"/>
    <cellStyle name="Normal 5 4 3 4" xfId="1352" xr:uid="{00000000-0005-0000-0000-0000171B0000}"/>
    <cellStyle name="Normal 5 4 3 4 2" xfId="3582" xr:uid="{00000000-0005-0000-0000-0000181B0000}"/>
    <cellStyle name="Normal 5 4 3 4 2 2" xfId="7804" xr:uid="{00000000-0005-0000-0000-0000191B0000}"/>
    <cellStyle name="Normal 5 4 3 4 2 2 2" xfId="24702" xr:uid="{0F63B825-A805-46FA-A58C-C2CB4C18F808}"/>
    <cellStyle name="Normal 5 4 3 4 2 2 3" xfId="16254" xr:uid="{8BD1E59F-BCF1-4B56-BD83-07320A1FA5DD}"/>
    <cellStyle name="Normal 5 4 3 4 2 3" xfId="20484" xr:uid="{33C6DFE9-269B-4BCA-B1B1-935078C7B0DD}"/>
    <cellStyle name="Normal 5 4 3 4 2 4" xfId="12036" xr:uid="{826FAC55-48D9-492E-B445-07876E4B3512}"/>
    <cellStyle name="Normal 5 4 3 4 3" xfId="5659" xr:uid="{00000000-0005-0000-0000-00001A1B0000}"/>
    <cellStyle name="Normal 5 4 3 4 3 2" xfId="22557" xr:uid="{45BABB70-C9B9-4091-9EC9-D488D612AD6E}"/>
    <cellStyle name="Normal 5 4 3 4 3 3" xfId="14109" xr:uid="{EC054F07-4E34-4061-9D3E-0DDA9FC7DF62}"/>
    <cellStyle name="Normal 5 4 3 4 4" xfId="18339" xr:uid="{B060D209-40DA-493D-BC98-09E9CB97966D}"/>
    <cellStyle name="Normal 5 4 3 4 5" xfId="9891" xr:uid="{BEF9854A-D3D5-4508-8D41-FB81A190A5B4}"/>
    <cellStyle name="Normal 5 4 3 5" xfId="1765" xr:uid="{00000000-0005-0000-0000-00001B1B0000}"/>
    <cellStyle name="Normal 5 4 3 5 2" xfId="3995" xr:uid="{00000000-0005-0000-0000-00001C1B0000}"/>
    <cellStyle name="Normal 5 4 3 5 2 2" xfId="8217" xr:uid="{00000000-0005-0000-0000-00001D1B0000}"/>
    <cellStyle name="Normal 5 4 3 5 2 2 2" xfId="25115" xr:uid="{1E35A7EC-E8ED-4675-BCFA-44203463D80E}"/>
    <cellStyle name="Normal 5 4 3 5 2 2 3" xfId="16667" xr:uid="{FDBC90F9-B341-4945-AF9A-C54DD86711BB}"/>
    <cellStyle name="Normal 5 4 3 5 2 3" xfId="20897" xr:uid="{454BE42B-7266-4223-BD18-DA6138D2ADD8}"/>
    <cellStyle name="Normal 5 4 3 5 2 4" xfId="12449" xr:uid="{4583132C-62F6-4CF0-A73D-F8C633F90BF0}"/>
    <cellStyle name="Normal 5 4 3 5 3" xfId="6072" xr:uid="{00000000-0005-0000-0000-00001E1B0000}"/>
    <cellStyle name="Normal 5 4 3 5 3 2" xfId="22970" xr:uid="{B4544EFB-CD3D-48A6-8FC5-4B98245868FA}"/>
    <cellStyle name="Normal 5 4 3 5 3 3" xfId="14522" xr:uid="{6B07F655-2948-4558-80B1-1F21AD6EE6B1}"/>
    <cellStyle name="Normal 5 4 3 5 4" xfId="18752" xr:uid="{5B7AC3A8-D244-44F8-AB3E-DB348AF6752A}"/>
    <cellStyle name="Normal 5 4 3 5 5" xfId="10304" xr:uid="{EE6DF102-8E14-4F29-A9D7-6BB48CE33B14}"/>
    <cellStyle name="Normal 5 4 3 6" xfId="2179" xr:uid="{00000000-0005-0000-0000-00001F1B0000}"/>
    <cellStyle name="Normal 5 4 3 6 2" xfId="4408" xr:uid="{00000000-0005-0000-0000-0000201B0000}"/>
    <cellStyle name="Normal 5 4 3 6 2 2" xfId="8630" xr:uid="{00000000-0005-0000-0000-0000211B0000}"/>
    <cellStyle name="Normal 5 4 3 6 2 2 2" xfId="25528" xr:uid="{1857B9A8-C82B-448E-ACED-41611BEF13FD}"/>
    <cellStyle name="Normal 5 4 3 6 2 2 3" xfId="17080" xr:uid="{33865BD2-D2D7-4DA1-B1E1-A986957ED6D6}"/>
    <cellStyle name="Normal 5 4 3 6 2 3" xfId="21310" xr:uid="{61AAC7AB-3E36-4F5A-9260-E3BC6DFD9DEF}"/>
    <cellStyle name="Normal 5 4 3 6 2 4" xfId="12862" xr:uid="{DD0611A7-3E0F-45AC-B0AC-328D8D891930}"/>
    <cellStyle name="Normal 5 4 3 6 3" xfId="6485" xr:uid="{00000000-0005-0000-0000-0000221B0000}"/>
    <cellStyle name="Normal 5 4 3 6 3 2" xfId="23383" xr:uid="{C57C7CC9-C4C5-4817-92C6-761FD101D832}"/>
    <cellStyle name="Normal 5 4 3 6 3 3" xfId="14935" xr:uid="{9E70723A-0515-456F-B9D2-D0991EFC4761}"/>
    <cellStyle name="Normal 5 4 3 6 4" xfId="19165" xr:uid="{692D62F5-E689-437E-AD90-9C091BCC3259}"/>
    <cellStyle name="Normal 5 4 3 6 5" xfId="10717" xr:uid="{708CC89F-4D1B-4A74-A682-F0D0F81BC4C2}"/>
    <cellStyle name="Normal 5 4 3 7" xfId="2615" xr:uid="{00000000-0005-0000-0000-0000231B0000}"/>
    <cellStyle name="Normal 5 4 3 7 2" xfId="6898" xr:uid="{00000000-0005-0000-0000-0000241B0000}"/>
    <cellStyle name="Normal 5 4 3 7 2 2" xfId="23796" xr:uid="{B10BD1E5-9F3C-4611-9D26-3862D8EB6900}"/>
    <cellStyle name="Normal 5 4 3 7 2 3" xfId="15348" xr:uid="{4233B978-BE9A-4197-85E5-CE8EF2F1D258}"/>
    <cellStyle name="Normal 5 4 3 7 3" xfId="19578" xr:uid="{B1A40233-336A-4399-9F02-6F0311EB880A}"/>
    <cellStyle name="Normal 5 4 3 7 4" xfId="11130" xr:uid="{B54311CA-2841-4ABF-8DB9-9321451055E4}"/>
    <cellStyle name="Normal 5 4 3 8" xfId="4833" xr:uid="{00000000-0005-0000-0000-0000251B0000}"/>
    <cellStyle name="Normal 5 4 3 8 2" xfId="21731" xr:uid="{E947A6C9-1992-487F-96DD-38FB4F44BA04}"/>
    <cellStyle name="Normal 5 4 3 8 3" xfId="13283" xr:uid="{D682B0D3-763B-4237-9912-5467F653EAF3}"/>
    <cellStyle name="Normal 5 4 3 9" xfId="17513" xr:uid="{B153C78F-F3F9-4B66-8C05-79A0B0580E4F}"/>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2 2 2" xfId="24291" xr:uid="{DAF39673-114B-494B-86ED-1FFEA7AB20A4}"/>
    <cellStyle name="Normal 5 4 4 2 2 2 3" xfId="15843" xr:uid="{A29A467E-913E-445D-8FE0-569CD0A9CF8F}"/>
    <cellStyle name="Normal 5 4 4 2 2 3" xfId="20073" xr:uid="{7DD84781-06CC-475C-A931-2D4B4FD095CC}"/>
    <cellStyle name="Normal 5 4 4 2 2 4" xfId="11625" xr:uid="{A75ED8B6-CBE9-485A-8E8E-BA00977F2B0F}"/>
    <cellStyle name="Normal 5 4 4 2 3" xfId="5248" xr:uid="{00000000-0005-0000-0000-00002A1B0000}"/>
    <cellStyle name="Normal 5 4 4 2 3 2" xfId="22146" xr:uid="{4AE83514-9637-49CB-B06D-DF540677EE7A}"/>
    <cellStyle name="Normal 5 4 4 2 3 3" xfId="13698" xr:uid="{EEF12871-4396-466F-86D1-5866DCA940BB}"/>
    <cellStyle name="Normal 5 4 4 2 4" xfId="17928" xr:uid="{E2940E61-A577-4C9E-BA02-3D4EF2FB591C}"/>
    <cellStyle name="Normal 5 4 4 2 5" xfId="9480" xr:uid="{0B668254-887D-4B2A-821B-A1462A282B90}"/>
    <cellStyle name="Normal 5 4 4 3" xfId="1354" xr:uid="{00000000-0005-0000-0000-00002B1B0000}"/>
    <cellStyle name="Normal 5 4 4 3 2" xfId="3584" xr:uid="{00000000-0005-0000-0000-00002C1B0000}"/>
    <cellStyle name="Normal 5 4 4 3 2 2" xfId="7806" xr:uid="{00000000-0005-0000-0000-00002D1B0000}"/>
    <cellStyle name="Normal 5 4 4 3 2 2 2" xfId="24704" xr:uid="{6E076F91-89C9-4556-8055-1C38853F1C76}"/>
    <cellStyle name="Normal 5 4 4 3 2 2 3" xfId="16256" xr:uid="{63CB3B1F-005D-45FD-AFC3-459A5A9E96A3}"/>
    <cellStyle name="Normal 5 4 4 3 2 3" xfId="20486" xr:uid="{BAFBD5CD-428A-4923-86EB-F4346D0FAAFE}"/>
    <cellStyle name="Normal 5 4 4 3 2 4" xfId="12038" xr:uid="{D5D684D1-2F0A-4A99-95D8-091214513753}"/>
    <cellStyle name="Normal 5 4 4 3 3" xfId="5661" xr:uid="{00000000-0005-0000-0000-00002E1B0000}"/>
    <cellStyle name="Normal 5 4 4 3 3 2" xfId="22559" xr:uid="{C916CCC6-A2B2-4234-B127-56FDB1720A75}"/>
    <cellStyle name="Normal 5 4 4 3 3 3" xfId="14111" xr:uid="{4EAD41E3-F5C1-4CDB-8021-481ECF8C4E22}"/>
    <cellStyle name="Normal 5 4 4 3 4" xfId="18341" xr:uid="{5205709D-DF3C-44EF-B6DD-88A77A85B762}"/>
    <cellStyle name="Normal 5 4 4 3 5" xfId="9893" xr:uid="{FE92AF46-3A14-4B73-86C8-E41B7CAD2B0E}"/>
    <cellStyle name="Normal 5 4 4 4" xfId="1767" xr:uid="{00000000-0005-0000-0000-00002F1B0000}"/>
    <cellStyle name="Normal 5 4 4 4 2" xfId="3997" xr:uid="{00000000-0005-0000-0000-0000301B0000}"/>
    <cellStyle name="Normal 5 4 4 4 2 2" xfId="8219" xr:uid="{00000000-0005-0000-0000-0000311B0000}"/>
    <cellStyle name="Normal 5 4 4 4 2 2 2" xfId="25117" xr:uid="{498D76AE-F4CE-4FE0-A706-306BA0D55FFC}"/>
    <cellStyle name="Normal 5 4 4 4 2 2 3" xfId="16669" xr:uid="{0FD6D2A5-F7F7-4C7A-B960-9E15274CD17F}"/>
    <cellStyle name="Normal 5 4 4 4 2 3" xfId="20899" xr:uid="{B810666B-2FFC-4F93-BD0D-44D5E73F876B}"/>
    <cellStyle name="Normal 5 4 4 4 2 4" xfId="12451" xr:uid="{E17A28CF-4568-496D-AB0A-6683989A88AB}"/>
    <cellStyle name="Normal 5 4 4 4 3" xfId="6074" xr:uid="{00000000-0005-0000-0000-0000321B0000}"/>
    <cellStyle name="Normal 5 4 4 4 3 2" xfId="22972" xr:uid="{2DED2113-1B20-454D-9B91-7EF8454FD571}"/>
    <cellStyle name="Normal 5 4 4 4 3 3" xfId="14524" xr:uid="{80B7FEA3-6897-44F4-B64E-575C4C578618}"/>
    <cellStyle name="Normal 5 4 4 4 4" xfId="18754" xr:uid="{E24F5134-1FFD-42A0-A4AF-DA9551FC3359}"/>
    <cellStyle name="Normal 5 4 4 4 5" xfId="10306" xr:uid="{B8C0907D-EEBE-4A56-97C4-F7066DF1E6E8}"/>
    <cellStyle name="Normal 5 4 4 5" xfId="2181" xr:uid="{00000000-0005-0000-0000-0000331B0000}"/>
    <cellStyle name="Normal 5 4 4 5 2" xfId="4410" xr:uid="{00000000-0005-0000-0000-0000341B0000}"/>
    <cellStyle name="Normal 5 4 4 5 2 2" xfId="8632" xr:uid="{00000000-0005-0000-0000-0000351B0000}"/>
    <cellStyle name="Normal 5 4 4 5 2 2 2" xfId="25530" xr:uid="{7091B987-01ED-4123-87C4-8F52BF05A166}"/>
    <cellStyle name="Normal 5 4 4 5 2 2 3" xfId="17082" xr:uid="{F17A61CC-D76E-4329-B847-D304228C5438}"/>
    <cellStyle name="Normal 5 4 4 5 2 3" xfId="21312" xr:uid="{C85AE2DB-8F35-496B-8769-150B76156C4A}"/>
    <cellStyle name="Normal 5 4 4 5 2 4" xfId="12864" xr:uid="{1211CCC2-3B4E-451B-897D-36C2F8AF44D6}"/>
    <cellStyle name="Normal 5 4 4 5 3" xfId="6487" xr:uid="{00000000-0005-0000-0000-0000361B0000}"/>
    <cellStyle name="Normal 5 4 4 5 3 2" xfId="23385" xr:uid="{8194AAED-138E-4904-8DCA-8E649EE0712A}"/>
    <cellStyle name="Normal 5 4 4 5 3 3" xfId="14937" xr:uid="{AAB6AB41-C399-4A0A-B5BF-AF7219C5B599}"/>
    <cellStyle name="Normal 5 4 4 5 4" xfId="19167" xr:uid="{F9DAF016-3B44-480C-887F-C85C782E4BBD}"/>
    <cellStyle name="Normal 5 4 4 5 5" xfId="10719" xr:uid="{EF4C0B08-FBC0-4A0C-ABA4-474141ADAF2B}"/>
    <cellStyle name="Normal 5 4 4 6" xfId="2617" xr:uid="{00000000-0005-0000-0000-0000371B0000}"/>
    <cellStyle name="Normal 5 4 4 6 2" xfId="6900" xr:uid="{00000000-0005-0000-0000-0000381B0000}"/>
    <cellStyle name="Normal 5 4 4 6 2 2" xfId="23798" xr:uid="{3C48AD2A-0C36-46C3-AE90-82D453B7D5E8}"/>
    <cellStyle name="Normal 5 4 4 6 2 3" xfId="15350" xr:uid="{6FEE6C09-FF1E-4332-B6AC-0118FBE1B070}"/>
    <cellStyle name="Normal 5 4 4 6 3" xfId="19580" xr:uid="{D9EDF047-E944-4264-924B-A12DB7F02CD2}"/>
    <cellStyle name="Normal 5 4 4 6 4" xfId="11132" xr:uid="{6E953ACB-DAA8-4B1D-A771-1D273DA9FB1C}"/>
    <cellStyle name="Normal 5 4 4 7" xfId="4835" xr:uid="{00000000-0005-0000-0000-0000391B0000}"/>
    <cellStyle name="Normal 5 4 4 7 2" xfId="21733" xr:uid="{F3D986C5-959E-47BD-9CAD-0515B59F0122}"/>
    <cellStyle name="Normal 5 4 4 7 3" xfId="13285" xr:uid="{36065875-9D05-4BFC-A940-CCABB4554772}"/>
    <cellStyle name="Normal 5 4 4 8" xfId="17515" xr:uid="{B054213F-20D5-4DCC-B67F-F8994AA0973E}"/>
    <cellStyle name="Normal 5 4 4 9" xfId="9067" xr:uid="{BD377C38-6D52-4BE2-805E-23F00F98645B}"/>
    <cellStyle name="Normal 5 4 5" xfId="930" xr:uid="{00000000-0005-0000-0000-00003A1B0000}"/>
    <cellStyle name="Normal 5 4 5 2" xfId="3164" xr:uid="{00000000-0005-0000-0000-00003B1B0000}"/>
    <cellStyle name="Normal 5 4 5 2 2" xfId="7386" xr:uid="{00000000-0005-0000-0000-00003C1B0000}"/>
    <cellStyle name="Normal 5 4 5 2 2 2" xfId="24284" xr:uid="{08354DC8-A501-4F10-84EC-60549CA5A492}"/>
    <cellStyle name="Normal 5 4 5 2 2 3" xfId="15836" xr:uid="{BEBE27EF-7661-4720-9FBD-038407EA1219}"/>
    <cellStyle name="Normal 5 4 5 2 3" xfId="20066" xr:uid="{0ED059F6-0636-4A9A-8C5F-5E95E01963B4}"/>
    <cellStyle name="Normal 5 4 5 2 4" xfId="11618" xr:uid="{7F2B8790-45E8-4D23-9808-CDC784459354}"/>
    <cellStyle name="Normal 5 4 5 3" xfId="5241" xr:uid="{00000000-0005-0000-0000-00003D1B0000}"/>
    <cellStyle name="Normal 5 4 5 3 2" xfId="22139" xr:uid="{7304FD43-683A-4013-98C2-16064954D95C}"/>
    <cellStyle name="Normal 5 4 5 3 3" xfId="13691" xr:uid="{A353C635-97AB-4CCE-9B96-A4BBF35B2BCD}"/>
    <cellStyle name="Normal 5 4 5 4" xfId="17921" xr:uid="{C81FFCDC-0E90-458A-951E-6B30A240F539}"/>
    <cellStyle name="Normal 5 4 5 5" xfId="9473" xr:uid="{D57BC106-651B-49D0-ABAB-B090987459F2}"/>
    <cellStyle name="Normal 5 4 6" xfId="1347" xr:uid="{00000000-0005-0000-0000-00003E1B0000}"/>
    <cellStyle name="Normal 5 4 6 2" xfId="3577" xr:uid="{00000000-0005-0000-0000-00003F1B0000}"/>
    <cellStyle name="Normal 5 4 6 2 2" xfId="7799" xr:uid="{00000000-0005-0000-0000-0000401B0000}"/>
    <cellStyle name="Normal 5 4 6 2 2 2" xfId="24697" xr:uid="{1F854AB5-6118-45CF-957F-8B1F1095A0B8}"/>
    <cellStyle name="Normal 5 4 6 2 2 3" xfId="16249" xr:uid="{547751DF-215B-4B76-A2BB-99B253F3D9BC}"/>
    <cellStyle name="Normal 5 4 6 2 3" xfId="20479" xr:uid="{AA50CA33-469D-4741-8043-565561701AAD}"/>
    <cellStyle name="Normal 5 4 6 2 4" xfId="12031" xr:uid="{11FF100E-F89D-495F-8E05-F52E1170249F}"/>
    <cellStyle name="Normal 5 4 6 3" xfId="5654" xr:uid="{00000000-0005-0000-0000-0000411B0000}"/>
    <cellStyle name="Normal 5 4 6 3 2" xfId="22552" xr:uid="{3907B31F-9269-4E20-A137-AB23855FC264}"/>
    <cellStyle name="Normal 5 4 6 3 3" xfId="14104" xr:uid="{6FAA7248-A62C-440E-AF19-2EEA6984A03F}"/>
    <cellStyle name="Normal 5 4 6 4" xfId="18334" xr:uid="{F73D1D8B-2EA4-4A37-83A2-2222D047C691}"/>
    <cellStyle name="Normal 5 4 6 5" xfId="9886" xr:uid="{B5AE2304-5033-4921-8B9D-C942A8BE377F}"/>
    <cellStyle name="Normal 5 4 7" xfId="1760" xr:uid="{00000000-0005-0000-0000-0000421B0000}"/>
    <cellStyle name="Normal 5 4 7 2" xfId="3990" xr:uid="{00000000-0005-0000-0000-0000431B0000}"/>
    <cellStyle name="Normal 5 4 7 2 2" xfId="8212" xr:uid="{00000000-0005-0000-0000-0000441B0000}"/>
    <cellStyle name="Normal 5 4 7 2 2 2" xfId="25110" xr:uid="{9C45E1EE-4626-485F-BCEC-B94544BBD34B}"/>
    <cellStyle name="Normal 5 4 7 2 2 3" xfId="16662" xr:uid="{8CA258DE-C29E-4ABE-A951-ABEA1673ADE0}"/>
    <cellStyle name="Normal 5 4 7 2 3" xfId="20892" xr:uid="{1177B7BE-F3FD-422E-BBA6-FEA219BCE087}"/>
    <cellStyle name="Normal 5 4 7 2 4" xfId="12444" xr:uid="{C23731FE-416C-48AF-A2BA-F781B73EB66D}"/>
    <cellStyle name="Normal 5 4 7 3" xfId="6067" xr:uid="{00000000-0005-0000-0000-0000451B0000}"/>
    <cellStyle name="Normal 5 4 7 3 2" xfId="22965" xr:uid="{30FA96A5-34F8-4EA1-8FEB-37DA5132A6A3}"/>
    <cellStyle name="Normal 5 4 7 3 3" xfId="14517" xr:uid="{B39DEEE8-FA55-465A-9E38-276979F793DC}"/>
    <cellStyle name="Normal 5 4 7 4" xfId="18747" xr:uid="{B60E9611-4C3B-44D4-85CB-11E7CC9FE381}"/>
    <cellStyle name="Normal 5 4 7 5" xfId="10299" xr:uid="{2E90E01C-1F4B-4511-B450-5B1364DCEF86}"/>
    <cellStyle name="Normal 5 4 8" xfId="2174" xr:uid="{00000000-0005-0000-0000-0000461B0000}"/>
    <cellStyle name="Normal 5 4 8 2" xfId="4403" xr:uid="{00000000-0005-0000-0000-0000471B0000}"/>
    <cellStyle name="Normal 5 4 8 2 2" xfId="8625" xr:uid="{00000000-0005-0000-0000-0000481B0000}"/>
    <cellStyle name="Normal 5 4 8 2 2 2" xfId="25523" xr:uid="{C157975B-15B5-4CEA-B7F6-6E9CB29D15DA}"/>
    <cellStyle name="Normal 5 4 8 2 2 3" xfId="17075" xr:uid="{58BE562E-61C3-489C-AE87-71114FB99133}"/>
    <cellStyle name="Normal 5 4 8 2 3" xfId="21305" xr:uid="{BD57C88A-14B8-4DCF-A28A-75235451370F}"/>
    <cellStyle name="Normal 5 4 8 2 4" xfId="12857" xr:uid="{312ACC20-AEA0-4E21-8683-14EC3E469CF1}"/>
    <cellStyle name="Normal 5 4 8 3" xfId="6480" xr:uid="{00000000-0005-0000-0000-0000491B0000}"/>
    <cellStyle name="Normal 5 4 8 3 2" xfId="23378" xr:uid="{610BA1E7-18C7-4A1A-B0CE-CB469FB841EC}"/>
    <cellStyle name="Normal 5 4 8 3 3" xfId="14930" xr:uid="{5A411323-AAD1-4BB0-B5F3-4E4C6E8AB95A}"/>
    <cellStyle name="Normal 5 4 8 4" xfId="19160" xr:uid="{8CC3637A-AC9A-4DC1-A7BA-8EF1CA92BEDE}"/>
    <cellStyle name="Normal 5 4 8 5" xfId="10712" xr:uid="{04E967F1-CE7C-4C7E-9AD2-BA0F89DBE8DA}"/>
    <cellStyle name="Normal 5 4 9" xfId="2610" xr:uid="{00000000-0005-0000-0000-00004A1B0000}"/>
    <cellStyle name="Normal 5 4 9 2" xfId="6893" xr:uid="{00000000-0005-0000-0000-00004B1B0000}"/>
    <cellStyle name="Normal 5 4 9 2 2" xfId="23791" xr:uid="{7A1B9F6A-5D1D-42BD-AF9C-859388696911}"/>
    <cellStyle name="Normal 5 4 9 2 3" xfId="15343" xr:uid="{2581A4C0-58C4-487A-A395-DED06E755363}"/>
    <cellStyle name="Normal 5 4 9 3" xfId="19573" xr:uid="{8D5E511B-E37C-46B0-A13C-700AA6912420}"/>
    <cellStyle name="Normal 5 4 9 4" xfId="11125" xr:uid="{366755D4-7D3F-4672-9787-EFC9D29C415B}"/>
    <cellStyle name="Normal 5 5" xfId="464" xr:uid="{00000000-0005-0000-0000-00004C1B0000}"/>
    <cellStyle name="Normal 5 5 10" xfId="17516" xr:uid="{A2401AAB-E7A4-400D-A6D9-E756D8E2558B}"/>
    <cellStyle name="Normal 5 5 11" xfId="9068" xr:uid="{64E1A45B-A116-4667-AA49-26EC6778BA56}"/>
    <cellStyle name="Normal 5 5 2" xfId="465" xr:uid="{00000000-0005-0000-0000-00004D1B0000}"/>
    <cellStyle name="Normal 5 5 2 10" xfId="9069" xr:uid="{DCEF36EA-BE8B-4970-80CA-B26BDE737DCF}"/>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24294" xr:uid="{341C3720-2447-4FC1-9838-E0BFF3A3DE8C}"/>
    <cellStyle name="Normal 5 5 2 2 2 2 2 3" xfId="15846" xr:uid="{1C5B2758-FA89-4081-B8D0-DEF4EAA9BE9F}"/>
    <cellStyle name="Normal 5 5 2 2 2 2 3" xfId="20076" xr:uid="{331AEB17-D63D-4193-A82F-468D91B552DE}"/>
    <cellStyle name="Normal 5 5 2 2 2 2 4" xfId="11628" xr:uid="{69D61729-05AD-467E-AD29-EDF6D2FE421C}"/>
    <cellStyle name="Normal 5 5 2 2 2 3" xfId="5251" xr:uid="{00000000-0005-0000-0000-0000521B0000}"/>
    <cellStyle name="Normal 5 5 2 2 2 3 2" xfId="22149" xr:uid="{A2C7EA5F-A3B8-4A6E-BD59-2979634E19CA}"/>
    <cellStyle name="Normal 5 5 2 2 2 3 3" xfId="13701" xr:uid="{82053072-A5F5-4F24-917A-44515464D936}"/>
    <cellStyle name="Normal 5 5 2 2 2 4" xfId="17931" xr:uid="{73160653-3C54-41A4-8CB0-BE7A3FE8E816}"/>
    <cellStyle name="Normal 5 5 2 2 2 5" xfId="9483" xr:uid="{08024EF7-BE8C-4C6F-80F8-507A8F63FBFA}"/>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24707" xr:uid="{A4200AE1-9720-46C7-A9AB-5144D769821E}"/>
    <cellStyle name="Normal 5 5 2 2 3 2 2 3" xfId="16259" xr:uid="{3799EC2C-38DB-440E-AA95-CF9F86DFEC91}"/>
    <cellStyle name="Normal 5 5 2 2 3 2 3" xfId="20489" xr:uid="{522A122D-CEBD-49F5-9090-AAA2CBB66218}"/>
    <cellStyle name="Normal 5 5 2 2 3 2 4" xfId="12041" xr:uid="{0C2A9521-3E3B-4198-BCF1-1BCABA490CE0}"/>
    <cellStyle name="Normal 5 5 2 2 3 3" xfId="5664" xr:uid="{00000000-0005-0000-0000-0000561B0000}"/>
    <cellStyle name="Normal 5 5 2 2 3 3 2" xfId="22562" xr:uid="{3FEE284A-0B9B-4752-9DF1-170059205DA3}"/>
    <cellStyle name="Normal 5 5 2 2 3 3 3" xfId="14114" xr:uid="{586C8AA3-A998-4AE3-B241-F118E90D29F0}"/>
    <cellStyle name="Normal 5 5 2 2 3 4" xfId="18344" xr:uid="{EE4BA277-678C-41A2-829B-368459C2A4FD}"/>
    <cellStyle name="Normal 5 5 2 2 3 5" xfId="9896" xr:uid="{4BE95823-130B-413D-9F84-268868EB7514}"/>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25120" xr:uid="{650852C1-E81A-4B4C-A808-6EEBACD531F8}"/>
    <cellStyle name="Normal 5 5 2 2 4 2 2 3" xfId="16672" xr:uid="{AEF0D490-7A9C-4D57-97DC-4AEEC2D248E5}"/>
    <cellStyle name="Normal 5 5 2 2 4 2 3" xfId="20902" xr:uid="{448FF420-DB01-488F-B0E2-99251840F770}"/>
    <cellStyle name="Normal 5 5 2 2 4 2 4" xfId="12454" xr:uid="{CCB5B841-3E29-4C20-B31F-4E238C6B36F1}"/>
    <cellStyle name="Normal 5 5 2 2 4 3" xfId="6077" xr:uid="{00000000-0005-0000-0000-00005A1B0000}"/>
    <cellStyle name="Normal 5 5 2 2 4 3 2" xfId="22975" xr:uid="{0B30E21D-0B65-4F53-B188-93651FCE33E8}"/>
    <cellStyle name="Normal 5 5 2 2 4 3 3" xfId="14527" xr:uid="{333F656A-ABF7-45CC-AB36-26F9A1D29F74}"/>
    <cellStyle name="Normal 5 5 2 2 4 4" xfId="18757" xr:uid="{D4EA8540-15BF-4C1B-8A7F-A144BCB6B346}"/>
    <cellStyle name="Normal 5 5 2 2 4 5" xfId="10309" xr:uid="{82735C14-3233-456F-8791-EE66984FF78D}"/>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25533" xr:uid="{86DD6A1B-DADD-4D18-95CB-20B2D958522E}"/>
    <cellStyle name="Normal 5 5 2 2 5 2 2 3" xfId="17085" xr:uid="{F2D7AD4F-BF2A-4866-9F59-B6BA21A9E27E}"/>
    <cellStyle name="Normal 5 5 2 2 5 2 3" xfId="21315" xr:uid="{C73E6063-5590-4648-B4EB-8D0E6BCB9084}"/>
    <cellStyle name="Normal 5 5 2 2 5 2 4" xfId="12867" xr:uid="{E03BBB28-B237-485F-909C-3FAA15087232}"/>
    <cellStyle name="Normal 5 5 2 2 5 3" xfId="6490" xr:uid="{00000000-0005-0000-0000-00005E1B0000}"/>
    <cellStyle name="Normal 5 5 2 2 5 3 2" xfId="23388" xr:uid="{2E5A0254-0AA3-451A-AC5A-514FF752FFE0}"/>
    <cellStyle name="Normal 5 5 2 2 5 3 3" xfId="14940" xr:uid="{7248255F-BF96-4B75-9CE0-39672C809EA6}"/>
    <cellStyle name="Normal 5 5 2 2 5 4" xfId="19170" xr:uid="{62D15BFF-9F5B-41FD-9ABC-FDBC31C32ED7}"/>
    <cellStyle name="Normal 5 5 2 2 5 5" xfId="10722" xr:uid="{DAB89326-D04B-4717-9FE4-7949981FE361}"/>
    <cellStyle name="Normal 5 5 2 2 6" xfId="2620" xr:uid="{00000000-0005-0000-0000-00005F1B0000}"/>
    <cellStyle name="Normal 5 5 2 2 6 2" xfId="6903" xr:uid="{00000000-0005-0000-0000-0000601B0000}"/>
    <cellStyle name="Normal 5 5 2 2 6 2 2" xfId="23801" xr:uid="{DC364DE8-2C6B-4628-93F5-4591174A9FED}"/>
    <cellStyle name="Normal 5 5 2 2 6 2 3" xfId="15353" xr:uid="{ABC57D94-9C99-45BC-BBFA-3139B57CF4F0}"/>
    <cellStyle name="Normal 5 5 2 2 6 3" xfId="19583" xr:uid="{B427D7D3-1D39-4714-87EA-02971212CADD}"/>
    <cellStyle name="Normal 5 5 2 2 6 4" xfId="11135" xr:uid="{6B630B97-544A-41B3-84D5-05E6D91A10F8}"/>
    <cellStyle name="Normal 5 5 2 2 7" xfId="4838" xr:uid="{00000000-0005-0000-0000-0000611B0000}"/>
    <cellStyle name="Normal 5 5 2 2 7 2" xfId="21736" xr:uid="{707E93B2-BD6B-46BE-8F4C-6DA0BB32E9B8}"/>
    <cellStyle name="Normal 5 5 2 2 7 3" xfId="13288" xr:uid="{6F2A1988-DD1D-42E1-9389-242EFE7A1E69}"/>
    <cellStyle name="Normal 5 5 2 2 8" xfId="17518" xr:uid="{C9C59836-3CC7-4919-A44F-DCFA16CECF7C}"/>
    <cellStyle name="Normal 5 5 2 2 9" xfId="9070" xr:uid="{DF5C5A34-5FDC-42DD-8A58-D841C354FF8A}"/>
    <cellStyle name="Normal 5 5 2 3" xfId="939" xr:uid="{00000000-0005-0000-0000-0000621B0000}"/>
    <cellStyle name="Normal 5 5 2 3 2" xfId="3173" xr:uid="{00000000-0005-0000-0000-0000631B0000}"/>
    <cellStyle name="Normal 5 5 2 3 2 2" xfId="7395" xr:uid="{00000000-0005-0000-0000-0000641B0000}"/>
    <cellStyle name="Normal 5 5 2 3 2 2 2" xfId="24293" xr:uid="{E4CE2ECE-124E-4ACE-A858-CE88AD8ACD3A}"/>
    <cellStyle name="Normal 5 5 2 3 2 2 3" xfId="15845" xr:uid="{C0009D50-45E8-4C3C-AF65-62B11602A1F8}"/>
    <cellStyle name="Normal 5 5 2 3 2 3" xfId="20075" xr:uid="{7DEE8213-0E1E-4E34-9BDB-71ADB347F12C}"/>
    <cellStyle name="Normal 5 5 2 3 2 4" xfId="11627" xr:uid="{207B07C8-7E59-4FE8-8851-2B8FC83E6E8A}"/>
    <cellStyle name="Normal 5 5 2 3 3" xfId="5250" xr:uid="{00000000-0005-0000-0000-0000651B0000}"/>
    <cellStyle name="Normal 5 5 2 3 3 2" xfId="22148" xr:uid="{2EBDBABE-BECC-4F25-8BCD-BAD6CAC8C067}"/>
    <cellStyle name="Normal 5 5 2 3 3 3" xfId="13700" xr:uid="{B1277E63-E92A-4A66-A4AD-D7FCF1C183D5}"/>
    <cellStyle name="Normal 5 5 2 3 4" xfId="17930" xr:uid="{2CBB7F7F-F170-4544-BB18-F5B32F1A7695}"/>
    <cellStyle name="Normal 5 5 2 3 5" xfId="9482" xr:uid="{461FC5AD-FDC4-478A-A574-26D31C159522}"/>
    <cellStyle name="Normal 5 5 2 4" xfId="1356" xr:uid="{00000000-0005-0000-0000-0000661B0000}"/>
    <cellStyle name="Normal 5 5 2 4 2" xfId="3586" xr:uid="{00000000-0005-0000-0000-0000671B0000}"/>
    <cellStyle name="Normal 5 5 2 4 2 2" xfId="7808" xr:uid="{00000000-0005-0000-0000-0000681B0000}"/>
    <cellStyle name="Normal 5 5 2 4 2 2 2" xfId="24706" xr:uid="{0CDE3B3A-7811-413F-81B9-5C322A8B26DC}"/>
    <cellStyle name="Normal 5 5 2 4 2 2 3" xfId="16258" xr:uid="{8AC8F04D-E23D-4269-AE4B-DF90CAA93A8D}"/>
    <cellStyle name="Normal 5 5 2 4 2 3" xfId="20488" xr:uid="{48322B4C-13CA-46F5-A512-8AA643EDD0E5}"/>
    <cellStyle name="Normal 5 5 2 4 2 4" xfId="12040" xr:uid="{8610430A-A941-41DE-8979-18E36E53510C}"/>
    <cellStyle name="Normal 5 5 2 4 3" xfId="5663" xr:uid="{00000000-0005-0000-0000-0000691B0000}"/>
    <cellStyle name="Normal 5 5 2 4 3 2" xfId="22561" xr:uid="{A383C0BB-0F75-4B92-BB9E-171BF159B0A3}"/>
    <cellStyle name="Normal 5 5 2 4 3 3" xfId="14113" xr:uid="{8D5D5A36-C4E8-4C1C-8A3E-642D1D3EA958}"/>
    <cellStyle name="Normal 5 5 2 4 4" xfId="18343" xr:uid="{F714B475-02EB-4BA1-A477-F1CA61EE2CA5}"/>
    <cellStyle name="Normal 5 5 2 4 5" xfId="9895" xr:uid="{887D9562-E09E-471A-A3AF-B808976D73EC}"/>
    <cellStyle name="Normal 5 5 2 5" xfId="1769" xr:uid="{00000000-0005-0000-0000-00006A1B0000}"/>
    <cellStyle name="Normal 5 5 2 5 2" xfId="3999" xr:uid="{00000000-0005-0000-0000-00006B1B0000}"/>
    <cellStyle name="Normal 5 5 2 5 2 2" xfId="8221" xr:uid="{00000000-0005-0000-0000-00006C1B0000}"/>
    <cellStyle name="Normal 5 5 2 5 2 2 2" xfId="25119" xr:uid="{7640B359-F777-4A62-9A83-E9CBDAFFB6EB}"/>
    <cellStyle name="Normal 5 5 2 5 2 2 3" xfId="16671" xr:uid="{CF1F0937-5E7A-4023-B84C-3D9A603046B1}"/>
    <cellStyle name="Normal 5 5 2 5 2 3" xfId="20901" xr:uid="{8B70958B-5BCC-44DB-B1AB-2D037642200D}"/>
    <cellStyle name="Normal 5 5 2 5 2 4" xfId="12453" xr:uid="{D968DB9E-5717-4556-BC35-7F14A2F10D97}"/>
    <cellStyle name="Normal 5 5 2 5 3" xfId="6076" xr:uid="{00000000-0005-0000-0000-00006D1B0000}"/>
    <cellStyle name="Normal 5 5 2 5 3 2" xfId="22974" xr:uid="{7D01530A-FA55-4527-8977-B3481202BFFA}"/>
    <cellStyle name="Normal 5 5 2 5 3 3" xfId="14526" xr:uid="{9C205556-CA26-4C6C-BBB9-3AFD37509EDF}"/>
    <cellStyle name="Normal 5 5 2 5 4" xfId="18756" xr:uid="{9CECD1C5-22D8-4183-BEDC-BD21F95DB6CA}"/>
    <cellStyle name="Normal 5 5 2 5 5" xfId="10308" xr:uid="{FB064D3A-FBE4-4A6B-9DA8-5E00C2B31B6E}"/>
    <cellStyle name="Normal 5 5 2 6" xfId="2183" xr:uid="{00000000-0005-0000-0000-00006E1B0000}"/>
    <cellStyle name="Normal 5 5 2 6 2" xfId="4412" xr:uid="{00000000-0005-0000-0000-00006F1B0000}"/>
    <cellStyle name="Normal 5 5 2 6 2 2" xfId="8634" xr:uid="{00000000-0005-0000-0000-0000701B0000}"/>
    <cellStyle name="Normal 5 5 2 6 2 2 2" xfId="25532" xr:uid="{8A52DAF0-4861-48B2-B944-85F39E75F948}"/>
    <cellStyle name="Normal 5 5 2 6 2 2 3" xfId="17084" xr:uid="{39FF9888-ABCF-46A4-95B5-1C21B9A706C1}"/>
    <cellStyle name="Normal 5 5 2 6 2 3" xfId="21314" xr:uid="{F44D9A84-BCA7-4BD8-B12D-99CE3A138AB5}"/>
    <cellStyle name="Normal 5 5 2 6 2 4" xfId="12866" xr:uid="{C59A74BB-DD84-4CCE-A805-90BF6372B082}"/>
    <cellStyle name="Normal 5 5 2 6 3" xfId="6489" xr:uid="{00000000-0005-0000-0000-0000711B0000}"/>
    <cellStyle name="Normal 5 5 2 6 3 2" xfId="23387" xr:uid="{7F644295-DCFD-45A6-9BDB-CBA113D38527}"/>
    <cellStyle name="Normal 5 5 2 6 3 3" xfId="14939" xr:uid="{BF18CAD0-DA80-4A80-92CC-101F08A35512}"/>
    <cellStyle name="Normal 5 5 2 6 4" xfId="19169" xr:uid="{3ABD2009-99D4-4D0F-9DF7-6CEE957A5FA6}"/>
    <cellStyle name="Normal 5 5 2 6 5" xfId="10721" xr:uid="{41D6756D-E611-4093-9F5E-8DCC399345D6}"/>
    <cellStyle name="Normal 5 5 2 7" xfId="2619" xr:uid="{00000000-0005-0000-0000-0000721B0000}"/>
    <cellStyle name="Normal 5 5 2 7 2" xfId="6902" xr:uid="{00000000-0005-0000-0000-0000731B0000}"/>
    <cellStyle name="Normal 5 5 2 7 2 2" xfId="23800" xr:uid="{F3AC28C3-FC0B-4D1B-A4D4-552F2CEE1EA6}"/>
    <cellStyle name="Normal 5 5 2 7 2 3" xfId="15352" xr:uid="{BE18AF7B-B8A5-4B9B-807A-A47BF161F625}"/>
    <cellStyle name="Normal 5 5 2 7 3" xfId="19582" xr:uid="{8CDAA3B1-7DC2-49A0-8E95-DD50C0079320}"/>
    <cellStyle name="Normal 5 5 2 7 4" xfId="11134" xr:uid="{34F9818C-0605-425B-92A2-167490FA5E8E}"/>
    <cellStyle name="Normal 5 5 2 8" xfId="4837" xr:uid="{00000000-0005-0000-0000-0000741B0000}"/>
    <cellStyle name="Normal 5 5 2 8 2" xfId="21735" xr:uid="{BF8B4FA3-F778-4CB5-A8E8-AD43CBE13D2E}"/>
    <cellStyle name="Normal 5 5 2 8 3" xfId="13287" xr:uid="{12884B69-42F0-4996-BB35-26CA638A340B}"/>
    <cellStyle name="Normal 5 5 2 9" xfId="17517" xr:uid="{A48A5734-0F6A-49C0-929D-A34E47D5D106}"/>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2 2 2" xfId="24295" xr:uid="{DD4E556C-CCB7-4616-B5F0-BEF2AB79AB8D}"/>
    <cellStyle name="Normal 5 5 3 2 2 2 3" xfId="15847" xr:uid="{EF3C2B7C-D035-4499-AF6C-C8973269CFE0}"/>
    <cellStyle name="Normal 5 5 3 2 2 3" xfId="20077" xr:uid="{EBF86CBD-0D69-48A4-A82F-EFEF5D0F6F16}"/>
    <cellStyle name="Normal 5 5 3 2 2 4" xfId="11629" xr:uid="{6ADC993C-2C3D-41C0-A112-5EAD8DBD0520}"/>
    <cellStyle name="Normal 5 5 3 2 3" xfId="5252" xr:uid="{00000000-0005-0000-0000-0000791B0000}"/>
    <cellStyle name="Normal 5 5 3 2 3 2" xfId="22150" xr:uid="{A962088C-08B3-4372-B0BF-B90F62CE30F9}"/>
    <cellStyle name="Normal 5 5 3 2 3 3" xfId="13702" xr:uid="{39B739CC-A4D4-4D10-AC0A-5F9B5B5B3481}"/>
    <cellStyle name="Normal 5 5 3 2 4" xfId="17932" xr:uid="{235B8986-DEA2-4640-9A7F-62EDFD9D21BA}"/>
    <cellStyle name="Normal 5 5 3 2 5" xfId="9484" xr:uid="{16BFDA8B-51DB-4E23-9B01-25D696183357}"/>
    <cellStyle name="Normal 5 5 3 3" xfId="1358" xr:uid="{00000000-0005-0000-0000-00007A1B0000}"/>
    <cellStyle name="Normal 5 5 3 3 2" xfId="3588" xr:uid="{00000000-0005-0000-0000-00007B1B0000}"/>
    <cellStyle name="Normal 5 5 3 3 2 2" xfId="7810" xr:uid="{00000000-0005-0000-0000-00007C1B0000}"/>
    <cellStyle name="Normal 5 5 3 3 2 2 2" xfId="24708" xr:uid="{1AB83C6B-8456-4276-8DC4-FCA9B40CC5E4}"/>
    <cellStyle name="Normal 5 5 3 3 2 2 3" xfId="16260" xr:uid="{F292F619-BD20-4A9C-81BF-4E5226ECDCFF}"/>
    <cellStyle name="Normal 5 5 3 3 2 3" xfId="20490" xr:uid="{838B6318-D4E6-4505-8D4B-1C55DA9696CA}"/>
    <cellStyle name="Normal 5 5 3 3 2 4" xfId="12042" xr:uid="{29A953B5-B878-4125-A3D8-C4D5D1CDA361}"/>
    <cellStyle name="Normal 5 5 3 3 3" xfId="5665" xr:uid="{00000000-0005-0000-0000-00007D1B0000}"/>
    <cellStyle name="Normal 5 5 3 3 3 2" xfId="22563" xr:uid="{C12C7AD0-7F3E-4F11-8DEB-81C7677DDB4B}"/>
    <cellStyle name="Normal 5 5 3 3 3 3" xfId="14115" xr:uid="{69B76886-0520-4B9C-9F22-5BEB19AED94E}"/>
    <cellStyle name="Normal 5 5 3 3 4" xfId="18345" xr:uid="{C79F40FD-25DD-4493-97E8-338031F970AC}"/>
    <cellStyle name="Normal 5 5 3 3 5" xfId="9897" xr:uid="{5CB8D35A-34C8-4370-9D55-C73063B2C496}"/>
    <cellStyle name="Normal 5 5 3 4" xfId="1771" xr:uid="{00000000-0005-0000-0000-00007E1B0000}"/>
    <cellStyle name="Normal 5 5 3 4 2" xfId="4001" xr:uid="{00000000-0005-0000-0000-00007F1B0000}"/>
    <cellStyle name="Normal 5 5 3 4 2 2" xfId="8223" xr:uid="{00000000-0005-0000-0000-0000801B0000}"/>
    <cellStyle name="Normal 5 5 3 4 2 2 2" xfId="25121" xr:uid="{9E7F7230-A79A-4E15-A68E-C445FC12CFAE}"/>
    <cellStyle name="Normal 5 5 3 4 2 2 3" xfId="16673" xr:uid="{FA9367FE-EA89-45B2-81B5-56F5785BA298}"/>
    <cellStyle name="Normal 5 5 3 4 2 3" xfId="20903" xr:uid="{1BF9E6CA-18ED-4388-8F02-C5A9D72F6693}"/>
    <cellStyle name="Normal 5 5 3 4 2 4" xfId="12455" xr:uid="{4416B52A-F80E-4698-B2E1-DE0F914B3447}"/>
    <cellStyle name="Normal 5 5 3 4 3" xfId="6078" xr:uid="{00000000-0005-0000-0000-0000811B0000}"/>
    <cellStyle name="Normal 5 5 3 4 3 2" xfId="22976" xr:uid="{843A86DD-4418-468A-9F71-577A4C60412F}"/>
    <cellStyle name="Normal 5 5 3 4 3 3" xfId="14528" xr:uid="{8FD7800C-8D92-42AC-BF34-CA285E95C096}"/>
    <cellStyle name="Normal 5 5 3 4 4" xfId="18758" xr:uid="{1FB10994-FEC4-4653-B95E-D45A5464390A}"/>
    <cellStyle name="Normal 5 5 3 4 5" xfId="10310" xr:uid="{B84EB4C2-282A-4EF1-B0B4-79B9BAC550EE}"/>
    <cellStyle name="Normal 5 5 3 5" xfId="2185" xr:uid="{00000000-0005-0000-0000-0000821B0000}"/>
    <cellStyle name="Normal 5 5 3 5 2" xfId="4414" xr:uid="{00000000-0005-0000-0000-0000831B0000}"/>
    <cellStyle name="Normal 5 5 3 5 2 2" xfId="8636" xr:uid="{00000000-0005-0000-0000-0000841B0000}"/>
    <cellStyle name="Normal 5 5 3 5 2 2 2" xfId="25534" xr:uid="{135E6511-CDDF-4A55-8133-35BFB3B70505}"/>
    <cellStyle name="Normal 5 5 3 5 2 2 3" xfId="17086" xr:uid="{DA2B3C39-30EE-43E6-AD3A-9092BF1610BC}"/>
    <cellStyle name="Normal 5 5 3 5 2 3" xfId="21316" xr:uid="{9E6246E9-8DCF-4C95-80A8-741CCD2B4FE2}"/>
    <cellStyle name="Normal 5 5 3 5 2 4" xfId="12868" xr:uid="{457C9E0D-9C44-480F-A5AD-5BCE76B5208C}"/>
    <cellStyle name="Normal 5 5 3 5 3" xfId="6491" xr:uid="{00000000-0005-0000-0000-0000851B0000}"/>
    <cellStyle name="Normal 5 5 3 5 3 2" xfId="23389" xr:uid="{35FB8C95-E073-4EF4-B775-17D782D2A09F}"/>
    <cellStyle name="Normal 5 5 3 5 3 3" xfId="14941" xr:uid="{DE7BEA89-978A-44ED-BA62-50B9415E9D6B}"/>
    <cellStyle name="Normal 5 5 3 5 4" xfId="19171" xr:uid="{B058BBBE-4495-4890-8353-B641098C87B7}"/>
    <cellStyle name="Normal 5 5 3 5 5" xfId="10723" xr:uid="{5A8F0212-A607-4BFE-B7C7-675F5AC4C3DE}"/>
    <cellStyle name="Normal 5 5 3 6" xfId="2621" xr:uid="{00000000-0005-0000-0000-0000861B0000}"/>
    <cellStyle name="Normal 5 5 3 6 2" xfId="6904" xr:uid="{00000000-0005-0000-0000-0000871B0000}"/>
    <cellStyle name="Normal 5 5 3 6 2 2" xfId="23802" xr:uid="{E1735F62-A8F8-408B-B390-369A3FBDCFF7}"/>
    <cellStyle name="Normal 5 5 3 6 2 3" xfId="15354" xr:uid="{75199785-002B-4251-80FA-1451FC628344}"/>
    <cellStyle name="Normal 5 5 3 6 3" xfId="19584" xr:uid="{1D40735B-CD18-483A-92D4-C68CF0AA6ED6}"/>
    <cellStyle name="Normal 5 5 3 6 4" xfId="11136" xr:uid="{A29AB54D-C412-4116-959F-BD9F968239FB}"/>
    <cellStyle name="Normal 5 5 3 7" xfId="4839" xr:uid="{00000000-0005-0000-0000-0000881B0000}"/>
    <cellStyle name="Normal 5 5 3 7 2" xfId="21737" xr:uid="{27915D6B-7EDD-4DD0-AA1A-82B99E151B97}"/>
    <cellStyle name="Normal 5 5 3 7 3" xfId="13289" xr:uid="{E92DB79F-B3FE-40D2-A208-B8B0E18E1A23}"/>
    <cellStyle name="Normal 5 5 3 8" xfId="17519" xr:uid="{6D1D5FFB-DAEC-4C50-89AF-41405B8E573C}"/>
    <cellStyle name="Normal 5 5 3 9" xfId="9071" xr:uid="{623C0B65-358C-402D-8E8C-7A4AEE1BF3C1}"/>
    <cellStyle name="Normal 5 5 4" xfId="938" xr:uid="{00000000-0005-0000-0000-0000891B0000}"/>
    <cellStyle name="Normal 5 5 4 2" xfId="3172" xr:uid="{00000000-0005-0000-0000-00008A1B0000}"/>
    <cellStyle name="Normal 5 5 4 2 2" xfId="7394" xr:uid="{00000000-0005-0000-0000-00008B1B0000}"/>
    <cellStyle name="Normal 5 5 4 2 2 2" xfId="24292" xr:uid="{44E91BD0-DF44-4976-8AAF-B4D9DABABD74}"/>
    <cellStyle name="Normal 5 5 4 2 2 3" xfId="15844" xr:uid="{8EA5C832-AD4F-4970-AE70-09ED12E4ABA8}"/>
    <cellStyle name="Normal 5 5 4 2 3" xfId="20074" xr:uid="{7C2135DA-348B-476C-B689-5A1F2733E28C}"/>
    <cellStyle name="Normal 5 5 4 2 4" xfId="11626" xr:uid="{ECD464F1-BD25-49EC-BEEE-FBD497657919}"/>
    <cellStyle name="Normal 5 5 4 3" xfId="5249" xr:uid="{00000000-0005-0000-0000-00008C1B0000}"/>
    <cellStyle name="Normal 5 5 4 3 2" xfId="22147" xr:uid="{F036FD4C-0A87-42BA-94BE-56F813E5F73B}"/>
    <cellStyle name="Normal 5 5 4 3 3" xfId="13699" xr:uid="{7A442DF5-E2E5-4EE8-AE1E-845C7B0F86F0}"/>
    <cellStyle name="Normal 5 5 4 4" xfId="17929" xr:uid="{2C34BC45-B0C9-47FE-B0A5-BAC5A0A8DB88}"/>
    <cellStyle name="Normal 5 5 4 5" xfId="9481" xr:uid="{C7980070-DD8C-4437-9CCB-35D089602F0F}"/>
    <cellStyle name="Normal 5 5 5" xfId="1355" xr:uid="{00000000-0005-0000-0000-00008D1B0000}"/>
    <cellStyle name="Normal 5 5 5 2" xfId="3585" xr:uid="{00000000-0005-0000-0000-00008E1B0000}"/>
    <cellStyle name="Normal 5 5 5 2 2" xfId="7807" xr:uid="{00000000-0005-0000-0000-00008F1B0000}"/>
    <cellStyle name="Normal 5 5 5 2 2 2" xfId="24705" xr:uid="{D0ADAE9F-958B-4C99-B76C-F67663CB5DEB}"/>
    <cellStyle name="Normal 5 5 5 2 2 3" xfId="16257" xr:uid="{1C53B549-ABB1-489C-8EEF-922A9BD1250F}"/>
    <cellStyle name="Normal 5 5 5 2 3" xfId="20487" xr:uid="{A47BDBFD-A7EE-4563-9BD1-55CF61D8FA2B}"/>
    <cellStyle name="Normal 5 5 5 2 4" xfId="12039" xr:uid="{58BB489B-5F8E-40F5-B254-FF74C0DD7144}"/>
    <cellStyle name="Normal 5 5 5 3" xfId="5662" xr:uid="{00000000-0005-0000-0000-0000901B0000}"/>
    <cellStyle name="Normal 5 5 5 3 2" xfId="22560" xr:uid="{BDBB4665-CFFC-415F-97B5-356C74D24FF8}"/>
    <cellStyle name="Normal 5 5 5 3 3" xfId="14112" xr:uid="{91DA40B7-E29B-40E0-98C2-B2C71328BEAC}"/>
    <cellStyle name="Normal 5 5 5 4" xfId="18342" xr:uid="{A10BF0E3-B732-4EC0-892A-06D7D0B59331}"/>
    <cellStyle name="Normal 5 5 5 5" xfId="9894" xr:uid="{93044CA1-E2DE-41E8-BBC4-3F6A46A216C9}"/>
    <cellStyle name="Normal 5 5 6" xfId="1768" xr:uid="{00000000-0005-0000-0000-0000911B0000}"/>
    <cellStyle name="Normal 5 5 6 2" xfId="3998" xr:uid="{00000000-0005-0000-0000-0000921B0000}"/>
    <cellStyle name="Normal 5 5 6 2 2" xfId="8220" xr:uid="{00000000-0005-0000-0000-0000931B0000}"/>
    <cellStyle name="Normal 5 5 6 2 2 2" xfId="25118" xr:uid="{0A0A0984-80C5-41DB-B257-99995CED4142}"/>
    <cellStyle name="Normal 5 5 6 2 2 3" xfId="16670" xr:uid="{BC992F9F-1224-49F9-BD35-FC91B8DA112F}"/>
    <cellStyle name="Normal 5 5 6 2 3" xfId="20900" xr:uid="{4F9E2EC1-17B9-4414-B57F-8F204DB3931C}"/>
    <cellStyle name="Normal 5 5 6 2 4" xfId="12452" xr:uid="{5EE2F01C-41DB-4FA2-803E-25A35C2354CF}"/>
    <cellStyle name="Normal 5 5 6 3" xfId="6075" xr:uid="{00000000-0005-0000-0000-0000941B0000}"/>
    <cellStyle name="Normal 5 5 6 3 2" xfId="22973" xr:uid="{8DB9AA49-18E1-4415-A493-B4D56CE738C6}"/>
    <cellStyle name="Normal 5 5 6 3 3" xfId="14525" xr:uid="{10017F9C-724F-4BD4-A840-61D1041D7A64}"/>
    <cellStyle name="Normal 5 5 6 4" xfId="18755" xr:uid="{04D36335-B543-4C4D-A299-667BF546E8CF}"/>
    <cellStyle name="Normal 5 5 6 5" xfId="10307" xr:uid="{BFB575E6-EDB9-43FC-9A23-9D9E9C08116C}"/>
    <cellStyle name="Normal 5 5 7" xfId="2182" xr:uid="{00000000-0005-0000-0000-0000951B0000}"/>
    <cellStyle name="Normal 5 5 7 2" xfId="4411" xr:uid="{00000000-0005-0000-0000-0000961B0000}"/>
    <cellStyle name="Normal 5 5 7 2 2" xfId="8633" xr:uid="{00000000-0005-0000-0000-0000971B0000}"/>
    <cellStyle name="Normal 5 5 7 2 2 2" xfId="25531" xr:uid="{9CDD8A78-286E-491B-87EB-94E4AFE640FB}"/>
    <cellStyle name="Normal 5 5 7 2 2 3" xfId="17083" xr:uid="{8F201FB2-D363-4670-882A-EC71F2CBF158}"/>
    <cellStyle name="Normal 5 5 7 2 3" xfId="21313" xr:uid="{942F4DB6-67CA-41D0-9BA0-04157CF598FF}"/>
    <cellStyle name="Normal 5 5 7 2 4" xfId="12865" xr:uid="{BD7F83B3-EE89-4C7B-82D9-288B3E4D3EF5}"/>
    <cellStyle name="Normal 5 5 7 3" xfId="6488" xr:uid="{00000000-0005-0000-0000-0000981B0000}"/>
    <cellStyle name="Normal 5 5 7 3 2" xfId="23386" xr:uid="{FB58640A-1B1A-4521-AF0B-85E16D1FCEC6}"/>
    <cellStyle name="Normal 5 5 7 3 3" xfId="14938" xr:uid="{77D6E3C0-5F60-475A-B777-68D1B5E272F6}"/>
    <cellStyle name="Normal 5 5 7 4" xfId="19168" xr:uid="{FA70F8F6-A56E-470E-9DD9-D13F9EF8B752}"/>
    <cellStyle name="Normal 5 5 7 5" xfId="10720" xr:uid="{5173AA4D-35AD-40E0-B086-636334CAA34C}"/>
    <cellStyle name="Normal 5 5 8" xfId="2618" xr:uid="{00000000-0005-0000-0000-0000991B0000}"/>
    <cellStyle name="Normal 5 5 8 2" xfId="6901" xr:uid="{00000000-0005-0000-0000-00009A1B0000}"/>
    <cellStyle name="Normal 5 5 8 2 2" xfId="23799" xr:uid="{CCC77237-0EF5-492F-A498-919988BED05D}"/>
    <cellStyle name="Normal 5 5 8 2 3" xfId="15351" xr:uid="{A7EBCFBC-B152-4586-8260-39BF6DF38C08}"/>
    <cellStyle name="Normal 5 5 8 3" xfId="19581" xr:uid="{CE1EB1D0-3150-4A9D-8DF2-B2BA9F715CAE}"/>
    <cellStyle name="Normal 5 5 8 4" xfId="11133" xr:uid="{8CC84189-FFEF-40A0-862F-B012F9A0DA8C}"/>
    <cellStyle name="Normal 5 5 9" xfId="4836" xr:uid="{00000000-0005-0000-0000-00009B1B0000}"/>
    <cellStyle name="Normal 5 5 9 2" xfId="21734" xr:uid="{051813EC-ED2B-4862-B00F-899CFE070F2C}"/>
    <cellStyle name="Normal 5 5 9 3" xfId="13286" xr:uid="{24D04038-40B7-48D3-A974-D67A9C5C97D9}"/>
    <cellStyle name="Normal 5 6" xfId="468" xr:uid="{00000000-0005-0000-0000-00009C1B0000}"/>
    <cellStyle name="Normal 5 6 10" xfId="9072" xr:uid="{7D712B53-D61A-4567-8401-DA06F7C3F56C}"/>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2 2 2" xfId="24297" xr:uid="{1EC73F26-B731-48D3-BD6E-79ED40330F61}"/>
    <cellStyle name="Normal 5 6 2 2 2 2 3" xfId="15849" xr:uid="{0945DD13-DBA5-4E65-BF78-FD1A6B3E9E12}"/>
    <cellStyle name="Normal 5 6 2 2 2 3" xfId="20079" xr:uid="{0612A31D-662A-4DC7-8059-C77F8DE43110}"/>
    <cellStyle name="Normal 5 6 2 2 2 4" xfId="11631" xr:uid="{735DAA0A-7B56-4D1F-9336-F7C5752EF941}"/>
    <cellStyle name="Normal 5 6 2 2 3" xfId="5254" xr:uid="{00000000-0005-0000-0000-0000A11B0000}"/>
    <cellStyle name="Normal 5 6 2 2 3 2" xfId="22152" xr:uid="{4C97F113-72A3-4651-8D59-CA2FD8D516E6}"/>
    <cellStyle name="Normal 5 6 2 2 3 3" xfId="13704" xr:uid="{8CAE6C05-6D46-4BB8-9247-54772B52116B}"/>
    <cellStyle name="Normal 5 6 2 2 4" xfId="17934" xr:uid="{60062EE6-F75A-4DE3-A396-04430B0A3CDF}"/>
    <cellStyle name="Normal 5 6 2 2 5" xfId="9486" xr:uid="{AB7D19F3-6463-4D6B-994D-0DE5199456D1}"/>
    <cellStyle name="Normal 5 6 2 3" xfId="1360" xr:uid="{00000000-0005-0000-0000-0000A21B0000}"/>
    <cellStyle name="Normal 5 6 2 3 2" xfId="3590" xr:uid="{00000000-0005-0000-0000-0000A31B0000}"/>
    <cellStyle name="Normal 5 6 2 3 2 2" xfId="7812" xr:uid="{00000000-0005-0000-0000-0000A41B0000}"/>
    <cellStyle name="Normal 5 6 2 3 2 2 2" xfId="24710" xr:uid="{5A6EEDC3-5378-4CB7-BE73-821B8C96424F}"/>
    <cellStyle name="Normal 5 6 2 3 2 2 3" xfId="16262" xr:uid="{EDF6D6F7-8724-46F9-AD25-72C86221D2D8}"/>
    <cellStyle name="Normal 5 6 2 3 2 3" xfId="20492" xr:uid="{8C327977-8532-4152-B283-5353716410E9}"/>
    <cellStyle name="Normal 5 6 2 3 2 4" xfId="12044" xr:uid="{F5175AE5-9B1D-459A-B538-ECD42E3B85A0}"/>
    <cellStyle name="Normal 5 6 2 3 3" xfId="5667" xr:uid="{00000000-0005-0000-0000-0000A51B0000}"/>
    <cellStyle name="Normal 5 6 2 3 3 2" xfId="22565" xr:uid="{191C46BB-FD57-475D-BB5C-CFA28F822FEB}"/>
    <cellStyle name="Normal 5 6 2 3 3 3" xfId="14117" xr:uid="{AE4BB9AB-8626-4034-8882-5E025C041B34}"/>
    <cellStyle name="Normal 5 6 2 3 4" xfId="18347" xr:uid="{ECF8B9BE-2947-4323-BB74-D33057ECCD72}"/>
    <cellStyle name="Normal 5 6 2 3 5" xfId="9899" xr:uid="{0C50A905-A3B3-4AAE-BBDF-D0801BE3D249}"/>
    <cellStyle name="Normal 5 6 2 4" xfId="1773" xr:uid="{00000000-0005-0000-0000-0000A61B0000}"/>
    <cellStyle name="Normal 5 6 2 4 2" xfId="4003" xr:uid="{00000000-0005-0000-0000-0000A71B0000}"/>
    <cellStyle name="Normal 5 6 2 4 2 2" xfId="8225" xr:uid="{00000000-0005-0000-0000-0000A81B0000}"/>
    <cellStyle name="Normal 5 6 2 4 2 2 2" xfId="25123" xr:uid="{DE52573D-0A97-46A0-AB5B-6851EB522935}"/>
    <cellStyle name="Normal 5 6 2 4 2 2 3" xfId="16675" xr:uid="{E208EC43-05AA-416F-917B-559AC51429AE}"/>
    <cellStyle name="Normal 5 6 2 4 2 3" xfId="20905" xr:uid="{0CDF79C4-79C8-43F8-8F56-B14ED9883CA7}"/>
    <cellStyle name="Normal 5 6 2 4 2 4" xfId="12457" xr:uid="{6D936D39-2690-43E9-A105-A5AD799061E6}"/>
    <cellStyle name="Normal 5 6 2 4 3" xfId="6080" xr:uid="{00000000-0005-0000-0000-0000A91B0000}"/>
    <cellStyle name="Normal 5 6 2 4 3 2" xfId="22978" xr:uid="{6AE4C4D0-0951-463B-9A16-8427DE53EC52}"/>
    <cellStyle name="Normal 5 6 2 4 3 3" xfId="14530" xr:uid="{604FCA32-8BF8-4E84-8BB3-EDFCDE53069A}"/>
    <cellStyle name="Normal 5 6 2 4 4" xfId="18760" xr:uid="{7936F58B-9038-4DAB-B459-254EDB31F86D}"/>
    <cellStyle name="Normal 5 6 2 4 5" xfId="10312" xr:uid="{81E23EF6-DB45-40E1-9F56-0D1CF0EAE6B8}"/>
    <cellStyle name="Normal 5 6 2 5" xfId="2187" xr:uid="{00000000-0005-0000-0000-0000AA1B0000}"/>
    <cellStyle name="Normal 5 6 2 5 2" xfId="4416" xr:uid="{00000000-0005-0000-0000-0000AB1B0000}"/>
    <cellStyle name="Normal 5 6 2 5 2 2" xfId="8638" xr:uid="{00000000-0005-0000-0000-0000AC1B0000}"/>
    <cellStyle name="Normal 5 6 2 5 2 2 2" xfId="25536" xr:uid="{E4121B48-4E25-4D72-9592-476F50DC8516}"/>
    <cellStyle name="Normal 5 6 2 5 2 2 3" xfId="17088" xr:uid="{9D3400C8-BD42-4681-9CD7-55197219CA17}"/>
    <cellStyle name="Normal 5 6 2 5 2 3" xfId="21318" xr:uid="{3C875DE7-401C-461C-B1E3-B3E6D7FD19B8}"/>
    <cellStyle name="Normal 5 6 2 5 2 4" xfId="12870" xr:uid="{FB4895E0-AFB9-45A2-90E8-5A7BBC34CD38}"/>
    <cellStyle name="Normal 5 6 2 5 3" xfId="6493" xr:uid="{00000000-0005-0000-0000-0000AD1B0000}"/>
    <cellStyle name="Normal 5 6 2 5 3 2" xfId="23391" xr:uid="{D33B670C-B0E1-4E9B-89FC-DE857FEC7462}"/>
    <cellStyle name="Normal 5 6 2 5 3 3" xfId="14943" xr:uid="{238DEC78-B4BD-4049-9FF2-43BE14D863B9}"/>
    <cellStyle name="Normal 5 6 2 5 4" xfId="19173" xr:uid="{224BB82D-003D-4373-B12E-7804C445CA07}"/>
    <cellStyle name="Normal 5 6 2 5 5" xfId="10725" xr:uid="{72B90E02-4E9A-4513-947B-09866E78397B}"/>
    <cellStyle name="Normal 5 6 2 6" xfId="2623" xr:uid="{00000000-0005-0000-0000-0000AE1B0000}"/>
    <cellStyle name="Normal 5 6 2 6 2" xfId="6906" xr:uid="{00000000-0005-0000-0000-0000AF1B0000}"/>
    <cellStyle name="Normal 5 6 2 6 2 2" xfId="23804" xr:uid="{E2F2B4DD-DE00-4491-9AC8-6765FAB1114C}"/>
    <cellStyle name="Normal 5 6 2 6 2 3" xfId="15356" xr:uid="{A0572EF8-606D-4E4C-A33E-91CAC6AB9E19}"/>
    <cellStyle name="Normal 5 6 2 6 3" xfId="19586" xr:uid="{640D637A-3832-430F-A050-9509F87D40FD}"/>
    <cellStyle name="Normal 5 6 2 6 4" xfId="11138" xr:uid="{E0B16227-2103-44B0-BADD-33027B9BA4F6}"/>
    <cellStyle name="Normal 5 6 2 7" xfId="4841" xr:uid="{00000000-0005-0000-0000-0000B01B0000}"/>
    <cellStyle name="Normal 5 6 2 7 2" xfId="21739" xr:uid="{C9C07A0F-2D6E-45B0-AB29-3C877CE12C46}"/>
    <cellStyle name="Normal 5 6 2 7 3" xfId="13291" xr:uid="{5DB19A4D-F7B5-414F-9A11-45BF1480FC5F}"/>
    <cellStyle name="Normal 5 6 2 8" xfId="17521" xr:uid="{80E0F281-701E-4F45-9416-ED2B9ECF5F9C}"/>
    <cellStyle name="Normal 5 6 2 9" xfId="9073" xr:uid="{58522320-FC94-42FB-87B7-8C40A5A630FC}"/>
    <cellStyle name="Normal 5 6 3" xfId="942" xr:uid="{00000000-0005-0000-0000-0000B11B0000}"/>
    <cellStyle name="Normal 5 6 3 2" xfId="3176" xr:uid="{00000000-0005-0000-0000-0000B21B0000}"/>
    <cellStyle name="Normal 5 6 3 2 2" xfId="7398" xr:uid="{00000000-0005-0000-0000-0000B31B0000}"/>
    <cellStyle name="Normal 5 6 3 2 2 2" xfId="24296" xr:uid="{C21A8A2F-44DD-4ADD-B5F6-FE093DF1789C}"/>
    <cellStyle name="Normal 5 6 3 2 2 3" xfId="15848" xr:uid="{D561C870-B0BC-4254-8BB3-A6FEF0C0B667}"/>
    <cellStyle name="Normal 5 6 3 2 3" xfId="20078" xr:uid="{EEE0340A-806D-4DC8-93CB-F41803CE6293}"/>
    <cellStyle name="Normal 5 6 3 2 4" xfId="11630" xr:uid="{24594468-4C4C-4222-9A8D-542A5FDDC413}"/>
    <cellStyle name="Normal 5 6 3 3" xfId="5253" xr:uid="{00000000-0005-0000-0000-0000B41B0000}"/>
    <cellStyle name="Normal 5 6 3 3 2" xfId="22151" xr:uid="{2BC0AC9F-2BFD-451D-BFF1-73129E707414}"/>
    <cellStyle name="Normal 5 6 3 3 3" xfId="13703" xr:uid="{565F04B4-0B60-4B7E-8814-3D1F43471A5E}"/>
    <cellStyle name="Normal 5 6 3 4" xfId="17933" xr:uid="{AA0B59B7-7DAC-45FC-8030-C3C606C70773}"/>
    <cellStyle name="Normal 5 6 3 5" xfId="9485" xr:uid="{B7981BD0-2772-40A3-9BF1-9AEFEC5E122E}"/>
    <cellStyle name="Normal 5 6 4" xfId="1359" xr:uid="{00000000-0005-0000-0000-0000B51B0000}"/>
    <cellStyle name="Normal 5 6 4 2" xfId="3589" xr:uid="{00000000-0005-0000-0000-0000B61B0000}"/>
    <cellStyle name="Normal 5 6 4 2 2" xfId="7811" xr:uid="{00000000-0005-0000-0000-0000B71B0000}"/>
    <cellStyle name="Normal 5 6 4 2 2 2" xfId="24709" xr:uid="{DFE4979C-D62B-45C8-9608-E552905A1A4F}"/>
    <cellStyle name="Normal 5 6 4 2 2 3" xfId="16261" xr:uid="{D5AA17D7-C4D7-47D4-941F-15347007E1AE}"/>
    <cellStyle name="Normal 5 6 4 2 3" xfId="20491" xr:uid="{1469B5A4-B822-4221-96CB-B3F07F1BBE9C}"/>
    <cellStyle name="Normal 5 6 4 2 4" xfId="12043" xr:uid="{16FEFD2C-FA77-43BF-904C-F500B43047BC}"/>
    <cellStyle name="Normal 5 6 4 3" xfId="5666" xr:uid="{00000000-0005-0000-0000-0000B81B0000}"/>
    <cellStyle name="Normal 5 6 4 3 2" xfId="22564" xr:uid="{502E60FB-E51B-4274-8A57-CCE9C00FFEA2}"/>
    <cellStyle name="Normal 5 6 4 3 3" xfId="14116" xr:uid="{8E6308B4-98F8-43D9-B2E2-4A55AACF1C9E}"/>
    <cellStyle name="Normal 5 6 4 4" xfId="18346" xr:uid="{B033787A-9F88-41E8-BC81-B9C3191E29FE}"/>
    <cellStyle name="Normal 5 6 4 5" xfId="9898" xr:uid="{F4EA184B-75AD-4F49-B713-B281738E9741}"/>
    <cellStyle name="Normal 5 6 5" xfId="1772" xr:uid="{00000000-0005-0000-0000-0000B91B0000}"/>
    <cellStyle name="Normal 5 6 5 2" xfId="4002" xr:uid="{00000000-0005-0000-0000-0000BA1B0000}"/>
    <cellStyle name="Normal 5 6 5 2 2" xfId="8224" xr:uid="{00000000-0005-0000-0000-0000BB1B0000}"/>
    <cellStyle name="Normal 5 6 5 2 2 2" xfId="25122" xr:uid="{20F1673C-5F5B-4411-BE24-A8D67FB7F602}"/>
    <cellStyle name="Normal 5 6 5 2 2 3" xfId="16674" xr:uid="{FE08E8C7-9BF4-4942-A3AB-45636B2D82F3}"/>
    <cellStyle name="Normal 5 6 5 2 3" xfId="20904" xr:uid="{9DDF1E83-451A-46CD-9380-CE55FA87C6AF}"/>
    <cellStyle name="Normal 5 6 5 2 4" xfId="12456" xr:uid="{6B65A22F-6E13-4DC1-91D6-320EF0430B97}"/>
    <cellStyle name="Normal 5 6 5 3" xfId="6079" xr:uid="{00000000-0005-0000-0000-0000BC1B0000}"/>
    <cellStyle name="Normal 5 6 5 3 2" xfId="22977" xr:uid="{CE173DA4-06C4-4BC6-B9BF-D276EE11B41E}"/>
    <cellStyle name="Normal 5 6 5 3 3" xfId="14529" xr:uid="{AD2E16B2-5CA0-447F-AFAE-0AEBDCD2453A}"/>
    <cellStyle name="Normal 5 6 5 4" xfId="18759" xr:uid="{E909B2D9-EBEA-4841-A351-EA42A8A4F7FC}"/>
    <cellStyle name="Normal 5 6 5 5" xfId="10311" xr:uid="{8C3CA168-F762-4BBA-AFC3-6772938B6230}"/>
    <cellStyle name="Normal 5 6 6" xfId="2186" xr:uid="{00000000-0005-0000-0000-0000BD1B0000}"/>
    <cellStyle name="Normal 5 6 6 2" xfId="4415" xr:uid="{00000000-0005-0000-0000-0000BE1B0000}"/>
    <cellStyle name="Normal 5 6 6 2 2" xfId="8637" xr:uid="{00000000-0005-0000-0000-0000BF1B0000}"/>
    <cellStyle name="Normal 5 6 6 2 2 2" xfId="25535" xr:uid="{4EDF7FBB-D5D8-4C76-A276-B5F1E397BADC}"/>
    <cellStyle name="Normal 5 6 6 2 2 3" xfId="17087" xr:uid="{134A0507-4713-4C21-ADF3-AB29E7B2565B}"/>
    <cellStyle name="Normal 5 6 6 2 3" xfId="21317" xr:uid="{869C2B85-5C1F-4A43-B339-0A1FF11D3448}"/>
    <cellStyle name="Normal 5 6 6 2 4" xfId="12869" xr:uid="{9D92706A-FB3E-4D1C-817A-74A2A87F78B8}"/>
    <cellStyle name="Normal 5 6 6 3" xfId="6492" xr:uid="{00000000-0005-0000-0000-0000C01B0000}"/>
    <cellStyle name="Normal 5 6 6 3 2" xfId="23390" xr:uid="{C73BB514-84BF-4BCD-A5AD-7B35F557EA98}"/>
    <cellStyle name="Normal 5 6 6 3 3" xfId="14942" xr:uid="{1D6C8D23-05C6-4190-A065-DC6B389791E6}"/>
    <cellStyle name="Normal 5 6 6 4" xfId="19172" xr:uid="{AF91BAD5-4877-42A0-9326-383BE00668E7}"/>
    <cellStyle name="Normal 5 6 6 5" xfId="10724" xr:uid="{0D6F9E01-958A-4F55-B4A4-AB37FAB081C9}"/>
    <cellStyle name="Normal 5 6 7" xfId="2622" xr:uid="{00000000-0005-0000-0000-0000C11B0000}"/>
    <cellStyle name="Normal 5 6 7 2" xfId="6905" xr:uid="{00000000-0005-0000-0000-0000C21B0000}"/>
    <cellStyle name="Normal 5 6 7 2 2" xfId="23803" xr:uid="{DAFE266E-9151-4EF2-B0A9-7B4D9DDB8BA0}"/>
    <cellStyle name="Normal 5 6 7 2 3" xfId="15355" xr:uid="{8C1AC620-116A-4257-AD31-2F265EA79F42}"/>
    <cellStyle name="Normal 5 6 7 3" xfId="19585" xr:uid="{77F46138-34C0-448D-910C-1208F1830667}"/>
    <cellStyle name="Normal 5 6 7 4" xfId="11137" xr:uid="{53FEB199-2208-464F-8F52-FFC452D1A00D}"/>
    <cellStyle name="Normal 5 6 8" xfId="4840" xr:uid="{00000000-0005-0000-0000-0000C31B0000}"/>
    <cellStyle name="Normal 5 6 8 2" xfId="21738" xr:uid="{957F6C2F-1819-4AB2-9734-F568BC67CA91}"/>
    <cellStyle name="Normal 5 6 8 3" xfId="13290" xr:uid="{1EC4FACD-F0A5-43FA-A822-F760E0D0CF61}"/>
    <cellStyle name="Normal 5 6 9" xfId="17520" xr:uid="{A7BD55BC-268C-4F27-B733-472C3D90E78E}"/>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2 2 2" xfId="24298" xr:uid="{42F52C67-9D78-4911-B2E7-F1E2B5A5069A}"/>
    <cellStyle name="Normal 5 7 2 2 2 3" xfId="15850" xr:uid="{6694E4B8-4599-467B-9E98-67428A595114}"/>
    <cellStyle name="Normal 5 7 2 2 3" xfId="20080" xr:uid="{A7B4241D-277B-418F-ADE3-86834EB4191B}"/>
    <cellStyle name="Normal 5 7 2 2 4" xfId="11632" xr:uid="{A69C464A-D469-4C89-B4FF-C3CA519B0193}"/>
    <cellStyle name="Normal 5 7 2 3" xfId="5255" xr:uid="{00000000-0005-0000-0000-0000C81B0000}"/>
    <cellStyle name="Normal 5 7 2 3 2" xfId="22153" xr:uid="{204C1958-4F71-4E25-AEDC-1A7B36AEC5FB}"/>
    <cellStyle name="Normal 5 7 2 3 3" xfId="13705" xr:uid="{D1F48922-8AE1-48E4-8F64-219509E40E4D}"/>
    <cellStyle name="Normal 5 7 2 4" xfId="17935" xr:uid="{6CBB7AE7-9B95-4677-B9C5-513E6BD5AD23}"/>
    <cellStyle name="Normal 5 7 2 5" xfId="9487" xr:uid="{6DEFFF10-D368-4D50-B69A-95D200F44A65}"/>
    <cellStyle name="Normal 5 7 3" xfId="1361" xr:uid="{00000000-0005-0000-0000-0000C91B0000}"/>
    <cellStyle name="Normal 5 7 3 2" xfId="3591" xr:uid="{00000000-0005-0000-0000-0000CA1B0000}"/>
    <cellStyle name="Normal 5 7 3 2 2" xfId="7813" xr:uid="{00000000-0005-0000-0000-0000CB1B0000}"/>
    <cellStyle name="Normal 5 7 3 2 2 2" xfId="24711" xr:uid="{CF1B66CE-5670-4785-9F1C-3B739385185E}"/>
    <cellStyle name="Normal 5 7 3 2 2 3" xfId="16263" xr:uid="{27B72D06-F67E-4654-9542-421450ACC0A1}"/>
    <cellStyle name="Normal 5 7 3 2 3" xfId="20493" xr:uid="{68E65E98-3F34-4EF3-9736-1E126015EECA}"/>
    <cellStyle name="Normal 5 7 3 2 4" xfId="12045" xr:uid="{B2BAABA1-F7ED-4892-8264-12A2A668E3D8}"/>
    <cellStyle name="Normal 5 7 3 3" xfId="5668" xr:uid="{00000000-0005-0000-0000-0000CC1B0000}"/>
    <cellStyle name="Normal 5 7 3 3 2" xfId="22566" xr:uid="{D3C2B331-F6CA-4C24-BEBC-4DBAE6D0249F}"/>
    <cellStyle name="Normal 5 7 3 3 3" xfId="14118" xr:uid="{52BEFEAC-FFC2-4772-BF7C-E62863F00311}"/>
    <cellStyle name="Normal 5 7 3 4" xfId="18348" xr:uid="{A70F3DC4-5E23-43FB-828E-EFEF2C4464E9}"/>
    <cellStyle name="Normal 5 7 3 5" xfId="9900" xr:uid="{38410F33-8CD0-4AF1-BB72-E5D5A033A316}"/>
    <cellStyle name="Normal 5 7 4" xfId="1774" xr:uid="{00000000-0005-0000-0000-0000CD1B0000}"/>
    <cellStyle name="Normal 5 7 4 2" xfId="4004" xr:uid="{00000000-0005-0000-0000-0000CE1B0000}"/>
    <cellStyle name="Normal 5 7 4 2 2" xfId="8226" xr:uid="{00000000-0005-0000-0000-0000CF1B0000}"/>
    <cellStyle name="Normal 5 7 4 2 2 2" xfId="25124" xr:uid="{0653A2BE-3669-4DDB-932E-E5143EACD5CD}"/>
    <cellStyle name="Normal 5 7 4 2 2 3" xfId="16676" xr:uid="{5017895D-2B32-4E73-B82A-C92AE962B6FF}"/>
    <cellStyle name="Normal 5 7 4 2 3" xfId="20906" xr:uid="{292D91B2-16DE-4634-B4D8-664D6845162A}"/>
    <cellStyle name="Normal 5 7 4 2 4" xfId="12458" xr:uid="{71F4CA4E-EAC5-4AFC-8FD4-3C64184FB65C}"/>
    <cellStyle name="Normal 5 7 4 3" xfId="6081" xr:uid="{00000000-0005-0000-0000-0000D01B0000}"/>
    <cellStyle name="Normal 5 7 4 3 2" xfId="22979" xr:uid="{F461DC6C-FFF4-4534-AF52-2D68A9A49073}"/>
    <cellStyle name="Normal 5 7 4 3 3" xfId="14531" xr:uid="{39322AE6-87C9-4757-9D71-AFAD9319E686}"/>
    <cellStyle name="Normal 5 7 4 4" xfId="18761" xr:uid="{F3AA7267-D686-4E41-B63E-EC00D5D7AFC4}"/>
    <cellStyle name="Normal 5 7 4 5" xfId="10313" xr:uid="{4716E6C2-5A45-412E-87AF-0FC015BAF8C9}"/>
    <cellStyle name="Normal 5 7 5" xfId="2188" xr:uid="{00000000-0005-0000-0000-0000D11B0000}"/>
    <cellStyle name="Normal 5 7 5 2" xfId="4417" xr:uid="{00000000-0005-0000-0000-0000D21B0000}"/>
    <cellStyle name="Normal 5 7 5 2 2" xfId="8639" xr:uid="{00000000-0005-0000-0000-0000D31B0000}"/>
    <cellStyle name="Normal 5 7 5 2 2 2" xfId="25537" xr:uid="{47068F85-1BCB-4ED7-9E2D-2CC3BFD462E5}"/>
    <cellStyle name="Normal 5 7 5 2 2 3" xfId="17089" xr:uid="{32792AA9-6868-47B2-8518-5FD3B078997C}"/>
    <cellStyle name="Normal 5 7 5 2 3" xfId="21319" xr:uid="{7846C1B0-21F7-4335-88EB-5039281431FD}"/>
    <cellStyle name="Normal 5 7 5 2 4" xfId="12871" xr:uid="{2A7021B6-CEE4-4701-BA4A-9574E1B07586}"/>
    <cellStyle name="Normal 5 7 5 3" xfId="6494" xr:uid="{00000000-0005-0000-0000-0000D41B0000}"/>
    <cellStyle name="Normal 5 7 5 3 2" xfId="23392" xr:uid="{6887D54E-9E46-4361-8DA1-95E8584AD539}"/>
    <cellStyle name="Normal 5 7 5 3 3" xfId="14944" xr:uid="{E6273B40-7910-404B-A621-4E649ED567D6}"/>
    <cellStyle name="Normal 5 7 5 4" xfId="19174" xr:uid="{4B2B9138-3DED-4BDF-B7F4-F2F4131186C2}"/>
    <cellStyle name="Normal 5 7 5 5" xfId="10726" xr:uid="{2987437F-2637-4922-B6FD-6A3B8F04097B}"/>
    <cellStyle name="Normal 5 7 6" xfId="2624" xr:uid="{00000000-0005-0000-0000-0000D51B0000}"/>
    <cellStyle name="Normal 5 7 6 2" xfId="6907" xr:uid="{00000000-0005-0000-0000-0000D61B0000}"/>
    <cellStyle name="Normal 5 7 6 2 2" xfId="23805" xr:uid="{2E3013D1-A8CB-4EB8-B32F-78F0A1633861}"/>
    <cellStyle name="Normal 5 7 6 2 3" xfId="15357" xr:uid="{87323DA5-8DCB-45E9-BAEA-F44FBE4D107D}"/>
    <cellStyle name="Normal 5 7 6 3" xfId="19587" xr:uid="{71B1A299-D0A3-475F-B290-D1AA354C79F0}"/>
    <cellStyle name="Normal 5 7 6 4" xfId="11139" xr:uid="{992C166F-A71D-4450-8518-F238E52E481C}"/>
    <cellStyle name="Normal 5 7 7" xfId="4842" xr:uid="{00000000-0005-0000-0000-0000D71B0000}"/>
    <cellStyle name="Normal 5 7 7 2" xfId="21740" xr:uid="{5FE3FC4E-3DB7-4439-A9C3-2478D8AE4F8A}"/>
    <cellStyle name="Normal 5 7 7 3" xfId="13292" xr:uid="{45C6B781-EEE7-4DD4-A469-8BC46FE9E22C}"/>
    <cellStyle name="Normal 5 7 8" xfId="17522" xr:uid="{EE04312B-168C-40A8-BFC1-846B08BFD879}"/>
    <cellStyle name="Normal 5 7 9" xfId="9074" xr:uid="{EAFF0254-005D-4113-A431-897814FE298E}"/>
    <cellStyle name="Normal 5 8" xfId="880" xr:uid="{00000000-0005-0000-0000-0000D81B0000}"/>
    <cellStyle name="Normal 5 8 2" xfId="3115" xr:uid="{00000000-0005-0000-0000-0000D91B0000}"/>
    <cellStyle name="Normal 5 8 2 2" xfId="7337" xr:uid="{00000000-0005-0000-0000-0000DA1B0000}"/>
    <cellStyle name="Normal 5 8 2 2 2" xfId="24235" xr:uid="{F92037ED-DBDB-4EBC-B962-F063C50E64C3}"/>
    <cellStyle name="Normal 5 8 2 2 3" xfId="15787" xr:uid="{06DF0CA8-D88C-4965-AA59-51F91A079A89}"/>
    <cellStyle name="Normal 5 8 2 3" xfId="20017" xr:uid="{EA3BDEAC-870C-40D6-A612-A7B8C37D33E1}"/>
    <cellStyle name="Normal 5 8 2 4" xfId="11569" xr:uid="{41771F55-9162-40F5-A7A7-CC54954C4A41}"/>
    <cellStyle name="Normal 5 8 3" xfId="5192" xr:uid="{00000000-0005-0000-0000-0000DB1B0000}"/>
    <cellStyle name="Normal 5 8 3 2" xfId="22090" xr:uid="{88C537A6-A57D-4A9F-BFAD-5CC4F925820E}"/>
    <cellStyle name="Normal 5 8 3 3" xfId="13642" xr:uid="{8B391854-DA61-489A-9AE6-CCA0D4C93F85}"/>
    <cellStyle name="Normal 5 8 4" xfId="17872" xr:uid="{B71B7809-2155-4D6A-87AC-816F06E363CE}"/>
    <cellStyle name="Normal 5 8 5" xfId="9424" xr:uid="{F329D421-3E38-4796-9FBB-9A7E516ADB94}"/>
    <cellStyle name="Normal 5 9" xfId="1298" xr:uid="{00000000-0005-0000-0000-0000DC1B0000}"/>
    <cellStyle name="Normal 5 9 2" xfId="3528" xr:uid="{00000000-0005-0000-0000-0000DD1B0000}"/>
    <cellStyle name="Normal 5 9 2 2" xfId="7750" xr:uid="{00000000-0005-0000-0000-0000DE1B0000}"/>
    <cellStyle name="Normal 5 9 2 2 2" xfId="24648" xr:uid="{9D63344A-0844-47F9-B886-903E52709C54}"/>
    <cellStyle name="Normal 5 9 2 2 3" xfId="16200" xr:uid="{70961CF9-9ACC-44F7-A11D-F445546C2B06}"/>
    <cellStyle name="Normal 5 9 2 3" xfId="20430" xr:uid="{0C7CBF4B-7E7F-4773-ADA8-EC56D3D70CC0}"/>
    <cellStyle name="Normal 5 9 2 4" xfId="11982" xr:uid="{8713CDA4-44C0-42B2-B761-171738DB06AB}"/>
    <cellStyle name="Normal 5 9 3" xfId="5605" xr:uid="{00000000-0005-0000-0000-0000DF1B0000}"/>
    <cellStyle name="Normal 5 9 3 2" xfId="22503" xr:uid="{0C9199DC-1285-4C06-B7DA-F566E20BA6BE}"/>
    <cellStyle name="Normal 5 9 3 3" xfId="14055" xr:uid="{B4BD14C9-32FD-4B67-B77B-41E8375D9B1F}"/>
    <cellStyle name="Normal 5 9 4" xfId="18285" xr:uid="{DD48391B-7E53-4C1E-9337-02CE5E07A0EC}"/>
    <cellStyle name="Normal 5 9 5" xfId="9837" xr:uid="{D9C0248C-8323-47B0-9AA2-B3BBCA741BFA}"/>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25538" xr:uid="{65711C9C-9197-4F44-B885-1622C80AFC34}"/>
    <cellStyle name="Normal 8 10 2 2 3" xfId="17090" xr:uid="{F3CD1BA5-C8EB-449A-8567-24F9F8F8429C}"/>
    <cellStyle name="Normal 8 10 2 3" xfId="21320" xr:uid="{B38C052C-2DAD-4D8A-BBD7-834D9C9B0372}"/>
    <cellStyle name="Normal 8 10 2 4" xfId="12872" xr:uid="{4A2CDAB7-58AA-4376-BB38-E6C6F7248776}"/>
    <cellStyle name="Normal 8 10 3" xfId="6495" xr:uid="{00000000-0005-0000-0000-0000EB1B0000}"/>
    <cellStyle name="Normal 8 10 3 2" xfId="23393" xr:uid="{6188D3DB-B37C-4FD0-8262-4D2AB262810D}"/>
    <cellStyle name="Normal 8 10 3 3" xfId="14945" xr:uid="{FB338B77-2F5A-4C29-B081-836FAF598D25}"/>
    <cellStyle name="Normal 8 10 4" xfId="19175" xr:uid="{C82452D5-2921-4ACC-8292-B9C81D2951C9}"/>
    <cellStyle name="Normal 8 10 5" xfId="10727" xr:uid="{CB7A0179-962E-419E-B3D5-81961A71CBBE}"/>
    <cellStyle name="Normal 8 11" xfId="2625" xr:uid="{00000000-0005-0000-0000-0000EC1B0000}"/>
    <cellStyle name="Normal 8 11 2" xfId="6908" xr:uid="{00000000-0005-0000-0000-0000ED1B0000}"/>
    <cellStyle name="Normal 8 11 2 2" xfId="23806" xr:uid="{7D0EE209-3DF3-4413-9087-569E7152A885}"/>
    <cellStyle name="Normal 8 11 2 3" xfId="15358" xr:uid="{8E8891CE-64A8-4DC2-B8C3-FD3F6DC8A3BB}"/>
    <cellStyle name="Normal 8 11 3" xfId="19588" xr:uid="{EF7582B5-7CE3-4C16-8C8E-C4BDE898F136}"/>
    <cellStyle name="Normal 8 11 4" xfId="11140" xr:uid="{337FC84A-EC04-4BB9-93DA-5BF2D1203C44}"/>
    <cellStyle name="Normal 8 12" xfId="4843" xr:uid="{00000000-0005-0000-0000-0000EE1B0000}"/>
    <cellStyle name="Normal 8 12 2" xfId="21741" xr:uid="{C342235A-D2E0-4000-B37C-53E64A246522}"/>
    <cellStyle name="Normal 8 12 3" xfId="13293" xr:uid="{DFF7AD86-CD88-4F75-9AB2-8E08502D03C7}"/>
    <cellStyle name="Normal 8 13" xfId="17523" xr:uid="{1DCFCDEF-1791-406B-9087-4DD1994ACA16}"/>
    <cellStyle name="Normal 8 14" xfId="9075" xr:uid="{5D4934CB-A401-44C1-86F7-97591B63C450}"/>
    <cellStyle name="Normal 8 2" xfId="479" xr:uid="{00000000-0005-0000-0000-0000EF1B0000}"/>
    <cellStyle name="Normal 8 2 10" xfId="2626" xr:uid="{00000000-0005-0000-0000-0000F01B0000}"/>
    <cellStyle name="Normal 8 2 10 2" xfId="6909" xr:uid="{00000000-0005-0000-0000-0000F11B0000}"/>
    <cellStyle name="Normal 8 2 10 2 2" xfId="23807" xr:uid="{44A825CD-6596-4D1A-A812-58E1A2230C41}"/>
    <cellStyle name="Normal 8 2 10 2 3" xfId="15359" xr:uid="{7B0B1F63-DFE6-4B34-BB92-C5D67BEBB0DF}"/>
    <cellStyle name="Normal 8 2 10 3" xfId="19589" xr:uid="{025F2F38-93B0-4023-9F2B-A0E9BC03305B}"/>
    <cellStyle name="Normal 8 2 10 4" xfId="11141" xr:uid="{47576DF7-4CFE-4F38-9A7E-43E10639B820}"/>
    <cellStyle name="Normal 8 2 11" xfId="4844" xr:uid="{00000000-0005-0000-0000-0000F21B0000}"/>
    <cellStyle name="Normal 8 2 11 2" xfId="21742" xr:uid="{B801E83A-25FB-46B6-B1BF-90CE2FD73A19}"/>
    <cellStyle name="Normal 8 2 11 3" xfId="13294" xr:uid="{174C6197-2CEE-4E73-B59D-CAA2D9D9D9D6}"/>
    <cellStyle name="Normal 8 2 12" xfId="17524" xr:uid="{3C8BF435-693E-4893-8007-E7B6D16FB3C3}"/>
    <cellStyle name="Normal 8 2 13" xfId="9076" xr:uid="{F587B624-F6A3-426D-81A7-F442D227EE8C}"/>
    <cellStyle name="Normal 8 2 2" xfId="480" xr:uid="{00000000-0005-0000-0000-0000F31B0000}"/>
    <cellStyle name="Normal 8 2 2 10" xfId="4845" xr:uid="{00000000-0005-0000-0000-0000F41B0000}"/>
    <cellStyle name="Normal 8 2 2 10 2" xfId="21743" xr:uid="{50C6C0FF-8B5B-4CFB-8B94-918E8E18D97C}"/>
    <cellStyle name="Normal 8 2 2 10 3" xfId="13295" xr:uid="{087BB6E5-3276-437B-B853-6D3FDC182815}"/>
    <cellStyle name="Normal 8 2 2 11" xfId="17525" xr:uid="{55D2499E-24BC-418D-9F25-0A52DF4483BF}"/>
    <cellStyle name="Normal 8 2 2 12" xfId="9077" xr:uid="{E8A86996-92D0-4629-BE7B-25759C3A70AD}"/>
    <cellStyle name="Normal 8 2 2 2" xfId="481" xr:uid="{00000000-0005-0000-0000-0000F51B0000}"/>
    <cellStyle name="Normal 8 2 2 2 10" xfId="17526" xr:uid="{9ACEF45F-5D28-4F4C-825D-E500827AD08A}"/>
    <cellStyle name="Normal 8 2 2 2 11" xfId="9078" xr:uid="{A6AC07E3-9652-4333-B214-5789D2862753}"/>
    <cellStyle name="Normal 8 2 2 2 2" xfId="482" xr:uid="{00000000-0005-0000-0000-0000F61B0000}"/>
    <cellStyle name="Normal 8 2 2 2 2 10" xfId="9079" xr:uid="{974561FF-58C7-4344-BC7A-59809A5B5B47}"/>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24304" xr:uid="{F35C7DA9-7630-4CF2-A2F7-B00ADF01006D}"/>
    <cellStyle name="Normal 8 2 2 2 2 2 2 2 2 3" xfId="15856" xr:uid="{E73420C1-0A8A-4E19-978B-5151C911C793}"/>
    <cellStyle name="Normal 8 2 2 2 2 2 2 2 3" xfId="20086" xr:uid="{B9F7373E-2BCA-4894-8F65-25A94C9D7B4A}"/>
    <cellStyle name="Normal 8 2 2 2 2 2 2 2 4" xfId="11638" xr:uid="{A109A065-505E-40D1-AD6D-68CC22F54748}"/>
    <cellStyle name="Normal 8 2 2 2 2 2 2 3" xfId="5261" xr:uid="{00000000-0005-0000-0000-0000FB1B0000}"/>
    <cellStyle name="Normal 8 2 2 2 2 2 2 3 2" xfId="22159" xr:uid="{29139B6D-6975-456D-81D4-E48507B09F01}"/>
    <cellStyle name="Normal 8 2 2 2 2 2 2 3 3" xfId="13711" xr:uid="{32BF35F4-3E26-4A15-BEAF-23B081FD87CE}"/>
    <cellStyle name="Normal 8 2 2 2 2 2 2 4" xfId="17941" xr:uid="{1F6A6C73-6628-4064-B239-0839519E2CB6}"/>
    <cellStyle name="Normal 8 2 2 2 2 2 2 5" xfId="9493" xr:uid="{95BC35D2-31C5-46A0-9444-7F7BACDFD333}"/>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24717" xr:uid="{3FBF466D-0738-4BA5-958F-73153CE2C968}"/>
    <cellStyle name="Normal 8 2 2 2 2 2 3 2 2 3" xfId="16269" xr:uid="{7D83CCBB-1F01-4F12-95A0-DF2FA9BD27CA}"/>
    <cellStyle name="Normal 8 2 2 2 2 2 3 2 3" xfId="20499" xr:uid="{A5D3C699-E8A4-4325-B6C5-8B382185C1EF}"/>
    <cellStyle name="Normal 8 2 2 2 2 2 3 2 4" xfId="12051" xr:uid="{21F4E499-0189-4926-8CE0-5159CE4EC000}"/>
    <cellStyle name="Normal 8 2 2 2 2 2 3 3" xfId="5674" xr:uid="{00000000-0005-0000-0000-0000FF1B0000}"/>
    <cellStyle name="Normal 8 2 2 2 2 2 3 3 2" xfId="22572" xr:uid="{27A544BD-63D3-42F0-8D74-ED4F5F293EAF}"/>
    <cellStyle name="Normal 8 2 2 2 2 2 3 3 3" xfId="14124" xr:uid="{AE8B0372-FEC7-4F75-AF8F-8FE519C5678C}"/>
    <cellStyle name="Normal 8 2 2 2 2 2 3 4" xfId="18354" xr:uid="{956A81AA-72E5-42E4-BC8E-1F78E76F5119}"/>
    <cellStyle name="Normal 8 2 2 2 2 2 3 5" xfId="9906" xr:uid="{227FB453-B727-40DF-BC15-6314A39095DA}"/>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25130" xr:uid="{149C65B3-74DD-452E-B139-5FA6D31F39C4}"/>
    <cellStyle name="Normal 8 2 2 2 2 2 4 2 2 3" xfId="16682" xr:uid="{1179C6E4-9BF7-4AB1-A2E8-6C5195B3F732}"/>
    <cellStyle name="Normal 8 2 2 2 2 2 4 2 3" xfId="20912" xr:uid="{4659A350-2310-49A5-863D-29BEA84A3243}"/>
    <cellStyle name="Normal 8 2 2 2 2 2 4 2 4" xfId="12464" xr:uid="{D72E0B4D-0919-468C-840C-D376413DD1A9}"/>
    <cellStyle name="Normal 8 2 2 2 2 2 4 3" xfId="6087" xr:uid="{00000000-0005-0000-0000-0000031C0000}"/>
    <cellStyle name="Normal 8 2 2 2 2 2 4 3 2" xfId="22985" xr:uid="{BDC3599B-4EBE-431B-BF46-F99387EDA0EB}"/>
    <cellStyle name="Normal 8 2 2 2 2 2 4 3 3" xfId="14537" xr:uid="{A0F11F2C-15DF-4C2E-B5EB-EA4D9D7A2168}"/>
    <cellStyle name="Normal 8 2 2 2 2 2 4 4" xfId="18767" xr:uid="{B9B4E1B5-E613-4F59-BEE0-D267FDC203EF}"/>
    <cellStyle name="Normal 8 2 2 2 2 2 4 5" xfId="10319" xr:uid="{29E40230-5B9D-4596-BDA9-673D82695A4C}"/>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25543" xr:uid="{40BBCA86-0121-4657-B8F6-1C8ED957D86A}"/>
    <cellStyle name="Normal 8 2 2 2 2 2 5 2 2 3" xfId="17095" xr:uid="{D3A9D3F1-8458-4067-8BCA-C95DCF97C8CC}"/>
    <cellStyle name="Normal 8 2 2 2 2 2 5 2 3" xfId="21325" xr:uid="{FBE0B049-F726-43E0-9547-EF7540C47022}"/>
    <cellStyle name="Normal 8 2 2 2 2 2 5 2 4" xfId="12877" xr:uid="{C7862776-16B4-4879-9A00-9F8CD12B9C50}"/>
    <cellStyle name="Normal 8 2 2 2 2 2 5 3" xfId="6500" xr:uid="{00000000-0005-0000-0000-0000071C0000}"/>
    <cellStyle name="Normal 8 2 2 2 2 2 5 3 2" xfId="23398" xr:uid="{BDBAB7FB-0339-4869-BB44-84E33F7EF5B6}"/>
    <cellStyle name="Normal 8 2 2 2 2 2 5 3 3" xfId="14950" xr:uid="{69ACCF29-0E14-48C6-952F-4358F1DCB6C9}"/>
    <cellStyle name="Normal 8 2 2 2 2 2 5 4" xfId="19180" xr:uid="{DB231730-CB27-4EFA-940F-85D735DFFD3A}"/>
    <cellStyle name="Normal 8 2 2 2 2 2 5 5" xfId="10732" xr:uid="{A36A3D3F-608F-435E-8D28-97984D5CBC4A}"/>
    <cellStyle name="Normal 8 2 2 2 2 2 6" xfId="2630" xr:uid="{00000000-0005-0000-0000-0000081C0000}"/>
    <cellStyle name="Normal 8 2 2 2 2 2 6 2" xfId="6913" xr:uid="{00000000-0005-0000-0000-0000091C0000}"/>
    <cellStyle name="Normal 8 2 2 2 2 2 6 2 2" xfId="23811" xr:uid="{C86A7768-B373-430A-8F43-490FBBA1C672}"/>
    <cellStyle name="Normal 8 2 2 2 2 2 6 2 3" xfId="15363" xr:uid="{A775BD19-72F6-4EEC-81BF-12CA0AA1E21D}"/>
    <cellStyle name="Normal 8 2 2 2 2 2 6 3" xfId="19593" xr:uid="{25A83BE7-A9A7-4D9C-9893-CE4A265404AF}"/>
    <cellStyle name="Normal 8 2 2 2 2 2 6 4" xfId="11145" xr:uid="{71318139-5D38-4AB0-97C5-E2167A5C8D44}"/>
    <cellStyle name="Normal 8 2 2 2 2 2 7" xfId="4848" xr:uid="{00000000-0005-0000-0000-00000A1C0000}"/>
    <cellStyle name="Normal 8 2 2 2 2 2 7 2" xfId="21746" xr:uid="{5D73AF27-6573-4652-B434-1120BE8CEEC4}"/>
    <cellStyle name="Normal 8 2 2 2 2 2 7 3" xfId="13298" xr:uid="{1E6FC34B-018D-4E59-9640-4AB345D3E9F1}"/>
    <cellStyle name="Normal 8 2 2 2 2 2 8" xfId="17528" xr:uid="{9C93D533-92DF-4050-A249-1DA5C2D3A685}"/>
    <cellStyle name="Normal 8 2 2 2 2 2 9" xfId="9080" xr:uid="{E89C6313-9345-4E08-B7C9-30A31A3D597A}"/>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24303" xr:uid="{3020CEE1-25BC-4781-9DE7-E8C5760A1BC6}"/>
    <cellStyle name="Normal 8 2 2 2 2 3 2 2 3" xfId="15855" xr:uid="{BBB40E52-6063-435D-B474-93A059F19805}"/>
    <cellStyle name="Normal 8 2 2 2 2 3 2 3" xfId="20085" xr:uid="{81268B88-202A-4D0B-85BE-3C088D129F68}"/>
    <cellStyle name="Normal 8 2 2 2 2 3 2 4" xfId="11637" xr:uid="{5683C235-C2DF-4A58-B16A-3C407B246F5D}"/>
    <cellStyle name="Normal 8 2 2 2 2 3 3" xfId="5260" xr:uid="{00000000-0005-0000-0000-00000E1C0000}"/>
    <cellStyle name="Normal 8 2 2 2 2 3 3 2" xfId="22158" xr:uid="{5B7C3357-4724-48AF-ACF0-B2AADED92DD4}"/>
    <cellStyle name="Normal 8 2 2 2 2 3 3 3" xfId="13710" xr:uid="{0F09F708-B9CB-462E-9447-3B36DA6F10B9}"/>
    <cellStyle name="Normal 8 2 2 2 2 3 4" xfId="17940" xr:uid="{4D63C027-F14F-470A-B10D-DFE697C09B62}"/>
    <cellStyle name="Normal 8 2 2 2 2 3 5" xfId="9492" xr:uid="{4A1CC14B-E3FF-4C24-A159-89E744563291}"/>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24716" xr:uid="{94BB28A3-3077-4786-A436-DA4ED6EA5F1A}"/>
    <cellStyle name="Normal 8 2 2 2 2 4 2 2 3" xfId="16268" xr:uid="{7ECF44C7-53B1-4F88-8412-6B326C72D7EF}"/>
    <cellStyle name="Normal 8 2 2 2 2 4 2 3" xfId="20498" xr:uid="{DD35B7C3-0CB9-4486-910D-644C668CFCE8}"/>
    <cellStyle name="Normal 8 2 2 2 2 4 2 4" xfId="12050" xr:uid="{76C41C88-2728-4222-BB31-2D0325A504EC}"/>
    <cellStyle name="Normal 8 2 2 2 2 4 3" xfId="5673" xr:uid="{00000000-0005-0000-0000-0000121C0000}"/>
    <cellStyle name="Normal 8 2 2 2 2 4 3 2" xfId="22571" xr:uid="{8E24F007-0F7D-4E7A-819D-57FB1E50CE6F}"/>
    <cellStyle name="Normal 8 2 2 2 2 4 3 3" xfId="14123" xr:uid="{BAAEA8FB-0C2A-4596-9C6B-CC4146A3548A}"/>
    <cellStyle name="Normal 8 2 2 2 2 4 4" xfId="18353" xr:uid="{49D953F4-E50A-45AA-A4DE-E07E49E88BA2}"/>
    <cellStyle name="Normal 8 2 2 2 2 4 5" xfId="9905" xr:uid="{F2F041FB-B4EE-471A-A524-83DB7128D50B}"/>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25129" xr:uid="{1896AD40-58B9-439A-84D2-B2054E396A0D}"/>
    <cellStyle name="Normal 8 2 2 2 2 5 2 2 3" xfId="16681" xr:uid="{01B415E0-DE55-4F85-919D-0873B425A448}"/>
    <cellStyle name="Normal 8 2 2 2 2 5 2 3" xfId="20911" xr:uid="{D7A0F402-C3A0-4103-9F1D-88C14A466BD5}"/>
    <cellStyle name="Normal 8 2 2 2 2 5 2 4" xfId="12463" xr:uid="{D0E64658-837B-40CC-B1C4-AACB4A0873A0}"/>
    <cellStyle name="Normal 8 2 2 2 2 5 3" xfId="6086" xr:uid="{00000000-0005-0000-0000-0000161C0000}"/>
    <cellStyle name="Normal 8 2 2 2 2 5 3 2" xfId="22984" xr:uid="{337CE0AC-DD7D-4B50-BD3E-A12990F28799}"/>
    <cellStyle name="Normal 8 2 2 2 2 5 3 3" xfId="14536" xr:uid="{0946B713-1F39-41C5-9668-32B980941EA0}"/>
    <cellStyle name="Normal 8 2 2 2 2 5 4" xfId="18766" xr:uid="{90FB7559-C2BB-42E7-9C32-7AF98D8B97B9}"/>
    <cellStyle name="Normal 8 2 2 2 2 5 5" xfId="10318" xr:uid="{EFD04C19-E0F0-4BBE-9213-5993F60410E9}"/>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25542" xr:uid="{0AAAE42B-FBB4-4AFD-8258-C0B201DCA34A}"/>
    <cellStyle name="Normal 8 2 2 2 2 6 2 2 3" xfId="17094" xr:uid="{F351B6C2-2E5F-4D7F-84EC-0638C1121F9A}"/>
    <cellStyle name="Normal 8 2 2 2 2 6 2 3" xfId="21324" xr:uid="{700358CA-2506-457B-B7CA-A2A9BD4F5DC7}"/>
    <cellStyle name="Normal 8 2 2 2 2 6 2 4" xfId="12876" xr:uid="{D9E27292-E7E0-40C3-8F4B-4F4E0C514401}"/>
    <cellStyle name="Normal 8 2 2 2 2 6 3" xfId="6499" xr:uid="{00000000-0005-0000-0000-00001A1C0000}"/>
    <cellStyle name="Normal 8 2 2 2 2 6 3 2" xfId="23397" xr:uid="{AEA400AE-38D2-4717-A202-6BC6EDDF7FDA}"/>
    <cellStyle name="Normal 8 2 2 2 2 6 3 3" xfId="14949" xr:uid="{31E1E868-B685-43AD-A1F4-B20BBE70304A}"/>
    <cellStyle name="Normal 8 2 2 2 2 6 4" xfId="19179" xr:uid="{5EB32FD5-A6B2-4819-A4E0-A4FFCA081386}"/>
    <cellStyle name="Normal 8 2 2 2 2 6 5" xfId="10731" xr:uid="{32D63263-F1B5-4390-9EED-048F63BC9A13}"/>
    <cellStyle name="Normal 8 2 2 2 2 7" xfId="2629" xr:uid="{00000000-0005-0000-0000-00001B1C0000}"/>
    <cellStyle name="Normal 8 2 2 2 2 7 2" xfId="6912" xr:uid="{00000000-0005-0000-0000-00001C1C0000}"/>
    <cellStyle name="Normal 8 2 2 2 2 7 2 2" xfId="23810" xr:uid="{CD657618-2196-45F7-80CE-0DF839C779A0}"/>
    <cellStyle name="Normal 8 2 2 2 2 7 2 3" xfId="15362" xr:uid="{D3BC448E-992E-45A7-8A5B-4309764A2F13}"/>
    <cellStyle name="Normal 8 2 2 2 2 7 3" xfId="19592" xr:uid="{3B5E5131-FD2B-408E-BDFC-59C123330F61}"/>
    <cellStyle name="Normal 8 2 2 2 2 7 4" xfId="11144" xr:uid="{6E4756EE-54EB-41C1-8A70-2F276EB3A597}"/>
    <cellStyle name="Normal 8 2 2 2 2 8" xfId="4847" xr:uid="{00000000-0005-0000-0000-00001D1C0000}"/>
    <cellStyle name="Normal 8 2 2 2 2 8 2" xfId="21745" xr:uid="{2D43FD06-7474-40CF-B19C-7B77EC2E16AE}"/>
    <cellStyle name="Normal 8 2 2 2 2 8 3" xfId="13297" xr:uid="{006357F6-5C84-470C-9D38-991983B98E67}"/>
    <cellStyle name="Normal 8 2 2 2 2 9" xfId="17527" xr:uid="{3B7EDF68-E1B6-4882-ACE8-8EC0AE75B478}"/>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24305" xr:uid="{05F119BA-4B6F-4245-947B-CF26C75B5973}"/>
    <cellStyle name="Normal 8 2 2 2 3 2 2 2 3" xfId="15857" xr:uid="{D729115D-A19B-416A-BF79-F0FC9AE77A49}"/>
    <cellStyle name="Normal 8 2 2 2 3 2 2 3" xfId="20087" xr:uid="{20151774-88CD-4211-8E95-1C81EA4FAE97}"/>
    <cellStyle name="Normal 8 2 2 2 3 2 2 4" xfId="11639" xr:uid="{9082223C-895E-4B78-B7BF-BAA450DFC825}"/>
    <cellStyle name="Normal 8 2 2 2 3 2 3" xfId="5262" xr:uid="{00000000-0005-0000-0000-0000221C0000}"/>
    <cellStyle name="Normal 8 2 2 2 3 2 3 2" xfId="22160" xr:uid="{A7486174-D4B7-440C-95E6-F7E9B1335078}"/>
    <cellStyle name="Normal 8 2 2 2 3 2 3 3" xfId="13712" xr:uid="{14E0BF13-AAC0-4403-B4FF-A2925C4B276D}"/>
    <cellStyle name="Normal 8 2 2 2 3 2 4" xfId="17942" xr:uid="{D0A5AC81-2278-4FA2-BD58-9BECEBAD20B2}"/>
    <cellStyle name="Normal 8 2 2 2 3 2 5" xfId="9494" xr:uid="{978D71FF-DF05-4379-B865-61743D633453}"/>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24718" xr:uid="{FDEF53BD-8477-48F8-B8BE-5FC41EFB2D2C}"/>
    <cellStyle name="Normal 8 2 2 2 3 3 2 2 3" xfId="16270" xr:uid="{688C7840-8916-4233-9F40-D63ED3113A91}"/>
    <cellStyle name="Normal 8 2 2 2 3 3 2 3" xfId="20500" xr:uid="{D836ADD6-D895-457C-9A04-9C01FEBAF6B0}"/>
    <cellStyle name="Normal 8 2 2 2 3 3 2 4" xfId="12052" xr:uid="{1D9FF806-5BC2-4CBE-A7A6-E6F0B9E03071}"/>
    <cellStyle name="Normal 8 2 2 2 3 3 3" xfId="5675" xr:uid="{00000000-0005-0000-0000-0000261C0000}"/>
    <cellStyle name="Normal 8 2 2 2 3 3 3 2" xfId="22573" xr:uid="{E029BCD7-5173-40E2-A599-6506DC5A087D}"/>
    <cellStyle name="Normal 8 2 2 2 3 3 3 3" xfId="14125" xr:uid="{B888675C-98A7-41B0-8B10-32BB13067948}"/>
    <cellStyle name="Normal 8 2 2 2 3 3 4" xfId="18355" xr:uid="{481B7FDA-48D0-4205-88CF-7C5258B4C867}"/>
    <cellStyle name="Normal 8 2 2 2 3 3 5" xfId="9907" xr:uid="{2432386A-FB02-4695-9430-59D8331677F9}"/>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25131" xr:uid="{D9D83D0D-3C74-4F0C-9DA1-C3DCFDE6C6D2}"/>
    <cellStyle name="Normal 8 2 2 2 3 4 2 2 3" xfId="16683" xr:uid="{97F93ECA-3C92-4A52-B5F8-6D761D2EE9B7}"/>
    <cellStyle name="Normal 8 2 2 2 3 4 2 3" xfId="20913" xr:uid="{57C8C660-50A5-4563-996E-1201F0123773}"/>
    <cellStyle name="Normal 8 2 2 2 3 4 2 4" xfId="12465" xr:uid="{41730AB0-29DC-4BC6-9BCE-19FAD639D032}"/>
    <cellStyle name="Normal 8 2 2 2 3 4 3" xfId="6088" xr:uid="{00000000-0005-0000-0000-00002A1C0000}"/>
    <cellStyle name="Normal 8 2 2 2 3 4 3 2" xfId="22986" xr:uid="{AAC41EC7-6E79-4CFF-9275-9EAE50709DB0}"/>
    <cellStyle name="Normal 8 2 2 2 3 4 3 3" xfId="14538" xr:uid="{07E575A3-CC1C-4683-8F23-C00DEDF3A84A}"/>
    <cellStyle name="Normal 8 2 2 2 3 4 4" xfId="18768" xr:uid="{47BB14A8-7F92-4FBB-9510-7FED80F1A0C6}"/>
    <cellStyle name="Normal 8 2 2 2 3 4 5" xfId="10320" xr:uid="{B894BBBC-769F-4CF0-B505-99EF94A57329}"/>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25544" xr:uid="{15929199-CD23-4DC5-B343-D7B902E28F8D}"/>
    <cellStyle name="Normal 8 2 2 2 3 5 2 2 3" xfId="17096" xr:uid="{33D2092E-111A-4F85-A882-8FE6DCC013FC}"/>
    <cellStyle name="Normal 8 2 2 2 3 5 2 3" xfId="21326" xr:uid="{778F2D91-82DC-4559-9E3F-39B45E825C5F}"/>
    <cellStyle name="Normal 8 2 2 2 3 5 2 4" xfId="12878" xr:uid="{93179ECB-4C23-4E3F-8F25-932EFF453A66}"/>
    <cellStyle name="Normal 8 2 2 2 3 5 3" xfId="6501" xr:uid="{00000000-0005-0000-0000-00002E1C0000}"/>
    <cellStyle name="Normal 8 2 2 2 3 5 3 2" xfId="23399" xr:uid="{FFC45CFE-27EC-4E88-B8F5-3AFFCCFBEF4D}"/>
    <cellStyle name="Normal 8 2 2 2 3 5 3 3" xfId="14951" xr:uid="{16D48AB9-B3DE-4A0F-BF6C-11F7D31EAB95}"/>
    <cellStyle name="Normal 8 2 2 2 3 5 4" xfId="19181" xr:uid="{885BCAF3-1F02-48FA-A8EB-B71AF81F3C76}"/>
    <cellStyle name="Normal 8 2 2 2 3 5 5" xfId="10733" xr:uid="{1821465F-BA55-415A-A6E9-64B161829114}"/>
    <cellStyle name="Normal 8 2 2 2 3 6" xfId="2631" xr:uid="{00000000-0005-0000-0000-00002F1C0000}"/>
    <cellStyle name="Normal 8 2 2 2 3 6 2" xfId="6914" xr:uid="{00000000-0005-0000-0000-0000301C0000}"/>
    <cellStyle name="Normal 8 2 2 2 3 6 2 2" xfId="23812" xr:uid="{CE7D4685-1A02-4449-812E-61EF76C93BEB}"/>
    <cellStyle name="Normal 8 2 2 2 3 6 2 3" xfId="15364" xr:uid="{EE4AA3E0-0330-4331-A693-E534B30B74B6}"/>
    <cellStyle name="Normal 8 2 2 2 3 6 3" xfId="19594" xr:uid="{A9B16192-303B-471E-B94E-40CEAEC0779C}"/>
    <cellStyle name="Normal 8 2 2 2 3 6 4" xfId="11146" xr:uid="{5ED5B74B-770E-4706-853C-19BB27D6165E}"/>
    <cellStyle name="Normal 8 2 2 2 3 7" xfId="4849" xr:uid="{00000000-0005-0000-0000-0000311C0000}"/>
    <cellStyle name="Normal 8 2 2 2 3 7 2" xfId="21747" xr:uid="{98730C7E-572B-49D4-8B8A-60F5ED805669}"/>
    <cellStyle name="Normal 8 2 2 2 3 7 3" xfId="13299" xr:uid="{026BE734-6E19-41AD-B3DB-C6225789E9CE}"/>
    <cellStyle name="Normal 8 2 2 2 3 8" xfId="17529" xr:uid="{E3112798-5345-48D9-8849-B91120FF1296}"/>
    <cellStyle name="Normal 8 2 2 2 3 9" xfId="9081" xr:uid="{15A28468-9ED7-4A23-9571-B675430B7752}"/>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24302" xr:uid="{815C6C10-F12F-4D0E-AB0A-CCD7CDB822A7}"/>
    <cellStyle name="Normal 8 2 2 2 4 2 2 3" xfId="15854" xr:uid="{40C09AC7-3CCA-4826-97B2-7513EFE3B1B4}"/>
    <cellStyle name="Normal 8 2 2 2 4 2 3" xfId="20084" xr:uid="{E3ED4C70-DE55-4876-B159-C478BA587B59}"/>
    <cellStyle name="Normal 8 2 2 2 4 2 4" xfId="11636" xr:uid="{779B1FEF-B70D-40C4-BE93-B4D8454B3EA8}"/>
    <cellStyle name="Normal 8 2 2 2 4 3" xfId="5259" xr:uid="{00000000-0005-0000-0000-0000351C0000}"/>
    <cellStyle name="Normal 8 2 2 2 4 3 2" xfId="22157" xr:uid="{0DFDCBF9-1A47-4F3A-B465-11C1B819ED16}"/>
    <cellStyle name="Normal 8 2 2 2 4 3 3" xfId="13709" xr:uid="{C314A539-F71F-43DF-B227-48733534FBFC}"/>
    <cellStyle name="Normal 8 2 2 2 4 4" xfId="17939" xr:uid="{8110D599-0D9F-4FD8-917E-F34C64E4EB74}"/>
    <cellStyle name="Normal 8 2 2 2 4 5" xfId="9491" xr:uid="{11858A81-7EAD-4120-8A66-9E019705F51B}"/>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24715" xr:uid="{EB261D60-0B52-41A9-99FE-AEAA1735D75C}"/>
    <cellStyle name="Normal 8 2 2 2 5 2 2 3" xfId="16267" xr:uid="{03D051C6-F7EC-420D-B352-BF43B75282B8}"/>
    <cellStyle name="Normal 8 2 2 2 5 2 3" xfId="20497" xr:uid="{1B281F18-2039-4126-AFAB-39003D45E615}"/>
    <cellStyle name="Normal 8 2 2 2 5 2 4" xfId="12049" xr:uid="{99C385AE-104E-4578-9CA4-86C3417A6B38}"/>
    <cellStyle name="Normal 8 2 2 2 5 3" xfId="5672" xr:uid="{00000000-0005-0000-0000-0000391C0000}"/>
    <cellStyle name="Normal 8 2 2 2 5 3 2" xfId="22570" xr:uid="{61581A23-6FE7-4625-9A65-4268D2DD9068}"/>
    <cellStyle name="Normal 8 2 2 2 5 3 3" xfId="14122" xr:uid="{FAD41A4F-A4E2-46D8-BF00-E9D9C1AA8B6E}"/>
    <cellStyle name="Normal 8 2 2 2 5 4" xfId="18352" xr:uid="{1CF45CE5-BDAC-496E-85E9-DA4BD969E030}"/>
    <cellStyle name="Normal 8 2 2 2 5 5" xfId="9904" xr:uid="{ACED20C7-1DAB-46FE-B042-3CEE1FE3075F}"/>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25128" xr:uid="{B27CB029-3E93-4C76-AF5F-635C4E7918D6}"/>
    <cellStyle name="Normal 8 2 2 2 6 2 2 3" xfId="16680" xr:uid="{D7AB2F51-A6EE-4AC1-9649-B64DB5DF3B48}"/>
    <cellStyle name="Normal 8 2 2 2 6 2 3" xfId="20910" xr:uid="{C0781BA4-47B6-4CBE-A79D-7EED8A1C574D}"/>
    <cellStyle name="Normal 8 2 2 2 6 2 4" xfId="12462" xr:uid="{D9FC3330-F8B4-4FB8-BF08-B0C1CB766339}"/>
    <cellStyle name="Normal 8 2 2 2 6 3" xfId="6085" xr:uid="{00000000-0005-0000-0000-00003D1C0000}"/>
    <cellStyle name="Normal 8 2 2 2 6 3 2" xfId="22983" xr:uid="{C91D9AE8-8D5A-4EB0-A85D-F7E06D8ACA60}"/>
    <cellStyle name="Normal 8 2 2 2 6 3 3" xfId="14535" xr:uid="{610E5C54-2EC0-4973-BD8A-8D1376022177}"/>
    <cellStyle name="Normal 8 2 2 2 6 4" xfId="18765" xr:uid="{A43B0956-1B53-4192-99C7-22F852062B90}"/>
    <cellStyle name="Normal 8 2 2 2 6 5" xfId="10317" xr:uid="{C8192E2F-8910-4866-B9E6-759A95963318}"/>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25541" xr:uid="{0F77BF80-66AA-4D3E-A203-924B5E4B389C}"/>
    <cellStyle name="Normal 8 2 2 2 7 2 2 3" xfId="17093" xr:uid="{B6D2F73C-10DF-4479-B71D-3220DBC03CCF}"/>
    <cellStyle name="Normal 8 2 2 2 7 2 3" xfId="21323" xr:uid="{0F36FB4E-7977-4E7B-83B3-F1CF48931843}"/>
    <cellStyle name="Normal 8 2 2 2 7 2 4" xfId="12875" xr:uid="{E42FE5B3-FFFC-4239-92F1-A924D8C4C953}"/>
    <cellStyle name="Normal 8 2 2 2 7 3" xfId="6498" xr:uid="{00000000-0005-0000-0000-0000411C0000}"/>
    <cellStyle name="Normal 8 2 2 2 7 3 2" xfId="23396" xr:uid="{51CF9952-6D94-479B-B45B-D4741D970FE6}"/>
    <cellStyle name="Normal 8 2 2 2 7 3 3" xfId="14948" xr:uid="{309A95B8-A7CB-4233-9978-6682FBC6F4AA}"/>
    <cellStyle name="Normal 8 2 2 2 7 4" xfId="19178" xr:uid="{3878ECBC-27CD-45FF-B491-80BC179AA03E}"/>
    <cellStyle name="Normal 8 2 2 2 7 5" xfId="10730" xr:uid="{D3185EE2-32CA-4616-964E-8474CE77F3EE}"/>
    <cellStyle name="Normal 8 2 2 2 8" xfId="2628" xr:uid="{00000000-0005-0000-0000-0000421C0000}"/>
    <cellStyle name="Normal 8 2 2 2 8 2" xfId="6911" xr:uid="{00000000-0005-0000-0000-0000431C0000}"/>
    <cellStyle name="Normal 8 2 2 2 8 2 2" xfId="23809" xr:uid="{5FC7F64D-8028-4458-915A-FF451B37EC6B}"/>
    <cellStyle name="Normal 8 2 2 2 8 2 3" xfId="15361" xr:uid="{70E5F66D-82A5-40DF-84CB-C6BE5D5B2C87}"/>
    <cellStyle name="Normal 8 2 2 2 8 3" xfId="19591" xr:uid="{E5C7CBC2-89D9-4411-A936-E6E51F87F6D6}"/>
    <cellStyle name="Normal 8 2 2 2 8 4" xfId="11143" xr:uid="{AAE245F5-7CB0-415E-9090-D9A60E350796}"/>
    <cellStyle name="Normal 8 2 2 2 9" xfId="4846" xr:uid="{00000000-0005-0000-0000-0000441C0000}"/>
    <cellStyle name="Normal 8 2 2 2 9 2" xfId="21744" xr:uid="{F3D1349D-8A48-4187-82DF-D9428F4063E4}"/>
    <cellStyle name="Normal 8 2 2 2 9 3" xfId="13296" xr:uid="{06CA993F-1F7C-4513-8D41-D5BB1AAD99BB}"/>
    <cellStyle name="Normal 8 2 2 3" xfId="485" xr:uid="{00000000-0005-0000-0000-0000451C0000}"/>
    <cellStyle name="Normal 8 2 2 3 10" xfId="9082" xr:uid="{BDA3B7D7-8880-400A-A7A2-215713D121DD}"/>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24307" xr:uid="{C6923175-9333-4BAD-B159-FED25FF6D98B}"/>
    <cellStyle name="Normal 8 2 2 3 2 2 2 2 3" xfId="15859" xr:uid="{346E1B73-4CBA-4800-9FF8-C98F1368B9AB}"/>
    <cellStyle name="Normal 8 2 2 3 2 2 2 3" xfId="20089" xr:uid="{02036B52-D5AF-4D89-9B61-6E054001865F}"/>
    <cellStyle name="Normal 8 2 2 3 2 2 2 4" xfId="11641" xr:uid="{765A7C3C-9F93-4A24-9A78-DB381C85E50E}"/>
    <cellStyle name="Normal 8 2 2 3 2 2 3" xfId="5264" xr:uid="{00000000-0005-0000-0000-00004A1C0000}"/>
    <cellStyle name="Normal 8 2 2 3 2 2 3 2" xfId="22162" xr:uid="{5AB7B219-9753-4DB4-90AF-0FA1DCC7B6E9}"/>
    <cellStyle name="Normal 8 2 2 3 2 2 3 3" xfId="13714" xr:uid="{E1C8FF78-5DC9-4241-BE8E-871FBA2AA435}"/>
    <cellStyle name="Normal 8 2 2 3 2 2 4" xfId="17944" xr:uid="{A729F208-3C9E-4A85-83B2-85CB2BDE844F}"/>
    <cellStyle name="Normal 8 2 2 3 2 2 5" xfId="9496" xr:uid="{1BADD16B-C7B2-4500-9DA9-3491AE0D077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24720" xr:uid="{27FB3F23-1897-461C-B51E-2DD7204D1498}"/>
    <cellStyle name="Normal 8 2 2 3 2 3 2 2 3" xfId="16272" xr:uid="{A24B5581-753E-4D3C-A051-C2374E665CAC}"/>
    <cellStyle name="Normal 8 2 2 3 2 3 2 3" xfId="20502" xr:uid="{2966C01A-5FAD-478E-8109-6104E12EF297}"/>
    <cellStyle name="Normal 8 2 2 3 2 3 2 4" xfId="12054" xr:uid="{ED26202A-9084-4505-AE9B-74BFDE31EAF7}"/>
    <cellStyle name="Normal 8 2 2 3 2 3 3" xfId="5677" xr:uid="{00000000-0005-0000-0000-00004E1C0000}"/>
    <cellStyle name="Normal 8 2 2 3 2 3 3 2" xfId="22575" xr:uid="{46E5493D-ADFD-4F77-A51D-35D9B52DBC9E}"/>
    <cellStyle name="Normal 8 2 2 3 2 3 3 3" xfId="14127" xr:uid="{F1E37170-988F-4B29-B424-30BFBFF15FC5}"/>
    <cellStyle name="Normal 8 2 2 3 2 3 4" xfId="18357" xr:uid="{4C2B84D9-2611-4DFC-B069-38C26A6592A2}"/>
    <cellStyle name="Normal 8 2 2 3 2 3 5" xfId="9909" xr:uid="{85C4CA24-20CE-484E-AFBD-5D6A862C75DE}"/>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25133" xr:uid="{09039A4A-3393-4883-A271-96E07A541533}"/>
    <cellStyle name="Normal 8 2 2 3 2 4 2 2 3" xfId="16685" xr:uid="{A5374732-E411-4ACC-BF63-40C15D72D599}"/>
    <cellStyle name="Normal 8 2 2 3 2 4 2 3" xfId="20915" xr:uid="{EF8CFA2D-C8E8-4ADC-93FC-C693A72CCFF6}"/>
    <cellStyle name="Normal 8 2 2 3 2 4 2 4" xfId="12467" xr:uid="{B1E4E9C8-8EEC-41D9-A78E-E1865BCDCDC4}"/>
    <cellStyle name="Normal 8 2 2 3 2 4 3" xfId="6090" xr:uid="{00000000-0005-0000-0000-0000521C0000}"/>
    <cellStyle name="Normal 8 2 2 3 2 4 3 2" xfId="22988" xr:uid="{06D5D411-ACA6-46E7-998B-8C7AE907F0F6}"/>
    <cellStyle name="Normal 8 2 2 3 2 4 3 3" xfId="14540" xr:uid="{1CCFA4B3-7F51-4844-80E9-E3C234EF417F}"/>
    <cellStyle name="Normal 8 2 2 3 2 4 4" xfId="18770" xr:uid="{DD98D404-8A6D-463B-A11D-6F325041F145}"/>
    <cellStyle name="Normal 8 2 2 3 2 4 5" xfId="10322" xr:uid="{27B09CF6-93F1-474B-B398-32B179F3F7E9}"/>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25546" xr:uid="{005D9C7D-9447-435C-AC96-EEDDBCB0CB3C}"/>
    <cellStyle name="Normal 8 2 2 3 2 5 2 2 3" xfId="17098" xr:uid="{0FC24B9D-44C9-4DC9-A4AC-33547C1BEB9B}"/>
    <cellStyle name="Normal 8 2 2 3 2 5 2 3" xfId="21328" xr:uid="{D072C052-E7B2-4C93-A653-00490E09EE94}"/>
    <cellStyle name="Normal 8 2 2 3 2 5 2 4" xfId="12880" xr:uid="{9442281D-D107-4219-A397-1C5EDDC6DB58}"/>
    <cellStyle name="Normal 8 2 2 3 2 5 3" xfId="6503" xr:uid="{00000000-0005-0000-0000-0000561C0000}"/>
    <cellStyle name="Normal 8 2 2 3 2 5 3 2" xfId="23401" xr:uid="{1402085A-CD1F-4ECB-93A4-C5BA95F3BAA6}"/>
    <cellStyle name="Normal 8 2 2 3 2 5 3 3" xfId="14953" xr:uid="{DA54D766-22FE-4E69-94B3-D836A3A8FF51}"/>
    <cellStyle name="Normal 8 2 2 3 2 5 4" xfId="19183" xr:uid="{8D177CAF-31FA-4781-BE12-949D12B507FE}"/>
    <cellStyle name="Normal 8 2 2 3 2 5 5" xfId="10735" xr:uid="{19C81D4E-4497-4D09-94A7-C76EE808D89E}"/>
    <cellStyle name="Normal 8 2 2 3 2 6" xfId="2633" xr:uid="{00000000-0005-0000-0000-0000571C0000}"/>
    <cellStyle name="Normal 8 2 2 3 2 6 2" xfId="6916" xr:uid="{00000000-0005-0000-0000-0000581C0000}"/>
    <cellStyle name="Normal 8 2 2 3 2 6 2 2" xfId="23814" xr:uid="{826BC66D-FF04-4034-8389-9E847482AE3C}"/>
    <cellStyle name="Normal 8 2 2 3 2 6 2 3" xfId="15366" xr:uid="{EC3C7EA8-4227-4794-85E0-9F0D4CDA8372}"/>
    <cellStyle name="Normal 8 2 2 3 2 6 3" xfId="19596" xr:uid="{9E5D4D67-4E49-427D-8D5F-C0C5C08078F3}"/>
    <cellStyle name="Normal 8 2 2 3 2 6 4" xfId="11148" xr:uid="{26127EF9-5078-4F3E-A1F5-50BDB42DA6E6}"/>
    <cellStyle name="Normal 8 2 2 3 2 7" xfId="4851" xr:uid="{00000000-0005-0000-0000-0000591C0000}"/>
    <cellStyle name="Normal 8 2 2 3 2 7 2" xfId="21749" xr:uid="{A6C42489-5160-449A-A1FF-880FFC2925B9}"/>
    <cellStyle name="Normal 8 2 2 3 2 7 3" xfId="13301" xr:uid="{9AE7BFAF-736F-4B17-90EC-0710512D325E}"/>
    <cellStyle name="Normal 8 2 2 3 2 8" xfId="17531" xr:uid="{11B39350-3E35-4777-ADBF-73C0EC83FE2D}"/>
    <cellStyle name="Normal 8 2 2 3 2 9" xfId="9083" xr:uid="{8603BA4D-8F57-4AA5-9523-E3B04714BBBB}"/>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24306" xr:uid="{F6DF87A5-E770-4F7A-85CD-0EB83A8D1D7B}"/>
    <cellStyle name="Normal 8 2 2 3 3 2 2 3" xfId="15858" xr:uid="{579603F8-794D-449A-BC72-3CE1E1873227}"/>
    <cellStyle name="Normal 8 2 2 3 3 2 3" xfId="20088" xr:uid="{3259DF07-01D5-449D-80F2-2694720CD7CD}"/>
    <cellStyle name="Normal 8 2 2 3 3 2 4" xfId="11640" xr:uid="{E04D8F33-D650-45BE-A22E-BFBD13EE17AA}"/>
    <cellStyle name="Normal 8 2 2 3 3 3" xfId="5263" xr:uid="{00000000-0005-0000-0000-00005D1C0000}"/>
    <cellStyle name="Normal 8 2 2 3 3 3 2" xfId="22161" xr:uid="{360FE3E8-D0D1-4844-A83E-BA9D249856E3}"/>
    <cellStyle name="Normal 8 2 2 3 3 3 3" xfId="13713" xr:uid="{14178249-F565-4ABB-B87F-7185DFD104D6}"/>
    <cellStyle name="Normal 8 2 2 3 3 4" xfId="17943" xr:uid="{8EA0A4A9-9C7A-4832-B3D5-A63160B30DD6}"/>
    <cellStyle name="Normal 8 2 2 3 3 5" xfId="9495" xr:uid="{022F6AD6-DF98-4915-BF35-AC96BFEA6ABB}"/>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24719" xr:uid="{D5B0186F-DCBC-43F6-AB12-959D14220A5C}"/>
    <cellStyle name="Normal 8 2 2 3 4 2 2 3" xfId="16271" xr:uid="{6B2600FC-221B-4AF0-B1E8-A45830DFB9B4}"/>
    <cellStyle name="Normal 8 2 2 3 4 2 3" xfId="20501" xr:uid="{925886AE-FCDF-4DCB-8FAD-1264CE7CF12A}"/>
    <cellStyle name="Normal 8 2 2 3 4 2 4" xfId="12053" xr:uid="{2729BEBE-61D5-4502-8457-C2DA8175FA7B}"/>
    <cellStyle name="Normal 8 2 2 3 4 3" xfId="5676" xr:uid="{00000000-0005-0000-0000-0000611C0000}"/>
    <cellStyle name="Normal 8 2 2 3 4 3 2" xfId="22574" xr:uid="{0AD37ABF-F740-4C97-906C-81B5CB5A0080}"/>
    <cellStyle name="Normal 8 2 2 3 4 3 3" xfId="14126" xr:uid="{EBBA790F-1360-4C60-A03D-6D1A8F0E649D}"/>
    <cellStyle name="Normal 8 2 2 3 4 4" xfId="18356" xr:uid="{37C9A829-D43C-4EFB-9214-8C8385C1ED96}"/>
    <cellStyle name="Normal 8 2 2 3 4 5" xfId="9908" xr:uid="{B2370C5F-C835-475C-94F3-C41F4D8769DC}"/>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25132" xr:uid="{CA26139F-7E01-42F2-B514-AE7198C6C114}"/>
    <cellStyle name="Normal 8 2 2 3 5 2 2 3" xfId="16684" xr:uid="{F4BFF32B-13E9-41BC-AEF2-1740AA853D14}"/>
    <cellStyle name="Normal 8 2 2 3 5 2 3" xfId="20914" xr:uid="{E16C1E23-8496-49C8-A364-3891A6ED2CA0}"/>
    <cellStyle name="Normal 8 2 2 3 5 2 4" xfId="12466" xr:uid="{478B6868-7CBE-41B7-848D-685631AA4677}"/>
    <cellStyle name="Normal 8 2 2 3 5 3" xfId="6089" xr:uid="{00000000-0005-0000-0000-0000651C0000}"/>
    <cellStyle name="Normal 8 2 2 3 5 3 2" xfId="22987" xr:uid="{00CF7617-2DA5-44AF-92CF-2252D4CBB403}"/>
    <cellStyle name="Normal 8 2 2 3 5 3 3" xfId="14539" xr:uid="{1F37BD8C-BDC7-4BCE-A170-95CA2FA1A053}"/>
    <cellStyle name="Normal 8 2 2 3 5 4" xfId="18769" xr:uid="{C0E9BFF2-B082-4B4E-8C83-EED7D8E9E128}"/>
    <cellStyle name="Normal 8 2 2 3 5 5" xfId="10321" xr:uid="{F300FDA6-3C7A-4663-8A40-E7968272223E}"/>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25545" xr:uid="{A5A005F5-9D28-4B0F-9DBA-B82EAD39E398}"/>
    <cellStyle name="Normal 8 2 2 3 6 2 2 3" xfId="17097" xr:uid="{DE8958EE-1987-46E6-A924-AD11A00D5613}"/>
    <cellStyle name="Normal 8 2 2 3 6 2 3" xfId="21327" xr:uid="{3F03E458-94FD-4111-B4F6-1DC6BA0E66E2}"/>
    <cellStyle name="Normal 8 2 2 3 6 2 4" xfId="12879" xr:uid="{F7EE5738-E3A1-4F4F-BE8F-AAA1953F17D2}"/>
    <cellStyle name="Normal 8 2 2 3 6 3" xfId="6502" xr:uid="{00000000-0005-0000-0000-0000691C0000}"/>
    <cellStyle name="Normal 8 2 2 3 6 3 2" xfId="23400" xr:uid="{F17A8BB1-71C6-4925-ADDF-D8456CB69444}"/>
    <cellStyle name="Normal 8 2 2 3 6 3 3" xfId="14952" xr:uid="{420A6335-B954-48A7-9623-6E29BAD9A15F}"/>
    <cellStyle name="Normal 8 2 2 3 6 4" xfId="19182" xr:uid="{8D8D6CD8-C283-4D62-B303-F86A83119CC8}"/>
    <cellStyle name="Normal 8 2 2 3 6 5" xfId="10734" xr:uid="{37D55190-96F3-4070-AEE3-A7688ED2B068}"/>
    <cellStyle name="Normal 8 2 2 3 7" xfId="2632" xr:uid="{00000000-0005-0000-0000-00006A1C0000}"/>
    <cellStyle name="Normal 8 2 2 3 7 2" xfId="6915" xr:uid="{00000000-0005-0000-0000-00006B1C0000}"/>
    <cellStyle name="Normal 8 2 2 3 7 2 2" xfId="23813" xr:uid="{7215B5AC-881F-4EAB-B49E-0000C3314F0B}"/>
    <cellStyle name="Normal 8 2 2 3 7 2 3" xfId="15365" xr:uid="{9EAA59E5-D3E7-4038-9C1B-D7510747BA00}"/>
    <cellStyle name="Normal 8 2 2 3 7 3" xfId="19595" xr:uid="{19E0700A-7026-477E-A79E-F36B91F0FE09}"/>
    <cellStyle name="Normal 8 2 2 3 7 4" xfId="11147" xr:uid="{FDF37D76-6E3B-4789-9DE2-5D4863B6D6F7}"/>
    <cellStyle name="Normal 8 2 2 3 8" xfId="4850" xr:uid="{00000000-0005-0000-0000-00006C1C0000}"/>
    <cellStyle name="Normal 8 2 2 3 8 2" xfId="21748" xr:uid="{02873595-E213-4A4B-989D-0068691C0E92}"/>
    <cellStyle name="Normal 8 2 2 3 8 3" xfId="13300" xr:uid="{652E9248-2FBF-465C-85AC-A8E606493613}"/>
    <cellStyle name="Normal 8 2 2 3 9" xfId="17530" xr:uid="{03458259-F3D6-476D-A827-97C983EA231D}"/>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24308" xr:uid="{2BE9E79B-19FA-4902-BEB4-C6471A2F9139}"/>
    <cellStyle name="Normal 8 2 2 4 2 2 2 3" xfId="15860" xr:uid="{290D09B3-009C-4D48-8ED2-C9B48237DA8C}"/>
    <cellStyle name="Normal 8 2 2 4 2 2 3" xfId="20090" xr:uid="{D9314DBD-6C22-4CC6-9D06-38361DA91EA8}"/>
    <cellStyle name="Normal 8 2 2 4 2 2 4" xfId="11642" xr:uid="{36C963E2-2A3D-43F0-B186-C85A8E367084}"/>
    <cellStyle name="Normal 8 2 2 4 2 3" xfId="5265" xr:uid="{00000000-0005-0000-0000-0000711C0000}"/>
    <cellStyle name="Normal 8 2 2 4 2 3 2" xfId="22163" xr:uid="{7EFD1741-4684-4978-A62E-4BEB63914113}"/>
    <cellStyle name="Normal 8 2 2 4 2 3 3" xfId="13715" xr:uid="{E5157A55-AD18-4745-B7AA-FE9D89B0DD69}"/>
    <cellStyle name="Normal 8 2 2 4 2 4" xfId="17945" xr:uid="{0E4D5BB8-64FB-4278-B83C-705EB6BACEEA}"/>
    <cellStyle name="Normal 8 2 2 4 2 5" xfId="9497" xr:uid="{72F3B882-3F04-4766-937D-BB34A5DD3E41}"/>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24721" xr:uid="{A3A83055-2FCF-41B5-A4A2-79AAA347824C}"/>
    <cellStyle name="Normal 8 2 2 4 3 2 2 3" xfId="16273" xr:uid="{79E2202E-2F6D-4170-90DB-0D0F33B3D27F}"/>
    <cellStyle name="Normal 8 2 2 4 3 2 3" xfId="20503" xr:uid="{CC652DD9-199E-4A9E-96EE-5E6126A166AE}"/>
    <cellStyle name="Normal 8 2 2 4 3 2 4" xfId="12055" xr:uid="{2D768403-DB6A-43C4-818A-3436868D3FF3}"/>
    <cellStyle name="Normal 8 2 2 4 3 3" xfId="5678" xr:uid="{00000000-0005-0000-0000-0000751C0000}"/>
    <cellStyle name="Normal 8 2 2 4 3 3 2" xfId="22576" xr:uid="{E0B051F3-EEDE-4D8A-BD98-B3B8DE150EA3}"/>
    <cellStyle name="Normal 8 2 2 4 3 3 3" xfId="14128" xr:uid="{10A5CD13-09E8-41AA-9BA0-538D7D087A9C}"/>
    <cellStyle name="Normal 8 2 2 4 3 4" xfId="18358" xr:uid="{519D4ECF-C02B-4DC4-A8C8-1A1C9DA25C37}"/>
    <cellStyle name="Normal 8 2 2 4 3 5" xfId="9910" xr:uid="{5B2D916A-664E-4973-9490-D6556ADF349F}"/>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25134" xr:uid="{5751FDA4-2732-407F-827B-468F169F6B58}"/>
    <cellStyle name="Normal 8 2 2 4 4 2 2 3" xfId="16686" xr:uid="{E265300B-45A2-470A-B9DD-7B8853AAB28C}"/>
    <cellStyle name="Normal 8 2 2 4 4 2 3" xfId="20916" xr:uid="{B1846AAC-04A3-477D-A43F-97027DFE4771}"/>
    <cellStyle name="Normal 8 2 2 4 4 2 4" xfId="12468" xr:uid="{E99526AF-8F15-45F3-88E9-85046ACF2D65}"/>
    <cellStyle name="Normal 8 2 2 4 4 3" xfId="6091" xr:uid="{00000000-0005-0000-0000-0000791C0000}"/>
    <cellStyle name="Normal 8 2 2 4 4 3 2" xfId="22989" xr:uid="{EC933FFC-92ED-4EAD-B88F-BFB924F2CDE4}"/>
    <cellStyle name="Normal 8 2 2 4 4 3 3" xfId="14541" xr:uid="{66C73F54-B97E-4347-9D43-48BC358D63FB}"/>
    <cellStyle name="Normal 8 2 2 4 4 4" xfId="18771" xr:uid="{D77E1123-5398-4891-A50F-56889AAFEE35}"/>
    <cellStyle name="Normal 8 2 2 4 4 5" xfId="10323" xr:uid="{871C7ECD-D878-4FD5-8972-03924575E9B2}"/>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25547" xr:uid="{DCE2CB50-5211-4C96-A6F1-6C1B6EB1F8CC}"/>
    <cellStyle name="Normal 8 2 2 4 5 2 2 3" xfId="17099" xr:uid="{400B85C4-EFE6-4C4C-BFC4-1D431A8F6D8D}"/>
    <cellStyle name="Normal 8 2 2 4 5 2 3" xfId="21329" xr:uid="{7B997769-3756-4B24-A142-2CB2601E35CD}"/>
    <cellStyle name="Normal 8 2 2 4 5 2 4" xfId="12881" xr:uid="{A804AA9D-2F56-4890-A0B3-3CC4E363B1D4}"/>
    <cellStyle name="Normal 8 2 2 4 5 3" xfId="6504" xr:uid="{00000000-0005-0000-0000-00007D1C0000}"/>
    <cellStyle name="Normal 8 2 2 4 5 3 2" xfId="23402" xr:uid="{9A597320-35EC-463C-9F9C-26582537A637}"/>
    <cellStyle name="Normal 8 2 2 4 5 3 3" xfId="14954" xr:uid="{C8AB09F8-BC94-4C35-B746-8453C9E05BB1}"/>
    <cellStyle name="Normal 8 2 2 4 5 4" xfId="19184" xr:uid="{72FB76C5-FAD1-4178-ADB5-CB930B06614A}"/>
    <cellStyle name="Normal 8 2 2 4 5 5" xfId="10736" xr:uid="{A2BF5005-DC16-4519-A337-D5C3B252965C}"/>
    <cellStyle name="Normal 8 2 2 4 6" xfId="2634" xr:uid="{00000000-0005-0000-0000-00007E1C0000}"/>
    <cellStyle name="Normal 8 2 2 4 6 2" xfId="6917" xr:uid="{00000000-0005-0000-0000-00007F1C0000}"/>
    <cellStyle name="Normal 8 2 2 4 6 2 2" xfId="23815" xr:uid="{369766F8-1D28-4703-AC3B-D352D34769A9}"/>
    <cellStyle name="Normal 8 2 2 4 6 2 3" xfId="15367" xr:uid="{18431682-2320-4EA6-A541-9F6F076CD6FB}"/>
    <cellStyle name="Normal 8 2 2 4 6 3" xfId="19597" xr:uid="{E00CB028-A42D-463A-8206-25908320B014}"/>
    <cellStyle name="Normal 8 2 2 4 6 4" xfId="11149" xr:uid="{E316DC69-599A-482D-83F6-3FC65A14388E}"/>
    <cellStyle name="Normal 8 2 2 4 7" xfId="4852" xr:uid="{00000000-0005-0000-0000-0000801C0000}"/>
    <cellStyle name="Normal 8 2 2 4 7 2" xfId="21750" xr:uid="{663B427F-ECDE-44F3-8313-A8ADC631B2CE}"/>
    <cellStyle name="Normal 8 2 2 4 7 3" xfId="13302" xr:uid="{744304A9-1242-4D11-BF1A-13E36561E03C}"/>
    <cellStyle name="Normal 8 2 2 4 8" xfId="17532" xr:uid="{B24D706E-30EB-45C3-BD51-6FE6DC923917}"/>
    <cellStyle name="Normal 8 2 2 4 9" xfId="9084" xr:uid="{456C9C81-1BE7-4635-AA57-3617016BB225}"/>
    <cellStyle name="Normal 8 2 2 5" xfId="947" xr:uid="{00000000-0005-0000-0000-0000811C0000}"/>
    <cellStyle name="Normal 8 2 2 5 2" xfId="3181" xr:uid="{00000000-0005-0000-0000-0000821C0000}"/>
    <cellStyle name="Normal 8 2 2 5 2 2" xfId="7403" xr:uid="{00000000-0005-0000-0000-0000831C0000}"/>
    <cellStyle name="Normal 8 2 2 5 2 2 2" xfId="24301" xr:uid="{19ECC1F2-0856-4738-ABF8-A318275AE5A2}"/>
    <cellStyle name="Normal 8 2 2 5 2 2 3" xfId="15853" xr:uid="{6F6C1655-C7D7-439D-AE62-B06DD56EF4BB}"/>
    <cellStyle name="Normal 8 2 2 5 2 3" xfId="20083" xr:uid="{EB89AD99-8C33-400A-B3A1-CC6B18D3198E}"/>
    <cellStyle name="Normal 8 2 2 5 2 4" xfId="11635" xr:uid="{781E8BBC-797F-49A3-BB39-BCE7777518B7}"/>
    <cellStyle name="Normal 8 2 2 5 3" xfId="5258" xr:uid="{00000000-0005-0000-0000-0000841C0000}"/>
    <cellStyle name="Normal 8 2 2 5 3 2" xfId="22156" xr:uid="{8A91604B-493B-4CC4-A9FC-5440B4FCB3DA}"/>
    <cellStyle name="Normal 8 2 2 5 3 3" xfId="13708" xr:uid="{F80534BB-CF96-4B64-9996-557F7C8BB838}"/>
    <cellStyle name="Normal 8 2 2 5 4" xfId="17938" xr:uid="{C04E6B56-997F-40A7-B922-AAFB18A810ED}"/>
    <cellStyle name="Normal 8 2 2 5 5" xfId="9490" xr:uid="{AFB35B7D-D6B3-419A-BCC3-A23973E1585A}"/>
    <cellStyle name="Normal 8 2 2 6" xfId="1364" xr:uid="{00000000-0005-0000-0000-0000851C0000}"/>
    <cellStyle name="Normal 8 2 2 6 2" xfId="3594" xr:uid="{00000000-0005-0000-0000-0000861C0000}"/>
    <cellStyle name="Normal 8 2 2 6 2 2" xfId="7816" xr:uid="{00000000-0005-0000-0000-0000871C0000}"/>
    <cellStyle name="Normal 8 2 2 6 2 2 2" xfId="24714" xr:uid="{68D5929A-1BA1-445F-ACD5-69C9628C0A57}"/>
    <cellStyle name="Normal 8 2 2 6 2 2 3" xfId="16266" xr:uid="{5E86A146-0CC1-4A89-A28C-00889C6CED81}"/>
    <cellStyle name="Normal 8 2 2 6 2 3" xfId="20496" xr:uid="{FC5BD120-811E-4973-B1E9-D0F8C1EC3160}"/>
    <cellStyle name="Normal 8 2 2 6 2 4" xfId="12048" xr:uid="{29EB3AB6-2E80-4F32-A201-013B4ED71BFC}"/>
    <cellStyle name="Normal 8 2 2 6 3" xfId="5671" xr:uid="{00000000-0005-0000-0000-0000881C0000}"/>
    <cellStyle name="Normal 8 2 2 6 3 2" xfId="22569" xr:uid="{AF7CC7EE-64A2-4AC7-93E2-72509050D8E3}"/>
    <cellStyle name="Normal 8 2 2 6 3 3" xfId="14121" xr:uid="{17201941-7F3E-47F3-9FD2-27C572E692A3}"/>
    <cellStyle name="Normal 8 2 2 6 4" xfId="18351" xr:uid="{0C54E0D3-5549-4A34-98D6-8EBB2FA41F0B}"/>
    <cellStyle name="Normal 8 2 2 6 5" xfId="9903" xr:uid="{455282F2-A7F9-4289-B467-46DE4AF70024}"/>
    <cellStyle name="Normal 8 2 2 7" xfId="1777" xr:uid="{00000000-0005-0000-0000-0000891C0000}"/>
    <cellStyle name="Normal 8 2 2 7 2" xfId="4007" xr:uid="{00000000-0005-0000-0000-00008A1C0000}"/>
    <cellStyle name="Normal 8 2 2 7 2 2" xfId="8229" xr:uid="{00000000-0005-0000-0000-00008B1C0000}"/>
    <cellStyle name="Normal 8 2 2 7 2 2 2" xfId="25127" xr:uid="{D7D65333-18A4-4BA7-8318-8B1806307091}"/>
    <cellStyle name="Normal 8 2 2 7 2 2 3" xfId="16679" xr:uid="{193B1E4C-B912-4118-9BCF-8942A0066C44}"/>
    <cellStyle name="Normal 8 2 2 7 2 3" xfId="20909" xr:uid="{39BE730D-0739-445C-A9B3-9281ADA78D84}"/>
    <cellStyle name="Normal 8 2 2 7 2 4" xfId="12461" xr:uid="{D8B103D7-02A5-488B-98BF-20E838B49069}"/>
    <cellStyle name="Normal 8 2 2 7 3" xfId="6084" xr:uid="{00000000-0005-0000-0000-00008C1C0000}"/>
    <cellStyle name="Normal 8 2 2 7 3 2" xfId="22982" xr:uid="{34E058B7-125B-41DC-ADD4-2D1E115DD1E8}"/>
    <cellStyle name="Normal 8 2 2 7 3 3" xfId="14534" xr:uid="{B3086BCA-3373-4EFF-AC87-26AB7BECE81B}"/>
    <cellStyle name="Normal 8 2 2 7 4" xfId="18764" xr:uid="{1BBF5528-031C-4E47-B519-45ACFFEE6637}"/>
    <cellStyle name="Normal 8 2 2 7 5" xfId="10316" xr:uid="{37526BAC-B9DB-4A63-93AA-C9BB1E791C86}"/>
    <cellStyle name="Normal 8 2 2 8" xfId="2191" xr:uid="{00000000-0005-0000-0000-00008D1C0000}"/>
    <cellStyle name="Normal 8 2 2 8 2" xfId="4420" xr:uid="{00000000-0005-0000-0000-00008E1C0000}"/>
    <cellStyle name="Normal 8 2 2 8 2 2" xfId="8642" xr:uid="{00000000-0005-0000-0000-00008F1C0000}"/>
    <cellStyle name="Normal 8 2 2 8 2 2 2" xfId="25540" xr:uid="{ED38942E-5148-48FB-A087-D1E6CEBE0902}"/>
    <cellStyle name="Normal 8 2 2 8 2 2 3" xfId="17092" xr:uid="{3E060226-679F-443B-962E-B860A8A96EC9}"/>
    <cellStyle name="Normal 8 2 2 8 2 3" xfId="21322" xr:uid="{25153DFE-4A61-4E57-B5DE-96A3823B8EC0}"/>
    <cellStyle name="Normal 8 2 2 8 2 4" xfId="12874" xr:uid="{74678538-48F0-462B-9773-AA78E2B784A2}"/>
    <cellStyle name="Normal 8 2 2 8 3" xfId="6497" xr:uid="{00000000-0005-0000-0000-0000901C0000}"/>
    <cellStyle name="Normal 8 2 2 8 3 2" xfId="23395" xr:uid="{530650EA-3F3A-4AF9-8093-76F96BBE601C}"/>
    <cellStyle name="Normal 8 2 2 8 3 3" xfId="14947" xr:uid="{EAE43D54-00A6-4BCA-9352-ED82C7D0FA44}"/>
    <cellStyle name="Normal 8 2 2 8 4" xfId="19177" xr:uid="{BBA94DE4-EC58-4BB7-90F1-7604A384F6AB}"/>
    <cellStyle name="Normal 8 2 2 8 5" xfId="10729" xr:uid="{FD8E3048-05BF-4D0B-B362-41BACC9EC274}"/>
    <cellStyle name="Normal 8 2 2 9" xfId="2627" xr:uid="{00000000-0005-0000-0000-0000911C0000}"/>
    <cellStyle name="Normal 8 2 2 9 2" xfId="6910" xr:uid="{00000000-0005-0000-0000-0000921C0000}"/>
    <cellStyle name="Normal 8 2 2 9 2 2" xfId="23808" xr:uid="{BBF5BDA8-51E6-48B2-83B5-B27318461CCA}"/>
    <cellStyle name="Normal 8 2 2 9 2 3" xfId="15360" xr:uid="{29925CCB-17A2-4B49-95D1-5B6328431E73}"/>
    <cellStyle name="Normal 8 2 2 9 3" xfId="19590" xr:uid="{0D0B448D-E37E-49C0-812A-5BDE4BD99498}"/>
    <cellStyle name="Normal 8 2 2 9 4" xfId="11142" xr:uid="{0DBE205A-ED05-4CBD-AD69-6E34887DEA9E}"/>
    <cellStyle name="Normal 8 2 3" xfId="488" xr:uid="{00000000-0005-0000-0000-0000931C0000}"/>
    <cellStyle name="Normal 8 2 3 10" xfId="17533" xr:uid="{8A80CEFC-B63B-4AA1-8797-A9EBD28E82D3}"/>
    <cellStyle name="Normal 8 2 3 11" xfId="9085" xr:uid="{54B7FDB6-7CDE-4D4C-B57A-BA6DF3D935DF}"/>
    <cellStyle name="Normal 8 2 3 2" xfId="489" xr:uid="{00000000-0005-0000-0000-0000941C0000}"/>
    <cellStyle name="Normal 8 2 3 2 10" xfId="9086" xr:uid="{7FF05714-E877-4D9B-B584-15B44B6596F2}"/>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24311" xr:uid="{9D027030-BF19-4BBD-8CA4-F598555AD0D8}"/>
    <cellStyle name="Normal 8 2 3 2 2 2 2 2 3" xfId="15863" xr:uid="{7B76A22C-903E-4EAD-A540-930C742E7FBF}"/>
    <cellStyle name="Normal 8 2 3 2 2 2 2 3" xfId="20093" xr:uid="{2F8C4F9D-4FC5-4FE9-9B36-0B3F29F7172E}"/>
    <cellStyle name="Normal 8 2 3 2 2 2 2 4" xfId="11645" xr:uid="{AC7BD435-17C6-4428-9B22-A834590D415C}"/>
    <cellStyle name="Normal 8 2 3 2 2 2 3" xfId="5268" xr:uid="{00000000-0005-0000-0000-0000991C0000}"/>
    <cellStyle name="Normal 8 2 3 2 2 2 3 2" xfId="22166" xr:uid="{70EC4F71-E52E-41AC-83DC-04F4E5397074}"/>
    <cellStyle name="Normal 8 2 3 2 2 2 3 3" xfId="13718" xr:uid="{AC3F30C1-24ED-46F6-A888-94350E465FDF}"/>
    <cellStyle name="Normal 8 2 3 2 2 2 4" xfId="17948" xr:uid="{F9374E0F-07B8-4089-9FD8-C5676D2B048F}"/>
    <cellStyle name="Normal 8 2 3 2 2 2 5" xfId="9500" xr:uid="{32BC7977-7F25-4630-828C-F0FAD0F888FC}"/>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24724" xr:uid="{BABBB223-5A4B-4BEE-AD87-A5B398ED5068}"/>
    <cellStyle name="Normal 8 2 3 2 2 3 2 2 3" xfId="16276" xr:uid="{5C5AA143-B8FC-4582-9B92-DA50B276DB31}"/>
    <cellStyle name="Normal 8 2 3 2 2 3 2 3" xfId="20506" xr:uid="{44DA68A0-4B6B-4FFA-BB2B-DCF3830EDE9C}"/>
    <cellStyle name="Normal 8 2 3 2 2 3 2 4" xfId="12058" xr:uid="{0C9BAD5B-6F83-46B6-87AB-1CF33195B336}"/>
    <cellStyle name="Normal 8 2 3 2 2 3 3" xfId="5681" xr:uid="{00000000-0005-0000-0000-00009D1C0000}"/>
    <cellStyle name="Normal 8 2 3 2 2 3 3 2" xfId="22579" xr:uid="{B8D11045-AE72-44D5-AA85-FC3BABA9ADF1}"/>
    <cellStyle name="Normal 8 2 3 2 2 3 3 3" xfId="14131" xr:uid="{D335FAE3-FAE2-4F18-8D9F-ADBAB141ABEC}"/>
    <cellStyle name="Normal 8 2 3 2 2 3 4" xfId="18361" xr:uid="{D121FD09-09DB-4CEC-9EC0-BB93393BB5C1}"/>
    <cellStyle name="Normal 8 2 3 2 2 3 5" xfId="9913" xr:uid="{06C0CEE9-D54B-4C53-BED6-C7180DDDBD94}"/>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25137" xr:uid="{81F276E6-24B7-4466-AE08-1E5BD0DE8884}"/>
    <cellStyle name="Normal 8 2 3 2 2 4 2 2 3" xfId="16689" xr:uid="{7DED0DD3-0BAC-45E8-A155-E2400ABEA8EB}"/>
    <cellStyle name="Normal 8 2 3 2 2 4 2 3" xfId="20919" xr:uid="{C96C90A5-B563-487C-9954-B9CE66D28E93}"/>
    <cellStyle name="Normal 8 2 3 2 2 4 2 4" xfId="12471" xr:uid="{E5CDA075-9739-4339-9144-0A224BF20DFE}"/>
    <cellStyle name="Normal 8 2 3 2 2 4 3" xfId="6094" xr:uid="{00000000-0005-0000-0000-0000A11C0000}"/>
    <cellStyle name="Normal 8 2 3 2 2 4 3 2" xfId="22992" xr:uid="{F68F676A-8A14-49F4-9945-BD81AB5D26A2}"/>
    <cellStyle name="Normal 8 2 3 2 2 4 3 3" xfId="14544" xr:uid="{64CBF8B5-783F-4651-921D-962334538402}"/>
    <cellStyle name="Normal 8 2 3 2 2 4 4" xfId="18774" xr:uid="{3F5FD26B-FD9C-434B-8FD0-76EF77D3EA56}"/>
    <cellStyle name="Normal 8 2 3 2 2 4 5" xfId="10326" xr:uid="{F743A5FB-74A6-4BCF-B781-8187266F5029}"/>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25550" xr:uid="{DCC80ECA-ACA8-4180-ACAD-29F5B082E000}"/>
    <cellStyle name="Normal 8 2 3 2 2 5 2 2 3" xfId="17102" xr:uid="{1A0A6915-AA69-40ED-B335-A46619B1B451}"/>
    <cellStyle name="Normal 8 2 3 2 2 5 2 3" xfId="21332" xr:uid="{4BDF7FB1-2540-4AD2-8C12-84AA5058CDE9}"/>
    <cellStyle name="Normal 8 2 3 2 2 5 2 4" xfId="12884" xr:uid="{B40714F4-435A-4F0D-B3ED-19EB6C16005B}"/>
    <cellStyle name="Normal 8 2 3 2 2 5 3" xfId="6507" xr:uid="{00000000-0005-0000-0000-0000A51C0000}"/>
    <cellStyle name="Normal 8 2 3 2 2 5 3 2" xfId="23405" xr:uid="{711A8D24-AAAC-4B0A-AB64-6CDE35157176}"/>
    <cellStyle name="Normal 8 2 3 2 2 5 3 3" xfId="14957" xr:uid="{93AFC894-7BE9-47CD-ACE1-F83199CFF084}"/>
    <cellStyle name="Normal 8 2 3 2 2 5 4" xfId="19187" xr:uid="{A29411B8-067D-4658-9931-8C2EB9231F20}"/>
    <cellStyle name="Normal 8 2 3 2 2 5 5" xfId="10739" xr:uid="{71240DC5-0892-4EEE-9E2B-D26328FF9EEE}"/>
    <cellStyle name="Normal 8 2 3 2 2 6" xfId="2637" xr:uid="{00000000-0005-0000-0000-0000A61C0000}"/>
    <cellStyle name="Normal 8 2 3 2 2 6 2" xfId="6920" xr:uid="{00000000-0005-0000-0000-0000A71C0000}"/>
    <cellStyle name="Normal 8 2 3 2 2 6 2 2" xfId="23818" xr:uid="{B3BBD072-55BD-4AAA-B485-D4CB5DC938FE}"/>
    <cellStyle name="Normal 8 2 3 2 2 6 2 3" xfId="15370" xr:uid="{F420861A-F4BC-4F6F-AEA0-AA0C9D115A49}"/>
    <cellStyle name="Normal 8 2 3 2 2 6 3" xfId="19600" xr:uid="{569DE9F1-6BDD-46EE-B070-F0C0AFBEE2F2}"/>
    <cellStyle name="Normal 8 2 3 2 2 6 4" xfId="11152" xr:uid="{C23AF3BF-8175-4CCA-933E-C14F2466E256}"/>
    <cellStyle name="Normal 8 2 3 2 2 7" xfId="4855" xr:uid="{00000000-0005-0000-0000-0000A81C0000}"/>
    <cellStyle name="Normal 8 2 3 2 2 7 2" xfId="21753" xr:uid="{AD2ACF19-03B7-474C-A21A-7FDE37F2B80B}"/>
    <cellStyle name="Normal 8 2 3 2 2 7 3" xfId="13305" xr:uid="{A430B4D2-78F1-4546-8CB3-F225727EB416}"/>
    <cellStyle name="Normal 8 2 3 2 2 8" xfId="17535" xr:uid="{2EB73B69-8444-41CF-9BC0-ADF4D1820EF0}"/>
    <cellStyle name="Normal 8 2 3 2 2 9" xfId="9087" xr:uid="{538B3E7E-B7DA-4A83-BB44-85D1511EC428}"/>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24310" xr:uid="{D0B9B830-B0B0-4DE6-B623-06F7DAAC79D1}"/>
    <cellStyle name="Normal 8 2 3 2 3 2 2 3" xfId="15862" xr:uid="{759E0BAE-CC41-4D08-9E3E-7B56320E7739}"/>
    <cellStyle name="Normal 8 2 3 2 3 2 3" xfId="20092" xr:uid="{CD59AECF-54B0-443E-8E30-24BEDD24646C}"/>
    <cellStyle name="Normal 8 2 3 2 3 2 4" xfId="11644" xr:uid="{F2F5F1C9-7BFD-438E-9CA7-F9278ECB3DEE}"/>
    <cellStyle name="Normal 8 2 3 2 3 3" xfId="5267" xr:uid="{00000000-0005-0000-0000-0000AC1C0000}"/>
    <cellStyle name="Normal 8 2 3 2 3 3 2" xfId="22165" xr:uid="{00D7FE02-2B7C-468A-8451-370ECFA3E39D}"/>
    <cellStyle name="Normal 8 2 3 2 3 3 3" xfId="13717" xr:uid="{79165B82-2185-4851-859D-D39790AA0FC3}"/>
    <cellStyle name="Normal 8 2 3 2 3 4" xfId="17947" xr:uid="{D11D1216-7D09-44D9-B81F-3FC4CD118F66}"/>
    <cellStyle name="Normal 8 2 3 2 3 5" xfId="9499" xr:uid="{DD800F4A-CE86-47AA-82AA-8C98D9A39842}"/>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24723" xr:uid="{1AA27CB4-4D8F-4D38-B9EB-9B071EA1D784}"/>
    <cellStyle name="Normal 8 2 3 2 4 2 2 3" xfId="16275" xr:uid="{28F95566-E56D-495D-AE95-058576DC06D7}"/>
    <cellStyle name="Normal 8 2 3 2 4 2 3" xfId="20505" xr:uid="{87E02FBC-5DDC-4638-9750-F1563306B19D}"/>
    <cellStyle name="Normal 8 2 3 2 4 2 4" xfId="12057" xr:uid="{EE7FB62B-7C0F-40A5-82A3-CBDF1136C069}"/>
    <cellStyle name="Normal 8 2 3 2 4 3" xfId="5680" xr:uid="{00000000-0005-0000-0000-0000B01C0000}"/>
    <cellStyle name="Normal 8 2 3 2 4 3 2" xfId="22578" xr:uid="{B753E265-A607-45F2-A3A5-9559AEDB5B9B}"/>
    <cellStyle name="Normal 8 2 3 2 4 3 3" xfId="14130" xr:uid="{CDAAC108-88CC-4B52-9CC7-74E2A11891EA}"/>
    <cellStyle name="Normal 8 2 3 2 4 4" xfId="18360" xr:uid="{A80A5976-AB66-4A41-A0E8-13C29977B547}"/>
    <cellStyle name="Normal 8 2 3 2 4 5" xfId="9912" xr:uid="{578D5505-FC10-4C5E-B692-1FB51E24786C}"/>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25136" xr:uid="{F170DA2C-95DD-4D99-8856-9D25F69866B7}"/>
    <cellStyle name="Normal 8 2 3 2 5 2 2 3" xfId="16688" xr:uid="{48EB4024-31B5-4613-931D-73F39AC8E92F}"/>
    <cellStyle name="Normal 8 2 3 2 5 2 3" xfId="20918" xr:uid="{AE8010DE-5EA6-4055-B2D6-A03A59F812A3}"/>
    <cellStyle name="Normal 8 2 3 2 5 2 4" xfId="12470" xr:uid="{9AFA34D0-7FF1-46D1-B8B0-A48B0B6ECA78}"/>
    <cellStyle name="Normal 8 2 3 2 5 3" xfId="6093" xr:uid="{00000000-0005-0000-0000-0000B41C0000}"/>
    <cellStyle name="Normal 8 2 3 2 5 3 2" xfId="22991" xr:uid="{68583F40-2854-43E1-9636-FDF343826DC8}"/>
    <cellStyle name="Normal 8 2 3 2 5 3 3" xfId="14543" xr:uid="{F68B51C3-5B96-47D1-AEDD-BA67A0B15455}"/>
    <cellStyle name="Normal 8 2 3 2 5 4" xfId="18773" xr:uid="{E54F9F47-A992-4978-9B7E-8E4B011DC016}"/>
    <cellStyle name="Normal 8 2 3 2 5 5" xfId="10325" xr:uid="{C2EDE36B-1800-40EE-8C12-E313C115A31C}"/>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25549" xr:uid="{E946F047-61F3-4A73-A89D-54D88CFC1EEC}"/>
    <cellStyle name="Normal 8 2 3 2 6 2 2 3" xfId="17101" xr:uid="{3C90044A-59E5-4AB2-8FBD-7D63EA181DF4}"/>
    <cellStyle name="Normal 8 2 3 2 6 2 3" xfId="21331" xr:uid="{6F2E87BC-6A87-44A4-86D0-F2D2D0A99E5F}"/>
    <cellStyle name="Normal 8 2 3 2 6 2 4" xfId="12883" xr:uid="{78790095-E92B-4490-B690-72A6BF84DD3D}"/>
    <cellStyle name="Normal 8 2 3 2 6 3" xfId="6506" xr:uid="{00000000-0005-0000-0000-0000B81C0000}"/>
    <cellStyle name="Normal 8 2 3 2 6 3 2" xfId="23404" xr:uid="{BB192262-3AB8-4467-B320-2895B8676EE0}"/>
    <cellStyle name="Normal 8 2 3 2 6 3 3" xfId="14956" xr:uid="{C3078BEF-913E-457D-91C3-672C0244A83E}"/>
    <cellStyle name="Normal 8 2 3 2 6 4" xfId="19186" xr:uid="{48CC8CF9-9A36-48DD-8CF3-DE21D384DC45}"/>
    <cellStyle name="Normal 8 2 3 2 6 5" xfId="10738" xr:uid="{9C06CB12-95F9-435A-9FBB-C851D62EDE6B}"/>
    <cellStyle name="Normal 8 2 3 2 7" xfId="2636" xr:uid="{00000000-0005-0000-0000-0000B91C0000}"/>
    <cellStyle name="Normal 8 2 3 2 7 2" xfId="6919" xr:uid="{00000000-0005-0000-0000-0000BA1C0000}"/>
    <cellStyle name="Normal 8 2 3 2 7 2 2" xfId="23817" xr:uid="{178B7B8C-147E-4F14-8263-49BE87ECF744}"/>
    <cellStyle name="Normal 8 2 3 2 7 2 3" xfId="15369" xr:uid="{104B9DA2-40CB-489A-80BF-4D6DE67F65E7}"/>
    <cellStyle name="Normal 8 2 3 2 7 3" xfId="19599" xr:uid="{E2C3928E-49F8-4F5E-8FE3-296BEC2A3AB9}"/>
    <cellStyle name="Normal 8 2 3 2 7 4" xfId="11151" xr:uid="{FC459D0B-15E1-4C2C-B086-A6FC29B178A7}"/>
    <cellStyle name="Normal 8 2 3 2 8" xfId="4854" xr:uid="{00000000-0005-0000-0000-0000BB1C0000}"/>
    <cellStyle name="Normal 8 2 3 2 8 2" xfId="21752" xr:uid="{15C9DEC5-32CF-4DAF-89A6-BCBBEC36DCA1}"/>
    <cellStyle name="Normal 8 2 3 2 8 3" xfId="13304" xr:uid="{796EA22A-D76E-4E42-ACEA-AFDCA32CBAC5}"/>
    <cellStyle name="Normal 8 2 3 2 9" xfId="17534" xr:uid="{6CA40174-868C-492D-BB08-62EEA36FCDC2}"/>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24312" xr:uid="{BB27C04D-D3C5-4930-A655-B3F0D51D514A}"/>
    <cellStyle name="Normal 8 2 3 3 2 2 2 3" xfId="15864" xr:uid="{3FF4FE64-26A7-49E1-A3D6-5A69FF9B5DAE}"/>
    <cellStyle name="Normal 8 2 3 3 2 2 3" xfId="20094" xr:uid="{145E3F38-4A1C-4036-8307-28CDA1C1A65D}"/>
    <cellStyle name="Normal 8 2 3 3 2 2 4" xfId="11646" xr:uid="{B3225CA9-E521-48F5-BB58-42BFFDD9B4E7}"/>
    <cellStyle name="Normal 8 2 3 3 2 3" xfId="5269" xr:uid="{00000000-0005-0000-0000-0000C01C0000}"/>
    <cellStyle name="Normal 8 2 3 3 2 3 2" xfId="22167" xr:uid="{656CA5CB-CEBD-43FF-AE15-E8D353380F1E}"/>
    <cellStyle name="Normal 8 2 3 3 2 3 3" xfId="13719" xr:uid="{9C4D5DA7-92D3-4AB9-9252-8BA79FBFEE5C}"/>
    <cellStyle name="Normal 8 2 3 3 2 4" xfId="17949" xr:uid="{39CE7EBE-2619-4B9F-83A3-2B1D63CE2142}"/>
    <cellStyle name="Normal 8 2 3 3 2 5" xfId="9501" xr:uid="{646AA194-8CD4-47E6-91B7-05A6653EB2A6}"/>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24725" xr:uid="{96641B44-AB71-4309-97DC-C93C7038BC5A}"/>
    <cellStyle name="Normal 8 2 3 3 3 2 2 3" xfId="16277" xr:uid="{5AC81E82-8B94-440F-9799-BF8086FD72FC}"/>
    <cellStyle name="Normal 8 2 3 3 3 2 3" xfId="20507" xr:uid="{20C72393-E798-4553-AF2C-39BD6B222E3A}"/>
    <cellStyle name="Normal 8 2 3 3 3 2 4" xfId="12059" xr:uid="{90D1114C-FAA3-4555-87E0-7DE4ECD568E5}"/>
    <cellStyle name="Normal 8 2 3 3 3 3" xfId="5682" xr:uid="{00000000-0005-0000-0000-0000C41C0000}"/>
    <cellStyle name="Normal 8 2 3 3 3 3 2" xfId="22580" xr:uid="{40066EF7-DCAE-44E8-BAFB-19A73D25F600}"/>
    <cellStyle name="Normal 8 2 3 3 3 3 3" xfId="14132" xr:uid="{4943AF1D-0BE1-4F52-B3D9-112B9A490852}"/>
    <cellStyle name="Normal 8 2 3 3 3 4" xfId="18362" xr:uid="{9EB806C5-95D3-47CC-A7C5-6EC57BBBA2A3}"/>
    <cellStyle name="Normal 8 2 3 3 3 5" xfId="9914" xr:uid="{1C507FB6-B1BB-4994-8CCE-0B47954E7ABE}"/>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25138" xr:uid="{DFF099E5-2CD9-450D-837C-CA948E0D0F76}"/>
    <cellStyle name="Normal 8 2 3 3 4 2 2 3" xfId="16690" xr:uid="{111D1E2E-BDA1-4483-8553-1866F9242971}"/>
    <cellStyle name="Normal 8 2 3 3 4 2 3" xfId="20920" xr:uid="{B454B87F-6F5E-4285-BE6A-30CEB86B85DD}"/>
    <cellStyle name="Normal 8 2 3 3 4 2 4" xfId="12472" xr:uid="{F2BE45A9-4784-4138-8202-60DE33FEA9DF}"/>
    <cellStyle name="Normal 8 2 3 3 4 3" xfId="6095" xr:uid="{00000000-0005-0000-0000-0000C81C0000}"/>
    <cellStyle name="Normal 8 2 3 3 4 3 2" xfId="22993" xr:uid="{F2A29E1B-8EC6-4972-82EB-0A0A6F2DF9DA}"/>
    <cellStyle name="Normal 8 2 3 3 4 3 3" xfId="14545" xr:uid="{207F6FB6-A0D0-4AB4-8447-CB1F4ED27E2D}"/>
    <cellStyle name="Normal 8 2 3 3 4 4" xfId="18775" xr:uid="{A0719E37-1073-4704-B775-ADC8DA20D7F9}"/>
    <cellStyle name="Normal 8 2 3 3 4 5" xfId="10327" xr:uid="{EC2FDEFF-19D7-4205-87D5-461A08A6F3F9}"/>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25551" xr:uid="{7F5DBC85-0DA3-45FB-B6F8-09D88F462DD7}"/>
    <cellStyle name="Normal 8 2 3 3 5 2 2 3" xfId="17103" xr:uid="{DD234DBC-139E-4467-9A7B-595925A14A8B}"/>
    <cellStyle name="Normal 8 2 3 3 5 2 3" xfId="21333" xr:uid="{CA70968F-F832-4A5F-BD47-8C666DA28CA5}"/>
    <cellStyle name="Normal 8 2 3 3 5 2 4" xfId="12885" xr:uid="{C55F2511-D493-4735-B484-81E0C882F763}"/>
    <cellStyle name="Normal 8 2 3 3 5 3" xfId="6508" xr:uid="{00000000-0005-0000-0000-0000CC1C0000}"/>
    <cellStyle name="Normal 8 2 3 3 5 3 2" xfId="23406" xr:uid="{8EF6B7AD-6559-4260-AAAB-DAEEAA165A1B}"/>
    <cellStyle name="Normal 8 2 3 3 5 3 3" xfId="14958" xr:uid="{3E614DD0-A140-4F49-B366-F573A63165F0}"/>
    <cellStyle name="Normal 8 2 3 3 5 4" xfId="19188" xr:uid="{FABC6337-D624-44D0-B469-578DAD2C9E56}"/>
    <cellStyle name="Normal 8 2 3 3 5 5" xfId="10740" xr:uid="{A6CBCC0E-E200-4AE4-B80B-D521D8055582}"/>
    <cellStyle name="Normal 8 2 3 3 6" xfId="2638" xr:uid="{00000000-0005-0000-0000-0000CD1C0000}"/>
    <cellStyle name="Normal 8 2 3 3 6 2" xfId="6921" xr:uid="{00000000-0005-0000-0000-0000CE1C0000}"/>
    <cellStyle name="Normal 8 2 3 3 6 2 2" xfId="23819" xr:uid="{EC1D7F99-6A84-46BA-B62C-DEB7EC9DEFF2}"/>
    <cellStyle name="Normal 8 2 3 3 6 2 3" xfId="15371" xr:uid="{7B24A0D3-8B7B-46A3-BF7C-1F686BAF0560}"/>
    <cellStyle name="Normal 8 2 3 3 6 3" xfId="19601" xr:uid="{63E07B61-7137-4479-BE79-16B0E028FEDE}"/>
    <cellStyle name="Normal 8 2 3 3 6 4" xfId="11153" xr:uid="{DA792060-0235-41C3-BE8D-E60454F97E93}"/>
    <cellStyle name="Normal 8 2 3 3 7" xfId="4856" xr:uid="{00000000-0005-0000-0000-0000CF1C0000}"/>
    <cellStyle name="Normal 8 2 3 3 7 2" xfId="21754" xr:uid="{33BDEC4F-28BE-4AB7-9516-B2B274329F04}"/>
    <cellStyle name="Normal 8 2 3 3 7 3" xfId="13306" xr:uid="{AB84632E-20D7-46EE-8207-531E57FCE3E7}"/>
    <cellStyle name="Normal 8 2 3 3 8" xfId="17536" xr:uid="{EAD13173-DFB5-4A3F-AB2A-198A4D506845}"/>
    <cellStyle name="Normal 8 2 3 3 9" xfId="9088" xr:uid="{08829D14-89F1-418B-9CFD-42B8E49C00BB}"/>
    <cellStyle name="Normal 8 2 3 4" xfId="955" xr:uid="{00000000-0005-0000-0000-0000D01C0000}"/>
    <cellStyle name="Normal 8 2 3 4 2" xfId="3189" xr:uid="{00000000-0005-0000-0000-0000D11C0000}"/>
    <cellStyle name="Normal 8 2 3 4 2 2" xfId="7411" xr:uid="{00000000-0005-0000-0000-0000D21C0000}"/>
    <cellStyle name="Normal 8 2 3 4 2 2 2" xfId="24309" xr:uid="{DE4BDE3A-4E7A-4CFE-A4FC-E7FA4869D41C}"/>
    <cellStyle name="Normal 8 2 3 4 2 2 3" xfId="15861" xr:uid="{F734431D-F135-4C8C-957D-90B187EBFFAB}"/>
    <cellStyle name="Normal 8 2 3 4 2 3" xfId="20091" xr:uid="{DBD57D20-CE71-4E51-B7DB-6CA985872E67}"/>
    <cellStyle name="Normal 8 2 3 4 2 4" xfId="11643" xr:uid="{A6845C16-6902-4D2C-B6EE-1084DB46D841}"/>
    <cellStyle name="Normal 8 2 3 4 3" xfId="5266" xr:uid="{00000000-0005-0000-0000-0000D31C0000}"/>
    <cellStyle name="Normal 8 2 3 4 3 2" xfId="22164" xr:uid="{580B06B6-34DD-416F-84B9-022F271AAD04}"/>
    <cellStyle name="Normal 8 2 3 4 3 3" xfId="13716" xr:uid="{1CC9723E-963F-43F6-A0B2-1953E1169BB9}"/>
    <cellStyle name="Normal 8 2 3 4 4" xfId="17946" xr:uid="{9F3506D7-B57B-4654-8141-0E0E9CE7DA77}"/>
    <cellStyle name="Normal 8 2 3 4 5" xfId="9498" xr:uid="{8B3EA001-1645-4FDA-81FB-9D676B20744D}"/>
    <cellStyle name="Normal 8 2 3 5" xfId="1372" xr:uid="{00000000-0005-0000-0000-0000D41C0000}"/>
    <cellStyle name="Normal 8 2 3 5 2" xfId="3602" xr:uid="{00000000-0005-0000-0000-0000D51C0000}"/>
    <cellStyle name="Normal 8 2 3 5 2 2" xfId="7824" xr:uid="{00000000-0005-0000-0000-0000D61C0000}"/>
    <cellStyle name="Normal 8 2 3 5 2 2 2" xfId="24722" xr:uid="{27E8A050-2126-499E-ABA8-89C58209A673}"/>
    <cellStyle name="Normal 8 2 3 5 2 2 3" xfId="16274" xr:uid="{B64DCA74-F553-43B7-922D-D7513939936F}"/>
    <cellStyle name="Normal 8 2 3 5 2 3" xfId="20504" xr:uid="{DB7D6436-332E-42E2-ACE1-3B5172FD7D00}"/>
    <cellStyle name="Normal 8 2 3 5 2 4" xfId="12056" xr:uid="{4D6F3041-12B1-41CB-849F-40BA1AF4AEEC}"/>
    <cellStyle name="Normal 8 2 3 5 3" xfId="5679" xr:uid="{00000000-0005-0000-0000-0000D71C0000}"/>
    <cellStyle name="Normal 8 2 3 5 3 2" xfId="22577" xr:uid="{8ED451A0-0266-4A9B-91DA-ACFA6CD9B299}"/>
    <cellStyle name="Normal 8 2 3 5 3 3" xfId="14129" xr:uid="{DDB67F4A-A8D8-455B-AAEB-51F5381ACD1A}"/>
    <cellStyle name="Normal 8 2 3 5 4" xfId="18359" xr:uid="{BDCD2DEC-544D-45F3-8DFA-32EF9DC5777F}"/>
    <cellStyle name="Normal 8 2 3 5 5" xfId="9911" xr:uid="{EB6BA962-8324-4EF2-9EC6-511BBB66AA6E}"/>
    <cellStyle name="Normal 8 2 3 6" xfId="1785" xr:uid="{00000000-0005-0000-0000-0000D81C0000}"/>
    <cellStyle name="Normal 8 2 3 6 2" xfId="4015" xr:uid="{00000000-0005-0000-0000-0000D91C0000}"/>
    <cellStyle name="Normal 8 2 3 6 2 2" xfId="8237" xr:uid="{00000000-0005-0000-0000-0000DA1C0000}"/>
    <cellStyle name="Normal 8 2 3 6 2 2 2" xfId="25135" xr:uid="{64AF50D8-109A-4554-978F-D0D3AC842701}"/>
    <cellStyle name="Normal 8 2 3 6 2 2 3" xfId="16687" xr:uid="{41B64A21-D8BE-4F21-B54C-2F452BC8BF54}"/>
    <cellStyle name="Normal 8 2 3 6 2 3" xfId="20917" xr:uid="{D3170440-CD0A-4EB1-B308-9C0CE70960B3}"/>
    <cellStyle name="Normal 8 2 3 6 2 4" xfId="12469" xr:uid="{2BE2A0CE-C00B-49B7-BE77-3CEFCAF2E562}"/>
    <cellStyle name="Normal 8 2 3 6 3" xfId="6092" xr:uid="{00000000-0005-0000-0000-0000DB1C0000}"/>
    <cellStyle name="Normal 8 2 3 6 3 2" xfId="22990" xr:uid="{7AE4421E-C14E-4F56-B7DD-74D330CE5A66}"/>
    <cellStyle name="Normal 8 2 3 6 3 3" xfId="14542" xr:uid="{1F48148F-9D76-412F-BA41-7B760C911FFF}"/>
    <cellStyle name="Normal 8 2 3 6 4" xfId="18772" xr:uid="{B53317F3-F744-49D5-9259-8D93711B9073}"/>
    <cellStyle name="Normal 8 2 3 6 5" xfId="10324" xr:uid="{00693A59-F48C-49DE-AE49-509E2C8965C8}"/>
    <cellStyle name="Normal 8 2 3 7" xfId="2199" xr:uid="{00000000-0005-0000-0000-0000DC1C0000}"/>
    <cellStyle name="Normal 8 2 3 7 2" xfId="4428" xr:uid="{00000000-0005-0000-0000-0000DD1C0000}"/>
    <cellStyle name="Normal 8 2 3 7 2 2" xfId="8650" xr:uid="{00000000-0005-0000-0000-0000DE1C0000}"/>
    <cellStyle name="Normal 8 2 3 7 2 2 2" xfId="25548" xr:uid="{6F74C8CC-3CB9-4547-B5A2-52A4111FCEAE}"/>
    <cellStyle name="Normal 8 2 3 7 2 2 3" xfId="17100" xr:uid="{42F05B28-FD04-4ADF-91AF-E3021B9B9877}"/>
    <cellStyle name="Normal 8 2 3 7 2 3" xfId="21330" xr:uid="{62F3E337-42DC-40FC-A98D-492272B7559A}"/>
    <cellStyle name="Normal 8 2 3 7 2 4" xfId="12882" xr:uid="{D271E7F9-F71F-4AD3-BCB0-1F8B18805D68}"/>
    <cellStyle name="Normal 8 2 3 7 3" xfId="6505" xr:uid="{00000000-0005-0000-0000-0000DF1C0000}"/>
    <cellStyle name="Normal 8 2 3 7 3 2" xfId="23403" xr:uid="{36906DF7-6848-40DB-9B88-D6CEAFE598ED}"/>
    <cellStyle name="Normal 8 2 3 7 3 3" xfId="14955" xr:uid="{E94B08C1-D81B-4FA7-B58E-B413CD48D6CF}"/>
    <cellStyle name="Normal 8 2 3 7 4" xfId="19185" xr:uid="{6452621D-C243-40D4-98BC-84281DD288D7}"/>
    <cellStyle name="Normal 8 2 3 7 5" xfId="10737" xr:uid="{BACFBC30-F019-4B09-91D3-16A9C3FBB9E3}"/>
    <cellStyle name="Normal 8 2 3 8" xfId="2635" xr:uid="{00000000-0005-0000-0000-0000E01C0000}"/>
    <cellStyle name="Normal 8 2 3 8 2" xfId="6918" xr:uid="{00000000-0005-0000-0000-0000E11C0000}"/>
    <cellStyle name="Normal 8 2 3 8 2 2" xfId="23816" xr:uid="{9E5DFE45-33EC-4810-AB6A-0E1855E0B6EA}"/>
    <cellStyle name="Normal 8 2 3 8 2 3" xfId="15368" xr:uid="{2D0DB03B-3AD2-427F-AB70-A8D1DA68501E}"/>
    <cellStyle name="Normal 8 2 3 8 3" xfId="19598" xr:uid="{45316B1B-3829-427B-95BD-844407CFE5D4}"/>
    <cellStyle name="Normal 8 2 3 8 4" xfId="11150" xr:uid="{8A01BCC4-7654-42B3-AAF3-9D8A147EBC67}"/>
    <cellStyle name="Normal 8 2 3 9" xfId="4853" xr:uid="{00000000-0005-0000-0000-0000E21C0000}"/>
    <cellStyle name="Normal 8 2 3 9 2" xfId="21751" xr:uid="{1B319E54-3308-44DB-BBE3-F9B961A41833}"/>
    <cellStyle name="Normal 8 2 3 9 3" xfId="13303" xr:uid="{F05879A0-CFB0-4BB2-9231-256E8B701394}"/>
    <cellStyle name="Normal 8 2 4" xfId="492" xr:uid="{00000000-0005-0000-0000-0000E31C0000}"/>
    <cellStyle name="Normal 8 2 4 10" xfId="9089" xr:uid="{D44A8B97-54F2-4BF9-9178-E803F16101DD}"/>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24314" xr:uid="{546A87BC-3F02-458E-B201-97A6911B3F73}"/>
    <cellStyle name="Normal 8 2 4 2 2 2 2 3" xfId="15866" xr:uid="{CC391727-67C5-449B-98CA-DBA654F6A698}"/>
    <cellStyle name="Normal 8 2 4 2 2 2 3" xfId="20096" xr:uid="{CD79C3D3-3DAA-4F39-97B5-ADBB42623570}"/>
    <cellStyle name="Normal 8 2 4 2 2 2 4" xfId="11648" xr:uid="{86B5E244-87C8-46DE-B701-B589288DCB90}"/>
    <cellStyle name="Normal 8 2 4 2 2 3" xfId="5271" xr:uid="{00000000-0005-0000-0000-0000E81C0000}"/>
    <cellStyle name="Normal 8 2 4 2 2 3 2" xfId="22169" xr:uid="{039F8BE1-F30A-46B6-9CFD-557BC7A4B979}"/>
    <cellStyle name="Normal 8 2 4 2 2 3 3" xfId="13721" xr:uid="{2581F3B4-3D65-4E9F-8275-3DE24057E095}"/>
    <cellStyle name="Normal 8 2 4 2 2 4" xfId="17951" xr:uid="{5D7A3F2C-13D1-4896-8B58-D2E9B2164103}"/>
    <cellStyle name="Normal 8 2 4 2 2 5" xfId="9503" xr:uid="{7C7F366C-50AD-46CE-9655-51AF916796E5}"/>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24727" xr:uid="{6164A0E1-3D72-497D-A605-1392B9E6266E}"/>
    <cellStyle name="Normal 8 2 4 2 3 2 2 3" xfId="16279" xr:uid="{D17396BB-1205-4B03-A689-71289D2243EF}"/>
    <cellStyle name="Normal 8 2 4 2 3 2 3" xfId="20509" xr:uid="{E8A51191-EB5F-499F-A382-E17FC1F05FC8}"/>
    <cellStyle name="Normal 8 2 4 2 3 2 4" xfId="12061" xr:uid="{A73FA38A-2B59-4261-9619-E230EB0FF086}"/>
    <cellStyle name="Normal 8 2 4 2 3 3" xfId="5684" xr:uid="{00000000-0005-0000-0000-0000EC1C0000}"/>
    <cellStyle name="Normal 8 2 4 2 3 3 2" xfId="22582" xr:uid="{5B2185C1-12D6-488C-9DBC-C275BFC93612}"/>
    <cellStyle name="Normal 8 2 4 2 3 3 3" xfId="14134" xr:uid="{0C7DBF37-F8B3-42F5-9FFE-07FA47BAFA9F}"/>
    <cellStyle name="Normal 8 2 4 2 3 4" xfId="18364" xr:uid="{029B6A34-5E95-4B22-AF93-37775B4BF8E2}"/>
    <cellStyle name="Normal 8 2 4 2 3 5" xfId="9916" xr:uid="{953E7D6F-495F-4801-A1F3-02C872FC490F}"/>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25140" xr:uid="{D792B57F-5510-491B-93E0-D08B141F56AA}"/>
    <cellStyle name="Normal 8 2 4 2 4 2 2 3" xfId="16692" xr:uid="{AF4B20DE-5875-4316-8E92-AFB3017A8DD1}"/>
    <cellStyle name="Normal 8 2 4 2 4 2 3" xfId="20922" xr:uid="{D98B5096-CACA-473D-95A3-CD00991406E1}"/>
    <cellStyle name="Normal 8 2 4 2 4 2 4" xfId="12474" xr:uid="{47FD4AE9-C23D-463E-9E80-119CE1C804FE}"/>
    <cellStyle name="Normal 8 2 4 2 4 3" xfId="6097" xr:uid="{00000000-0005-0000-0000-0000F01C0000}"/>
    <cellStyle name="Normal 8 2 4 2 4 3 2" xfId="22995" xr:uid="{56D7D1C7-CF6C-45C1-97BE-918AF5426BA4}"/>
    <cellStyle name="Normal 8 2 4 2 4 3 3" xfId="14547" xr:uid="{08DCC35A-C8A3-43A7-B460-AB96777AAB22}"/>
    <cellStyle name="Normal 8 2 4 2 4 4" xfId="18777" xr:uid="{FF16F00F-1544-4933-9859-8F5154FDBDB5}"/>
    <cellStyle name="Normal 8 2 4 2 4 5" xfId="10329" xr:uid="{A6D0EF20-F653-4994-9C89-931E226A9AA0}"/>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25553" xr:uid="{21107721-6117-4B15-A9F4-BE7863E5035E}"/>
    <cellStyle name="Normal 8 2 4 2 5 2 2 3" xfId="17105" xr:uid="{CB0DE32E-CC74-48F1-BEEB-16565813BEC6}"/>
    <cellStyle name="Normal 8 2 4 2 5 2 3" xfId="21335" xr:uid="{A5B32441-BFD1-4446-A82A-5EC4F7BE9141}"/>
    <cellStyle name="Normal 8 2 4 2 5 2 4" xfId="12887" xr:uid="{A581BB05-1A43-4657-8BC8-F54C046FBFBB}"/>
    <cellStyle name="Normal 8 2 4 2 5 3" xfId="6510" xr:uid="{00000000-0005-0000-0000-0000F41C0000}"/>
    <cellStyle name="Normal 8 2 4 2 5 3 2" xfId="23408" xr:uid="{9DD0D833-8065-45B9-B9A0-98C05E268720}"/>
    <cellStyle name="Normal 8 2 4 2 5 3 3" xfId="14960" xr:uid="{55FDC31D-BAC9-4904-8DAB-495A2B7E518B}"/>
    <cellStyle name="Normal 8 2 4 2 5 4" xfId="19190" xr:uid="{0CC9F7A7-BABF-48C3-A445-6FAD2AC77608}"/>
    <cellStyle name="Normal 8 2 4 2 5 5" xfId="10742" xr:uid="{FE3F46C0-29B8-4641-98C9-5F73D6BDEA1E}"/>
    <cellStyle name="Normal 8 2 4 2 6" xfId="2640" xr:uid="{00000000-0005-0000-0000-0000F51C0000}"/>
    <cellStyle name="Normal 8 2 4 2 6 2" xfId="6923" xr:uid="{00000000-0005-0000-0000-0000F61C0000}"/>
    <cellStyle name="Normal 8 2 4 2 6 2 2" xfId="23821" xr:uid="{2F888169-EFBA-44FB-9C89-A3D1F5B003AB}"/>
    <cellStyle name="Normal 8 2 4 2 6 2 3" xfId="15373" xr:uid="{2FFC834B-E3B6-4F41-B31A-1E810CB55A5B}"/>
    <cellStyle name="Normal 8 2 4 2 6 3" xfId="19603" xr:uid="{FD9F0159-C1C9-4A1E-B719-259CEB6B9097}"/>
    <cellStyle name="Normal 8 2 4 2 6 4" xfId="11155" xr:uid="{2495E1A7-04FC-441E-9F83-BF8256A4A8F4}"/>
    <cellStyle name="Normal 8 2 4 2 7" xfId="4858" xr:uid="{00000000-0005-0000-0000-0000F71C0000}"/>
    <cellStyle name="Normal 8 2 4 2 7 2" xfId="21756" xr:uid="{D0709329-BCB2-406F-AC1B-8FF42931A38C}"/>
    <cellStyle name="Normal 8 2 4 2 7 3" xfId="13308" xr:uid="{A464B6D1-6CB4-471A-A073-878FAFB1C27D}"/>
    <cellStyle name="Normal 8 2 4 2 8" xfId="17538" xr:uid="{D6746069-5082-4CDD-885E-A2393398FCDB}"/>
    <cellStyle name="Normal 8 2 4 2 9" xfId="9090" xr:uid="{FF6AA70F-4A35-465F-957A-E29F3D7984AE}"/>
    <cellStyle name="Normal 8 2 4 3" xfId="959" xr:uid="{00000000-0005-0000-0000-0000F81C0000}"/>
    <cellStyle name="Normal 8 2 4 3 2" xfId="3193" xr:uid="{00000000-0005-0000-0000-0000F91C0000}"/>
    <cellStyle name="Normal 8 2 4 3 2 2" xfId="7415" xr:uid="{00000000-0005-0000-0000-0000FA1C0000}"/>
    <cellStyle name="Normal 8 2 4 3 2 2 2" xfId="24313" xr:uid="{FAB48FFF-1D52-4A45-BC9D-9716B83F3DA9}"/>
    <cellStyle name="Normal 8 2 4 3 2 2 3" xfId="15865" xr:uid="{0043B77A-1E14-4490-9DCF-056AA432219E}"/>
    <cellStyle name="Normal 8 2 4 3 2 3" xfId="20095" xr:uid="{3226D0AA-C69B-4AB7-9FBA-2E08DC5AC26F}"/>
    <cellStyle name="Normal 8 2 4 3 2 4" xfId="11647" xr:uid="{9E504254-74BF-4430-885A-FB9EA3CCD2E9}"/>
    <cellStyle name="Normal 8 2 4 3 3" xfId="5270" xr:uid="{00000000-0005-0000-0000-0000FB1C0000}"/>
    <cellStyle name="Normal 8 2 4 3 3 2" xfId="22168" xr:uid="{1CA7F500-83CE-418A-8524-61268905749B}"/>
    <cellStyle name="Normal 8 2 4 3 3 3" xfId="13720" xr:uid="{4AC4774C-A2AD-4450-8FBA-7A42F5CA7158}"/>
    <cellStyle name="Normal 8 2 4 3 4" xfId="17950" xr:uid="{4C302768-11E7-46F2-B944-C400F4FDAD73}"/>
    <cellStyle name="Normal 8 2 4 3 5" xfId="9502" xr:uid="{CB02974C-D025-48E3-AAE0-8B7DEB81C3D6}"/>
    <cellStyle name="Normal 8 2 4 4" xfId="1376" xr:uid="{00000000-0005-0000-0000-0000FC1C0000}"/>
    <cellStyle name="Normal 8 2 4 4 2" xfId="3606" xr:uid="{00000000-0005-0000-0000-0000FD1C0000}"/>
    <cellStyle name="Normal 8 2 4 4 2 2" xfId="7828" xr:uid="{00000000-0005-0000-0000-0000FE1C0000}"/>
    <cellStyle name="Normal 8 2 4 4 2 2 2" xfId="24726" xr:uid="{ACC25FBE-7ECD-4ADB-9209-638EF61CF598}"/>
    <cellStyle name="Normal 8 2 4 4 2 2 3" xfId="16278" xr:uid="{4D94D5F6-B16D-4810-A407-D312F544F85F}"/>
    <cellStyle name="Normal 8 2 4 4 2 3" xfId="20508" xr:uid="{1DCFAD20-20C7-4907-9A4B-E8B59185B844}"/>
    <cellStyle name="Normal 8 2 4 4 2 4" xfId="12060" xr:uid="{DBE36613-E23D-40E4-A656-DBD14C463099}"/>
    <cellStyle name="Normal 8 2 4 4 3" xfId="5683" xr:uid="{00000000-0005-0000-0000-0000FF1C0000}"/>
    <cellStyle name="Normal 8 2 4 4 3 2" xfId="22581" xr:uid="{C47B0A5A-60C8-4E63-897E-5796F8E46DF5}"/>
    <cellStyle name="Normal 8 2 4 4 3 3" xfId="14133" xr:uid="{49D4BA96-9A5C-4FA3-B5C0-A2EBF6A52F04}"/>
    <cellStyle name="Normal 8 2 4 4 4" xfId="18363" xr:uid="{7380FD31-E03D-453F-BAA3-8420F1DC6167}"/>
    <cellStyle name="Normal 8 2 4 4 5" xfId="9915" xr:uid="{827414C7-DF83-492D-B52E-A5930F54309E}"/>
    <cellStyle name="Normal 8 2 4 5" xfId="1789" xr:uid="{00000000-0005-0000-0000-0000001D0000}"/>
    <cellStyle name="Normal 8 2 4 5 2" xfId="4019" xr:uid="{00000000-0005-0000-0000-0000011D0000}"/>
    <cellStyle name="Normal 8 2 4 5 2 2" xfId="8241" xr:uid="{00000000-0005-0000-0000-0000021D0000}"/>
    <cellStyle name="Normal 8 2 4 5 2 2 2" xfId="25139" xr:uid="{905AF978-C448-429E-80C5-AD38BDDA15E6}"/>
    <cellStyle name="Normal 8 2 4 5 2 2 3" xfId="16691" xr:uid="{D6A89B4F-B1F2-42D4-B4AF-C3EF85877D7B}"/>
    <cellStyle name="Normal 8 2 4 5 2 3" xfId="20921" xr:uid="{5654A973-E64A-4254-BA45-EA73FD7B2A88}"/>
    <cellStyle name="Normal 8 2 4 5 2 4" xfId="12473" xr:uid="{4DD987BD-BEAC-4EC1-88EF-9BFD6E5B0D01}"/>
    <cellStyle name="Normal 8 2 4 5 3" xfId="6096" xr:uid="{00000000-0005-0000-0000-0000031D0000}"/>
    <cellStyle name="Normal 8 2 4 5 3 2" xfId="22994" xr:uid="{B8E5F2B3-A3EE-49B3-9C98-905DB6CB09FC}"/>
    <cellStyle name="Normal 8 2 4 5 3 3" xfId="14546" xr:uid="{0E050DE2-4533-468D-ACF8-BB6EE0931390}"/>
    <cellStyle name="Normal 8 2 4 5 4" xfId="18776" xr:uid="{76023933-0A6C-4018-A754-D0CD089552C2}"/>
    <cellStyle name="Normal 8 2 4 5 5" xfId="10328" xr:uid="{503AB570-358C-434E-8773-6735CC68D75D}"/>
    <cellStyle name="Normal 8 2 4 6" xfId="2203" xr:uid="{00000000-0005-0000-0000-0000041D0000}"/>
    <cellStyle name="Normal 8 2 4 6 2" xfId="4432" xr:uid="{00000000-0005-0000-0000-0000051D0000}"/>
    <cellStyle name="Normal 8 2 4 6 2 2" xfId="8654" xr:uid="{00000000-0005-0000-0000-0000061D0000}"/>
    <cellStyle name="Normal 8 2 4 6 2 2 2" xfId="25552" xr:uid="{F0A2FA72-BB98-4EE7-BFA7-6663A389A7E8}"/>
    <cellStyle name="Normal 8 2 4 6 2 2 3" xfId="17104" xr:uid="{2D381067-EB4B-4601-9549-B69A5B932B2D}"/>
    <cellStyle name="Normal 8 2 4 6 2 3" xfId="21334" xr:uid="{EEE6FA07-EF9D-489C-A0A2-D571D74FD8D4}"/>
    <cellStyle name="Normal 8 2 4 6 2 4" xfId="12886" xr:uid="{B0D812DC-E36C-43F7-8A0E-E229590F0BD7}"/>
    <cellStyle name="Normal 8 2 4 6 3" xfId="6509" xr:uid="{00000000-0005-0000-0000-0000071D0000}"/>
    <cellStyle name="Normal 8 2 4 6 3 2" xfId="23407" xr:uid="{DD0F8593-F72D-487F-A5EF-8EAE0082730B}"/>
    <cellStyle name="Normal 8 2 4 6 3 3" xfId="14959" xr:uid="{BA43904C-AB46-42FE-BBF2-6D072EB37976}"/>
    <cellStyle name="Normal 8 2 4 6 4" xfId="19189" xr:uid="{2ADD1585-8806-4D0E-B7F7-19E6579ECC3D}"/>
    <cellStyle name="Normal 8 2 4 6 5" xfId="10741" xr:uid="{F2FEEB94-DA51-4F50-8BE6-4EDC3F10A2F1}"/>
    <cellStyle name="Normal 8 2 4 7" xfId="2639" xr:uid="{00000000-0005-0000-0000-0000081D0000}"/>
    <cellStyle name="Normal 8 2 4 7 2" xfId="6922" xr:uid="{00000000-0005-0000-0000-0000091D0000}"/>
    <cellStyle name="Normal 8 2 4 7 2 2" xfId="23820" xr:uid="{6AF47BB5-9CBD-457C-B851-FBCED0654093}"/>
    <cellStyle name="Normal 8 2 4 7 2 3" xfId="15372" xr:uid="{051F0903-C54F-4D75-BC87-0FD0C5E937C2}"/>
    <cellStyle name="Normal 8 2 4 7 3" xfId="19602" xr:uid="{B069EC81-4725-467F-B910-FD92B858B28D}"/>
    <cellStyle name="Normal 8 2 4 7 4" xfId="11154" xr:uid="{0709C0B4-8DDF-418C-AF65-9FFC79391FE6}"/>
    <cellStyle name="Normal 8 2 4 8" xfId="4857" xr:uid="{00000000-0005-0000-0000-00000A1D0000}"/>
    <cellStyle name="Normal 8 2 4 8 2" xfId="21755" xr:uid="{3357B5E6-D664-44DA-A5F0-49B13A3D2600}"/>
    <cellStyle name="Normal 8 2 4 8 3" xfId="13307" xr:uid="{62C86BED-6304-4987-A03F-A557755B2B5F}"/>
    <cellStyle name="Normal 8 2 4 9" xfId="17537" xr:uid="{FEE61180-0A43-47ED-BB7E-9B275CB8DF09}"/>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2 2 2" xfId="24315" xr:uid="{E21F0A6D-4907-4959-80E7-6D4CB7321156}"/>
    <cellStyle name="Normal 8 2 5 2 2 2 3" xfId="15867" xr:uid="{BB6E242D-5DD9-48E9-82EB-1F1A4F10AC4A}"/>
    <cellStyle name="Normal 8 2 5 2 2 3" xfId="20097" xr:uid="{0501D170-7237-4C85-9965-570B9162A98F}"/>
    <cellStyle name="Normal 8 2 5 2 2 4" xfId="11649" xr:uid="{FDFF6270-2B7A-4348-9CB5-E4C7999AF201}"/>
    <cellStyle name="Normal 8 2 5 2 3" xfId="5272" xr:uid="{00000000-0005-0000-0000-00000F1D0000}"/>
    <cellStyle name="Normal 8 2 5 2 3 2" xfId="22170" xr:uid="{2CC5C837-4E91-4C86-B1A8-092FACD16D92}"/>
    <cellStyle name="Normal 8 2 5 2 3 3" xfId="13722" xr:uid="{A9C74976-0475-4B54-BB83-C9D8F20DBD7B}"/>
    <cellStyle name="Normal 8 2 5 2 4" xfId="17952" xr:uid="{606193D8-4D20-4CDC-9241-696EB84BC9C0}"/>
    <cellStyle name="Normal 8 2 5 2 5" xfId="9504" xr:uid="{92426F1C-C737-4054-9754-95EA2082D89A}"/>
    <cellStyle name="Normal 8 2 5 3" xfId="1378" xr:uid="{00000000-0005-0000-0000-0000101D0000}"/>
    <cellStyle name="Normal 8 2 5 3 2" xfId="3608" xr:uid="{00000000-0005-0000-0000-0000111D0000}"/>
    <cellStyle name="Normal 8 2 5 3 2 2" xfId="7830" xr:uid="{00000000-0005-0000-0000-0000121D0000}"/>
    <cellStyle name="Normal 8 2 5 3 2 2 2" xfId="24728" xr:uid="{4BAF6E72-F1CC-466C-A486-242606D43051}"/>
    <cellStyle name="Normal 8 2 5 3 2 2 3" xfId="16280" xr:uid="{C517563B-8F72-40DD-8303-E7E27BF447C1}"/>
    <cellStyle name="Normal 8 2 5 3 2 3" xfId="20510" xr:uid="{10A21703-1FE5-46A8-83C0-2BB192A95E0F}"/>
    <cellStyle name="Normal 8 2 5 3 2 4" xfId="12062" xr:uid="{8316DDC3-37AE-48DD-A07C-C14491DADDD2}"/>
    <cellStyle name="Normal 8 2 5 3 3" xfId="5685" xr:uid="{00000000-0005-0000-0000-0000131D0000}"/>
    <cellStyle name="Normal 8 2 5 3 3 2" xfId="22583" xr:uid="{38222100-8796-4236-B0BA-57089185D9AB}"/>
    <cellStyle name="Normal 8 2 5 3 3 3" xfId="14135" xr:uid="{87D7375F-E246-459E-9CD8-5F19F861B4DD}"/>
    <cellStyle name="Normal 8 2 5 3 4" xfId="18365" xr:uid="{AA595257-3004-4B11-BADD-F33286351A8A}"/>
    <cellStyle name="Normal 8 2 5 3 5" xfId="9917" xr:uid="{20993099-907E-4864-85A3-60243905A77F}"/>
    <cellStyle name="Normal 8 2 5 4" xfId="1791" xr:uid="{00000000-0005-0000-0000-0000141D0000}"/>
    <cellStyle name="Normal 8 2 5 4 2" xfId="4021" xr:uid="{00000000-0005-0000-0000-0000151D0000}"/>
    <cellStyle name="Normal 8 2 5 4 2 2" xfId="8243" xr:uid="{00000000-0005-0000-0000-0000161D0000}"/>
    <cellStyle name="Normal 8 2 5 4 2 2 2" xfId="25141" xr:uid="{9024DFCE-C629-4848-8AAF-B59C20FDBBCF}"/>
    <cellStyle name="Normal 8 2 5 4 2 2 3" xfId="16693" xr:uid="{6B991700-669F-4F64-9C61-F52B7B150868}"/>
    <cellStyle name="Normal 8 2 5 4 2 3" xfId="20923" xr:uid="{846C08BD-6527-43E7-8380-444ADBA2C0FE}"/>
    <cellStyle name="Normal 8 2 5 4 2 4" xfId="12475" xr:uid="{9973A819-4108-44BE-971D-1B6039E03A75}"/>
    <cellStyle name="Normal 8 2 5 4 3" xfId="6098" xr:uid="{00000000-0005-0000-0000-0000171D0000}"/>
    <cellStyle name="Normal 8 2 5 4 3 2" xfId="22996" xr:uid="{03605838-5792-48AB-9277-35D5569444C1}"/>
    <cellStyle name="Normal 8 2 5 4 3 3" xfId="14548" xr:uid="{A83D3E80-0E07-4BDA-918B-739BF4E6927E}"/>
    <cellStyle name="Normal 8 2 5 4 4" xfId="18778" xr:uid="{40020D08-5D31-4DA0-8F00-78251F62EBBD}"/>
    <cellStyle name="Normal 8 2 5 4 5" xfId="10330" xr:uid="{E66F35C9-6FD3-4BAA-8E73-8E9998817A66}"/>
    <cellStyle name="Normal 8 2 5 5" xfId="2205" xr:uid="{00000000-0005-0000-0000-0000181D0000}"/>
    <cellStyle name="Normal 8 2 5 5 2" xfId="4434" xr:uid="{00000000-0005-0000-0000-0000191D0000}"/>
    <cellStyle name="Normal 8 2 5 5 2 2" xfId="8656" xr:uid="{00000000-0005-0000-0000-00001A1D0000}"/>
    <cellStyle name="Normal 8 2 5 5 2 2 2" xfId="25554" xr:uid="{9C43C16C-8620-413E-8EA5-29CC93879E79}"/>
    <cellStyle name="Normal 8 2 5 5 2 2 3" xfId="17106" xr:uid="{CC8B3DFA-0AB7-4C7E-B188-5FDF8DDFC527}"/>
    <cellStyle name="Normal 8 2 5 5 2 3" xfId="21336" xr:uid="{EC0EA148-08A4-42BB-93F1-C5C07209FF18}"/>
    <cellStyle name="Normal 8 2 5 5 2 4" xfId="12888" xr:uid="{380FF0ED-4CFA-4015-9635-ED971BC35A4F}"/>
    <cellStyle name="Normal 8 2 5 5 3" xfId="6511" xr:uid="{00000000-0005-0000-0000-00001B1D0000}"/>
    <cellStyle name="Normal 8 2 5 5 3 2" xfId="23409" xr:uid="{157F568D-7946-40D6-8281-64916481B8D1}"/>
    <cellStyle name="Normal 8 2 5 5 3 3" xfId="14961" xr:uid="{AE8998BD-7044-4110-A139-78B0627F0A47}"/>
    <cellStyle name="Normal 8 2 5 5 4" xfId="19191" xr:uid="{65B1C9E4-C2A7-48F6-A32E-A30ACE0BE661}"/>
    <cellStyle name="Normal 8 2 5 5 5" xfId="10743" xr:uid="{D1DDCB20-36A6-4479-B51A-B2117503B58B}"/>
    <cellStyle name="Normal 8 2 5 6" xfId="2641" xr:uid="{00000000-0005-0000-0000-00001C1D0000}"/>
    <cellStyle name="Normal 8 2 5 6 2" xfId="6924" xr:uid="{00000000-0005-0000-0000-00001D1D0000}"/>
    <cellStyle name="Normal 8 2 5 6 2 2" xfId="23822" xr:uid="{E0E98B17-FCB9-41B5-B7AD-42389E9EDF62}"/>
    <cellStyle name="Normal 8 2 5 6 2 3" xfId="15374" xr:uid="{17C1695D-0524-4CDE-8E1E-8394A10B6F3E}"/>
    <cellStyle name="Normal 8 2 5 6 3" xfId="19604" xr:uid="{C6D462D6-2D35-41F0-9795-67AC6BCAE7C8}"/>
    <cellStyle name="Normal 8 2 5 6 4" xfId="11156" xr:uid="{E206F270-E419-44C9-854C-EBCB2B6E824B}"/>
    <cellStyle name="Normal 8 2 5 7" xfId="4859" xr:uid="{00000000-0005-0000-0000-00001E1D0000}"/>
    <cellStyle name="Normal 8 2 5 7 2" xfId="21757" xr:uid="{F6319ACE-6CE5-4DE2-9D31-BD3CBF6FE22A}"/>
    <cellStyle name="Normal 8 2 5 7 3" xfId="13309" xr:uid="{A06D8252-58D4-4CBF-BC12-66A490565E2E}"/>
    <cellStyle name="Normal 8 2 5 8" xfId="17539" xr:uid="{EA29ACC7-AFBC-487B-9C9D-61072EA38E82}"/>
    <cellStyle name="Normal 8 2 5 9" xfId="9091" xr:uid="{F22586EA-1C92-415D-9712-253F5D0B67CA}"/>
    <cellStyle name="Normal 8 2 6" xfId="946" xr:uid="{00000000-0005-0000-0000-00001F1D0000}"/>
    <cellStyle name="Normal 8 2 6 2" xfId="3180" xr:uid="{00000000-0005-0000-0000-0000201D0000}"/>
    <cellStyle name="Normal 8 2 6 2 2" xfId="7402" xr:uid="{00000000-0005-0000-0000-0000211D0000}"/>
    <cellStyle name="Normal 8 2 6 2 2 2" xfId="24300" xr:uid="{CEC6AEB1-3FA1-4ED1-9CB5-7A81A618A865}"/>
    <cellStyle name="Normal 8 2 6 2 2 3" xfId="15852" xr:uid="{64FCB449-86DD-458D-9F72-73582AABA176}"/>
    <cellStyle name="Normal 8 2 6 2 3" xfId="20082" xr:uid="{0612DDF1-CAEF-4CE8-BCF4-AEDC9ADA0307}"/>
    <cellStyle name="Normal 8 2 6 2 4" xfId="11634" xr:uid="{15FD93C1-5CAA-4773-978E-C5708F9F5FFB}"/>
    <cellStyle name="Normal 8 2 6 3" xfId="5257" xr:uid="{00000000-0005-0000-0000-0000221D0000}"/>
    <cellStyle name="Normal 8 2 6 3 2" xfId="22155" xr:uid="{5F4E49E1-CD2B-4A63-9951-34AA6856197A}"/>
    <cellStyle name="Normal 8 2 6 3 3" xfId="13707" xr:uid="{11527B8F-D562-49B4-A572-126E8FC998D9}"/>
    <cellStyle name="Normal 8 2 6 4" xfId="17937" xr:uid="{3FC39FFC-A0B1-4392-8720-3C5B691AA0D4}"/>
    <cellStyle name="Normal 8 2 6 5" xfId="9489" xr:uid="{1882F9BA-4938-44DC-BFF1-66FC6741F453}"/>
    <cellStyle name="Normal 8 2 7" xfId="1363" xr:uid="{00000000-0005-0000-0000-0000231D0000}"/>
    <cellStyle name="Normal 8 2 7 2" xfId="3593" xr:uid="{00000000-0005-0000-0000-0000241D0000}"/>
    <cellStyle name="Normal 8 2 7 2 2" xfId="7815" xr:uid="{00000000-0005-0000-0000-0000251D0000}"/>
    <cellStyle name="Normal 8 2 7 2 2 2" xfId="24713" xr:uid="{F78F35F3-F997-4FD0-97F9-B843604C0606}"/>
    <cellStyle name="Normal 8 2 7 2 2 3" xfId="16265" xr:uid="{1D244E11-070C-47A6-B29C-DFDDB44F6D7D}"/>
    <cellStyle name="Normal 8 2 7 2 3" xfId="20495" xr:uid="{1564D38D-DE77-4E80-AE8F-2A312BC37197}"/>
    <cellStyle name="Normal 8 2 7 2 4" xfId="12047" xr:uid="{B8926923-5F58-43F9-ADE8-2D67964B31DC}"/>
    <cellStyle name="Normal 8 2 7 3" xfId="5670" xr:uid="{00000000-0005-0000-0000-0000261D0000}"/>
    <cellStyle name="Normal 8 2 7 3 2" xfId="22568" xr:uid="{9991CB9E-607F-4F8C-A8D1-06F26A3E45F5}"/>
    <cellStyle name="Normal 8 2 7 3 3" xfId="14120" xr:uid="{30E0119A-E180-49F8-BBB8-23501D42BEED}"/>
    <cellStyle name="Normal 8 2 7 4" xfId="18350" xr:uid="{F42A0ED7-DC55-4BE6-89BC-5437ABB280F7}"/>
    <cellStyle name="Normal 8 2 7 5" xfId="9902" xr:uid="{8F4DEBBB-6899-4497-A4E4-A9C4F982A170}"/>
    <cellStyle name="Normal 8 2 8" xfId="1776" xr:uid="{00000000-0005-0000-0000-0000271D0000}"/>
    <cellStyle name="Normal 8 2 8 2" xfId="4006" xr:uid="{00000000-0005-0000-0000-0000281D0000}"/>
    <cellStyle name="Normal 8 2 8 2 2" xfId="8228" xr:uid="{00000000-0005-0000-0000-0000291D0000}"/>
    <cellStyle name="Normal 8 2 8 2 2 2" xfId="25126" xr:uid="{1E7859AE-E3EB-4C69-86B0-66728181F5F7}"/>
    <cellStyle name="Normal 8 2 8 2 2 3" xfId="16678" xr:uid="{09D5D99F-687C-47E9-8401-C88C3E8DFC37}"/>
    <cellStyle name="Normal 8 2 8 2 3" xfId="20908" xr:uid="{63C946AC-C2D6-4D23-8599-612443BD2F21}"/>
    <cellStyle name="Normal 8 2 8 2 4" xfId="12460" xr:uid="{6866563E-0D8E-4A4C-AC32-9279334FB4D4}"/>
    <cellStyle name="Normal 8 2 8 3" xfId="6083" xr:uid="{00000000-0005-0000-0000-00002A1D0000}"/>
    <cellStyle name="Normal 8 2 8 3 2" xfId="22981" xr:uid="{DD785306-03F4-431C-8500-D62DC65FB333}"/>
    <cellStyle name="Normal 8 2 8 3 3" xfId="14533" xr:uid="{FAE93B62-B3E3-4F42-A633-F525655DE722}"/>
    <cellStyle name="Normal 8 2 8 4" xfId="18763" xr:uid="{29318247-F34E-46D9-A46F-56703D5200DE}"/>
    <cellStyle name="Normal 8 2 8 5" xfId="10315" xr:uid="{28152CF4-AF40-499E-BDF2-3751DE235F83}"/>
    <cellStyle name="Normal 8 2 9" xfId="2190" xr:uid="{00000000-0005-0000-0000-00002B1D0000}"/>
    <cellStyle name="Normal 8 2 9 2" xfId="4419" xr:uid="{00000000-0005-0000-0000-00002C1D0000}"/>
    <cellStyle name="Normal 8 2 9 2 2" xfId="8641" xr:uid="{00000000-0005-0000-0000-00002D1D0000}"/>
    <cellStyle name="Normal 8 2 9 2 2 2" xfId="25539" xr:uid="{CE643442-5B85-424A-9078-C69EBBAB423A}"/>
    <cellStyle name="Normal 8 2 9 2 2 3" xfId="17091" xr:uid="{C90AC8F2-25CD-4EF9-B5BE-6304B38D998A}"/>
    <cellStyle name="Normal 8 2 9 2 3" xfId="21321" xr:uid="{CF5A01C1-5874-46A4-939A-72F76AB297AE}"/>
    <cellStyle name="Normal 8 2 9 2 4" xfId="12873" xr:uid="{035BA521-B1DE-4EF7-B8A7-6F9352903EFD}"/>
    <cellStyle name="Normal 8 2 9 3" xfId="6496" xr:uid="{00000000-0005-0000-0000-00002E1D0000}"/>
    <cellStyle name="Normal 8 2 9 3 2" xfId="23394" xr:uid="{EF3A4048-ADEC-4978-A61B-BFBF9898CC23}"/>
    <cellStyle name="Normal 8 2 9 3 3" xfId="14946" xr:uid="{8E269906-1BE7-4634-A522-538A9BE38F30}"/>
    <cellStyle name="Normal 8 2 9 4" xfId="19176" xr:uid="{5CBD9909-F6F4-4C2C-9702-82D3D55913DA}"/>
    <cellStyle name="Normal 8 2 9 5" xfId="10728" xr:uid="{0CF7D1AD-1C70-430A-A80C-B467BCAA6DD6}"/>
    <cellStyle name="Normal 8 3" xfId="495" xr:uid="{00000000-0005-0000-0000-00002F1D0000}"/>
    <cellStyle name="Normal 8 3 10" xfId="4860" xr:uid="{00000000-0005-0000-0000-0000301D0000}"/>
    <cellStyle name="Normal 8 3 10 2" xfId="21758" xr:uid="{27AEB4AD-12F6-4D90-8DDA-0591CA5E3BC8}"/>
    <cellStyle name="Normal 8 3 10 3" xfId="13310" xr:uid="{566D5B98-AFFF-45CA-9481-C7F335676EAC}"/>
    <cellStyle name="Normal 8 3 11" xfId="17540" xr:uid="{9B39D77F-AB70-4F3C-AF8C-1DBA62D2B0D5}"/>
    <cellStyle name="Normal 8 3 12" xfId="9092" xr:uid="{8C3AB681-BB75-4619-AADE-0321C0FC27CA}"/>
    <cellStyle name="Normal 8 3 2" xfId="496" xr:uid="{00000000-0005-0000-0000-0000311D0000}"/>
    <cellStyle name="Normal 8 3 2 10" xfId="17541" xr:uid="{1911A391-3CD2-401E-9AE2-71E777421AC2}"/>
    <cellStyle name="Normal 8 3 2 11" xfId="9093" xr:uid="{3FB62BAC-6170-4BD5-857F-500FB843DC60}"/>
    <cellStyle name="Normal 8 3 2 2" xfId="497" xr:uid="{00000000-0005-0000-0000-0000321D0000}"/>
    <cellStyle name="Normal 8 3 2 2 10" xfId="9094" xr:uid="{2C7640E4-7BC3-427E-9B96-1FC0F6E10C28}"/>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24319" xr:uid="{920D5561-D1E3-44B5-B133-FA9270485BF7}"/>
    <cellStyle name="Normal 8 3 2 2 2 2 2 2 3" xfId="15871" xr:uid="{9E1C6213-2E69-40A1-AA1F-2107651E725C}"/>
    <cellStyle name="Normal 8 3 2 2 2 2 2 3" xfId="20101" xr:uid="{90B7632C-9804-466F-B681-4D1F186AEA46}"/>
    <cellStyle name="Normal 8 3 2 2 2 2 2 4" xfId="11653" xr:uid="{CFC41B82-F790-48A3-84BB-1EC9BBBC1F43}"/>
    <cellStyle name="Normal 8 3 2 2 2 2 3" xfId="5276" xr:uid="{00000000-0005-0000-0000-0000371D0000}"/>
    <cellStyle name="Normal 8 3 2 2 2 2 3 2" xfId="22174" xr:uid="{C6B3FCBA-1A75-4842-8BA1-E2DB4DA4EDC8}"/>
    <cellStyle name="Normal 8 3 2 2 2 2 3 3" xfId="13726" xr:uid="{5E8CC82E-370E-4B6E-86FD-0176E7D24337}"/>
    <cellStyle name="Normal 8 3 2 2 2 2 4" xfId="17956" xr:uid="{CF75EED0-C015-4FA0-8E60-E0E8CE61A448}"/>
    <cellStyle name="Normal 8 3 2 2 2 2 5" xfId="9508" xr:uid="{E91AF237-F148-4AEA-8929-D8A8DA39E59C}"/>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24732" xr:uid="{19F11DD0-3600-4464-B9E3-52DE60232DBD}"/>
    <cellStyle name="Normal 8 3 2 2 2 3 2 2 3" xfId="16284" xr:uid="{DC70F04B-32AE-4980-8B96-9B74692644F4}"/>
    <cellStyle name="Normal 8 3 2 2 2 3 2 3" xfId="20514" xr:uid="{5CBDD799-F9A3-4788-B32F-D628B7CB5339}"/>
    <cellStyle name="Normal 8 3 2 2 2 3 2 4" xfId="12066" xr:uid="{2DC67868-7247-49A5-99B9-C2402B6248E2}"/>
    <cellStyle name="Normal 8 3 2 2 2 3 3" xfId="5689" xr:uid="{00000000-0005-0000-0000-00003B1D0000}"/>
    <cellStyle name="Normal 8 3 2 2 2 3 3 2" xfId="22587" xr:uid="{1C337425-ED8B-44C1-A894-5D1560405174}"/>
    <cellStyle name="Normal 8 3 2 2 2 3 3 3" xfId="14139" xr:uid="{FD8E8D23-D22F-47B7-BEF9-2F05687F982D}"/>
    <cellStyle name="Normal 8 3 2 2 2 3 4" xfId="18369" xr:uid="{71B20B99-E87A-4563-8640-07E8847BDD70}"/>
    <cellStyle name="Normal 8 3 2 2 2 3 5" xfId="9921" xr:uid="{E636E0DC-3533-48F8-B726-78DB6AD7B956}"/>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25145" xr:uid="{BF2A541E-A804-4B76-8E89-202B8CD8ABF8}"/>
    <cellStyle name="Normal 8 3 2 2 2 4 2 2 3" xfId="16697" xr:uid="{EBF6B02C-3E92-4836-A9A1-23AD0337103F}"/>
    <cellStyle name="Normal 8 3 2 2 2 4 2 3" xfId="20927" xr:uid="{14EF082D-298C-4550-A596-01C03A774C14}"/>
    <cellStyle name="Normal 8 3 2 2 2 4 2 4" xfId="12479" xr:uid="{F71011D4-957C-427B-B5FA-31951EF6304D}"/>
    <cellStyle name="Normal 8 3 2 2 2 4 3" xfId="6102" xr:uid="{00000000-0005-0000-0000-00003F1D0000}"/>
    <cellStyle name="Normal 8 3 2 2 2 4 3 2" xfId="23000" xr:uid="{446A2713-FFCB-48B7-8EB2-6A3D0457905A}"/>
    <cellStyle name="Normal 8 3 2 2 2 4 3 3" xfId="14552" xr:uid="{4691FDB5-FCC5-4138-9072-03593C89A4CA}"/>
    <cellStyle name="Normal 8 3 2 2 2 4 4" xfId="18782" xr:uid="{5573FA10-8C94-41B8-A073-EA26EA9C82AE}"/>
    <cellStyle name="Normal 8 3 2 2 2 4 5" xfId="10334" xr:uid="{6BAA50A8-B05F-49A8-8ED3-B8D3C345928A}"/>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25558" xr:uid="{3C513DDD-84E5-4A95-998C-86FC1EB75D84}"/>
    <cellStyle name="Normal 8 3 2 2 2 5 2 2 3" xfId="17110" xr:uid="{D6FE1131-9C18-4B4F-9059-C5D23979D81A}"/>
    <cellStyle name="Normal 8 3 2 2 2 5 2 3" xfId="21340" xr:uid="{20E5CF2D-CE59-4F6E-A201-16FF24E96349}"/>
    <cellStyle name="Normal 8 3 2 2 2 5 2 4" xfId="12892" xr:uid="{7B1662D3-C3B5-46FD-B5EE-6C73160E7579}"/>
    <cellStyle name="Normal 8 3 2 2 2 5 3" xfId="6515" xr:uid="{00000000-0005-0000-0000-0000431D0000}"/>
    <cellStyle name="Normal 8 3 2 2 2 5 3 2" xfId="23413" xr:uid="{28734EBE-06FA-4EB4-9C05-D9033C4B06E0}"/>
    <cellStyle name="Normal 8 3 2 2 2 5 3 3" xfId="14965" xr:uid="{48117557-78D2-4017-8D64-CACF96666E8A}"/>
    <cellStyle name="Normal 8 3 2 2 2 5 4" xfId="19195" xr:uid="{24C96F0D-3C27-4316-8916-CA1EAA6B9E8F}"/>
    <cellStyle name="Normal 8 3 2 2 2 5 5" xfId="10747" xr:uid="{C105A27B-CD52-480A-AFA3-B76E739E4852}"/>
    <cellStyle name="Normal 8 3 2 2 2 6" xfId="2645" xr:uid="{00000000-0005-0000-0000-0000441D0000}"/>
    <cellStyle name="Normal 8 3 2 2 2 6 2" xfId="6928" xr:uid="{00000000-0005-0000-0000-0000451D0000}"/>
    <cellStyle name="Normal 8 3 2 2 2 6 2 2" xfId="23826" xr:uid="{40135463-1844-49D4-833B-1FF7D4121A50}"/>
    <cellStyle name="Normal 8 3 2 2 2 6 2 3" xfId="15378" xr:uid="{338ECDA6-7437-4DF0-B41E-3F6DC2A7EAC0}"/>
    <cellStyle name="Normal 8 3 2 2 2 6 3" xfId="19608" xr:uid="{C7412D68-8056-4C99-896B-655C71910347}"/>
    <cellStyle name="Normal 8 3 2 2 2 6 4" xfId="11160" xr:uid="{D8A25D5D-28C7-478C-A91E-9E61DD5DC1A1}"/>
    <cellStyle name="Normal 8 3 2 2 2 7" xfId="4863" xr:uid="{00000000-0005-0000-0000-0000461D0000}"/>
    <cellStyle name="Normal 8 3 2 2 2 7 2" xfId="21761" xr:uid="{7CC39875-BAEF-4F3F-8AEF-325AEC85506E}"/>
    <cellStyle name="Normal 8 3 2 2 2 7 3" xfId="13313" xr:uid="{481EC2C1-7BAB-4C83-A044-5606718B07FA}"/>
    <cellStyle name="Normal 8 3 2 2 2 8" xfId="17543" xr:uid="{B778A0D3-176A-4C86-9673-B3512E56F4E8}"/>
    <cellStyle name="Normal 8 3 2 2 2 9" xfId="9095" xr:uid="{788D4F30-B6AE-4BFC-BCD5-314C7D8E7301}"/>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24318" xr:uid="{ADED3519-618B-4D7B-95C5-496340AAE112}"/>
    <cellStyle name="Normal 8 3 2 2 3 2 2 3" xfId="15870" xr:uid="{60C48348-ADED-4280-9AB8-F5341DBB68C2}"/>
    <cellStyle name="Normal 8 3 2 2 3 2 3" xfId="20100" xr:uid="{A1E78556-89E3-42D9-A48A-77B66D3A27B9}"/>
    <cellStyle name="Normal 8 3 2 2 3 2 4" xfId="11652" xr:uid="{9C78424E-D428-4655-8774-E36293891BF2}"/>
    <cellStyle name="Normal 8 3 2 2 3 3" xfId="5275" xr:uid="{00000000-0005-0000-0000-00004A1D0000}"/>
    <cellStyle name="Normal 8 3 2 2 3 3 2" xfId="22173" xr:uid="{AA73F3A4-7BED-481E-B3FB-1E468A4940F4}"/>
    <cellStyle name="Normal 8 3 2 2 3 3 3" xfId="13725" xr:uid="{D052B882-A295-48C5-8168-E4423C7260DA}"/>
    <cellStyle name="Normal 8 3 2 2 3 4" xfId="17955" xr:uid="{8D4C4485-7D66-4AA6-9E9E-5984CB79DECC}"/>
    <cellStyle name="Normal 8 3 2 2 3 5" xfId="9507" xr:uid="{58F07563-EEE5-4ADF-B1E2-881D67C5F26E}"/>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24731" xr:uid="{88B16CB3-867A-43DF-AF82-C0675060A133}"/>
    <cellStyle name="Normal 8 3 2 2 4 2 2 3" xfId="16283" xr:uid="{629553E1-5368-4866-A600-440A0D35F6EA}"/>
    <cellStyle name="Normal 8 3 2 2 4 2 3" xfId="20513" xr:uid="{29A4DB7F-241A-4F64-805E-46756428C6A0}"/>
    <cellStyle name="Normal 8 3 2 2 4 2 4" xfId="12065" xr:uid="{E39BAB2D-2D15-4913-8B67-3881B46BAE38}"/>
    <cellStyle name="Normal 8 3 2 2 4 3" xfId="5688" xr:uid="{00000000-0005-0000-0000-00004E1D0000}"/>
    <cellStyle name="Normal 8 3 2 2 4 3 2" xfId="22586" xr:uid="{B7FBEF03-D99D-4605-ADE6-B92CFBFFC634}"/>
    <cellStyle name="Normal 8 3 2 2 4 3 3" xfId="14138" xr:uid="{460C50CB-666E-46DF-8FF7-F9B7F7BD0364}"/>
    <cellStyle name="Normal 8 3 2 2 4 4" xfId="18368" xr:uid="{BFD815F6-3154-4C5E-8747-E83EB3E3DB4A}"/>
    <cellStyle name="Normal 8 3 2 2 4 5" xfId="9920" xr:uid="{1FC59DFB-0B5D-4F66-8AF5-455DF74B4168}"/>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25144" xr:uid="{37BA6BA9-C525-407F-9BEE-19CB76DD6A91}"/>
    <cellStyle name="Normal 8 3 2 2 5 2 2 3" xfId="16696" xr:uid="{29EE8E33-C258-4D45-93E2-F01F1A64242E}"/>
    <cellStyle name="Normal 8 3 2 2 5 2 3" xfId="20926" xr:uid="{45F2B877-68D6-4669-8E03-41A2CD4F166D}"/>
    <cellStyle name="Normal 8 3 2 2 5 2 4" xfId="12478" xr:uid="{ADF19BB5-BB9F-41A5-8FE1-1179B93FF59F}"/>
    <cellStyle name="Normal 8 3 2 2 5 3" xfId="6101" xr:uid="{00000000-0005-0000-0000-0000521D0000}"/>
    <cellStyle name="Normal 8 3 2 2 5 3 2" xfId="22999" xr:uid="{156F4B29-831F-44EE-AD60-5C4A399D80C9}"/>
    <cellStyle name="Normal 8 3 2 2 5 3 3" xfId="14551" xr:uid="{3B545019-379B-46C5-B080-9B902DD33264}"/>
    <cellStyle name="Normal 8 3 2 2 5 4" xfId="18781" xr:uid="{BC295ADE-FA8C-4975-A96D-51A051AC59FB}"/>
    <cellStyle name="Normal 8 3 2 2 5 5" xfId="10333" xr:uid="{F9E240D1-B888-47F5-BEDB-54A34384921B}"/>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25557" xr:uid="{87179E52-59DD-484C-A515-B07D79305B69}"/>
    <cellStyle name="Normal 8 3 2 2 6 2 2 3" xfId="17109" xr:uid="{3C82F489-4EDB-48DF-B680-F3A99B0E3EE6}"/>
    <cellStyle name="Normal 8 3 2 2 6 2 3" xfId="21339" xr:uid="{AC2553E4-450F-432E-84CB-57ED5B68693E}"/>
    <cellStyle name="Normal 8 3 2 2 6 2 4" xfId="12891" xr:uid="{316AF1AD-286B-4C44-AE70-DB2693963A4C}"/>
    <cellStyle name="Normal 8 3 2 2 6 3" xfId="6514" xr:uid="{00000000-0005-0000-0000-0000561D0000}"/>
    <cellStyle name="Normal 8 3 2 2 6 3 2" xfId="23412" xr:uid="{12C3CE0D-DA7C-4E52-93E2-75AC79CF99F1}"/>
    <cellStyle name="Normal 8 3 2 2 6 3 3" xfId="14964" xr:uid="{560174FB-433F-4EC8-B74F-2F4E7458B655}"/>
    <cellStyle name="Normal 8 3 2 2 6 4" xfId="19194" xr:uid="{2E593B50-2552-40F1-A5BC-6C7C453B15F4}"/>
    <cellStyle name="Normal 8 3 2 2 6 5" xfId="10746" xr:uid="{B771919F-7CDB-4EDA-AA25-5962E68C6F52}"/>
    <cellStyle name="Normal 8 3 2 2 7" xfId="2644" xr:uid="{00000000-0005-0000-0000-0000571D0000}"/>
    <cellStyle name="Normal 8 3 2 2 7 2" xfId="6927" xr:uid="{00000000-0005-0000-0000-0000581D0000}"/>
    <cellStyle name="Normal 8 3 2 2 7 2 2" xfId="23825" xr:uid="{BF5EA5F3-A03B-40E7-B48B-BBD41FA65C15}"/>
    <cellStyle name="Normal 8 3 2 2 7 2 3" xfId="15377" xr:uid="{EEFF2735-F9B6-4C4D-9639-5016A76D7937}"/>
    <cellStyle name="Normal 8 3 2 2 7 3" xfId="19607" xr:uid="{CD26BA99-8062-4740-9748-8F117E8DCFE4}"/>
    <cellStyle name="Normal 8 3 2 2 7 4" xfId="11159" xr:uid="{EDAF926E-0A46-4369-9329-D56C82EFA215}"/>
    <cellStyle name="Normal 8 3 2 2 8" xfId="4862" xr:uid="{00000000-0005-0000-0000-0000591D0000}"/>
    <cellStyle name="Normal 8 3 2 2 8 2" xfId="21760" xr:uid="{2178152D-4D9D-4991-9AAA-A097B7B5EBA2}"/>
    <cellStyle name="Normal 8 3 2 2 8 3" xfId="13312" xr:uid="{F5DB736F-A949-4AD8-86C9-587EE8C9813A}"/>
    <cellStyle name="Normal 8 3 2 2 9" xfId="17542" xr:uid="{98A75BBA-3317-4137-B0B9-B13A2E20C5A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24320" xr:uid="{549B5343-8E5A-40E6-A70F-1CED1395C5F9}"/>
    <cellStyle name="Normal 8 3 2 3 2 2 2 3" xfId="15872" xr:uid="{1F55316F-13AE-419A-99F6-C68A763C528B}"/>
    <cellStyle name="Normal 8 3 2 3 2 2 3" xfId="20102" xr:uid="{65330AB3-126F-4FA6-B6E4-72AC72C72AA2}"/>
    <cellStyle name="Normal 8 3 2 3 2 2 4" xfId="11654" xr:uid="{4587EEBA-2BBD-4D8A-9D20-CF119231ED3E}"/>
    <cellStyle name="Normal 8 3 2 3 2 3" xfId="5277" xr:uid="{00000000-0005-0000-0000-00005E1D0000}"/>
    <cellStyle name="Normal 8 3 2 3 2 3 2" xfId="22175" xr:uid="{65ECE5AB-2754-49AD-8CB0-ACBDCD089355}"/>
    <cellStyle name="Normal 8 3 2 3 2 3 3" xfId="13727" xr:uid="{59FFEF36-FC25-4C8A-A9CC-E6BCDFDB6D64}"/>
    <cellStyle name="Normal 8 3 2 3 2 4" xfId="17957" xr:uid="{A49CA8E3-A743-4F51-873B-9DB2A59A8035}"/>
    <cellStyle name="Normal 8 3 2 3 2 5" xfId="9509" xr:uid="{CBB86845-89C3-4ECB-A547-1131649F5791}"/>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24733" xr:uid="{617B5567-03B1-49EC-821F-EE9F2C8A04B6}"/>
    <cellStyle name="Normal 8 3 2 3 3 2 2 3" xfId="16285" xr:uid="{4497BD8D-16F6-4970-A963-6E3D48B34B33}"/>
    <cellStyle name="Normal 8 3 2 3 3 2 3" xfId="20515" xr:uid="{1D828298-25EB-4F95-A137-35AD0CB1B943}"/>
    <cellStyle name="Normal 8 3 2 3 3 2 4" xfId="12067" xr:uid="{EAF280F4-BAFF-4BEC-A41B-4FC1F767A945}"/>
    <cellStyle name="Normal 8 3 2 3 3 3" xfId="5690" xr:uid="{00000000-0005-0000-0000-0000621D0000}"/>
    <cellStyle name="Normal 8 3 2 3 3 3 2" xfId="22588" xr:uid="{3B6860DF-9418-4C3E-9326-6BC96F8CA6E6}"/>
    <cellStyle name="Normal 8 3 2 3 3 3 3" xfId="14140" xr:uid="{6FAFE113-D883-4FA8-A78A-D2438EB9E52B}"/>
    <cellStyle name="Normal 8 3 2 3 3 4" xfId="18370" xr:uid="{DDB04E9F-80C0-41A4-87EE-58CAA5E0DFF7}"/>
    <cellStyle name="Normal 8 3 2 3 3 5" xfId="9922" xr:uid="{00C8522C-D80B-422B-85E4-12F55B675FA6}"/>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25146" xr:uid="{5B66A8A5-9580-4523-ADDB-795FFB0C5175}"/>
    <cellStyle name="Normal 8 3 2 3 4 2 2 3" xfId="16698" xr:uid="{C31B8FB3-7CD2-4AB9-AE75-81DCCDE21721}"/>
    <cellStyle name="Normal 8 3 2 3 4 2 3" xfId="20928" xr:uid="{E27A5CCB-3EAE-4996-9B27-997828A70B32}"/>
    <cellStyle name="Normal 8 3 2 3 4 2 4" xfId="12480" xr:uid="{D027F076-19E9-44FE-9FA3-147A1497235B}"/>
    <cellStyle name="Normal 8 3 2 3 4 3" xfId="6103" xr:uid="{00000000-0005-0000-0000-0000661D0000}"/>
    <cellStyle name="Normal 8 3 2 3 4 3 2" xfId="23001" xr:uid="{B095F170-2533-41F1-A062-F98F86548352}"/>
    <cellStyle name="Normal 8 3 2 3 4 3 3" xfId="14553" xr:uid="{2909BC75-1B94-47C8-8F1F-E2050ED9E852}"/>
    <cellStyle name="Normal 8 3 2 3 4 4" xfId="18783" xr:uid="{30E50D05-392F-489C-972F-D4413C8B96DE}"/>
    <cellStyle name="Normal 8 3 2 3 4 5" xfId="10335" xr:uid="{EC13A61F-30EE-46D6-9E3E-8D9A028B77EE}"/>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25559" xr:uid="{848F6384-1683-4AFF-BD37-56CDF618C495}"/>
    <cellStyle name="Normal 8 3 2 3 5 2 2 3" xfId="17111" xr:uid="{C4F46583-B63D-4E47-800F-3B1050ED077C}"/>
    <cellStyle name="Normal 8 3 2 3 5 2 3" xfId="21341" xr:uid="{76078D4F-BAFA-4BD4-8D23-4EE9DEF888D2}"/>
    <cellStyle name="Normal 8 3 2 3 5 2 4" xfId="12893" xr:uid="{BF5DDC61-8A6F-460E-B4AA-8AFF698B22E9}"/>
    <cellStyle name="Normal 8 3 2 3 5 3" xfId="6516" xr:uid="{00000000-0005-0000-0000-00006A1D0000}"/>
    <cellStyle name="Normal 8 3 2 3 5 3 2" xfId="23414" xr:uid="{BDAB9D01-6E9C-45EC-AB0B-5D2C664F324A}"/>
    <cellStyle name="Normal 8 3 2 3 5 3 3" xfId="14966" xr:uid="{46DC9663-EEA9-4CBD-A4BA-F76794C79577}"/>
    <cellStyle name="Normal 8 3 2 3 5 4" xfId="19196" xr:uid="{2E3C1836-7C2C-4D65-A6FC-03E055EFFFEC}"/>
    <cellStyle name="Normal 8 3 2 3 5 5" xfId="10748" xr:uid="{151EE89A-D2E0-4659-BDA2-8B3FAB3AA9A8}"/>
    <cellStyle name="Normal 8 3 2 3 6" xfId="2646" xr:uid="{00000000-0005-0000-0000-00006B1D0000}"/>
    <cellStyle name="Normal 8 3 2 3 6 2" xfId="6929" xr:uid="{00000000-0005-0000-0000-00006C1D0000}"/>
    <cellStyle name="Normal 8 3 2 3 6 2 2" xfId="23827" xr:uid="{63F5BB84-E542-48B1-841A-D36FB11C2B02}"/>
    <cellStyle name="Normal 8 3 2 3 6 2 3" xfId="15379" xr:uid="{7C9C9BD8-5067-4893-BECD-F1AED62FB1B6}"/>
    <cellStyle name="Normal 8 3 2 3 6 3" xfId="19609" xr:uid="{E0AC1F20-2FC8-4DA0-BD86-F8CF198DFFDE}"/>
    <cellStyle name="Normal 8 3 2 3 6 4" xfId="11161" xr:uid="{9870DCAD-EEEC-479A-AA93-CB22724D7B5F}"/>
    <cellStyle name="Normal 8 3 2 3 7" xfId="4864" xr:uid="{00000000-0005-0000-0000-00006D1D0000}"/>
    <cellStyle name="Normal 8 3 2 3 7 2" xfId="21762" xr:uid="{97E7B199-2708-4A69-B083-DC73A58376AC}"/>
    <cellStyle name="Normal 8 3 2 3 7 3" xfId="13314" xr:uid="{C77DDAAB-3C43-4070-8BF6-B675ABDDEE3E}"/>
    <cellStyle name="Normal 8 3 2 3 8" xfId="17544" xr:uid="{57B01F3E-8149-42DF-A4B0-CD16FAA82F7F}"/>
    <cellStyle name="Normal 8 3 2 3 9" xfId="9096" xr:uid="{4EB82242-0241-4ABB-8EEA-19ED6E55C00C}"/>
    <cellStyle name="Normal 8 3 2 4" xfId="963" xr:uid="{00000000-0005-0000-0000-00006E1D0000}"/>
    <cellStyle name="Normal 8 3 2 4 2" xfId="3197" xr:uid="{00000000-0005-0000-0000-00006F1D0000}"/>
    <cellStyle name="Normal 8 3 2 4 2 2" xfId="7419" xr:uid="{00000000-0005-0000-0000-0000701D0000}"/>
    <cellStyle name="Normal 8 3 2 4 2 2 2" xfId="24317" xr:uid="{9EA0DD46-DB79-427F-9807-CE3D91120E6A}"/>
    <cellStyle name="Normal 8 3 2 4 2 2 3" xfId="15869" xr:uid="{6A2BE401-0D63-419A-BA30-F9A83ECAF882}"/>
    <cellStyle name="Normal 8 3 2 4 2 3" xfId="20099" xr:uid="{370232E0-4A79-4974-A073-393C1E8A08D9}"/>
    <cellStyle name="Normal 8 3 2 4 2 4" xfId="11651" xr:uid="{4080B450-718B-4AF2-89BF-049D83D12FE4}"/>
    <cellStyle name="Normal 8 3 2 4 3" xfId="5274" xr:uid="{00000000-0005-0000-0000-0000711D0000}"/>
    <cellStyle name="Normal 8 3 2 4 3 2" xfId="22172" xr:uid="{D3E98D8B-4A0D-4997-B403-F490C97EAC50}"/>
    <cellStyle name="Normal 8 3 2 4 3 3" xfId="13724" xr:uid="{5390E2C0-7D85-4794-8AFA-8F2A71089FCE}"/>
    <cellStyle name="Normal 8 3 2 4 4" xfId="17954" xr:uid="{F50CC187-D089-4BAB-901D-16C19ABB8FA4}"/>
    <cellStyle name="Normal 8 3 2 4 5" xfId="9506" xr:uid="{724BF6D5-0698-4197-AD44-391FE60F2CB4}"/>
    <cellStyle name="Normal 8 3 2 5" xfId="1380" xr:uid="{00000000-0005-0000-0000-0000721D0000}"/>
    <cellStyle name="Normal 8 3 2 5 2" xfId="3610" xr:uid="{00000000-0005-0000-0000-0000731D0000}"/>
    <cellStyle name="Normal 8 3 2 5 2 2" xfId="7832" xr:uid="{00000000-0005-0000-0000-0000741D0000}"/>
    <cellStyle name="Normal 8 3 2 5 2 2 2" xfId="24730" xr:uid="{7FD03A59-A46B-413A-815F-08A5B8D19940}"/>
    <cellStyle name="Normal 8 3 2 5 2 2 3" xfId="16282" xr:uid="{46B10F49-D86F-493C-BA41-95384D9FAF9E}"/>
    <cellStyle name="Normal 8 3 2 5 2 3" xfId="20512" xr:uid="{ACE56D9C-0551-490A-91A5-EDFA09B88876}"/>
    <cellStyle name="Normal 8 3 2 5 2 4" xfId="12064" xr:uid="{6FCA4126-DA73-46ED-BD6D-6CA29F7F5703}"/>
    <cellStyle name="Normal 8 3 2 5 3" xfId="5687" xr:uid="{00000000-0005-0000-0000-0000751D0000}"/>
    <cellStyle name="Normal 8 3 2 5 3 2" xfId="22585" xr:uid="{DB83F220-CC1F-4DB2-B57F-DABBAB04040A}"/>
    <cellStyle name="Normal 8 3 2 5 3 3" xfId="14137" xr:uid="{91438249-1333-409E-822A-2559285C94CB}"/>
    <cellStyle name="Normal 8 3 2 5 4" xfId="18367" xr:uid="{33AA3960-58C6-4BEC-8207-21D1366CF6B6}"/>
    <cellStyle name="Normal 8 3 2 5 5" xfId="9919" xr:uid="{D15B8ACF-FDCA-4C7A-8447-315D2CB66349}"/>
    <cellStyle name="Normal 8 3 2 6" xfId="1793" xr:uid="{00000000-0005-0000-0000-0000761D0000}"/>
    <cellStyle name="Normal 8 3 2 6 2" xfId="4023" xr:uid="{00000000-0005-0000-0000-0000771D0000}"/>
    <cellStyle name="Normal 8 3 2 6 2 2" xfId="8245" xr:uid="{00000000-0005-0000-0000-0000781D0000}"/>
    <cellStyle name="Normal 8 3 2 6 2 2 2" xfId="25143" xr:uid="{B9197D0C-E323-434E-A531-48F478006434}"/>
    <cellStyle name="Normal 8 3 2 6 2 2 3" xfId="16695" xr:uid="{6E5F7D97-6D34-4F3D-AD75-E1BA4294166C}"/>
    <cellStyle name="Normal 8 3 2 6 2 3" xfId="20925" xr:uid="{60B83E8D-2DE7-410D-98B2-ACC48AEA7923}"/>
    <cellStyle name="Normal 8 3 2 6 2 4" xfId="12477" xr:uid="{CFF6DB09-946B-4554-BA89-CA71D90DED16}"/>
    <cellStyle name="Normal 8 3 2 6 3" xfId="6100" xr:uid="{00000000-0005-0000-0000-0000791D0000}"/>
    <cellStyle name="Normal 8 3 2 6 3 2" xfId="22998" xr:uid="{2E4B6C03-D4DE-4F08-BF2F-EA1E836045AE}"/>
    <cellStyle name="Normal 8 3 2 6 3 3" xfId="14550" xr:uid="{CCED43B6-1E27-40A8-9BE9-477DD1C61200}"/>
    <cellStyle name="Normal 8 3 2 6 4" xfId="18780" xr:uid="{72C5EF20-D2B9-45F9-A4A4-F420EAB25BE0}"/>
    <cellStyle name="Normal 8 3 2 6 5" xfId="10332" xr:uid="{3E7D5974-FE3B-467F-83E9-E234C1AF8A28}"/>
    <cellStyle name="Normal 8 3 2 7" xfId="2207" xr:uid="{00000000-0005-0000-0000-00007A1D0000}"/>
    <cellStyle name="Normal 8 3 2 7 2" xfId="4436" xr:uid="{00000000-0005-0000-0000-00007B1D0000}"/>
    <cellStyle name="Normal 8 3 2 7 2 2" xfId="8658" xr:uid="{00000000-0005-0000-0000-00007C1D0000}"/>
    <cellStyle name="Normal 8 3 2 7 2 2 2" xfId="25556" xr:uid="{5AF35927-DE95-40ED-8431-97DAEC1E8736}"/>
    <cellStyle name="Normal 8 3 2 7 2 2 3" xfId="17108" xr:uid="{C241CC13-66E3-45F7-B0E9-F99726BB104A}"/>
    <cellStyle name="Normal 8 3 2 7 2 3" xfId="21338" xr:uid="{E401575B-4C17-4F17-8DC0-AF516E79B3BF}"/>
    <cellStyle name="Normal 8 3 2 7 2 4" xfId="12890" xr:uid="{3DDC8544-6C17-4715-AF57-0137FC99FA85}"/>
    <cellStyle name="Normal 8 3 2 7 3" xfId="6513" xr:uid="{00000000-0005-0000-0000-00007D1D0000}"/>
    <cellStyle name="Normal 8 3 2 7 3 2" xfId="23411" xr:uid="{D9D18B77-294D-4FFF-9D5E-56D9875733EF}"/>
    <cellStyle name="Normal 8 3 2 7 3 3" xfId="14963" xr:uid="{82B20D90-5E96-4AE4-BCA7-5411963DE25B}"/>
    <cellStyle name="Normal 8 3 2 7 4" xfId="19193" xr:uid="{A7139D7F-CEFE-4303-A14B-3258518F0B80}"/>
    <cellStyle name="Normal 8 3 2 7 5" xfId="10745" xr:uid="{534E858C-2A35-4021-B50A-6B8AE84692D6}"/>
    <cellStyle name="Normal 8 3 2 8" xfId="2643" xr:uid="{00000000-0005-0000-0000-00007E1D0000}"/>
    <cellStyle name="Normal 8 3 2 8 2" xfId="6926" xr:uid="{00000000-0005-0000-0000-00007F1D0000}"/>
    <cellStyle name="Normal 8 3 2 8 2 2" xfId="23824" xr:uid="{EAE997CF-544E-4EC1-BD1A-8905FC8DFEE4}"/>
    <cellStyle name="Normal 8 3 2 8 2 3" xfId="15376" xr:uid="{F71C3551-42CB-4CA9-A2A3-41E8B4F34C61}"/>
    <cellStyle name="Normal 8 3 2 8 3" xfId="19606" xr:uid="{D147BA5D-C640-464F-9B6A-18F759A70D9F}"/>
    <cellStyle name="Normal 8 3 2 8 4" xfId="11158" xr:uid="{71124D2B-9D86-476A-B9F8-44C0BAA1979D}"/>
    <cellStyle name="Normal 8 3 2 9" xfId="4861" xr:uid="{00000000-0005-0000-0000-0000801D0000}"/>
    <cellStyle name="Normal 8 3 2 9 2" xfId="21759" xr:uid="{E819C3E8-458E-41BE-8AD8-C69B6CE82C09}"/>
    <cellStyle name="Normal 8 3 2 9 3" xfId="13311" xr:uid="{087377BA-EF8A-4B0F-99F3-3E46AC1C30AF}"/>
    <cellStyle name="Normal 8 3 3" xfId="500" xr:uid="{00000000-0005-0000-0000-0000811D0000}"/>
    <cellStyle name="Normal 8 3 3 10" xfId="9097" xr:uid="{6AF0FA10-A84B-4C76-BE0E-B802136D502C}"/>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24322" xr:uid="{507B154C-47D5-4686-9532-CF8A21318BED}"/>
    <cellStyle name="Normal 8 3 3 2 2 2 2 3" xfId="15874" xr:uid="{A1ED0172-805A-49DE-8496-4B93E52862B3}"/>
    <cellStyle name="Normal 8 3 3 2 2 2 3" xfId="20104" xr:uid="{F3748079-7AAD-400E-A435-B6907122D1BA}"/>
    <cellStyle name="Normal 8 3 3 2 2 2 4" xfId="11656" xr:uid="{BAC0BF9B-E78B-4476-B992-BD460A54432E}"/>
    <cellStyle name="Normal 8 3 3 2 2 3" xfId="5279" xr:uid="{00000000-0005-0000-0000-0000861D0000}"/>
    <cellStyle name="Normal 8 3 3 2 2 3 2" xfId="22177" xr:uid="{CC246B3A-7A45-476D-B8F2-11DE227652F8}"/>
    <cellStyle name="Normal 8 3 3 2 2 3 3" xfId="13729" xr:uid="{BE8AA257-F943-44F7-95C1-599B191FF853}"/>
    <cellStyle name="Normal 8 3 3 2 2 4" xfId="17959" xr:uid="{7787FEF1-0EE5-41BD-A5A0-9A547921E3D1}"/>
    <cellStyle name="Normal 8 3 3 2 2 5" xfId="9511" xr:uid="{B838F32C-6ABE-4BA6-B88D-40614ECDE233}"/>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24735" xr:uid="{F18603EE-6FA4-4FBF-BA9B-672747ECCAB8}"/>
    <cellStyle name="Normal 8 3 3 2 3 2 2 3" xfId="16287" xr:uid="{5F365B5C-F3B1-421F-901A-82BE84580E63}"/>
    <cellStyle name="Normal 8 3 3 2 3 2 3" xfId="20517" xr:uid="{5939436E-52BA-49C7-B2CB-20C814632EB7}"/>
    <cellStyle name="Normal 8 3 3 2 3 2 4" xfId="12069" xr:uid="{090159CD-676D-4FCE-8B22-B6B1A50ED9F8}"/>
    <cellStyle name="Normal 8 3 3 2 3 3" xfId="5692" xr:uid="{00000000-0005-0000-0000-00008A1D0000}"/>
    <cellStyle name="Normal 8 3 3 2 3 3 2" xfId="22590" xr:uid="{5DD34D2B-EBD3-46DA-BACC-91055E8CA40F}"/>
    <cellStyle name="Normal 8 3 3 2 3 3 3" xfId="14142" xr:uid="{887921A7-0865-4FC9-B7FB-EBAD84DAD3E7}"/>
    <cellStyle name="Normal 8 3 3 2 3 4" xfId="18372" xr:uid="{0978C1A8-A8CC-4ABF-9F81-97DD5324EE55}"/>
    <cellStyle name="Normal 8 3 3 2 3 5" xfId="9924" xr:uid="{3C632494-453B-45A3-BB88-B91C5E4DD78F}"/>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25148" xr:uid="{0BB0E426-67E0-4169-81D4-04E9968BA39A}"/>
    <cellStyle name="Normal 8 3 3 2 4 2 2 3" xfId="16700" xr:uid="{5D6F9939-B284-4A3A-991F-DDE227716739}"/>
    <cellStyle name="Normal 8 3 3 2 4 2 3" xfId="20930" xr:uid="{6EC53E23-51BB-4A5C-BF1A-5E223787469C}"/>
    <cellStyle name="Normal 8 3 3 2 4 2 4" xfId="12482" xr:uid="{BE9430AF-05F4-411F-B174-B2FF3C8162A5}"/>
    <cellStyle name="Normal 8 3 3 2 4 3" xfId="6105" xr:uid="{00000000-0005-0000-0000-00008E1D0000}"/>
    <cellStyle name="Normal 8 3 3 2 4 3 2" xfId="23003" xr:uid="{74A6F386-625B-4AFE-B061-BF3655811DF4}"/>
    <cellStyle name="Normal 8 3 3 2 4 3 3" xfId="14555" xr:uid="{EB112176-30A2-48F8-B390-73312AE5E947}"/>
    <cellStyle name="Normal 8 3 3 2 4 4" xfId="18785" xr:uid="{3886CFBB-0BFE-4D2F-813A-B55BD897768E}"/>
    <cellStyle name="Normal 8 3 3 2 4 5" xfId="10337" xr:uid="{1B9A2373-9D1B-49A8-AD05-7B18DE1637CA}"/>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25561" xr:uid="{E2AD4BE7-FC23-46EB-B330-3A57F91D219B}"/>
    <cellStyle name="Normal 8 3 3 2 5 2 2 3" xfId="17113" xr:uid="{F15E37F7-51DD-48C7-9CB7-479BA9D93940}"/>
    <cellStyle name="Normal 8 3 3 2 5 2 3" xfId="21343" xr:uid="{98A420E9-5343-424D-A10A-C967293A1233}"/>
    <cellStyle name="Normal 8 3 3 2 5 2 4" xfId="12895" xr:uid="{3D83D7AB-5285-4BB3-966B-C97A106E6999}"/>
    <cellStyle name="Normal 8 3 3 2 5 3" xfId="6518" xr:uid="{00000000-0005-0000-0000-0000921D0000}"/>
    <cellStyle name="Normal 8 3 3 2 5 3 2" xfId="23416" xr:uid="{DEB19158-BA2D-4917-9589-4A4377536A0F}"/>
    <cellStyle name="Normal 8 3 3 2 5 3 3" xfId="14968" xr:uid="{8BC6C91A-2804-4422-A28F-ABF31CA706A6}"/>
    <cellStyle name="Normal 8 3 3 2 5 4" xfId="19198" xr:uid="{460A04FE-EABF-4A27-8F89-45A205E67D22}"/>
    <cellStyle name="Normal 8 3 3 2 5 5" xfId="10750" xr:uid="{271E5B56-2788-4D64-86D8-A4D88DBAF749}"/>
    <cellStyle name="Normal 8 3 3 2 6" xfId="2648" xr:uid="{00000000-0005-0000-0000-0000931D0000}"/>
    <cellStyle name="Normal 8 3 3 2 6 2" xfId="6931" xr:uid="{00000000-0005-0000-0000-0000941D0000}"/>
    <cellStyle name="Normal 8 3 3 2 6 2 2" xfId="23829" xr:uid="{1EFDD901-6CB3-48E3-A099-BCFCD9E5994D}"/>
    <cellStyle name="Normal 8 3 3 2 6 2 3" xfId="15381" xr:uid="{872BFB19-AE25-4E65-B4EB-EEBE23F77E71}"/>
    <cellStyle name="Normal 8 3 3 2 6 3" xfId="19611" xr:uid="{13BE8039-4EFC-4A9C-8D47-76D9E2CCF011}"/>
    <cellStyle name="Normal 8 3 3 2 6 4" xfId="11163" xr:uid="{1221FC32-AA12-4FE8-A426-17FD505073C4}"/>
    <cellStyle name="Normal 8 3 3 2 7" xfId="4866" xr:uid="{00000000-0005-0000-0000-0000951D0000}"/>
    <cellStyle name="Normal 8 3 3 2 7 2" xfId="21764" xr:uid="{0388D485-D68A-41DF-937F-CE2190F4A445}"/>
    <cellStyle name="Normal 8 3 3 2 7 3" xfId="13316" xr:uid="{7566E04D-61EB-4EE9-8B31-DDA537009AC3}"/>
    <cellStyle name="Normal 8 3 3 2 8" xfId="17546" xr:uid="{5FEDCD4B-6C63-403E-917C-D2867A5EB913}"/>
    <cellStyle name="Normal 8 3 3 2 9" xfId="9098" xr:uid="{DE03781C-851B-4A92-A2FD-278AA7D54C95}"/>
    <cellStyle name="Normal 8 3 3 3" xfId="967" xr:uid="{00000000-0005-0000-0000-0000961D0000}"/>
    <cellStyle name="Normal 8 3 3 3 2" xfId="3201" xr:uid="{00000000-0005-0000-0000-0000971D0000}"/>
    <cellStyle name="Normal 8 3 3 3 2 2" xfId="7423" xr:uid="{00000000-0005-0000-0000-0000981D0000}"/>
    <cellStyle name="Normal 8 3 3 3 2 2 2" xfId="24321" xr:uid="{0715EE94-C471-45B3-A829-3DECBAA502AA}"/>
    <cellStyle name="Normal 8 3 3 3 2 2 3" xfId="15873" xr:uid="{EEC7033F-C9F9-4E88-A8A8-A40077774564}"/>
    <cellStyle name="Normal 8 3 3 3 2 3" xfId="20103" xr:uid="{72315C51-54A0-41C3-8E83-A8319A77B554}"/>
    <cellStyle name="Normal 8 3 3 3 2 4" xfId="11655" xr:uid="{DE4EF2C6-379C-439E-9CD3-53ABE2AF7327}"/>
    <cellStyle name="Normal 8 3 3 3 3" xfId="5278" xr:uid="{00000000-0005-0000-0000-0000991D0000}"/>
    <cellStyle name="Normal 8 3 3 3 3 2" xfId="22176" xr:uid="{C8F77834-8642-4326-9DBE-46289CDE5B46}"/>
    <cellStyle name="Normal 8 3 3 3 3 3" xfId="13728" xr:uid="{E66E223D-5AD7-463B-8077-9A43DF1F0E3E}"/>
    <cellStyle name="Normal 8 3 3 3 4" xfId="17958" xr:uid="{0AAF80F6-D76D-4659-B4F4-56180D5FBCF6}"/>
    <cellStyle name="Normal 8 3 3 3 5" xfId="9510" xr:uid="{83E04598-55E4-4334-81D7-05F22552034D}"/>
    <cellStyle name="Normal 8 3 3 4" xfId="1384" xr:uid="{00000000-0005-0000-0000-00009A1D0000}"/>
    <cellStyle name="Normal 8 3 3 4 2" xfId="3614" xr:uid="{00000000-0005-0000-0000-00009B1D0000}"/>
    <cellStyle name="Normal 8 3 3 4 2 2" xfId="7836" xr:uid="{00000000-0005-0000-0000-00009C1D0000}"/>
    <cellStyle name="Normal 8 3 3 4 2 2 2" xfId="24734" xr:uid="{39692A7B-A287-4552-912A-A4C0CB8560FB}"/>
    <cellStyle name="Normal 8 3 3 4 2 2 3" xfId="16286" xr:uid="{83CCC787-3820-4F78-B188-F88921512195}"/>
    <cellStyle name="Normal 8 3 3 4 2 3" xfId="20516" xr:uid="{EA2A9651-8D71-4711-8FFF-FE894AC45E54}"/>
    <cellStyle name="Normal 8 3 3 4 2 4" xfId="12068" xr:uid="{827CC85B-0343-4906-956E-D5AE6D73CC31}"/>
    <cellStyle name="Normal 8 3 3 4 3" xfId="5691" xr:uid="{00000000-0005-0000-0000-00009D1D0000}"/>
    <cellStyle name="Normal 8 3 3 4 3 2" xfId="22589" xr:uid="{CD4FC5F4-C9CA-47B8-8F44-C3CB94AFA738}"/>
    <cellStyle name="Normal 8 3 3 4 3 3" xfId="14141" xr:uid="{B6B1E9A7-489F-4D3F-9369-6D3FF7DE42AE}"/>
    <cellStyle name="Normal 8 3 3 4 4" xfId="18371" xr:uid="{1C8E1D6E-83B8-4525-8E80-B25C12B8A615}"/>
    <cellStyle name="Normal 8 3 3 4 5" xfId="9923" xr:uid="{23297EAE-58F7-4EB5-A3A1-D16F0C0B612A}"/>
    <cellStyle name="Normal 8 3 3 5" xfId="1797" xr:uid="{00000000-0005-0000-0000-00009E1D0000}"/>
    <cellStyle name="Normal 8 3 3 5 2" xfId="4027" xr:uid="{00000000-0005-0000-0000-00009F1D0000}"/>
    <cellStyle name="Normal 8 3 3 5 2 2" xfId="8249" xr:uid="{00000000-0005-0000-0000-0000A01D0000}"/>
    <cellStyle name="Normal 8 3 3 5 2 2 2" xfId="25147" xr:uid="{CDCF2FCE-37BE-4C1B-9517-97C66B0D745D}"/>
    <cellStyle name="Normal 8 3 3 5 2 2 3" xfId="16699" xr:uid="{8FA5CB11-8082-44DD-BBA9-D3EE77B6FD54}"/>
    <cellStyle name="Normal 8 3 3 5 2 3" xfId="20929" xr:uid="{03617725-5410-46E9-ACC6-53537C8C5B7E}"/>
    <cellStyle name="Normal 8 3 3 5 2 4" xfId="12481" xr:uid="{D2A04A13-D0E8-49C8-9273-07FD5B47B575}"/>
    <cellStyle name="Normal 8 3 3 5 3" xfId="6104" xr:uid="{00000000-0005-0000-0000-0000A11D0000}"/>
    <cellStyle name="Normal 8 3 3 5 3 2" xfId="23002" xr:uid="{D89CFADD-EA32-432F-8BAD-9A3466387C26}"/>
    <cellStyle name="Normal 8 3 3 5 3 3" xfId="14554" xr:uid="{F8D139D7-E651-4290-8399-C5A5A105E65E}"/>
    <cellStyle name="Normal 8 3 3 5 4" xfId="18784" xr:uid="{AE21683A-ABC2-4936-A976-0B140BE4BDDF}"/>
    <cellStyle name="Normal 8 3 3 5 5" xfId="10336" xr:uid="{B7D0AC89-FBA2-45AC-9503-1145FEAB45EE}"/>
    <cellStyle name="Normal 8 3 3 6" xfId="2211" xr:uid="{00000000-0005-0000-0000-0000A21D0000}"/>
    <cellStyle name="Normal 8 3 3 6 2" xfId="4440" xr:uid="{00000000-0005-0000-0000-0000A31D0000}"/>
    <cellStyle name="Normal 8 3 3 6 2 2" xfId="8662" xr:uid="{00000000-0005-0000-0000-0000A41D0000}"/>
    <cellStyle name="Normal 8 3 3 6 2 2 2" xfId="25560" xr:uid="{32191625-30CD-443C-8478-92E49E5096BC}"/>
    <cellStyle name="Normal 8 3 3 6 2 2 3" xfId="17112" xr:uid="{1B2F1080-7307-4781-98B9-B2DDF298BDF3}"/>
    <cellStyle name="Normal 8 3 3 6 2 3" xfId="21342" xr:uid="{B8F7FFC1-D08B-4A63-A82B-D4B4129E9341}"/>
    <cellStyle name="Normal 8 3 3 6 2 4" xfId="12894" xr:uid="{7BD5E8B2-1AFE-47C6-9E7C-FBEA84CA88F4}"/>
    <cellStyle name="Normal 8 3 3 6 3" xfId="6517" xr:uid="{00000000-0005-0000-0000-0000A51D0000}"/>
    <cellStyle name="Normal 8 3 3 6 3 2" xfId="23415" xr:uid="{3D8D3D73-B6B6-4D1F-938E-9494D66638EE}"/>
    <cellStyle name="Normal 8 3 3 6 3 3" xfId="14967" xr:uid="{4BB3B7D9-A720-474F-AEC9-5D2ECDE4D585}"/>
    <cellStyle name="Normal 8 3 3 6 4" xfId="19197" xr:uid="{C947065D-0930-4194-B8BA-65958A06AF3D}"/>
    <cellStyle name="Normal 8 3 3 6 5" xfId="10749" xr:uid="{49F0095F-4C7D-447B-B3E2-FF7EA2F35AA9}"/>
    <cellStyle name="Normal 8 3 3 7" xfId="2647" xr:uid="{00000000-0005-0000-0000-0000A61D0000}"/>
    <cellStyle name="Normal 8 3 3 7 2" xfId="6930" xr:uid="{00000000-0005-0000-0000-0000A71D0000}"/>
    <cellStyle name="Normal 8 3 3 7 2 2" xfId="23828" xr:uid="{A2B9112C-CC0D-49E0-8FD5-E03D426AF487}"/>
    <cellStyle name="Normal 8 3 3 7 2 3" xfId="15380" xr:uid="{A2521653-3D44-4D96-87AD-2F0C6CCA1A0B}"/>
    <cellStyle name="Normal 8 3 3 7 3" xfId="19610" xr:uid="{DCFF15D7-8EA6-49FF-928D-CBAB7F1EA770}"/>
    <cellStyle name="Normal 8 3 3 7 4" xfId="11162" xr:uid="{7DBE9152-7F39-4805-A951-9455E9F758D2}"/>
    <cellStyle name="Normal 8 3 3 8" xfId="4865" xr:uid="{00000000-0005-0000-0000-0000A81D0000}"/>
    <cellStyle name="Normal 8 3 3 8 2" xfId="21763" xr:uid="{5FDA7CC3-9DF8-4C68-AEA7-1CA770FAD138}"/>
    <cellStyle name="Normal 8 3 3 8 3" xfId="13315" xr:uid="{4088D8AE-5A2D-47C2-946B-7068B4DA3E65}"/>
    <cellStyle name="Normal 8 3 3 9" xfId="17545" xr:uid="{14080FE8-F3F3-4815-86CE-8373A6CE7A6E}"/>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2 2 2" xfId="24323" xr:uid="{EA6A2E5C-D40E-4C40-B20A-9EF559706405}"/>
    <cellStyle name="Normal 8 3 4 2 2 2 3" xfId="15875" xr:uid="{0187D671-E0E2-450F-88EE-76B95A1CD045}"/>
    <cellStyle name="Normal 8 3 4 2 2 3" xfId="20105" xr:uid="{30FC18A3-975A-4A1D-8A85-4B09DDD86C5C}"/>
    <cellStyle name="Normal 8 3 4 2 2 4" xfId="11657" xr:uid="{DF96222F-A10D-4BAA-95BB-4F47F64E4945}"/>
    <cellStyle name="Normal 8 3 4 2 3" xfId="5280" xr:uid="{00000000-0005-0000-0000-0000AD1D0000}"/>
    <cellStyle name="Normal 8 3 4 2 3 2" xfId="22178" xr:uid="{B41B56E2-F143-4760-A385-1D12C9C82B0B}"/>
    <cellStyle name="Normal 8 3 4 2 3 3" xfId="13730" xr:uid="{064B1E3B-C05C-4A67-965E-C5B95C94F493}"/>
    <cellStyle name="Normal 8 3 4 2 4" xfId="17960" xr:uid="{D85736B8-9392-4E3D-820B-A28E09535B87}"/>
    <cellStyle name="Normal 8 3 4 2 5" xfId="9512" xr:uid="{584F6BA7-9056-4ED1-BFE8-170B88CB529D}"/>
    <cellStyle name="Normal 8 3 4 3" xfId="1386" xr:uid="{00000000-0005-0000-0000-0000AE1D0000}"/>
    <cellStyle name="Normal 8 3 4 3 2" xfId="3616" xr:uid="{00000000-0005-0000-0000-0000AF1D0000}"/>
    <cellStyle name="Normal 8 3 4 3 2 2" xfId="7838" xr:uid="{00000000-0005-0000-0000-0000B01D0000}"/>
    <cellStyle name="Normal 8 3 4 3 2 2 2" xfId="24736" xr:uid="{7366CD62-0E9F-485F-97CF-F34D010118DD}"/>
    <cellStyle name="Normal 8 3 4 3 2 2 3" xfId="16288" xr:uid="{A4779DA3-4853-495B-914D-5B516374BEFB}"/>
    <cellStyle name="Normal 8 3 4 3 2 3" xfId="20518" xr:uid="{12660531-F80C-43FC-BAE1-93CF868BB587}"/>
    <cellStyle name="Normal 8 3 4 3 2 4" xfId="12070" xr:uid="{B52ADD4C-C2F1-4EBF-9B81-772496192CDF}"/>
    <cellStyle name="Normal 8 3 4 3 3" xfId="5693" xr:uid="{00000000-0005-0000-0000-0000B11D0000}"/>
    <cellStyle name="Normal 8 3 4 3 3 2" xfId="22591" xr:uid="{1FF97A2F-3506-4B79-8ED2-8ADD30B3D80C}"/>
    <cellStyle name="Normal 8 3 4 3 3 3" xfId="14143" xr:uid="{9F2946FC-F8BF-4B9D-A706-90F2F694AA1E}"/>
    <cellStyle name="Normal 8 3 4 3 4" xfId="18373" xr:uid="{57720B32-ACCA-4421-B006-6BC288D81223}"/>
    <cellStyle name="Normal 8 3 4 3 5" xfId="9925" xr:uid="{C41F19AB-678D-4BB3-A387-9478EA548CE7}"/>
    <cellStyle name="Normal 8 3 4 4" xfId="1799" xr:uid="{00000000-0005-0000-0000-0000B21D0000}"/>
    <cellStyle name="Normal 8 3 4 4 2" xfId="4029" xr:uid="{00000000-0005-0000-0000-0000B31D0000}"/>
    <cellStyle name="Normal 8 3 4 4 2 2" xfId="8251" xr:uid="{00000000-0005-0000-0000-0000B41D0000}"/>
    <cellStyle name="Normal 8 3 4 4 2 2 2" xfId="25149" xr:uid="{F4C9CF6E-9365-4308-A21F-39E737D83F31}"/>
    <cellStyle name="Normal 8 3 4 4 2 2 3" xfId="16701" xr:uid="{964E2B73-2851-41F3-9E9E-26C80C1B9291}"/>
    <cellStyle name="Normal 8 3 4 4 2 3" xfId="20931" xr:uid="{4079A904-CAD8-4096-831A-0250585EC34E}"/>
    <cellStyle name="Normal 8 3 4 4 2 4" xfId="12483" xr:uid="{A328E330-1F7E-4302-9D9E-46B04222F970}"/>
    <cellStyle name="Normal 8 3 4 4 3" xfId="6106" xr:uid="{00000000-0005-0000-0000-0000B51D0000}"/>
    <cellStyle name="Normal 8 3 4 4 3 2" xfId="23004" xr:uid="{812062C8-4982-4960-8BBD-D271323D8B21}"/>
    <cellStyle name="Normal 8 3 4 4 3 3" xfId="14556" xr:uid="{5F5DC32F-F875-4F20-879C-7FFBE06A7C6D}"/>
    <cellStyle name="Normal 8 3 4 4 4" xfId="18786" xr:uid="{0DAE8502-005E-4C6C-8A7C-A220D4CC0A02}"/>
    <cellStyle name="Normal 8 3 4 4 5" xfId="10338" xr:uid="{A7347228-B1B6-4AD2-86E7-4C07453A337A}"/>
    <cellStyle name="Normal 8 3 4 5" xfId="2213" xr:uid="{00000000-0005-0000-0000-0000B61D0000}"/>
    <cellStyle name="Normal 8 3 4 5 2" xfId="4442" xr:uid="{00000000-0005-0000-0000-0000B71D0000}"/>
    <cellStyle name="Normal 8 3 4 5 2 2" xfId="8664" xr:uid="{00000000-0005-0000-0000-0000B81D0000}"/>
    <cellStyle name="Normal 8 3 4 5 2 2 2" xfId="25562" xr:uid="{F827BDBE-A509-4E63-BF61-7A995432D80A}"/>
    <cellStyle name="Normal 8 3 4 5 2 2 3" xfId="17114" xr:uid="{BD0B410D-A839-4971-ABDE-7DA3829E3543}"/>
    <cellStyle name="Normal 8 3 4 5 2 3" xfId="21344" xr:uid="{0CE14A91-7280-43C2-91DE-998B03106D43}"/>
    <cellStyle name="Normal 8 3 4 5 2 4" xfId="12896" xr:uid="{63C13005-77E7-48BD-8CA9-A42B8214C53A}"/>
    <cellStyle name="Normal 8 3 4 5 3" xfId="6519" xr:uid="{00000000-0005-0000-0000-0000B91D0000}"/>
    <cellStyle name="Normal 8 3 4 5 3 2" xfId="23417" xr:uid="{21222155-D1F4-4CC3-B927-38BA8109B94D}"/>
    <cellStyle name="Normal 8 3 4 5 3 3" xfId="14969" xr:uid="{2D8221BE-43E9-45D9-8909-E17DF7370889}"/>
    <cellStyle name="Normal 8 3 4 5 4" xfId="19199" xr:uid="{926BBCA5-033C-4FE4-974E-9CDBD6DFB145}"/>
    <cellStyle name="Normal 8 3 4 5 5" xfId="10751" xr:uid="{581E09EA-E3E6-4C13-8B85-60A8C39D05FB}"/>
    <cellStyle name="Normal 8 3 4 6" xfId="2649" xr:uid="{00000000-0005-0000-0000-0000BA1D0000}"/>
    <cellStyle name="Normal 8 3 4 6 2" xfId="6932" xr:uid="{00000000-0005-0000-0000-0000BB1D0000}"/>
    <cellStyle name="Normal 8 3 4 6 2 2" xfId="23830" xr:uid="{345CF649-8439-4DEC-B65F-99468B56EC0B}"/>
    <cellStyle name="Normal 8 3 4 6 2 3" xfId="15382" xr:uid="{ACBE08EF-BEA4-4B80-80BF-A06726FE1EB8}"/>
    <cellStyle name="Normal 8 3 4 6 3" xfId="19612" xr:uid="{266711CA-CD67-473C-B2C8-A665F890C700}"/>
    <cellStyle name="Normal 8 3 4 6 4" xfId="11164" xr:uid="{82E2DD81-0A6E-4CE0-9BEF-C912DADCE04E}"/>
    <cellStyle name="Normal 8 3 4 7" xfId="4867" xr:uid="{00000000-0005-0000-0000-0000BC1D0000}"/>
    <cellStyle name="Normal 8 3 4 7 2" xfId="21765" xr:uid="{34099217-016E-41DA-AE9F-7862AAEEF224}"/>
    <cellStyle name="Normal 8 3 4 7 3" xfId="13317" xr:uid="{F2F6D743-2DD8-4B8A-BC24-8E4994013928}"/>
    <cellStyle name="Normal 8 3 4 8" xfId="17547" xr:uid="{DA395EC1-DE98-492B-8ED0-B903F6F13CC0}"/>
    <cellStyle name="Normal 8 3 4 9" xfId="9099" xr:uid="{A2B20CDE-E339-4F80-ADBB-BF177AB14454}"/>
    <cellStyle name="Normal 8 3 5" xfId="962" xr:uid="{00000000-0005-0000-0000-0000BD1D0000}"/>
    <cellStyle name="Normal 8 3 5 2" xfId="3196" xr:uid="{00000000-0005-0000-0000-0000BE1D0000}"/>
    <cellStyle name="Normal 8 3 5 2 2" xfId="7418" xr:uid="{00000000-0005-0000-0000-0000BF1D0000}"/>
    <cellStyle name="Normal 8 3 5 2 2 2" xfId="24316" xr:uid="{E84A8A3A-4A18-4FCD-AA91-B5A101A93B55}"/>
    <cellStyle name="Normal 8 3 5 2 2 3" xfId="15868" xr:uid="{01172DC4-8F70-4611-858B-A17A4492F8DF}"/>
    <cellStyle name="Normal 8 3 5 2 3" xfId="20098" xr:uid="{62FB1580-776D-418B-9AC7-A861345452BE}"/>
    <cellStyle name="Normal 8 3 5 2 4" xfId="11650" xr:uid="{BB94FCDE-5373-45B2-9C35-87FC1752716F}"/>
    <cellStyle name="Normal 8 3 5 3" xfId="5273" xr:uid="{00000000-0005-0000-0000-0000C01D0000}"/>
    <cellStyle name="Normal 8 3 5 3 2" xfId="22171" xr:uid="{0600D071-C61C-43F5-B051-98B3CCBF9390}"/>
    <cellStyle name="Normal 8 3 5 3 3" xfId="13723" xr:uid="{1BA1FE54-BF64-4CAF-94B0-8408D6ADCD25}"/>
    <cellStyle name="Normal 8 3 5 4" xfId="17953" xr:uid="{3DD32CB4-B570-4AD6-BEE7-5DEFAE32620A}"/>
    <cellStyle name="Normal 8 3 5 5" xfId="9505" xr:uid="{FE6EE343-27D4-49D8-97F2-54A9CD004F0C}"/>
    <cellStyle name="Normal 8 3 6" xfId="1379" xr:uid="{00000000-0005-0000-0000-0000C11D0000}"/>
    <cellStyle name="Normal 8 3 6 2" xfId="3609" xr:uid="{00000000-0005-0000-0000-0000C21D0000}"/>
    <cellStyle name="Normal 8 3 6 2 2" xfId="7831" xr:uid="{00000000-0005-0000-0000-0000C31D0000}"/>
    <cellStyle name="Normal 8 3 6 2 2 2" xfId="24729" xr:uid="{13D1EEBE-00DB-4F83-817D-80DFC93D2522}"/>
    <cellStyle name="Normal 8 3 6 2 2 3" xfId="16281" xr:uid="{7098009E-3EE1-4536-ADEA-906663BA0B5C}"/>
    <cellStyle name="Normal 8 3 6 2 3" xfId="20511" xr:uid="{5C207B2E-14AB-4487-94E8-9E70B0593C54}"/>
    <cellStyle name="Normal 8 3 6 2 4" xfId="12063" xr:uid="{97D9EE8C-1854-4EEC-B9B8-EFB68FD77D39}"/>
    <cellStyle name="Normal 8 3 6 3" xfId="5686" xr:uid="{00000000-0005-0000-0000-0000C41D0000}"/>
    <cellStyle name="Normal 8 3 6 3 2" xfId="22584" xr:uid="{C625CEA1-BA45-42D0-9E5F-A40F69DE5AFD}"/>
    <cellStyle name="Normal 8 3 6 3 3" xfId="14136" xr:uid="{A98FD874-9653-4553-BF98-65EF7E0FC8F6}"/>
    <cellStyle name="Normal 8 3 6 4" xfId="18366" xr:uid="{BDE90A7B-8239-4634-B376-B33C374A728E}"/>
    <cellStyle name="Normal 8 3 6 5" xfId="9918" xr:uid="{3C22B2CD-E01F-4DC9-A3E8-96DF719FF5B8}"/>
    <cellStyle name="Normal 8 3 7" xfId="1792" xr:uid="{00000000-0005-0000-0000-0000C51D0000}"/>
    <cellStyle name="Normal 8 3 7 2" xfId="4022" xr:uid="{00000000-0005-0000-0000-0000C61D0000}"/>
    <cellStyle name="Normal 8 3 7 2 2" xfId="8244" xr:uid="{00000000-0005-0000-0000-0000C71D0000}"/>
    <cellStyle name="Normal 8 3 7 2 2 2" xfId="25142" xr:uid="{45D46124-BC9C-4225-8DA4-471B7CA3CC3C}"/>
    <cellStyle name="Normal 8 3 7 2 2 3" xfId="16694" xr:uid="{9F4DCBD0-5820-43FC-96CC-92AABC695B06}"/>
    <cellStyle name="Normal 8 3 7 2 3" xfId="20924" xr:uid="{E80A9243-BE86-40DE-9CE7-056EFDA15DA8}"/>
    <cellStyle name="Normal 8 3 7 2 4" xfId="12476" xr:uid="{EB8CD8A8-4726-446C-BC38-364A3BB5EC2E}"/>
    <cellStyle name="Normal 8 3 7 3" xfId="6099" xr:uid="{00000000-0005-0000-0000-0000C81D0000}"/>
    <cellStyle name="Normal 8 3 7 3 2" xfId="22997" xr:uid="{333251F1-B3EC-4255-83B6-813D7B9AEDDD}"/>
    <cellStyle name="Normal 8 3 7 3 3" xfId="14549" xr:uid="{0D991748-186A-4670-A155-20ED8D921A4F}"/>
    <cellStyle name="Normal 8 3 7 4" xfId="18779" xr:uid="{EA1030AD-32D0-42C4-BB28-73C718C4CEC5}"/>
    <cellStyle name="Normal 8 3 7 5" xfId="10331" xr:uid="{D0656583-10D2-49E2-A2F7-F92CBE78E41D}"/>
    <cellStyle name="Normal 8 3 8" xfId="2206" xr:uid="{00000000-0005-0000-0000-0000C91D0000}"/>
    <cellStyle name="Normal 8 3 8 2" xfId="4435" xr:uid="{00000000-0005-0000-0000-0000CA1D0000}"/>
    <cellStyle name="Normal 8 3 8 2 2" xfId="8657" xr:uid="{00000000-0005-0000-0000-0000CB1D0000}"/>
    <cellStyle name="Normal 8 3 8 2 2 2" xfId="25555" xr:uid="{03D01490-AB61-4693-9388-C50592076B16}"/>
    <cellStyle name="Normal 8 3 8 2 2 3" xfId="17107" xr:uid="{ACA192EF-2803-4448-B896-AE09E9F4976F}"/>
    <cellStyle name="Normal 8 3 8 2 3" xfId="21337" xr:uid="{E675631F-B9AE-466D-8830-86AF27909C70}"/>
    <cellStyle name="Normal 8 3 8 2 4" xfId="12889" xr:uid="{C0BCAF5D-C3F0-4D6B-A446-CEB07EE253DE}"/>
    <cellStyle name="Normal 8 3 8 3" xfId="6512" xr:uid="{00000000-0005-0000-0000-0000CC1D0000}"/>
    <cellStyle name="Normal 8 3 8 3 2" xfId="23410" xr:uid="{C9B92E13-30DC-4349-BD40-14E27A3EBAB4}"/>
    <cellStyle name="Normal 8 3 8 3 3" xfId="14962" xr:uid="{E4A21206-7970-440C-9CE3-37093244A5F0}"/>
    <cellStyle name="Normal 8 3 8 4" xfId="19192" xr:uid="{32C04EBD-5669-4D96-B3CA-FE011B8E227D}"/>
    <cellStyle name="Normal 8 3 8 5" xfId="10744" xr:uid="{FB3B75DE-9FED-434C-9DE6-33765B44BCA9}"/>
    <cellStyle name="Normal 8 3 9" xfId="2642" xr:uid="{00000000-0005-0000-0000-0000CD1D0000}"/>
    <cellStyle name="Normal 8 3 9 2" xfId="6925" xr:uid="{00000000-0005-0000-0000-0000CE1D0000}"/>
    <cellStyle name="Normal 8 3 9 2 2" xfId="23823" xr:uid="{0F52F0E0-D770-4F4B-B39F-E987E15882E9}"/>
    <cellStyle name="Normal 8 3 9 2 3" xfId="15375" xr:uid="{95723CA4-1DA4-4673-A992-4191B48F5D22}"/>
    <cellStyle name="Normal 8 3 9 3" xfId="19605" xr:uid="{D9838FE4-105F-4960-AF2E-B275BC25CC0B}"/>
    <cellStyle name="Normal 8 3 9 4" xfId="11157" xr:uid="{5068C20E-CA74-41FB-9405-7553F7A688E7}"/>
    <cellStyle name="Normal 8 4" xfId="503" xr:uid="{00000000-0005-0000-0000-0000CF1D0000}"/>
    <cellStyle name="Normal 8 4 10" xfId="17548" xr:uid="{697AB5A9-18DD-400E-9010-809AEFE1668B}"/>
    <cellStyle name="Normal 8 4 11" xfId="9100" xr:uid="{DAF7B572-DF72-4D95-974F-16AE8826CA17}"/>
    <cellStyle name="Normal 8 4 2" xfId="504" xr:uid="{00000000-0005-0000-0000-0000D01D0000}"/>
    <cellStyle name="Normal 8 4 2 10" xfId="9101" xr:uid="{F756CAA6-DBC6-4FD0-A341-2E28E6799834}"/>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24326" xr:uid="{B70B41AB-001B-44E2-A3E6-9842DCB2D559}"/>
    <cellStyle name="Normal 8 4 2 2 2 2 2 3" xfId="15878" xr:uid="{D0AD8563-CA1C-4509-B46C-7DD12ED0F0AC}"/>
    <cellStyle name="Normal 8 4 2 2 2 2 3" xfId="20108" xr:uid="{A7627315-23DD-420A-8BC7-8D76CC7A7983}"/>
    <cellStyle name="Normal 8 4 2 2 2 2 4" xfId="11660" xr:uid="{C23A6B6E-F47D-4D6B-B33F-D1353E7AD4AA}"/>
    <cellStyle name="Normal 8 4 2 2 2 3" xfId="5283" xr:uid="{00000000-0005-0000-0000-0000D51D0000}"/>
    <cellStyle name="Normal 8 4 2 2 2 3 2" xfId="22181" xr:uid="{7664142D-4755-431A-9A0B-5E2B9570367B}"/>
    <cellStyle name="Normal 8 4 2 2 2 3 3" xfId="13733" xr:uid="{B5BFC788-F561-4011-B08F-02A8F558915E}"/>
    <cellStyle name="Normal 8 4 2 2 2 4" xfId="17963" xr:uid="{43752F91-8E92-4644-BE36-5E5D5AE2917E}"/>
    <cellStyle name="Normal 8 4 2 2 2 5" xfId="9515" xr:uid="{B482B3DF-E3EF-41E5-9437-2D13B52F9084}"/>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24739" xr:uid="{1A483352-3496-4B45-84FF-BA353F947ADC}"/>
    <cellStyle name="Normal 8 4 2 2 3 2 2 3" xfId="16291" xr:uid="{1F660152-C5B1-4882-97D9-A6CF7A42B7D4}"/>
    <cellStyle name="Normal 8 4 2 2 3 2 3" xfId="20521" xr:uid="{6D456AAA-FAFC-4F6B-8865-03233F6D63E9}"/>
    <cellStyle name="Normal 8 4 2 2 3 2 4" xfId="12073" xr:uid="{7F689224-7912-49F3-BE31-45363F104509}"/>
    <cellStyle name="Normal 8 4 2 2 3 3" xfId="5696" xr:uid="{00000000-0005-0000-0000-0000D91D0000}"/>
    <cellStyle name="Normal 8 4 2 2 3 3 2" xfId="22594" xr:uid="{F0D452F9-D448-4B94-BDE8-E376E93C9795}"/>
    <cellStyle name="Normal 8 4 2 2 3 3 3" xfId="14146" xr:uid="{51999B66-1204-440F-99B2-A98D9A449687}"/>
    <cellStyle name="Normal 8 4 2 2 3 4" xfId="18376" xr:uid="{F393CF84-2F15-45DA-BE73-A9597E1286AB}"/>
    <cellStyle name="Normal 8 4 2 2 3 5" xfId="9928" xr:uid="{E9CDB133-36D7-433B-B585-A7C59FDDD01D}"/>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25152" xr:uid="{3D29E13A-BA45-4DBB-8DD6-F0AA63C15111}"/>
    <cellStyle name="Normal 8 4 2 2 4 2 2 3" xfId="16704" xr:uid="{5833D2DC-AB39-46D0-8244-2FACBCEC5AFE}"/>
    <cellStyle name="Normal 8 4 2 2 4 2 3" xfId="20934" xr:uid="{ADFA8F63-5F6F-4FF6-A1C2-5BB53CE4E62F}"/>
    <cellStyle name="Normal 8 4 2 2 4 2 4" xfId="12486" xr:uid="{226D273B-984E-461E-9E8E-3A79A58659F7}"/>
    <cellStyle name="Normal 8 4 2 2 4 3" xfId="6109" xr:uid="{00000000-0005-0000-0000-0000DD1D0000}"/>
    <cellStyle name="Normal 8 4 2 2 4 3 2" xfId="23007" xr:uid="{C8DE95BC-F7B2-4481-A5DF-2D3D384520FE}"/>
    <cellStyle name="Normal 8 4 2 2 4 3 3" xfId="14559" xr:uid="{84122034-7E1F-4BEF-B832-F66D0D1DA8B5}"/>
    <cellStyle name="Normal 8 4 2 2 4 4" xfId="18789" xr:uid="{6F8D8C0C-F848-46AA-9031-74581F5B5F03}"/>
    <cellStyle name="Normal 8 4 2 2 4 5" xfId="10341" xr:uid="{97416DBC-3D53-484F-8FA9-FDC5C47FA3E4}"/>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25565" xr:uid="{30BAA6BC-1FC5-47BD-BB34-4C3C53762A3A}"/>
    <cellStyle name="Normal 8 4 2 2 5 2 2 3" xfId="17117" xr:uid="{A8D34FBE-1113-4EF5-8528-691ED25A5DF4}"/>
    <cellStyle name="Normal 8 4 2 2 5 2 3" xfId="21347" xr:uid="{38B814BD-891C-496C-89ED-FF651C33123B}"/>
    <cellStyle name="Normal 8 4 2 2 5 2 4" xfId="12899" xr:uid="{24C58FF9-68DD-4FD8-8DAF-4D51084EF508}"/>
    <cellStyle name="Normal 8 4 2 2 5 3" xfId="6522" xr:uid="{00000000-0005-0000-0000-0000E11D0000}"/>
    <cellStyle name="Normal 8 4 2 2 5 3 2" xfId="23420" xr:uid="{53F29139-ACB2-4B8B-B226-25BA0E9B7CAD}"/>
    <cellStyle name="Normal 8 4 2 2 5 3 3" xfId="14972" xr:uid="{BBD6F1E5-2F0F-4259-BD0F-3D0BDA1B9CD8}"/>
    <cellStyle name="Normal 8 4 2 2 5 4" xfId="19202" xr:uid="{18F8F59F-623C-4855-B004-8363E4D36762}"/>
    <cellStyle name="Normal 8 4 2 2 5 5" xfId="10754" xr:uid="{A31D3579-A110-48FF-9E53-81C360BB8029}"/>
    <cellStyle name="Normal 8 4 2 2 6" xfId="2652" xr:uid="{00000000-0005-0000-0000-0000E21D0000}"/>
    <cellStyle name="Normal 8 4 2 2 6 2" xfId="6935" xr:uid="{00000000-0005-0000-0000-0000E31D0000}"/>
    <cellStyle name="Normal 8 4 2 2 6 2 2" xfId="23833" xr:uid="{C7818178-E1CA-4D33-AFD3-DD45167C6CCF}"/>
    <cellStyle name="Normal 8 4 2 2 6 2 3" xfId="15385" xr:uid="{261FE91C-38E1-4B43-A40B-2729C0347350}"/>
    <cellStyle name="Normal 8 4 2 2 6 3" xfId="19615" xr:uid="{1BDF3D13-0A3C-47D3-8610-19E1917B4811}"/>
    <cellStyle name="Normal 8 4 2 2 6 4" xfId="11167" xr:uid="{C55FA015-B702-48F9-AFC3-D0D4F2F5ED8A}"/>
    <cellStyle name="Normal 8 4 2 2 7" xfId="4870" xr:uid="{00000000-0005-0000-0000-0000E41D0000}"/>
    <cellStyle name="Normal 8 4 2 2 7 2" xfId="21768" xr:uid="{C8ED2C43-5F82-4D36-9AC2-9620DC0D3D67}"/>
    <cellStyle name="Normal 8 4 2 2 7 3" xfId="13320" xr:uid="{382BCB3D-83BF-4411-BE55-7DA55AFEA35E}"/>
    <cellStyle name="Normal 8 4 2 2 8" xfId="17550" xr:uid="{C2CD6772-F77B-4675-AACF-1B54A84DDA39}"/>
    <cellStyle name="Normal 8 4 2 2 9" xfId="9102" xr:uid="{0DA4A878-6FC7-4C40-BDD6-D6B32A1AC81B}"/>
    <cellStyle name="Normal 8 4 2 3" xfId="971" xr:uid="{00000000-0005-0000-0000-0000E51D0000}"/>
    <cellStyle name="Normal 8 4 2 3 2" xfId="3205" xr:uid="{00000000-0005-0000-0000-0000E61D0000}"/>
    <cellStyle name="Normal 8 4 2 3 2 2" xfId="7427" xr:uid="{00000000-0005-0000-0000-0000E71D0000}"/>
    <cellStyle name="Normal 8 4 2 3 2 2 2" xfId="24325" xr:uid="{DC681A90-CE9B-4561-AA46-74C63EE2DE0E}"/>
    <cellStyle name="Normal 8 4 2 3 2 2 3" xfId="15877" xr:uid="{6FDFAECA-4C35-4435-99A1-EAD4CA26CD86}"/>
    <cellStyle name="Normal 8 4 2 3 2 3" xfId="20107" xr:uid="{9C3DBC0B-A6F4-4E99-AF7B-A48015189E71}"/>
    <cellStyle name="Normal 8 4 2 3 2 4" xfId="11659" xr:uid="{BB0C9B1D-AF35-47E0-AE10-7EC42D966D22}"/>
    <cellStyle name="Normal 8 4 2 3 3" xfId="5282" xr:uid="{00000000-0005-0000-0000-0000E81D0000}"/>
    <cellStyle name="Normal 8 4 2 3 3 2" xfId="22180" xr:uid="{093C7D96-2D8E-424C-8087-257FC49A63FE}"/>
    <cellStyle name="Normal 8 4 2 3 3 3" xfId="13732" xr:uid="{D8DFFDA6-C9F1-4278-B8E9-FC880F3A1F0B}"/>
    <cellStyle name="Normal 8 4 2 3 4" xfId="17962" xr:uid="{8D62D551-2F35-4CD5-9279-F6325872D308}"/>
    <cellStyle name="Normal 8 4 2 3 5" xfId="9514" xr:uid="{E8821EF5-ED6B-4A06-B1EE-C910C3EC6D20}"/>
    <cellStyle name="Normal 8 4 2 4" xfId="1388" xr:uid="{00000000-0005-0000-0000-0000E91D0000}"/>
    <cellStyle name="Normal 8 4 2 4 2" xfId="3618" xr:uid="{00000000-0005-0000-0000-0000EA1D0000}"/>
    <cellStyle name="Normal 8 4 2 4 2 2" xfId="7840" xr:uid="{00000000-0005-0000-0000-0000EB1D0000}"/>
    <cellStyle name="Normal 8 4 2 4 2 2 2" xfId="24738" xr:uid="{716E6B6D-4CF2-43F4-A52F-B7153AE480C2}"/>
    <cellStyle name="Normal 8 4 2 4 2 2 3" xfId="16290" xr:uid="{2C0E145D-BD68-44D2-A913-B372E73EBE87}"/>
    <cellStyle name="Normal 8 4 2 4 2 3" xfId="20520" xr:uid="{1CD48C57-3D24-4AA1-8011-CDCF2FBE17D7}"/>
    <cellStyle name="Normal 8 4 2 4 2 4" xfId="12072" xr:uid="{E94B5C21-4273-4A9A-8CB1-8965DD4DB439}"/>
    <cellStyle name="Normal 8 4 2 4 3" xfId="5695" xr:uid="{00000000-0005-0000-0000-0000EC1D0000}"/>
    <cellStyle name="Normal 8 4 2 4 3 2" xfId="22593" xr:uid="{5421DDFD-F67C-44F9-8EA3-231E410C39B0}"/>
    <cellStyle name="Normal 8 4 2 4 3 3" xfId="14145" xr:uid="{DD92F513-6D4E-4A7F-B612-204A0A56F506}"/>
    <cellStyle name="Normal 8 4 2 4 4" xfId="18375" xr:uid="{5E6F1B1E-9CC8-4B48-9835-205C65A40D23}"/>
    <cellStyle name="Normal 8 4 2 4 5" xfId="9927" xr:uid="{186176EE-27BD-4C7B-96DF-B91444891275}"/>
    <cellStyle name="Normal 8 4 2 5" xfId="1801" xr:uid="{00000000-0005-0000-0000-0000ED1D0000}"/>
    <cellStyle name="Normal 8 4 2 5 2" xfId="4031" xr:uid="{00000000-0005-0000-0000-0000EE1D0000}"/>
    <cellStyle name="Normal 8 4 2 5 2 2" xfId="8253" xr:uid="{00000000-0005-0000-0000-0000EF1D0000}"/>
    <cellStyle name="Normal 8 4 2 5 2 2 2" xfId="25151" xr:uid="{AD812721-91FC-4051-8648-4ECF5F169DDC}"/>
    <cellStyle name="Normal 8 4 2 5 2 2 3" xfId="16703" xr:uid="{72E3DB6D-37D1-476F-8275-8708160CB89A}"/>
    <cellStyle name="Normal 8 4 2 5 2 3" xfId="20933" xr:uid="{B14D5731-8654-41D3-97FA-599673989EE9}"/>
    <cellStyle name="Normal 8 4 2 5 2 4" xfId="12485" xr:uid="{AA40C819-CBE2-40C9-9ECF-2E939E45B861}"/>
    <cellStyle name="Normal 8 4 2 5 3" xfId="6108" xr:uid="{00000000-0005-0000-0000-0000F01D0000}"/>
    <cellStyle name="Normal 8 4 2 5 3 2" xfId="23006" xr:uid="{F9ABD245-37C1-4184-BAD0-7DB62D8A1B09}"/>
    <cellStyle name="Normal 8 4 2 5 3 3" xfId="14558" xr:uid="{E91F7F29-350A-4864-A14E-E362BC633E6A}"/>
    <cellStyle name="Normal 8 4 2 5 4" xfId="18788" xr:uid="{4B107FEC-63E5-4628-BFEF-6F86E080977F}"/>
    <cellStyle name="Normal 8 4 2 5 5" xfId="10340" xr:uid="{539A2A34-CC1A-4012-961A-4DF21A479A0B}"/>
    <cellStyle name="Normal 8 4 2 6" xfId="2215" xr:uid="{00000000-0005-0000-0000-0000F11D0000}"/>
    <cellStyle name="Normal 8 4 2 6 2" xfId="4444" xr:uid="{00000000-0005-0000-0000-0000F21D0000}"/>
    <cellStyle name="Normal 8 4 2 6 2 2" xfId="8666" xr:uid="{00000000-0005-0000-0000-0000F31D0000}"/>
    <cellStyle name="Normal 8 4 2 6 2 2 2" xfId="25564" xr:uid="{4C1EBF2A-3D48-48F8-8B26-1647AE55ACD8}"/>
    <cellStyle name="Normal 8 4 2 6 2 2 3" xfId="17116" xr:uid="{A93F2DF6-4507-4A06-8437-B7DDF97BFFF1}"/>
    <cellStyle name="Normal 8 4 2 6 2 3" xfId="21346" xr:uid="{C2F7308D-1869-4BE0-B46F-98BE12BD4BDD}"/>
    <cellStyle name="Normal 8 4 2 6 2 4" xfId="12898" xr:uid="{0CE19B27-B8E0-42BA-92F9-EF2C2305D7E1}"/>
    <cellStyle name="Normal 8 4 2 6 3" xfId="6521" xr:uid="{00000000-0005-0000-0000-0000F41D0000}"/>
    <cellStyle name="Normal 8 4 2 6 3 2" xfId="23419" xr:uid="{23885AEF-5833-4D8E-9B3A-E298D970B518}"/>
    <cellStyle name="Normal 8 4 2 6 3 3" xfId="14971" xr:uid="{D533E21E-E4A7-46FB-97B2-AEC186F716BE}"/>
    <cellStyle name="Normal 8 4 2 6 4" xfId="19201" xr:uid="{E7052EA7-D4A1-4F29-B694-982A7ADC584B}"/>
    <cellStyle name="Normal 8 4 2 6 5" xfId="10753" xr:uid="{5F4447FA-6BEF-4E41-BFB7-7158D3535682}"/>
    <cellStyle name="Normal 8 4 2 7" xfId="2651" xr:uid="{00000000-0005-0000-0000-0000F51D0000}"/>
    <cellStyle name="Normal 8 4 2 7 2" xfId="6934" xr:uid="{00000000-0005-0000-0000-0000F61D0000}"/>
    <cellStyle name="Normal 8 4 2 7 2 2" xfId="23832" xr:uid="{8D981F61-2FBF-4195-870D-32279F69B221}"/>
    <cellStyle name="Normal 8 4 2 7 2 3" xfId="15384" xr:uid="{5CEEE1C5-7D7B-41DB-AC2D-93D7435C05E5}"/>
    <cellStyle name="Normal 8 4 2 7 3" xfId="19614" xr:uid="{3CEB2277-4ED7-4700-B4C0-89F1B3B5BEE3}"/>
    <cellStyle name="Normal 8 4 2 7 4" xfId="11166" xr:uid="{667C3AA3-6C4F-47F9-9E83-28E717F63600}"/>
    <cellStyle name="Normal 8 4 2 8" xfId="4869" xr:uid="{00000000-0005-0000-0000-0000F71D0000}"/>
    <cellStyle name="Normal 8 4 2 8 2" xfId="21767" xr:uid="{5269A63E-1D31-466D-88C8-47CA41BAD196}"/>
    <cellStyle name="Normal 8 4 2 8 3" xfId="13319" xr:uid="{D052AEC3-DCCF-4782-B6D0-B841AA707914}"/>
    <cellStyle name="Normal 8 4 2 9" xfId="17549" xr:uid="{A3663C84-4371-4ABF-84C4-B7C36ACCF1D8}"/>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2 2 2" xfId="24327" xr:uid="{811A1894-2F01-468F-9F11-26D8F9E458F9}"/>
    <cellStyle name="Normal 8 4 3 2 2 2 3" xfId="15879" xr:uid="{ECB07304-7DC9-4B03-84A1-2DF685DD7B23}"/>
    <cellStyle name="Normal 8 4 3 2 2 3" xfId="20109" xr:uid="{17784744-8839-4AE4-8E47-D8F74FA8FAA0}"/>
    <cellStyle name="Normal 8 4 3 2 2 4" xfId="11661" xr:uid="{ADD0E8B7-D12A-41C8-9261-7F0190225527}"/>
    <cellStyle name="Normal 8 4 3 2 3" xfId="5284" xr:uid="{00000000-0005-0000-0000-0000FC1D0000}"/>
    <cellStyle name="Normal 8 4 3 2 3 2" xfId="22182" xr:uid="{67A1F8B9-3330-4FAC-9EE7-547B0D5A8853}"/>
    <cellStyle name="Normal 8 4 3 2 3 3" xfId="13734" xr:uid="{B57B9C6C-91D2-41B1-8531-EAC401459812}"/>
    <cellStyle name="Normal 8 4 3 2 4" xfId="17964" xr:uid="{BEEE3F81-73A7-45AF-88A5-6F87E4BC962F}"/>
    <cellStyle name="Normal 8 4 3 2 5" xfId="9516" xr:uid="{2BC335CB-CCBD-4443-9472-76AF228BBAA2}"/>
    <cellStyle name="Normal 8 4 3 3" xfId="1390" xr:uid="{00000000-0005-0000-0000-0000FD1D0000}"/>
    <cellStyle name="Normal 8 4 3 3 2" xfId="3620" xr:uid="{00000000-0005-0000-0000-0000FE1D0000}"/>
    <cellStyle name="Normal 8 4 3 3 2 2" xfId="7842" xr:uid="{00000000-0005-0000-0000-0000FF1D0000}"/>
    <cellStyle name="Normal 8 4 3 3 2 2 2" xfId="24740" xr:uid="{C290DC90-E130-48A5-B004-F256FBBA0D3B}"/>
    <cellStyle name="Normal 8 4 3 3 2 2 3" xfId="16292" xr:uid="{23656AF5-3F45-4306-A3EC-490434174BF6}"/>
    <cellStyle name="Normal 8 4 3 3 2 3" xfId="20522" xr:uid="{F01D2171-2955-40AD-B0B7-88C606C17E67}"/>
    <cellStyle name="Normal 8 4 3 3 2 4" xfId="12074" xr:uid="{47D2E970-C6A1-4409-9502-99CE30C739D5}"/>
    <cellStyle name="Normal 8 4 3 3 3" xfId="5697" xr:uid="{00000000-0005-0000-0000-0000001E0000}"/>
    <cellStyle name="Normal 8 4 3 3 3 2" xfId="22595" xr:uid="{378BECAC-6E97-429F-BBF2-E2F54D192BBC}"/>
    <cellStyle name="Normal 8 4 3 3 3 3" xfId="14147" xr:uid="{4FEFDDC4-392D-4A19-B69B-5F946FC6291C}"/>
    <cellStyle name="Normal 8 4 3 3 4" xfId="18377" xr:uid="{7FF5428C-9CC2-49C0-8A07-BEC9B12A7A44}"/>
    <cellStyle name="Normal 8 4 3 3 5" xfId="9929" xr:uid="{00985B90-59FA-4E7D-A4AE-1989436BC3BC}"/>
    <cellStyle name="Normal 8 4 3 4" xfId="1803" xr:uid="{00000000-0005-0000-0000-0000011E0000}"/>
    <cellStyle name="Normal 8 4 3 4 2" xfId="4033" xr:uid="{00000000-0005-0000-0000-0000021E0000}"/>
    <cellStyle name="Normal 8 4 3 4 2 2" xfId="8255" xr:uid="{00000000-0005-0000-0000-0000031E0000}"/>
    <cellStyle name="Normal 8 4 3 4 2 2 2" xfId="25153" xr:uid="{124A580F-4D5E-4B3D-82BA-5D33AAC8D071}"/>
    <cellStyle name="Normal 8 4 3 4 2 2 3" xfId="16705" xr:uid="{77CDB54D-15A9-4D2C-8700-53EEBA824203}"/>
    <cellStyle name="Normal 8 4 3 4 2 3" xfId="20935" xr:uid="{BC2417C0-75F5-4715-B936-A6F34B90E3E6}"/>
    <cellStyle name="Normal 8 4 3 4 2 4" xfId="12487" xr:uid="{8BB07C41-824E-40BC-B99F-0A25F0BF5FF6}"/>
    <cellStyle name="Normal 8 4 3 4 3" xfId="6110" xr:uid="{00000000-0005-0000-0000-0000041E0000}"/>
    <cellStyle name="Normal 8 4 3 4 3 2" xfId="23008" xr:uid="{9FCD1257-5684-4AB5-AA92-A6CA23DE833C}"/>
    <cellStyle name="Normal 8 4 3 4 3 3" xfId="14560" xr:uid="{1C840A2A-1E88-4666-BBBC-265AEA1D2F6D}"/>
    <cellStyle name="Normal 8 4 3 4 4" xfId="18790" xr:uid="{355FC1F8-2266-4204-A65F-E3934E9E042C}"/>
    <cellStyle name="Normal 8 4 3 4 5" xfId="10342" xr:uid="{E61AF210-EF5B-4926-B9CA-AFA679D468A8}"/>
    <cellStyle name="Normal 8 4 3 5" xfId="2217" xr:uid="{00000000-0005-0000-0000-0000051E0000}"/>
    <cellStyle name="Normal 8 4 3 5 2" xfId="4446" xr:uid="{00000000-0005-0000-0000-0000061E0000}"/>
    <cellStyle name="Normal 8 4 3 5 2 2" xfId="8668" xr:uid="{00000000-0005-0000-0000-0000071E0000}"/>
    <cellStyle name="Normal 8 4 3 5 2 2 2" xfId="25566" xr:uid="{83B30983-47CD-4DBD-B72C-C986812CEB22}"/>
    <cellStyle name="Normal 8 4 3 5 2 2 3" xfId="17118" xr:uid="{9215E515-1830-4435-898D-F4A96EAECA8F}"/>
    <cellStyle name="Normal 8 4 3 5 2 3" xfId="21348" xr:uid="{068DD628-630A-45A7-908D-366AA6DBF705}"/>
    <cellStyle name="Normal 8 4 3 5 2 4" xfId="12900" xr:uid="{E4C9522C-91E4-45EA-ACD1-3BB6C8557715}"/>
    <cellStyle name="Normal 8 4 3 5 3" xfId="6523" xr:uid="{00000000-0005-0000-0000-0000081E0000}"/>
    <cellStyle name="Normal 8 4 3 5 3 2" xfId="23421" xr:uid="{8EBD16FD-9DB7-4A8E-B0FC-58FBA46BD65B}"/>
    <cellStyle name="Normal 8 4 3 5 3 3" xfId="14973" xr:uid="{C5142AF2-F405-424E-B68D-4F1A2AC98881}"/>
    <cellStyle name="Normal 8 4 3 5 4" xfId="19203" xr:uid="{93368470-9DEC-4A99-B4F8-6A61D6CD77AF}"/>
    <cellStyle name="Normal 8 4 3 5 5" xfId="10755" xr:uid="{A9915AB8-DCD1-4431-8E8D-9F6343F4D618}"/>
    <cellStyle name="Normal 8 4 3 6" xfId="2653" xr:uid="{00000000-0005-0000-0000-0000091E0000}"/>
    <cellStyle name="Normal 8 4 3 6 2" xfId="6936" xr:uid="{00000000-0005-0000-0000-00000A1E0000}"/>
    <cellStyle name="Normal 8 4 3 6 2 2" xfId="23834" xr:uid="{FBDA9118-6109-4EAA-B110-F5F7CC69F2DB}"/>
    <cellStyle name="Normal 8 4 3 6 2 3" xfId="15386" xr:uid="{3FF68C53-B0AD-4D9A-8949-AA3C96CE699F}"/>
    <cellStyle name="Normal 8 4 3 6 3" xfId="19616" xr:uid="{5BF5FD7E-8B88-4793-A21D-63F11F408B3F}"/>
    <cellStyle name="Normal 8 4 3 6 4" xfId="11168" xr:uid="{91CFDF9B-3616-4EF0-896C-C3C20B7516AE}"/>
    <cellStyle name="Normal 8 4 3 7" xfId="4871" xr:uid="{00000000-0005-0000-0000-00000B1E0000}"/>
    <cellStyle name="Normal 8 4 3 7 2" xfId="21769" xr:uid="{A30C7FB3-4BE6-4713-91D6-2911A5B13D96}"/>
    <cellStyle name="Normal 8 4 3 7 3" xfId="13321" xr:uid="{7A730042-0B9A-41CC-BC49-4FA9A0E86B4A}"/>
    <cellStyle name="Normal 8 4 3 8" xfId="17551" xr:uid="{9214714C-2787-49ED-9BFE-65B1B4468EEA}"/>
    <cellStyle name="Normal 8 4 3 9" xfId="9103" xr:uid="{859CCCC7-C20E-4280-9BD1-12C3900AFBDD}"/>
    <cellStyle name="Normal 8 4 4" xfId="970" xr:uid="{00000000-0005-0000-0000-00000C1E0000}"/>
    <cellStyle name="Normal 8 4 4 2" xfId="3204" xr:uid="{00000000-0005-0000-0000-00000D1E0000}"/>
    <cellStyle name="Normal 8 4 4 2 2" xfId="7426" xr:uid="{00000000-0005-0000-0000-00000E1E0000}"/>
    <cellStyle name="Normal 8 4 4 2 2 2" xfId="24324" xr:uid="{0FC44E9D-0CC5-4CE1-B335-0742F912F57C}"/>
    <cellStyle name="Normal 8 4 4 2 2 3" xfId="15876" xr:uid="{D49FEEDF-962A-44F8-A8AB-BA6B7A8979CF}"/>
    <cellStyle name="Normal 8 4 4 2 3" xfId="20106" xr:uid="{EDD0A931-3B55-460D-8DEF-17762AF9735F}"/>
    <cellStyle name="Normal 8 4 4 2 4" xfId="11658" xr:uid="{E905BC48-FD4B-4A98-92DE-FEAEBAC4791A}"/>
    <cellStyle name="Normal 8 4 4 3" xfId="5281" xr:uid="{00000000-0005-0000-0000-00000F1E0000}"/>
    <cellStyle name="Normal 8 4 4 3 2" xfId="22179" xr:uid="{1EAB2BF4-04EB-4D8F-9C93-56A9B9D1E043}"/>
    <cellStyle name="Normal 8 4 4 3 3" xfId="13731" xr:uid="{6BC58137-816E-45D9-909F-4E2298AC1D1E}"/>
    <cellStyle name="Normal 8 4 4 4" xfId="17961" xr:uid="{8DD39EBE-150A-4A84-AE74-F76C25289592}"/>
    <cellStyle name="Normal 8 4 4 5" xfId="9513" xr:uid="{31EC5E9F-2DEB-4E55-B52F-EA656E305B53}"/>
    <cellStyle name="Normal 8 4 5" xfId="1387" xr:uid="{00000000-0005-0000-0000-0000101E0000}"/>
    <cellStyle name="Normal 8 4 5 2" xfId="3617" xr:uid="{00000000-0005-0000-0000-0000111E0000}"/>
    <cellStyle name="Normal 8 4 5 2 2" xfId="7839" xr:uid="{00000000-0005-0000-0000-0000121E0000}"/>
    <cellStyle name="Normal 8 4 5 2 2 2" xfId="24737" xr:uid="{B1B5E1E1-8957-4D46-901E-22BCEA01EEE4}"/>
    <cellStyle name="Normal 8 4 5 2 2 3" xfId="16289" xr:uid="{A2858C98-69DB-4A85-9E1D-E00FBFD0A1CD}"/>
    <cellStyle name="Normal 8 4 5 2 3" xfId="20519" xr:uid="{D185EAB0-D0C6-4E39-AAAD-580C23100964}"/>
    <cellStyle name="Normal 8 4 5 2 4" xfId="12071" xr:uid="{80FBF090-5DC9-4EA6-94F6-4EE800E9FA82}"/>
    <cellStyle name="Normal 8 4 5 3" xfId="5694" xr:uid="{00000000-0005-0000-0000-0000131E0000}"/>
    <cellStyle name="Normal 8 4 5 3 2" xfId="22592" xr:uid="{3D7DD4E6-9CDF-4FAE-BA11-6D26F047C364}"/>
    <cellStyle name="Normal 8 4 5 3 3" xfId="14144" xr:uid="{5061FBB0-F810-43CB-B87C-33EEF94389DA}"/>
    <cellStyle name="Normal 8 4 5 4" xfId="18374" xr:uid="{16F8830B-C3BC-404E-8EFB-93DE1761CB58}"/>
    <cellStyle name="Normal 8 4 5 5" xfId="9926" xr:uid="{F40B2760-B6FC-4888-ACCA-CDAC31F1F809}"/>
    <cellStyle name="Normal 8 4 6" xfId="1800" xr:uid="{00000000-0005-0000-0000-0000141E0000}"/>
    <cellStyle name="Normal 8 4 6 2" xfId="4030" xr:uid="{00000000-0005-0000-0000-0000151E0000}"/>
    <cellStyle name="Normal 8 4 6 2 2" xfId="8252" xr:uid="{00000000-0005-0000-0000-0000161E0000}"/>
    <cellStyle name="Normal 8 4 6 2 2 2" xfId="25150" xr:uid="{3BB3A0E1-E136-4E27-AA70-19CBA6CD3F8F}"/>
    <cellStyle name="Normal 8 4 6 2 2 3" xfId="16702" xr:uid="{C743BF42-0DE5-4EDD-8595-9DC3035D0F70}"/>
    <cellStyle name="Normal 8 4 6 2 3" xfId="20932" xr:uid="{096CFDBD-7089-4969-9CDA-7CA186B967D3}"/>
    <cellStyle name="Normal 8 4 6 2 4" xfId="12484" xr:uid="{17F48296-0769-4B51-955D-B0BA10C460A0}"/>
    <cellStyle name="Normal 8 4 6 3" xfId="6107" xr:uid="{00000000-0005-0000-0000-0000171E0000}"/>
    <cellStyle name="Normal 8 4 6 3 2" xfId="23005" xr:uid="{99EA5208-0F66-4EF4-8A1B-7D75615558B9}"/>
    <cellStyle name="Normal 8 4 6 3 3" xfId="14557" xr:uid="{3E811929-4B91-4781-B344-8757B1ABC070}"/>
    <cellStyle name="Normal 8 4 6 4" xfId="18787" xr:uid="{7E31781F-5FAF-4F00-8E24-69FAD7CBC00A}"/>
    <cellStyle name="Normal 8 4 6 5" xfId="10339" xr:uid="{EB0F4233-92E7-40E5-82C3-0C9DE7F2B55E}"/>
    <cellStyle name="Normal 8 4 7" xfId="2214" xr:uid="{00000000-0005-0000-0000-0000181E0000}"/>
    <cellStyle name="Normal 8 4 7 2" xfId="4443" xr:uid="{00000000-0005-0000-0000-0000191E0000}"/>
    <cellStyle name="Normal 8 4 7 2 2" xfId="8665" xr:uid="{00000000-0005-0000-0000-00001A1E0000}"/>
    <cellStyle name="Normal 8 4 7 2 2 2" xfId="25563" xr:uid="{75C704B2-9174-40DE-9BC3-13BB75559357}"/>
    <cellStyle name="Normal 8 4 7 2 2 3" xfId="17115" xr:uid="{E5305066-065E-46C5-A161-3DDAE62BEEF7}"/>
    <cellStyle name="Normal 8 4 7 2 3" xfId="21345" xr:uid="{604A7A56-2013-4284-A7E9-8C77B8DE2685}"/>
    <cellStyle name="Normal 8 4 7 2 4" xfId="12897" xr:uid="{185CBE46-0E70-45E0-82D5-12B048E1B75A}"/>
    <cellStyle name="Normal 8 4 7 3" xfId="6520" xr:uid="{00000000-0005-0000-0000-00001B1E0000}"/>
    <cellStyle name="Normal 8 4 7 3 2" xfId="23418" xr:uid="{0A00757F-B8AC-4A17-A731-E7AD388DBF8B}"/>
    <cellStyle name="Normal 8 4 7 3 3" xfId="14970" xr:uid="{555DDE74-5689-4DC9-90E8-3987571AA828}"/>
    <cellStyle name="Normal 8 4 7 4" xfId="19200" xr:uid="{C2CC9670-6A03-4A20-853A-7AE67866E52F}"/>
    <cellStyle name="Normal 8 4 7 5" xfId="10752" xr:uid="{B8EC3D09-16FB-4B58-B139-9A1A8553760F}"/>
    <cellStyle name="Normal 8 4 8" xfId="2650" xr:uid="{00000000-0005-0000-0000-00001C1E0000}"/>
    <cellStyle name="Normal 8 4 8 2" xfId="6933" xr:uid="{00000000-0005-0000-0000-00001D1E0000}"/>
    <cellStyle name="Normal 8 4 8 2 2" xfId="23831" xr:uid="{82D4F5C1-6D03-495D-9061-5D717495730F}"/>
    <cellStyle name="Normal 8 4 8 2 3" xfId="15383" xr:uid="{F8487FC3-708C-4526-BB38-65F1171EFC9E}"/>
    <cellStyle name="Normal 8 4 8 3" xfId="19613" xr:uid="{CEACE4B3-B6F7-4B19-B9D7-137A04D78F16}"/>
    <cellStyle name="Normal 8 4 8 4" xfId="11165" xr:uid="{8A0316A3-BAB8-4C0E-B9F0-2646114B0206}"/>
    <cellStyle name="Normal 8 4 9" xfId="4868" xr:uid="{00000000-0005-0000-0000-00001E1E0000}"/>
    <cellStyle name="Normal 8 4 9 2" xfId="21766" xr:uid="{8047B706-0360-4FC0-B50B-C649A9EB02EC}"/>
    <cellStyle name="Normal 8 4 9 3" xfId="13318" xr:uid="{901C66D9-417C-4FFA-9D53-E2190BA63043}"/>
    <cellStyle name="Normal 8 5" xfId="507" xr:uid="{00000000-0005-0000-0000-00001F1E0000}"/>
    <cellStyle name="Normal 8 5 10" xfId="9104" xr:uid="{31963A05-29FB-4CBD-A800-734CD321ACD8}"/>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2 2 2" xfId="24329" xr:uid="{A5AE1A8E-AE43-4BAC-B960-2D7D9F4A8DD4}"/>
    <cellStyle name="Normal 8 5 2 2 2 2 3" xfId="15881" xr:uid="{E5F22C3E-D16C-47ED-AB25-2067ADC84A1C}"/>
    <cellStyle name="Normal 8 5 2 2 2 3" xfId="20111" xr:uid="{90975CC2-EEFA-4B2D-ABBC-957BCAA495CA}"/>
    <cellStyle name="Normal 8 5 2 2 2 4" xfId="11663" xr:uid="{A81FD7F6-1253-4128-A2DB-D93A1FEC3F9E}"/>
    <cellStyle name="Normal 8 5 2 2 3" xfId="5286" xr:uid="{00000000-0005-0000-0000-0000241E0000}"/>
    <cellStyle name="Normal 8 5 2 2 3 2" xfId="22184" xr:uid="{909439E2-FE87-4418-9054-9A711623EC1E}"/>
    <cellStyle name="Normal 8 5 2 2 3 3" xfId="13736" xr:uid="{1D69E35C-DEF7-49B6-9276-C13ADCC4E81F}"/>
    <cellStyle name="Normal 8 5 2 2 4" xfId="17966" xr:uid="{4280741A-5030-4885-BE13-EF15550B7945}"/>
    <cellStyle name="Normal 8 5 2 2 5" xfId="9518" xr:uid="{7C93831A-4452-4C82-B117-C84898102F20}"/>
    <cellStyle name="Normal 8 5 2 3" xfId="1392" xr:uid="{00000000-0005-0000-0000-0000251E0000}"/>
    <cellStyle name="Normal 8 5 2 3 2" xfId="3622" xr:uid="{00000000-0005-0000-0000-0000261E0000}"/>
    <cellStyle name="Normal 8 5 2 3 2 2" xfId="7844" xr:uid="{00000000-0005-0000-0000-0000271E0000}"/>
    <cellStyle name="Normal 8 5 2 3 2 2 2" xfId="24742" xr:uid="{AE406145-4FBB-45AF-AFC7-FF1A8B963AE6}"/>
    <cellStyle name="Normal 8 5 2 3 2 2 3" xfId="16294" xr:uid="{6AADC57B-6102-44A2-9F86-BAC27B61CDDE}"/>
    <cellStyle name="Normal 8 5 2 3 2 3" xfId="20524" xr:uid="{25640318-5D79-4B1F-BE15-58ABF91F72CD}"/>
    <cellStyle name="Normal 8 5 2 3 2 4" xfId="12076" xr:uid="{77EA6059-AC3C-407E-90D0-BEFF1989E67F}"/>
    <cellStyle name="Normal 8 5 2 3 3" xfId="5699" xr:uid="{00000000-0005-0000-0000-0000281E0000}"/>
    <cellStyle name="Normal 8 5 2 3 3 2" xfId="22597" xr:uid="{43D35C61-51FF-4D3E-A3CE-EF3A9A8A9EC9}"/>
    <cellStyle name="Normal 8 5 2 3 3 3" xfId="14149" xr:uid="{A35C7BDC-6613-4058-8C9B-2D3312994860}"/>
    <cellStyle name="Normal 8 5 2 3 4" xfId="18379" xr:uid="{DFD6F3AD-FCFA-4E67-B4F7-4D7EA5DAE945}"/>
    <cellStyle name="Normal 8 5 2 3 5" xfId="9931" xr:uid="{C75B67C5-D4C4-4B93-B4F3-4B0C3D730D94}"/>
    <cellStyle name="Normal 8 5 2 4" xfId="1805" xr:uid="{00000000-0005-0000-0000-0000291E0000}"/>
    <cellStyle name="Normal 8 5 2 4 2" xfId="4035" xr:uid="{00000000-0005-0000-0000-00002A1E0000}"/>
    <cellStyle name="Normal 8 5 2 4 2 2" xfId="8257" xr:uid="{00000000-0005-0000-0000-00002B1E0000}"/>
    <cellStyle name="Normal 8 5 2 4 2 2 2" xfId="25155" xr:uid="{6FB7061A-E829-40C9-BB57-E1088EA5321B}"/>
    <cellStyle name="Normal 8 5 2 4 2 2 3" xfId="16707" xr:uid="{A20DCCEB-1B3C-4488-9B44-EB2ADAAD10BA}"/>
    <cellStyle name="Normal 8 5 2 4 2 3" xfId="20937" xr:uid="{B453FBA4-BD64-42FC-A41C-54A5EBEF206B}"/>
    <cellStyle name="Normal 8 5 2 4 2 4" xfId="12489" xr:uid="{BA7B4684-5421-4372-8394-DB502AA5A02E}"/>
    <cellStyle name="Normal 8 5 2 4 3" xfId="6112" xr:uid="{00000000-0005-0000-0000-00002C1E0000}"/>
    <cellStyle name="Normal 8 5 2 4 3 2" xfId="23010" xr:uid="{02BEEF56-CF66-4FF9-9193-2D78AE9802BE}"/>
    <cellStyle name="Normal 8 5 2 4 3 3" xfId="14562" xr:uid="{6A4F3BDD-E5EB-44FD-92C4-67FC7872C0E2}"/>
    <cellStyle name="Normal 8 5 2 4 4" xfId="18792" xr:uid="{37567591-A188-4C59-B050-0E01A2649240}"/>
    <cellStyle name="Normal 8 5 2 4 5" xfId="10344" xr:uid="{1375A94A-414F-47EC-8A8D-8CEF4BCF8691}"/>
    <cellStyle name="Normal 8 5 2 5" xfId="2219" xr:uid="{00000000-0005-0000-0000-00002D1E0000}"/>
    <cellStyle name="Normal 8 5 2 5 2" xfId="4448" xr:uid="{00000000-0005-0000-0000-00002E1E0000}"/>
    <cellStyle name="Normal 8 5 2 5 2 2" xfId="8670" xr:uid="{00000000-0005-0000-0000-00002F1E0000}"/>
    <cellStyle name="Normal 8 5 2 5 2 2 2" xfId="25568" xr:uid="{A8B0E6BC-E26C-4C27-85CD-1E0833EDF20C}"/>
    <cellStyle name="Normal 8 5 2 5 2 2 3" xfId="17120" xr:uid="{7D2EB059-87A3-43F4-85E3-DB1338E2718E}"/>
    <cellStyle name="Normal 8 5 2 5 2 3" xfId="21350" xr:uid="{FA083B5D-4D27-4702-861A-C8EF097F31CF}"/>
    <cellStyle name="Normal 8 5 2 5 2 4" xfId="12902" xr:uid="{D0D0B771-7917-49A1-B65D-24AD008A6C36}"/>
    <cellStyle name="Normal 8 5 2 5 3" xfId="6525" xr:uid="{00000000-0005-0000-0000-0000301E0000}"/>
    <cellStyle name="Normal 8 5 2 5 3 2" xfId="23423" xr:uid="{99589F46-3362-4A99-9D83-235AA2D74460}"/>
    <cellStyle name="Normal 8 5 2 5 3 3" xfId="14975" xr:uid="{3017E055-31DB-48D3-9380-A3D7FD39894B}"/>
    <cellStyle name="Normal 8 5 2 5 4" xfId="19205" xr:uid="{B7D6C654-2F21-4CD9-B114-E58C3A59CDD0}"/>
    <cellStyle name="Normal 8 5 2 5 5" xfId="10757" xr:uid="{24832DC8-B939-4A98-8605-0FBE78ECA57F}"/>
    <cellStyle name="Normal 8 5 2 6" xfId="2655" xr:uid="{00000000-0005-0000-0000-0000311E0000}"/>
    <cellStyle name="Normal 8 5 2 6 2" xfId="6938" xr:uid="{00000000-0005-0000-0000-0000321E0000}"/>
    <cellStyle name="Normal 8 5 2 6 2 2" xfId="23836" xr:uid="{01C30FD7-CC6B-41D9-88F9-C7B7D3119A6E}"/>
    <cellStyle name="Normal 8 5 2 6 2 3" xfId="15388" xr:uid="{5B96DBCD-8460-4E8B-BA93-C24AD86C6931}"/>
    <cellStyle name="Normal 8 5 2 6 3" xfId="19618" xr:uid="{04D11268-5D7C-41E1-BC08-DA137934F759}"/>
    <cellStyle name="Normal 8 5 2 6 4" xfId="11170" xr:uid="{D8714AB3-67ED-4364-BDFD-20250E141DBE}"/>
    <cellStyle name="Normal 8 5 2 7" xfId="4873" xr:uid="{00000000-0005-0000-0000-0000331E0000}"/>
    <cellStyle name="Normal 8 5 2 7 2" xfId="21771" xr:uid="{5B275271-8F5E-4614-A9B6-8938CC73ECA8}"/>
    <cellStyle name="Normal 8 5 2 7 3" xfId="13323" xr:uid="{9E66A19D-B7AB-4A4A-8FFB-4E7E089DF154}"/>
    <cellStyle name="Normal 8 5 2 8" xfId="17553" xr:uid="{883C5171-020C-4AB4-8B24-4F119D43793C}"/>
    <cellStyle name="Normal 8 5 2 9" xfId="9105" xr:uid="{FA812C57-D085-48DD-9F65-99E94B0AC5C8}"/>
    <cellStyle name="Normal 8 5 3" xfId="974" xr:uid="{00000000-0005-0000-0000-0000341E0000}"/>
    <cellStyle name="Normal 8 5 3 2" xfId="3208" xr:uid="{00000000-0005-0000-0000-0000351E0000}"/>
    <cellStyle name="Normal 8 5 3 2 2" xfId="7430" xr:uid="{00000000-0005-0000-0000-0000361E0000}"/>
    <cellStyle name="Normal 8 5 3 2 2 2" xfId="24328" xr:uid="{360F8B24-94C4-4A11-944B-185FC53FC977}"/>
    <cellStyle name="Normal 8 5 3 2 2 3" xfId="15880" xr:uid="{C431F504-6EF5-4C29-A257-E238C771B56D}"/>
    <cellStyle name="Normal 8 5 3 2 3" xfId="20110" xr:uid="{6B1AF66C-171D-4083-A105-1811F993321D}"/>
    <cellStyle name="Normal 8 5 3 2 4" xfId="11662" xr:uid="{4031984E-1F41-4CEF-AB45-D3E998264ED7}"/>
    <cellStyle name="Normal 8 5 3 3" xfId="5285" xr:uid="{00000000-0005-0000-0000-0000371E0000}"/>
    <cellStyle name="Normal 8 5 3 3 2" xfId="22183" xr:uid="{0267C817-2FFE-4B51-BBE8-AD6DAB407177}"/>
    <cellStyle name="Normal 8 5 3 3 3" xfId="13735" xr:uid="{1D130D5A-C9C4-4775-BCF2-C3766627CD23}"/>
    <cellStyle name="Normal 8 5 3 4" xfId="17965" xr:uid="{5203E09C-A99C-4D09-96A5-D162206FFB81}"/>
    <cellStyle name="Normal 8 5 3 5" xfId="9517" xr:uid="{1E180DD7-36EE-44CE-B1BB-069C63316279}"/>
    <cellStyle name="Normal 8 5 4" xfId="1391" xr:uid="{00000000-0005-0000-0000-0000381E0000}"/>
    <cellStyle name="Normal 8 5 4 2" xfId="3621" xr:uid="{00000000-0005-0000-0000-0000391E0000}"/>
    <cellStyle name="Normal 8 5 4 2 2" xfId="7843" xr:uid="{00000000-0005-0000-0000-00003A1E0000}"/>
    <cellStyle name="Normal 8 5 4 2 2 2" xfId="24741" xr:uid="{7B3EF335-AD59-476C-A532-47E95EC34FCE}"/>
    <cellStyle name="Normal 8 5 4 2 2 3" xfId="16293" xr:uid="{D0EB1460-9AA7-4EB1-B3E9-10D427F36C4A}"/>
    <cellStyle name="Normal 8 5 4 2 3" xfId="20523" xr:uid="{D9B707A0-805F-40E8-8F4F-4E03B33F5E63}"/>
    <cellStyle name="Normal 8 5 4 2 4" xfId="12075" xr:uid="{926AFE74-75C4-4B73-A5D6-AFA86380AC89}"/>
    <cellStyle name="Normal 8 5 4 3" xfId="5698" xr:uid="{00000000-0005-0000-0000-00003B1E0000}"/>
    <cellStyle name="Normal 8 5 4 3 2" xfId="22596" xr:uid="{383E0E84-AABF-4D82-9938-696F62921CB9}"/>
    <cellStyle name="Normal 8 5 4 3 3" xfId="14148" xr:uid="{0554892A-1F0F-4245-9098-FF9EC2965D45}"/>
    <cellStyle name="Normal 8 5 4 4" xfId="18378" xr:uid="{F6EABB31-983C-46AF-BDFC-AF419C661B6C}"/>
    <cellStyle name="Normal 8 5 4 5" xfId="9930" xr:uid="{B1380C82-14EA-4982-8F8D-AD2D536F2F6E}"/>
    <cellStyle name="Normal 8 5 5" xfId="1804" xr:uid="{00000000-0005-0000-0000-00003C1E0000}"/>
    <cellStyle name="Normal 8 5 5 2" xfId="4034" xr:uid="{00000000-0005-0000-0000-00003D1E0000}"/>
    <cellStyle name="Normal 8 5 5 2 2" xfId="8256" xr:uid="{00000000-0005-0000-0000-00003E1E0000}"/>
    <cellStyle name="Normal 8 5 5 2 2 2" xfId="25154" xr:uid="{E699B935-55CC-4320-8D1B-A25DC9DEDFF0}"/>
    <cellStyle name="Normal 8 5 5 2 2 3" xfId="16706" xr:uid="{4FF3927F-FE00-41D4-8E9A-820268B12AAB}"/>
    <cellStyle name="Normal 8 5 5 2 3" xfId="20936" xr:uid="{1375EC8D-468A-4778-9A7F-E4D731D26D38}"/>
    <cellStyle name="Normal 8 5 5 2 4" xfId="12488" xr:uid="{8F8DE3BB-C861-4969-BC3F-354D5CE70335}"/>
    <cellStyle name="Normal 8 5 5 3" xfId="6111" xr:uid="{00000000-0005-0000-0000-00003F1E0000}"/>
    <cellStyle name="Normal 8 5 5 3 2" xfId="23009" xr:uid="{41AEF39B-AA02-42CB-8AFB-56C0D2122C15}"/>
    <cellStyle name="Normal 8 5 5 3 3" xfId="14561" xr:uid="{AAE02E63-3B81-45DB-9DC6-2AF0407C7698}"/>
    <cellStyle name="Normal 8 5 5 4" xfId="18791" xr:uid="{9539D15F-3DD4-41A2-B546-AC741FFDB5DD}"/>
    <cellStyle name="Normal 8 5 5 5" xfId="10343" xr:uid="{3C5F1233-6E95-44B3-B77C-A80C21AD9B0C}"/>
    <cellStyle name="Normal 8 5 6" xfId="2218" xr:uid="{00000000-0005-0000-0000-0000401E0000}"/>
    <cellStyle name="Normal 8 5 6 2" xfId="4447" xr:uid="{00000000-0005-0000-0000-0000411E0000}"/>
    <cellStyle name="Normal 8 5 6 2 2" xfId="8669" xr:uid="{00000000-0005-0000-0000-0000421E0000}"/>
    <cellStyle name="Normal 8 5 6 2 2 2" xfId="25567" xr:uid="{8EF17D55-5944-4CA5-B8CA-C0CC9943B272}"/>
    <cellStyle name="Normal 8 5 6 2 2 3" xfId="17119" xr:uid="{1F510F25-1C5A-440B-8684-E76749F00DB1}"/>
    <cellStyle name="Normal 8 5 6 2 3" xfId="21349" xr:uid="{5C2A53A3-E5E9-4FB5-91F0-A7E5DEBCF1B9}"/>
    <cellStyle name="Normal 8 5 6 2 4" xfId="12901" xr:uid="{D8B10EAE-6F23-4EDA-A608-DE6EB7E3B4B3}"/>
    <cellStyle name="Normal 8 5 6 3" xfId="6524" xr:uid="{00000000-0005-0000-0000-0000431E0000}"/>
    <cellStyle name="Normal 8 5 6 3 2" xfId="23422" xr:uid="{3AB3858E-65F4-4532-B37F-76504BBFEEA9}"/>
    <cellStyle name="Normal 8 5 6 3 3" xfId="14974" xr:uid="{E0CE8919-3E2E-432F-8612-0696678522BA}"/>
    <cellStyle name="Normal 8 5 6 4" xfId="19204" xr:uid="{8053B26F-4064-4455-B9AD-34E6EA5879E7}"/>
    <cellStyle name="Normal 8 5 6 5" xfId="10756" xr:uid="{04B76DBC-9E22-4DCE-A38A-81E9C90A9D66}"/>
    <cellStyle name="Normal 8 5 7" xfId="2654" xr:uid="{00000000-0005-0000-0000-0000441E0000}"/>
    <cellStyle name="Normal 8 5 7 2" xfId="6937" xr:uid="{00000000-0005-0000-0000-0000451E0000}"/>
    <cellStyle name="Normal 8 5 7 2 2" xfId="23835" xr:uid="{BA858B7F-B169-45CE-A9C1-91E6BED40E3A}"/>
    <cellStyle name="Normal 8 5 7 2 3" xfId="15387" xr:uid="{09EA0B26-CD50-4F64-B999-3CA64366E93E}"/>
    <cellStyle name="Normal 8 5 7 3" xfId="19617" xr:uid="{18CA909E-2A4E-4F3F-B24C-C967BE5AE543}"/>
    <cellStyle name="Normal 8 5 7 4" xfId="11169" xr:uid="{45DCC4CD-78BE-459A-89FC-AE2076AF5944}"/>
    <cellStyle name="Normal 8 5 8" xfId="4872" xr:uid="{00000000-0005-0000-0000-0000461E0000}"/>
    <cellStyle name="Normal 8 5 8 2" xfId="21770" xr:uid="{B0CC3A2F-3117-48CD-BC47-D06D8EE3D18C}"/>
    <cellStyle name="Normal 8 5 8 3" xfId="13322" xr:uid="{2D1858C3-D569-4FA4-ACE6-D869496C0DC8}"/>
    <cellStyle name="Normal 8 5 9" xfId="17552" xr:uid="{A37B1CF7-3A0C-4237-A9AC-A834C10453B1}"/>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2 2 2" xfId="24330" xr:uid="{98EEA385-2526-4CA0-A421-B4B07363943C}"/>
    <cellStyle name="Normal 8 6 2 2 2 3" xfId="15882" xr:uid="{69690B5C-2559-4CF4-B3C8-C1D022155BD0}"/>
    <cellStyle name="Normal 8 6 2 2 3" xfId="20112" xr:uid="{AC9EC8D6-6A74-4086-B885-02BD2959AB3F}"/>
    <cellStyle name="Normal 8 6 2 2 4" xfId="11664" xr:uid="{AC3E5E79-FD34-441E-B990-40041D920DA6}"/>
    <cellStyle name="Normal 8 6 2 3" xfId="5287" xr:uid="{00000000-0005-0000-0000-00004B1E0000}"/>
    <cellStyle name="Normal 8 6 2 3 2" xfId="22185" xr:uid="{4D4A9CA1-BDAA-4E2A-86F7-FE468E944FAF}"/>
    <cellStyle name="Normal 8 6 2 3 3" xfId="13737" xr:uid="{2A86EFD1-E232-42DE-86DB-B285FBD39809}"/>
    <cellStyle name="Normal 8 6 2 4" xfId="17967" xr:uid="{0324302D-FE46-4314-8F32-4FD5A1DDFB31}"/>
    <cellStyle name="Normal 8 6 2 5" xfId="9519" xr:uid="{C7B9D1E6-2DD7-4E7A-ADFB-23122D069FD7}"/>
    <cellStyle name="Normal 8 6 3" xfId="1393" xr:uid="{00000000-0005-0000-0000-00004C1E0000}"/>
    <cellStyle name="Normal 8 6 3 2" xfId="3623" xr:uid="{00000000-0005-0000-0000-00004D1E0000}"/>
    <cellStyle name="Normal 8 6 3 2 2" xfId="7845" xr:uid="{00000000-0005-0000-0000-00004E1E0000}"/>
    <cellStyle name="Normal 8 6 3 2 2 2" xfId="24743" xr:uid="{54B7CB7B-289A-4C09-A660-C837328FB78F}"/>
    <cellStyle name="Normal 8 6 3 2 2 3" xfId="16295" xr:uid="{EA48E63E-9DA0-4FA8-9FFE-315E59A2B81B}"/>
    <cellStyle name="Normal 8 6 3 2 3" xfId="20525" xr:uid="{E800CDE4-AD6B-446A-A441-B9DFDAEA1B39}"/>
    <cellStyle name="Normal 8 6 3 2 4" xfId="12077" xr:uid="{6D0BF1F2-BCF7-419D-98CD-8E7FC1730854}"/>
    <cellStyle name="Normal 8 6 3 3" xfId="5700" xr:uid="{00000000-0005-0000-0000-00004F1E0000}"/>
    <cellStyle name="Normal 8 6 3 3 2" xfId="22598" xr:uid="{65873029-B5C2-44C6-88DE-7E01D427EB4E}"/>
    <cellStyle name="Normal 8 6 3 3 3" xfId="14150" xr:uid="{016F164F-7FA6-48BE-A572-DFBAC2BE765D}"/>
    <cellStyle name="Normal 8 6 3 4" xfId="18380" xr:uid="{15966FAD-1064-425E-B447-8E1825D1493B}"/>
    <cellStyle name="Normal 8 6 3 5" xfId="9932" xr:uid="{2813162B-688E-45A9-95CB-EAD2BF7D9F99}"/>
    <cellStyle name="Normal 8 6 4" xfId="1806" xr:uid="{00000000-0005-0000-0000-0000501E0000}"/>
    <cellStyle name="Normal 8 6 4 2" xfId="4036" xr:uid="{00000000-0005-0000-0000-0000511E0000}"/>
    <cellStyle name="Normal 8 6 4 2 2" xfId="8258" xr:uid="{00000000-0005-0000-0000-0000521E0000}"/>
    <cellStyle name="Normal 8 6 4 2 2 2" xfId="25156" xr:uid="{45BE6846-5BE8-462C-A2FB-19D12E4FE1AB}"/>
    <cellStyle name="Normal 8 6 4 2 2 3" xfId="16708" xr:uid="{FC0B9A25-90EB-4C78-BF4B-A371EFC3D03C}"/>
    <cellStyle name="Normal 8 6 4 2 3" xfId="20938" xr:uid="{E5C453D8-1D03-402D-9D80-70685A7FBB65}"/>
    <cellStyle name="Normal 8 6 4 2 4" xfId="12490" xr:uid="{49702933-2D38-4FE3-B5D4-1B2BDAE5133E}"/>
    <cellStyle name="Normal 8 6 4 3" xfId="6113" xr:uid="{00000000-0005-0000-0000-0000531E0000}"/>
    <cellStyle name="Normal 8 6 4 3 2" xfId="23011" xr:uid="{B46135E6-6B0D-4D17-9035-5794DA8F8A7F}"/>
    <cellStyle name="Normal 8 6 4 3 3" xfId="14563" xr:uid="{1BE29907-1D6E-4A69-B093-7EB7F0D9C5DC}"/>
    <cellStyle name="Normal 8 6 4 4" xfId="18793" xr:uid="{C73A965C-A774-4158-BBD6-441FEB4A6F2D}"/>
    <cellStyle name="Normal 8 6 4 5" xfId="10345" xr:uid="{6546ECC5-236B-40D6-97C4-C79010CBABB0}"/>
    <cellStyle name="Normal 8 6 5" xfId="2220" xr:uid="{00000000-0005-0000-0000-0000541E0000}"/>
    <cellStyle name="Normal 8 6 5 2" xfId="4449" xr:uid="{00000000-0005-0000-0000-0000551E0000}"/>
    <cellStyle name="Normal 8 6 5 2 2" xfId="8671" xr:uid="{00000000-0005-0000-0000-0000561E0000}"/>
    <cellStyle name="Normal 8 6 5 2 2 2" xfId="25569" xr:uid="{27F0D95D-F436-42D9-918C-9BBD169249A6}"/>
    <cellStyle name="Normal 8 6 5 2 2 3" xfId="17121" xr:uid="{B17E7DBE-8C41-4AAE-BA9C-B4A986389AAD}"/>
    <cellStyle name="Normal 8 6 5 2 3" xfId="21351" xr:uid="{EC53A781-20BD-4FC1-B9D8-4AA487B351D0}"/>
    <cellStyle name="Normal 8 6 5 2 4" xfId="12903" xr:uid="{E4CEAE8C-7111-4C78-A7A6-39443F598DBD}"/>
    <cellStyle name="Normal 8 6 5 3" xfId="6526" xr:uid="{00000000-0005-0000-0000-0000571E0000}"/>
    <cellStyle name="Normal 8 6 5 3 2" xfId="23424" xr:uid="{10875425-AC80-4248-818F-CEDE3B095AB9}"/>
    <cellStyle name="Normal 8 6 5 3 3" xfId="14976" xr:uid="{4481A122-BD1C-43A2-B173-9CB45193CD88}"/>
    <cellStyle name="Normal 8 6 5 4" xfId="19206" xr:uid="{0CB6215D-A322-4BEC-81B3-DD591825CE35}"/>
    <cellStyle name="Normal 8 6 5 5" xfId="10758" xr:uid="{2479280E-C641-49E7-B1C6-816617BFECB3}"/>
    <cellStyle name="Normal 8 6 6" xfId="2656" xr:uid="{00000000-0005-0000-0000-0000581E0000}"/>
    <cellStyle name="Normal 8 6 6 2" xfId="6939" xr:uid="{00000000-0005-0000-0000-0000591E0000}"/>
    <cellStyle name="Normal 8 6 6 2 2" xfId="23837" xr:uid="{3A009163-1C5D-4520-8992-C0B7F3993709}"/>
    <cellStyle name="Normal 8 6 6 2 3" xfId="15389" xr:uid="{CF576695-EAC0-4300-BE40-CB0B3CEF9125}"/>
    <cellStyle name="Normal 8 6 6 3" xfId="19619" xr:uid="{9D64AFFA-4A6A-4FB3-A69D-D2D16BB490C8}"/>
    <cellStyle name="Normal 8 6 6 4" xfId="11171" xr:uid="{3F670B29-B464-4B3B-9C06-683FF92D4FE3}"/>
    <cellStyle name="Normal 8 6 7" xfId="4874" xr:uid="{00000000-0005-0000-0000-00005A1E0000}"/>
    <cellStyle name="Normal 8 6 7 2" xfId="21772" xr:uid="{D791960D-808C-45F8-876C-A9279C528744}"/>
    <cellStyle name="Normal 8 6 7 3" xfId="13324" xr:uid="{64EBFEE2-46A2-4623-95A7-942604731712}"/>
    <cellStyle name="Normal 8 6 8" xfId="17554" xr:uid="{233FCC09-5845-4A21-8BFF-D4BF7F17C155}"/>
    <cellStyle name="Normal 8 6 9" xfId="9106" xr:uid="{B5358A9A-E3A7-46BF-9818-15E5CECD06E0}"/>
    <cellStyle name="Normal 8 7" xfId="945" xr:uid="{00000000-0005-0000-0000-00005B1E0000}"/>
    <cellStyle name="Normal 8 7 2" xfId="3179" xr:uid="{00000000-0005-0000-0000-00005C1E0000}"/>
    <cellStyle name="Normal 8 7 2 2" xfId="7401" xr:uid="{00000000-0005-0000-0000-00005D1E0000}"/>
    <cellStyle name="Normal 8 7 2 2 2" xfId="24299" xr:uid="{3661F0C8-B292-4F28-888D-E168ADCE9429}"/>
    <cellStyle name="Normal 8 7 2 2 3" xfId="15851" xr:uid="{1508863E-66E1-429F-87FE-0BBCC05A955B}"/>
    <cellStyle name="Normal 8 7 2 3" xfId="20081" xr:uid="{24E22C09-D4A7-4A68-A771-9BEB006259FC}"/>
    <cellStyle name="Normal 8 7 2 4" xfId="11633" xr:uid="{F16CC795-0827-4F14-8FB5-2975B0CC95F5}"/>
    <cellStyle name="Normal 8 7 3" xfId="5256" xr:uid="{00000000-0005-0000-0000-00005E1E0000}"/>
    <cellStyle name="Normal 8 7 3 2" xfId="22154" xr:uid="{4411BAD4-C4BB-43FF-A43B-3C3A47363793}"/>
    <cellStyle name="Normal 8 7 3 3" xfId="13706" xr:uid="{C6533295-7F21-4832-98C1-0BC3DC0A6C7E}"/>
    <cellStyle name="Normal 8 7 4" xfId="17936" xr:uid="{4B927173-64F8-44A2-BA1F-E8403362F351}"/>
    <cellStyle name="Normal 8 7 5" xfId="9488" xr:uid="{578B48D6-B76C-40DD-86AF-5BAFA289C9D1}"/>
    <cellStyle name="Normal 8 8" xfId="1362" xr:uid="{00000000-0005-0000-0000-00005F1E0000}"/>
    <cellStyle name="Normal 8 8 2" xfId="3592" xr:uid="{00000000-0005-0000-0000-0000601E0000}"/>
    <cellStyle name="Normal 8 8 2 2" xfId="7814" xr:uid="{00000000-0005-0000-0000-0000611E0000}"/>
    <cellStyle name="Normal 8 8 2 2 2" xfId="24712" xr:uid="{B003A2F5-2929-491C-AA00-D531F3DE0553}"/>
    <cellStyle name="Normal 8 8 2 2 3" xfId="16264" xr:uid="{82361FB5-50B6-4715-83BF-296075BD9C5A}"/>
    <cellStyle name="Normal 8 8 2 3" xfId="20494" xr:uid="{AF55332D-4866-4639-9925-C69C6F115C97}"/>
    <cellStyle name="Normal 8 8 2 4" xfId="12046" xr:uid="{F675443B-F450-45E1-9143-9652F8957555}"/>
    <cellStyle name="Normal 8 8 3" xfId="5669" xr:uid="{00000000-0005-0000-0000-0000621E0000}"/>
    <cellStyle name="Normal 8 8 3 2" xfId="22567" xr:uid="{BBCBF70F-2391-42DA-9E57-2BEAA5D38379}"/>
    <cellStyle name="Normal 8 8 3 3" xfId="14119" xr:uid="{A2C8A1EF-89C5-4561-96AF-3F700469CF82}"/>
    <cellStyle name="Normal 8 8 4" xfId="18349" xr:uid="{CFC616C8-E539-4589-A3F1-F5B9A6F291B5}"/>
    <cellStyle name="Normal 8 8 5" xfId="9901" xr:uid="{E6AC023E-F9AC-4455-8BBC-6367148B282C}"/>
    <cellStyle name="Normal 8 9" xfId="1775" xr:uid="{00000000-0005-0000-0000-0000631E0000}"/>
    <cellStyle name="Normal 8 9 2" xfId="4005" xr:uid="{00000000-0005-0000-0000-0000641E0000}"/>
    <cellStyle name="Normal 8 9 2 2" xfId="8227" xr:uid="{00000000-0005-0000-0000-0000651E0000}"/>
    <cellStyle name="Normal 8 9 2 2 2" xfId="25125" xr:uid="{1E30BCEF-26A8-4434-A611-CA32C4A9B39E}"/>
    <cellStyle name="Normal 8 9 2 2 3" xfId="16677" xr:uid="{F3180DFC-3910-4B57-968C-AA14E7528957}"/>
    <cellStyle name="Normal 8 9 2 3" xfId="20907" xr:uid="{721985EA-9545-4D4E-99CF-434A44FD9ED0}"/>
    <cellStyle name="Normal 8 9 2 4" xfId="12459" xr:uid="{D6713E84-58D7-4F75-AE2D-46B6FF3CCE16}"/>
    <cellStyle name="Normal 8 9 3" xfId="6082" xr:uid="{00000000-0005-0000-0000-0000661E0000}"/>
    <cellStyle name="Normal 8 9 3 2" xfId="22980" xr:uid="{46819003-5F36-4FB1-81A2-C6EACCE2894C}"/>
    <cellStyle name="Normal 8 9 3 3" xfId="14532" xr:uid="{C0D948DD-B213-495B-BC91-06793C89C97C}"/>
    <cellStyle name="Normal 8 9 4" xfId="18762" xr:uid="{092DCAF3-914A-4EB3-BF6D-FDFC0E424944}"/>
    <cellStyle name="Normal 8 9 5" xfId="10314" xr:uid="{712A8A13-0415-4EEE-9E9B-5B28773536AF}"/>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23838" xr:uid="{2EA13FB9-4DD7-4A0B-8A41-AB5730DFA035}"/>
    <cellStyle name="Normal 9 2 10 2 3" xfId="15390" xr:uid="{F7D9249D-DA4F-4AD9-8AC7-3BBB7592AB23}"/>
    <cellStyle name="Normal 9 2 10 3" xfId="19620" xr:uid="{EF78F05B-BED9-4CFC-B151-443CB7281CC2}"/>
    <cellStyle name="Normal 9 2 10 4" xfId="11172" xr:uid="{90A0B91C-AD28-45AB-9C45-503AFCEC1C5A}"/>
    <cellStyle name="Normal 9 2 11" xfId="4875" xr:uid="{00000000-0005-0000-0000-00006B1E0000}"/>
    <cellStyle name="Normal 9 2 11 2" xfId="21773" xr:uid="{AA31291F-0CC9-415D-A846-FFFB1717C703}"/>
    <cellStyle name="Normal 9 2 11 3" xfId="13325" xr:uid="{D4CAB99E-C6C4-48DD-B41D-705F165CB173}"/>
    <cellStyle name="Normal 9 2 12" xfId="17555" xr:uid="{C7D5BF1B-CFFF-49D5-9F94-43788A1AD2C4}"/>
    <cellStyle name="Normal 9 2 13" xfId="9107" xr:uid="{8787F641-2738-4E44-835E-AEF6153DC13E}"/>
    <cellStyle name="Normal 9 2 2" xfId="512" xr:uid="{00000000-0005-0000-0000-00006C1E0000}"/>
    <cellStyle name="Normal 9 2 2 10" xfId="4876" xr:uid="{00000000-0005-0000-0000-00006D1E0000}"/>
    <cellStyle name="Normal 9 2 2 10 2" xfId="21774" xr:uid="{6A32D13F-9CC9-41A5-BE1B-77B736DD72D7}"/>
    <cellStyle name="Normal 9 2 2 10 3" xfId="13326" xr:uid="{0C72CD3D-2B5E-4761-98A3-5C760127879C}"/>
    <cellStyle name="Normal 9 2 2 11" xfId="17556" xr:uid="{5EA3F196-FB36-49F0-8287-434A65B1476B}"/>
    <cellStyle name="Normal 9 2 2 12" xfId="9108" xr:uid="{668E99B9-10B0-4BBF-AED9-3BE2783D4547}"/>
    <cellStyle name="Normal 9 2 2 2" xfId="513" xr:uid="{00000000-0005-0000-0000-00006E1E0000}"/>
    <cellStyle name="Normal 9 2 2 2 10" xfId="17557" xr:uid="{2475EF3C-8019-41F5-A0AD-6EA1FFCE2F36}"/>
    <cellStyle name="Normal 9 2 2 2 11" xfId="9109" xr:uid="{D96682A0-F682-4400-912E-FC141EC42220}"/>
    <cellStyle name="Normal 9 2 2 2 2" xfId="514" xr:uid="{00000000-0005-0000-0000-00006F1E0000}"/>
    <cellStyle name="Normal 9 2 2 2 2 10" xfId="9110" xr:uid="{D81B9053-C9DE-4047-9744-B8F8E0CDD345}"/>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24335" xr:uid="{8B2E6FE9-2BA2-4D1A-9DA0-A23DC4E0465E}"/>
    <cellStyle name="Normal 9 2 2 2 2 2 2 2 2 3" xfId="15887" xr:uid="{FED7E70D-9B4A-4493-A445-31F1E27C9A0B}"/>
    <cellStyle name="Normal 9 2 2 2 2 2 2 2 3" xfId="20117" xr:uid="{C73D49C7-B384-4D02-A518-0E8CB83B3417}"/>
    <cellStyle name="Normal 9 2 2 2 2 2 2 2 4" xfId="11669" xr:uid="{BE0E7147-87A6-40A6-BF47-D5ACCBC5CA89}"/>
    <cellStyle name="Normal 9 2 2 2 2 2 2 3" xfId="5292" xr:uid="{00000000-0005-0000-0000-0000741E0000}"/>
    <cellStyle name="Normal 9 2 2 2 2 2 2 3 2" xfId="22190" xr:uid="{33B62C8E-6CCD-432B-8C68-0BC7A4C96450}"/>
    <cellStyle name="Normal 9 2 2 2 2 2 2 3 3" xfId="13742" xr:uid="{CE36D5D2-08C5-4F2D-BE40-675D2FDB7085}"/>
    <cellStyle name="Normal 9 2 2 2 2 2 2 4" xfId="17972" xr:uid="{B15F701A-F466-4BBB-84DD-EDB7AFC81B62}"/>
    <cellStyle name="Normal 9 2 2 2 2 2 2 5" xfId="9524" xr:uid="{86E0A45D-C5FE-403A-A098-D63155B1C15C}"/>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24748" xr:uid="{D15FC077-C514-4E00-A1CF-DD688666A7F1}"/>
    <cellStyle name="Normal 9 2 2 2 2 2 3 2 2 3" xfId="16300" xr:uid="{9BB5A31F-CBBF-45FB-9F31-428671362066}"/>
    <cellStyle name="Normal 9 2 2 2 2 2 3 2 3" xfId="20530" xr:uid="{F6F6BB10-1523-4192-9474-5B6F7F7362C2}"/>
    <cellStyle name="Normal 9 2 2 2 2 2 3 2 4" xfId="12082" xr:uid="{AB531517-95B7-4496-9584-F7B633AEE36B}"/>
    <cellStyle name="Normal 9 2 2 2 2 2 3 3" xfId="5705" xr:uid="{00000000-0005-0000-0000-0000781E0000}"/>
    <cellStyle name="Normal 9 2 2 2 2 2 3 3 2" xfId="22603" xr:uid="{4596B29E-3A3C-477C-9A15-D1CB17923111}"/>
    <cellStyle name="Normal 9 2 2 2 2 2 3 3 3" xfId="14155" xr:uid="{D3F1F922-F428-44A1-8028-A1B485A9A2C4}"/>
    <cellStyle name="Normal 9 2 2 2 2 2 3 4" xfId="18385" xr:uid="{C07DFCB2-E2B4-4B4A-9DA9-3CF88E25F8CA}"/>
    <cellStyle name="Normal 9 2 2 2 2 2 3 5" xfId="9937" xr:uid="{C92D31B3-8A1A-49F6-BFED-9037F2F0E4C1}"/>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25161" xr:uid="{F6102985-26EC-4CEF-9107-ECC338A46864}"/>
    <cellStyle name="Normal 9 2 2 2 2 2 4 2 2 3" xfId="16713" xr:uid="{214331C2-D7C9-4D0C-BFDB-BE5EB28AE646}"/>
    <cellStyle name="Normal 9 2 2 2 2 2 4 2 3" xfId="20943" xr:uid="{73238119-C6A6-432D-AC92-E3EB06B24989}"/>
    <cellStyle name="Normal 9 2 2 2 2 2 4 2 4" xfId="12495" xr:uid="{7408B6CD-E040-42AE-8C26-28B095C1CFAE}"/>
    <cellStyle name="Normal 9 2 2 2 2 2 4 3" xfId="6118" xr:uid="{00000000-0005-0000-0000-00007C1E0000}"/>
    <cellStyle name="Normal 9 2 2 2 2 2 4 3 2" xfId="23016" xr:uid="{DDECEF94-ECF7-467C-A258-D9DDC1578871}"/>
    <cellStyle name="Normal 9 2 2 2 2 2 4 3 3" xfId="14568" xr:uid="{282B6943-B11B-4220-BFD1-AD7DAF077AA6}"/>
    <cellStyle name="Normal 9 2 2 2 2 2 4 4" xfId="18798" xr:uid="{7CA803FB-4C7C-46D2-8335-DF7131E18E69}"/>
    <cellStyle name="Normal 9 2 2 2 2 2 4 5" xfId="10350" xr:uid="{5C31857B-2AB0-4A93-99F7-72ED888FC2E8}"/>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25574" xr:uid="{A41B332E-94A3-4C03-9AAA-156519FBC01C}"/>
    <cellStyle name="Normal 9 2 2 2 2 2 5 2 2 3" xfId="17126" xr:uid="{81F79F7C-28B0-4CDE-8491-062631F0A8A4}"/>
    <cellStyle name="Normal 9 2 2 2 2 2 5 2 3" xfId="21356" xr:uid="{2642A5E9-EAD5-4361-9448-952D188EC233}"/>
    <cellStyle name="Normal 9 2 2 2 2 2 5 2 4" xfId="12908" xr:uid="{625210F4-7916-45DA-A4CF-43A9E0CE3C5F}"/>
    <cellStyle name="Normal 9 2 2 2 2 2 5 3" xfId="6531" xr:uid="{00000000-0005-0000-0000-0000801E0000}"/>
    <cellStyle name="Normal 9 2 2 2 2 2 5 3 2" xfId="23429" xr:uid="{ADD5F9E7-A281-4D14-B5FE-81D7A9D2EBD0}"/>
    <cellStyle name="Normal 9 2 2 2 2 2 5 3 3" xfId="14981" xr:uid="{4186153F-5A10-4510-842F-B4549BEDAF41}"/>
    <cellStyle name="Normal 9 2 2 2 2 2 5 4" xfId="19211" xr:uid="{516E202A-6285-41CC-AB85-AB30DACC44D2}"/>
    <cellStyle name="Normal 9 2 2 2 2 2 5 5" xfId="10763" xr:uid="{568A210D-8A86-478E-A17D-912B645353D9}"/>
    <cellStyle name="Normal 9 2 2 2 2 2 6" xfId="2661" xr:uid="{00000000-0005-0000-0000-0000811E0000}"/>
    <cellStyle name="Normal 9 2 2 2 2 2 6 2" xfId="6944" xr:uid="{00000000-0005-0000-0000-0000821E0000}"/>
    <cellStyle name="Normal 9 2 2 2 2 2 6 2 2" xfId="23842" xr:uid="{4C55D517-A9EA-40BB-B16E-57713AC20ED9}"/>
    <cellStyle name="Normal 9 2 2 2 2 2 6 2 3" xfId="15394" xr:uid="{1E0AD840-26B7-4D78-9275-3FCCAD0D11B2}"/>
    <cellStyle name="Normal 9 2 2 2 2 2 6 3" xfId="19624" xr:uid="{93F1971A-4190-4594-85BA-A958ED94BBDD}"/>
    <cellStyle name="Normal 9 2 2 2 2 2 6 4" xfId="11176" xr:uid="{7DF21283-7812-43EE-9269-C5023593250E}"/>
    <cellStyle name="Normal 9 2 2 2 2 2 7" xfId="4879" xr:uid="{00000000-0005-0000-0000-0000831E0000}"/>
    <cellStyle name="Normal 9 2 2 2 2 2 7 2" xfId="21777" xr:uid="{6E41732A-BA1F-4B38-BD40-694FAED76E2C}"/>
    <cellStyle name="Normal 9 2 2 2 2 2 7 3" xfId="13329" xr:uid="{17467D0F-F643-48F4-B5CF-7AD9699D3615}"/>
    <cellStyle name="Normal 9 2 2 2 2 2 8" xfId="17559" xr:uid="{7BB751EB-6BB1-43C8-B74D-D82D44DA7E66}"/>
    <cellStyle name="Normal 9 2 2 2 2 2 9" xfId="9111" xr:uid="{7D5E7F81-57AA-48D5-8573-B46AE27657D1}"/>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24334" xr:uid="{C88E33B5-4BFE-4C8D-8CE8-5E767D13C331}"/>
    <cellStyle name="Normal 9 2 2 2 2 3 2 2 3" xfId="15886" xr:uid="{426DB5CC-C01C-4377-BE5D-E7D785E88734}"/>
    <cellStyle name="Normal 9 2 2 2 2 3 2 3" xfId="20116" xr:uid="{E329E147-46CD-41BF-A96D-BC55CE3D623F}"/>
    <cellStyle name="Normal 9 2 2 2 2 3 2 4" xfId="11668" xr:uid="{52DE3F6C-A625-4AC9-A2EC-86436D5ED545}"/>
    <cellStyle name="Normal 9 2 2 2 2 3 3" xfId="5291" xr:uid="{00000000-0005-0000-0000-0000871E0000}"/>
    <cellStyle name="Normal 9 2 2 2 2 3 3 2" xfId="22189" xr:uid="{583EC179-7F15-4734-A1DC-ABC1602E31A2}"/>
    <cellStyle name="Normal 9 2 2 2 2 3 3 3" xfId="13741" xr:uid="{2573D572-D2D0-4203-B1CA-B24FF788C987}"/>
    <cellStyle name="Normal 9 2 2 2 2 3 4" xfId="17971" xr:uid="{DA083DC1-40A9-45F2-B840-E82583FB906D}"/>
    <cellStyle name="Normal 9 2 2 2 2 3 5" xfId="9523" xr:uid="{32EBFE85-D1CC-4E99-864B-6B1C5030390D}"/>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24747" xr:uid="{DC7E6F8C-6C52-464D-AC6F-45B7E3831D57}"/>
    <cellStyle name="Normal 9 2 2 2 2 4 2 2 3" xfId="16299" xr:uid="{00AC6F7C-9848-41FE-9E9B-D72B3DB06DC4}"/>
    <cellStyle name="Normal 9 2 2 2 2 4 2 3" xfId="20529" xr:uid="{66CB9F8D-8B11-4521-BA39-6E1757D98986}"/>
    <cellStyle name="Normal 9 2 2 2 2 4 2 4" xfId="12081" xr:uid="{3C482BCC-43F7-4344-8314-1D41BB7F2AE1}"/>
    <cellStyle name="Normal 9 2 2 2 2 4 3" xfId="5704" xr:uid="{00000000-0005-0000-0000-00008B1E0000}"/>
    <cellStyle name="Normal 9 2 2 2 2 4 3 2" xfId="22602" xr:uid="{39149040-14F1-485D-A0BB-49E81705BA1C}"/>
    <cellStyle name="Normal 9 2 2 2 2 4 3 3" xfId="14154" xr:uid="{700D3B22-7F94-456C-8968-A4722AFBE965}"/>
    <cellStyle name="Normal 9 2 2 2 2 4 4" xfId="18384" xr:uid="{555B339A-F433-4B70-95A4-22905AEAE818}"/>
    <cellStyle name="Normal 9 2 2 2 2 4 5" xfId="9936" xr:uid="{FBF52BFE-1A05-412D-8C6C-D6CB1E726A46}"/>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25160" xr:uid="{38821108-0264-4793-8619-77A5E82C0444}"/>
    <cellStyle name="Normal 9 2 2 2 2 5 2 2 3" xfId="16712" xr:uid="{F714E1DD-939B-4C86-B989-8A4DFE03D182}"/>
    <cellStyle name="Normal 9 2 2 2 2 5 2 3" xfId="20942" xr:uid="{D467B6AC-D1DC-40C1-A287-85F61A8C2678}"/>
    <cellStyle name="Normal 9 2 2 2 2 5 2 4" xfId="12494" xr:uid="{805469A0-8F46-4713-843A-73E246080E2A}"/>
    <cellStyle name="Normal 9 2 2 2 2 5 3" xfId="6117" xr:uid="{00000000-0005-0000-0000-00008F1E0000}"/>
    <cellStyle name="Normal 9 2 2 2 2 5 3 2" xfId="23015" xr:uid="{A59DE5BD-5590-4A7D-B148-0E3591E9363D}"/>
    <cellStyle name="Normal 9 2 2 2 2 5 3 3" xfId="14567" xr:uid="{A4CEE533-9921-4B82-8234-652E61FC28A1}"/>
    <cellStyle name="Normal 9 2 2 2 2 5 4" xfId="18797" xr:uid="{09C4DDFD-1F25-4B03-9BE2-648B027CAF55}"/>
    <cellStyle name="Normal 9 2 2 2 2 5 5" xfId="10349" xr:uid="{F1110D15-BB5A-487F-A619-A41CCBE20C7D}"/>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25573" xr:uid="{B55190CF-E857-449D-9456-1CF16432A522}"/>
    <cellStyle name="Normal 9 2 2 2 2 6 2 2 3" xfId="17125" xr:uid="{3FF58C29-F1F8-491E-A6E7-89ABE1D352F6}"/>
    <cellStyle name="Normal 9 2 2 2 2 6 2 3" xfId="21355" xr:uid="{7879C944-8D03-41C8-8427-291907E6D437}"/>
    <cellStyle name="Normal 9 2 2 2 2 6 2 4" xfId="12907" xr:uid="{3368C4C1-63E2-4C18-9690-1148FB365236}"/>
    <cellStyle name="Normal 9 2 2 2 2 6 3" xfId="6530" xr:uid="{00000000-0005-0000-0000-0000931E0000}"/>
    <cellStyle name="Normal 9 2 2 2 2 6 3 2" xfId="23428" xr:uid="{8830A642-2E7C-41E8-8057-8EF01C81A4FD}"/>
    <cellStyle name="Normal 9 2 2 2 2 6 3 3" xfId="14980" xr:uid="{C0157D4B-380A-4A21-B1C8-94B059EE2821}"/>
    <cellStyle name="Normal 9 2 2 2 2 6 4" xfId="19210" xr:uid="{3DE2C1F5-955F-430B-896A-84592DD43F0D}"/>
    <cellStyle name="Normal 9 2 2 2 2 6 5" xfId="10762" xr:uid="{1E95A7E8-9B30-4D5A-ABE0-32D8B1A8BFA5}"/>
    <cellStyle name="Normal 9 2 2 2 2 7" xfId="2660" xr:uid="{00000000-0005-0000-0000-0000941E0000}"/>
    <cellStyle name="Normal 9 2 2 2 2 7 2" xfId="6943" xr:uid="{00000000-0005-0000-0000-0000951E0000}"/>
    <cellStyle name="Normal 9 2 2 2 2 7 2 2" xfId="23841" xr:uid="{3D854318-BDF7-4C74-8211-690D33A2D475}"/>
    <cellStyle name="Normal 9 2 2 2 2 7 2 3" xfId="15393" xr:uid="{BB6AF02D-C67D-4F97-BEBD-2368E0F36102}"/>
    <cellStyle name="Normal 9 2 2 2 2 7 3" xfId="19623" xr:uid="{7DFA1972-FBDA-4ECC-8B98-540EE200ED1A}"/>
    <cellStyle name="Normal 9 2 2 2 2 7 4" xfId="11175" xr:uid="{8AFCC51F-88DD-4C0A-98B5-CBBB177270CE}"/>
    <cellStyle name="Normal 9 2 2 2 2 8" xfId="4878" xr:uid="{00000000-0005-0000-0000-0000961E0000}"/>
    <cellStyle name="Normal 9 2 2 2 2 8 2" xfId="21776" xr:uid="{0550777F-4280-4350-A6C5-69BB226275C3}"/>
    <cellStyle name="Normal 9 2 2 2 2 8 3" xfId="13328" xr:uid="{55B84AA7-2054-45CC-87FC-BFBDF3EBF8B7}"/>
    <cellStyle name="Normal 9 2 2 2 2 9" xfId="17558" xr:uid="{EE4890E4-D43E-4DE2-8F27-FA9BA11BA252}"/>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24336" xr:uid="{8A2C0FA9-1FAE-4A15-9C06-2A0606525B2D}"/>
    <cellStyle name="Normal 9 2 2 2 3 2 2 2 3" xfId="15888" xr:uid="{E4D0F7A7-3AE1-4648-A6A7-B2CCA169882A}"/>
    <cellStyle name="Normal 9 2 2 2 3 2 2 3" xfId="20118" xr:uid="{FFF5B5B0-7371-4E05-A536-7207AE8AD551}"/>
    <cellStyle name="Normal 9 2 2 2 3 2 2 4" xfId="11670" xr:uid="{C0AC861B-E8EE-4CAB-B387-4CA858045AEB}"/>
    <cellStyle name="Normal 9 2 2 2 3 2 3" xfId="5293" xr:uid="{00000000-0005-0000-0000-00009B1E0000}"/>
    <cellStyle name="Normal 9 2 2 2 3 2 3 2" xfId="22191" xr:uid="{E7D2C5E1-1076-4780-90BC-6E9BFC0185AC}"/>
    <cellStyle name="Normal 9 2 2 2 3 2 3 3" xfId="13743" xr:uid="{F1B52421-0294-4AC7-A8E7-3241ABB6131A}"/>
    <cellStyle name="Normal 9 2 2 2 3 2 4" xfId="17973" xr:uid="{B9130389-3B31-4EB3-95C4-A4085F7C1297}"/>
    <cellStyle name="Normal 9 2 2 2 3 2 5" xfId="9525" xr:uid="{CEDF7B6C-801C-4ACD-88DB-8B1D66365D62}"/>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24749" xr:uid="{34AC3AAF-0054-41A2-8014-1A6DFE62F1DC}"/>
    <cellStyle name="Normal 9 2 2 2 3 3 2 2 3" xfId="16301" xr:uid="{047CB070-E450-4884-A25B-39B5388F41A5}"/>
    <cellStyle name="Normal 9 2 2 2 3 3 2 3" xfId="20531" xr:uid="{37D9A211-90D4-4FFA-97DF-161953A4AA9B}"/>
    <cellStyle name="Normal 9 2 2 2 3 3 2 4" xfId="12083" xr:uid="{4031C7B9-60BA-4DD3-9419-51A85EA01A85}"/>
    <cellStyle name="Normal 9 2 2 2 3 3 3" xfId="5706" xr:uid="{00000000-0005-0000-0000-00009F1E0000}"/>
    <cellStyle name="Normal 9 2 2 2 3 3 3 2" xfId="22604" xr:uid="{255DB3FA-DD5F-4E34-99F2-D9E701BA0164}"/>
    <cellStyle name="Normal 9 2 2 2 3 3 3 3" xfId="14156" xr:uid="{374913BF-8861-4313-8441-4734A9FF606C}"/>
    <cellStyle name="Normal 9 2 2 2 3 3 4" xfId="18386" xr:uid="{66E4076B-71F7-4F16-8274-DE8F20E3E117}"/>
    <cellStyle name="Normal 9 2 2 2 3 3 5" xfId="9938" xr:uid="{BA5B3DF1-CD5F-4D85-B223-3ACD6AAEFEA8}"/>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25162" xr:uid="{3097BC25-6A0D-4812-ACED-AD1E18860317}"/>
    <cellStyle name="Normal 9 2 2 2 3 4 2 2 3" xfId="16714" xr:uid="{68AA51E1-5E25-47D3-991E-3996D19C568C}"/>
    <cellStyle name="Normal 9 2 2 2 3 4 2 3" xfId="20944" xr:uid="{F0D095D9-63DC-457C-A6C1-C9D0D63A0A08}"/>
    <cellStyle name="Normal 9 2 2 2 3 4 2 4" xfId="12496" xr:uid="{FF3306E0-D63A-4966-BCCA-0CD32BB34FDC}"/>
    <cellStyle name="Normal 9 2 2 2 3 4 3" xfId="6119" xr:uid="{00000000-0005-0000-0000-0000A31E0000}"/>
    <cellStyle name="Normal 9 2 2 2 3 4 3 2" xfId="23017" xr:uid="{FA183B36-42BA-4405-85BC-3512ACBA5231}"/>
    <cellStyle name="Normal 9 2 2 2 3 4 3 3" xfId="14569" xr:uid="{F4662CDD-1F40-4A87-AD93-EF7CA270C3E9}"/>
    <cellStyle name="Normal 9 2 2 2 3 4 4" xfId="18799" xr:uid="{9AE13EAE-E710-41D0-A4F1-AD8BD261D4EC}"/>
    <cellStyle name="Normal 9 2 2 2 3 4 5" xfId="10351" xr:uid="{CE8F4501-372D-4828-9483-32829BF5124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25575" xr:uid="{C5EC9CCC-4BE3-49BF-8926-5AF0A7B4BD26}"/>
    <cellStyle name="Normal 9 2 2 2 3 5 2 2 3" xfId="17127" xr:uid="{CE479C98-4824-4869-827B-4C4784397B4F}"/>
    <cellStyle name="Normal 9 2 2 2 3 5 2 3" xfId="21357" xr:uid="{AA72A335-A6DF-4D5F-906A-B8F23124DCED}"/>
    <cellStyle name="Normal 9 2 2 2 3 5 2 4" xfId="12909" xr:uid="{84E46416-AEC0-4BE2-8D19-3A48F74F976F}"/>
    <cellStyle name="Normal 9 2 2 2 3 5 3" xfId="6532" xr:uid="{00000000-0005-0000-0000-0000A71E0000}"/>
    <cellStyle name="Normal 9 2 2 2 3 5 3 2" xfId="23430" xr:uid="{3BA49932-AAC3-4E38-A58D-015279AB9B41}"/>
    <cellStyle name="Normal 9 2 2 2 3 5 3 3" xfId="14982" xr:uid="{047A5D83-B3A9-4E29-B2A0-6B697B66225A}"/>
    <cellStyle name="Normal 9 2 2 2 3 5 4" xfId="19212" xr:uid="{40675E2A-374A-413A-BBC2-7512CD358979}"/>
    <cellStyle name="Normal 9 2 2 2 3 5 5" xfId="10764" xr:uid="{F3FEDC3B-85A4-4899-A785-94BCB218EF41}"/>
    <cellStyle name="Normal 9 2 2 2 3 6" xfId="2662" xr:uid="{00000000-0005-0000-0000-0000A81E0000}"/>
    <cellStyle name="Normal 9 2 2 2 3 6 2" xfId="6945" xr:uid="{00000000-0005-0000-0000-0000A91E0000}"/>
    <cellStyle name="Normal 9 2 2 2 3 6 2 2" xfId="23843" xr:uid="{63AB6B8E-8842-4DD5-934A-0B500787D058}"/>
    <cellStyle name="Normal 9 2 2 2 3 6 2 3" xfId="15395" xr:uid="{FAB0DEE0-250B-4CDA-995E-90AD6AC23A0E}"/>
    <cellStyle name="Normal 9 2 2 2 3 6 3" xfId="19625" xr:uid="{91BC4079-6989-40EB-BF73-489FF21F6DA8}"/>
    <cellStyle name="Normal 9 2 2 2 3 6 4" xfId="11177" xr:uid="{8F9315AA-E3DD-4D83-B36B-6ABA2516DDEC}"/>
    <cellStyle name="Normal 9 2 2 2 3 7" xfId="4880" xr:uid="{00000000-0005-0000-0000-0000AA1E0000}"/>
    <cellStyle name="Normal 9 2 2 2 3 7 2" xfId="21778" xr:uid="{F373A777-D8AF-4F5B-97F5-F547C265BC59}"/>
    <cellStyle name="Normal 9 2 2 2 3 7 3" xfId="13330" xr:uid="{E600FEB8-4772-420A-AE9E-89FCCC406FF2}"/>
    <cellStyle name="Normal 9 2 2 2 3 8" xfId="17560" xr:uid="{DADC6B4F-3B1F-4762-9BD4-8D015919D2E4}"/>
    <cellStyle name="Normal 9 2 2 2 3 9" xfId="9112" xr:uid="{96F44F4D-C6BA-4CE9-9F90-390E54F6E2B9}"/>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24333" xr:uid="{B13D3023-98A5-4A7D-8898-6363363A233D}"/>
    <cellStyle name="Normal 9 2 2 2 4 2 2 3" xfId="15885" xr:uid="{29DD6140-6FC0-48A1-9B25-D21428C90129}"/>
    <cellStyle name="Normal 9 2 2 2 4 2 3" xfId="20115" xr:uid="{49DA0269-FFF2-4663-BF2F-72CE697F6126}"/>
    <cellStyle name="Normal 9 2 2 2 4 2 4" xfId="11667" xr:uid="{5BB083DE-1E25-46F8-A626-4511D27EBE3D}"/>
    <cellStyle name="Normal 9 2 2 2 4 3" xfId="5290" xr:uid="{00000000-0005-0000-0000-0000AE1E0000}"/>
    <cellStyle name="Normal 9 2 2 2 4 3 2" xfId="22188" xr:uid="{2B8D4F00-48E6-4B8C-BDC8-B2442D0F7025}"/>
    <cellStyle name="Normal 9 2 2 2 4 3 3" xfId="13740" xr:uid="{6CB30842-85BC-4DE4-A8BC-690D85CECF53}"/>
    <cellStyle name="Normal 9 2 2 2 4 4" xfId="17970" xr:uid="{E329C589-C335-47D9-AC86-6A2C5D38DDEA}"/>
    <cellStyle name="Normal 9 2 2 2 4 5" xfId="9522" xr:uid="{7CD60358-4974-40F2-9BE4-1E30A597861C}"/>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24746" xr:uid="{1BE25275-FF65-4770-BB38-70722B19E229}"/>
    <cellStyle name="Normal 9 2 2 2 5 2 2 3" xfId="16298" xr:uid="{93C45831-899E-480A-8885-FDEDE263BCC2}"/>
    <cellStyle name="Normal 9 2 2 2 5 2 3" xfId="20528" xr:uid="{FCF38F9E-9FD6-4BB4-846E-CDCD1843E191}"/>
    <cellStyle name="Normal 9 2 2 2 5 2 4" xfId="12080" xr:uid="{BB40FB89-4B25-4AAE-B1A7-0A01E45CC72F}"/>
    <cellStyle name="Normal 9 2 2 2 5 3" xfId="5703" xr:uid="{00000000-0005-0000-0000-0000B21E0000}"/>
    <cellStyle name="Normal 9 2 2 2 5 3 2" xfId="22601" xr:uid="{BD059C82-8CC5-4800-9804-40D1E97C6ABA}"/>
    <cellStyle name="Normal 9 2 2 2 5 3 3" xfId="14153" xr:uid="{A50F9BF3-418C-4A1E-A458-3388AF2FFD77}"/>
    <cellStyle name="Normal 9 2 2 2 5 4" xfId="18383" xr:uid="{5366179C-C1F1-41C1-A86E-58F9E97DB7DD}"/>
    <cellStyle name="Normal 9 2 2 2 5 5" xfId="9935" xr:uid="{780FD7B2-C2CB-4A82-8D2D-6FB4E081B547}"/>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25159" xr:uid="{E15AFD44-2E91-4D20-ADDF-AB5429BBE216}"/>
    <cellStyle name="Normal 9 2 2 2 6 2 2 3" xfId="16711" xr:uid="{E450F3EC-9D7F-4B31-990C-4A5FC509F32A}"/>
    <cellStyle name="Normal 9 2 2 2 6 2 3" xfId="20941" xr:uid="{E5CA7D06-4C2A-4C51-AE39-D44EF30F7C78}"/>
    <cellStyle name="Normal 9 2 2 2 6 2 4" xfId="12493" xr:uid="{507F52C2-A0A3-4C2D-8096-B77CBC84ABA5}"/>
    <cellStyle name="Normal 9 2 2 2 6 3" xfId="6116" xr:uid="{00000000-0005-0000-0000-0000B61E0000}"/>
    <cellStyle name="Normal 9 2 2 2 6 3 2" xfId="23014" xr:uid="{67957381-B236-4DD4-B758-1710A15CBE65}"/>
    <cellStyle name="Normal 9 2 2 2 6 3 3" xfId="14566" xr:uid="{9F6ABE71-4EC5-47B8-914D-EA1E961ABE39}"/>
    <cellStyle name="Normal 9 2 2 2 6 4" xfId="18796" xr:uid="{1885F5FF-751D-4BE4-80DB-92D88C6F5711}"/>
    <cellStyle name="Normal 9 2 2 2 6 5" xfId="10348" xr:uid="{BAB5D335-47BB-457D-A707-A6133BBA0AC9}"/>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25572" xr:uid="{43107BF9-C126-4567-98AA-F496C2A002AC}"/>
    <cellStyle name="Normal 9 2 2 2 7 2 2 3" xfId="17124" xr:uid="{4F773BF6-2FFB-4E2C-B0D8-6A54DB12B569}"/>
    <cellStyle name="Normal 9 2 2 2 7 2 3" xfId="21354" xr:uid="{865D26BF-358B-4702-8E65-F982E34B1AF4}"/>
    <cellStyle name="Normal 9 2 2 2 7 2 4" xfId="12906" xr:uid="{5E03CE70-FDC0-4A67-B16B-2A4FD174E109}"/>
    <cellStyle name="Normal 9 2 2 2 7 3" xfId="6529" xr:uid="{00000000-0005-0000-0000-0000BA1E0000}"/>
    <cellStyle name="Normal 9 2 2 2 7 3 2" xfId="23427" xr:uid="{86509FA9-EBCD-4A94-B548-8CF5D8F58030}"/>
    <cellStyle name="Normal 9 2 2 2 7 3 3" xfId="14979" xr:uid="{12A205B0-379D-4C3C-8C6E-88BDF1D42FEC}"/>
    <cellStyle name="Normal 9 2 2 2 7 4" xfId="19209" xr:uid="{0B8D0E37-F149-4B63-8BBC-5F760063A60A}"/>
    <cellStyle name="Normal 9 2 2 2 7 5" xfId="10761" xr:uid="{ACBFFCB2-C5C6-42DE-A6A0-E80E4520140F}"/>
    <cellStyle name="Normal 9 2 2 2 8" xfId="2659" xr:uid="{00000000-0005-0000-0000-0000BB1E0000}"/>
    <cellStyle name="Normal 9 2 2 2 8 2" xfId="6942" xr:uid="{00000000-0005-0000-0000-0000BC1E0000}"/>
    <cellStyle name="Normal 9 2 2 2 8 2 2" xfId="23840" xr:uid="{97A1210F-5701-4D23-AE7B-5B06EBBE1015}"/>
    <cellStyle name="Normal 9 2 2 2 8 2 3" xfId="15392" xr:uid="{2F793FF6-704A-4290-934B-D3C76E98E369}"/>
    <cellStyle name="Normal 9 2 2 2 8 3" xfId="19622" xr:uid="{EB51051A-B938-471E-B9B3-ABDE643398AD}"/>
    <cellStyle name="Normal 9 2 2 2 8 4" xfId="11174" xr:uid="{425A4CD6-7284-4361-82AB-0E9DE62859DF}"/>
    <cellStyle name="Normal 9 2 2 2 9" xfId="4877" xr:uid="{00000000-0005-0000-0000-0000BD1E0000}"/>
    <cellStyle name="Normal 9 2 2 2 9 2" xfId="21775" xr:uid="{7340111D-71A1-4E6D-91F2-EE57061DC490}"/>
    <cellStyle name="Normal 9 2 2 2 9 3" xfId="13327" xr:uid="{C949DD36-C152-42CA-890B-A5D6A2CB6F13}"/>
    <cellStyle name="Normal 9 2 2 3" xfId="517" xr:uid="{00000000-0005-0000-0000-0000BE1E0000}"/>
    <cellStyle name="Normal 9 2 2 3 10" xfId="9113" xr:uid="{32C8C3AE-2E3F-4D57-913E-6BDD40057B2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24338" xr:uid="{4C3B9394-2442-4B3E-81CD-10238883554B}"/>
    <cellStyle name="Normal 9 2 2 3 2 2 2 2 3" xfId="15890" xr:uid="{F21C9E28-D389-4E3A-B416-1578757B4FF6}"/>
    <cellStyle name="Normal 9 2 2 3 2 2 2 3" xfId="20120" xr:uid="{B77A56EF-C379-40FF-8FF0-4C201B0002EE}"/>
    <cellStyle name="Normal 9 2 2 3 2 2 2 4" xfId="11672" xr:uid="{FD6F7C94-E389-49CB-BD8E-EBAD4FE6DCEA}"/>
    <cellStyle name="Normal 9 2 2 3 2 2 3" xfId="5295" xr:uid="{00000000-0005-0000-0000-0000C31E0000}"/>
    <cellStyle name="Normal 9 2 2 3 2 2 3 2" xfId="22193" xr:uid="{1CFAA8EA-4158-4F75-81FE-A1300C620A5F}"/>
    <cellStyle name="Normal 9 2 2 3 2 2 3 3" xfId="13745" xr:uid="{3781CBF9-F094-49F5-8FD9-97F663B852F8}"/>
    <cellStyle name="Normal 9 2 2 3 2 2 4" xfId="17975" xr:uid="{38D45DC1-E16E-49B8-9E22-A25793DAB059}"/>
    <cellStyle name="Normal 9 2 2 3 2 2 5" xfId="9527" xr:uid="{B3734294-8926-45E6-8A0E-BD5BE2500D07}"/>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24751" xr:uid="{DBBC0FEC-C119-4B0D-AED8-8C7A608EC68B}"/>
    <cellStyle name="Normal 9 2 2 3 2 3 2 2 3" xfId="16303" xr:uid="{FE3616D2-FF0B-461D-BBA8-7ADAF0838A38}"/>
    <cellStyle name="Normal 9 2 2 3 2 3 2 3" xfId="20533" xr:uid="{BF4F8501-E244-418E-B64F-52FDAE7C89C4}"/>
    <cellStyle name="Normal 9 2 2 3 2 3 2 4" xfId="12085" xr:uid="{C6EB7D3D-1D7E-4D8C-B9E9-6051534DDE50}"/>
    <cellStyle name="Normal 9 2 2 3 2 3 3" xfId="5708" xr:uid="{00000000-0005-0000-0000-0000C71E0000}"/>
    <cellStyle name="Normal 9 2 2 3 2 3 3 2" xfId="22606" xr:uid="{FC061329-5CF5-4A8E-A29F-20C5B8A90799}"/>
    <cellStyle name="Normal 9 2 2 3 2 3 3 3" xfId="14158" xr:uid="{1D2F52EF-A69A-4100-86D8-F57A09AFB2A9}"/>
    <cellStyle name="Normal 9 2 2 3 2 3 4" xfId="18388" xr:uid="{085256CF-8C85-413B-90AB-481E8D25FD87}"/>
    <cellStyle name="Normal 9 2 2 3 2 3 5" xfId="9940" xr:uid="{0076B20D-F8CD-4520-95D7-982E8DD5B1D8}"/>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25164" xr:uid="{7137FD97-BEDA-409E-8F55-A231469825B7}"/>
    <cellStyle name="Normal 9 2 2 3 2 4 2 2 3" xfId="16716" xr:uid="{F69CBED1-0AFA-4BA5-8799-910C5DE3D640}"/>
    <cellStyle name="Normal 9 2 2 3 2 4 2 3" xfId="20946" xr:uid="{F817AA69-263E-43BB-999D-6E92457C01D8}"/>
    <cellStyle name="Normal 9 2 2 3 2 4 2 4" xfId="12498" xr:uid="{670918F8-869E-4806-8222-2A92BA4079D5}"/>
    <cellStyle name="Normal 9 2 2 3 2 4 3" xfId="6121" xr:uid="{00000000-0005-0000-0000-0000CB1E0000}"/>
    <cellStyle name="Normal 9 2 2 3 2 4 3 2" xfId="23019" xr:uid="{291541BB-2AD3-4DE5-AF37-F3A264881376}"/>
    <cellStyle name="Normal 9 2 2 3 2 4 3 3" xfId="14571" xr:uid="{D4B1D2AD-C3FC-430E-8224-549F0C6553BE}"/>
    <cellStyle name="Normal 9 2 2 3 2 4 4" xfId="18801" xr:uid="{8A007A2D-4A3C-44C8-B6BF-78FB4A8697DE}"/>
    <cellStyle name="Normal 9 2 2 3 2 4 5" xfId="10353" xr:uid="{0408013E-AA05-429A-914D-6F879ADF2688}"/>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25577" xr:uid="{0D16F0E8-4A5B-4D54-9715-46ED395962C9}"/>
    <cellStyle name="Normal 9 2 2 3 2 5 2 2 3" xfId="17129" xr:uid="{940B1AED-8AAA-4456-B09A-859A86B5666B}"/>
    <cellStyle name="Normal 9 2 2 3 2 5 2 3" xfId="21359" xr:uid="{15145049-7140-45EE-A708-F2F184665265}"/>
    <cellStyle name="Normal 9 2 2 3 2 5 2 4" xfId="12911" xr:uid="{AC73BA02-0A44-4CED-B376-DC4F13DFE16C}"/>
    <cellStyle name="Normal 9 2 2 3 2 5 3" xfId="6534" xr:uid="{00000000-0005-0000-0000-0000CF1E0000}"/>
    <cellStyle name="Normal 9 2 2 3 2 5 3 2" xfId="23432" xr:uid="{326C1A67-2E39-446A-8672-C50622CE1223}"/>
    <cellStyle name="Normal 9 2 2 3 2 5 3 3" xfId="14984" xr:uid="{AFDF15CB-6310-46A7-963E-28000F5A4948}"/>
    <cellStyle name="Normal 9 2 2 3 2 5 4" xfId="19214" xr:uid="{D40C1EA8-2C98-47FF-8089-CE27E551AAB9}"/>
    <cellStyle name="Normal 9 2 2 3 2 5 5" xfId="10766" xr:uid="{BDB81937-5D0B-49CE-962D-5476A4E63C3B}"/>
    <cellStyle name="Normal 9 2 2 3 2 6" xfId="2664" xr:uid="{00000000-0005-0000-0000-0000D01E0000}"/>
    <cellStyle name="Normal 9 2 2 3 2 6 2" xfId="6947" xr:uid="{00000000-0005-0000-0000-0000D11E0000}"/>
    <cellStyle name="Normal 9 2 2 3 2 6 2 2" xfId="23845" xr:uid="{B5A16988-9548-443F-9453-6B08C6450F65}"/>
    <cellStyle name="Normal 9 2 2 3 2 6 2 3" xfId="15397" xr:uid="{4C1C0086-0500-447F-AFF5-7EAC003639E3}"/>
    <cellStyle name="Normal 9 2 2 3 2 6 3" xfId="19627" xr:uid="{745B11A5-9279-4E7C-A19B-E056243810E7}"/>
    <cellStyle name="Normal 9 2 2 3 2 6 4" xfId="11179" xr:uid="{574283DF-9400-4305-93F2-51193F986B6B}"/>
    <cellStyle name="Normal 9 2 2 3 2 7" xfId="4882" xr:uid="{00000000-0005-0000-0000-0000D21E0000}"/>
    <cellStyle name="Normal 9 2 2 3 2 7 2" xfId="21780" xr:uid="{E7C5272A-C709-4D26-A065-B37AD3DA11AD}"/>
    <cellStyle name="Normal 9 2 2 3 2 7 3" xfId="13332" xr:uid="{DC7EF216-66E2-462F-8A20-F88709A6A8E5}"/>
    <cellStyle name="Normal 9 2 2 3 2 8" xfId="17562" xr:uid="{1AFDB9C0-6304-4ACF-91A7-C0E11A1084B3}"/>
    <cellStyle name="Normal 9 2 2 3 2 9" xfId="9114" xr:uid="{DFB3A6B3-6A3B-44CD-84EA-A14E8299F694}"/>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24337" xr:uid="{5B38A659-4606-49F6-A92B-8E7212030A64}"/>
    <cellStyle name="Normal 9 2 2 3 3 2 2 3" xfId="15889" xr:uid="{255D0354-E0F3-4718-A39B-9928D9D19F7A}"/>
    <cellStyle name="Normal 9 2 2 3 3 2 3" xfId="20119" xr:uid="{042CFF42-F716-4474-BEE6-1286AE13B464}"/>
    <cellStyle name="Normal 9 2 2 3 3 2 4" xfId="11671" xr:uid="{61F74A5F-D749-4CEC-A032-54B2E9CC2A5B}"/>
    <cellStyle name="Normal 9 2 2 3 3 3" xfId="5294" xr:uid="{00000000-0005-0000-0000-0000D61E0000}"/>
    <cellStyle name="Normal 9 2 2 3 3 3 2" xfId="22192" xr:uid="{B2D802D1-A718-4FA5-970D-56B3F8A7F1D3}"/>
    <cellStyle name="Normal 9 2 2 3 3 3 3" xfId="13744" xr:uid="{28C7021B-3BFE-42E0-9A2B-630EBFECB6D7}"/>
    <cellStyle name="Normal 9 2 2 3 3 4" xfId="17974" xr:uid="{43307F03-11C4-4E76-829A-042F184BAB35}"/>
    <cellStyle name="Normal 9 2 2 3 3 5" xfId="9526" xr:uid="{28CADFA2-AF6E-454E-832B-FB0D1D1B5D42}"/>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24750" xr:uid="{7B5E7066-56D7-487A-B710-53C89C97CDB0}"/>
    <cellStyle name="Normal 9 2 2 3 4 2 2 3" xfId="16302" xr:uid="{87A9D855-7D1A-4F62-AB5F-807BCBDF9C40}"/>
    <cellStyle name="Normal 9 2 2 3 4 2 3" xfId="20532" xr:uid="{3D5FD2EC-4630-4EC7-915A-95CAEC183B68}"/>
    <cellStyle name="Normal 9 2 2 3 4 2 4" xfId="12084" xr:uid="{105EAEAF-7E1D-4DE8-AF5D-54B80A6F5FF5}"/>
    <cellStyle name="Normal 9 2 2 3 4 3" xfId="5707" xr:uid="{00000000-0005-0000-0000-0000DA1E0000}"/>
    <cellStyle name="Normal 9 2 2 3 4 3 2" xfId="22605" xr:uid="{261E68D0-8569-4E18-BB13-35B5052E47D3}"/>
    <cellStyle name="Normal 9 2 2 3 4 3 3" xfId="14157" xr:uid="{B18BDE05-7C99-4B60-A984-8CB0818EF399}"/>
    <cellStyle name="Normal 9 2 2 3 4 4" xfId="18387" xr:uid="{08361D55-1003-4EC5-9B0A-32B1F3B705B8}"/>
    <cellStyle name="Normal 9 2 2 3 4 5" xfId="9939" xr:uid="{9F317291-43A4-4C55-B5A4-29F021ED0908}"/>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25163" xr:uid="{B22DD630-8AC9-4B23-92F7-F94755819EB4}"/>
    <cellStyle name="Normal 9 2 2 3 5 2 2 3" xfId="16715" xr:uid="{E0194E90-816E-45E1-A34B-AD1174BF9BAF}"/>
    <cellStyle name="Normal 9 2 2 3 5 2 3" xfId="20945" xr:uid="{B5F986C9-E803-41CC-936B-1D16A747F7D6}"/>
    <cellStyle name="Normal 9 2 2 3 5 2 4" xfId="12497" xr:uid="{AFE7C0D1-6BEF-4EBD-9101-0F3105201C32}"/>
    <cellStyle name="Normal 9 2 2 3 5 3" xfId="6120" xr:uid="{00000000-0005-0000-0000-0000DE1E0000}"/>
    <cellStyle name="Normal 9 2 2 3 5 3 2" xfId="23018" xr:uid="{64F9C774-BF2F-47A3-BB7D-B294368CE1A2}"/>
    <cellStyle name="Normal 9 2 2 3 5 3 3" xfId="14570" xr:uid="{05949A6F-C9F7-462A-8BFC-F052AE3B3B8A}"/>
    <cellStyle name="Normal 9 2 2 3 5 4" xfId="18800" xr:uid="{2ACF5B26-DFFD-4895-BC75-00E378AF4AB8}"/>
    <cellStyle name="Normal 9 2 2 3 5 5" xfId="10352" xr:uid="{72AC901D-931D-4295-960C-7A9ACCA9B6EF}"/>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25576" xr:uid="{5A35B216-7D7C-49CF-9E37-33CDAEC0B7CB}"/>
    <cellStyle name="Normal 9 2 2 3 6 2 2 3" xfId="17128" xr:uid="{F7533400-BB3F-483D-AD6C-2F0B2AE6367B}"/>
    <cellStyle name="Normal 9 2 2 3 6 2 3" xfId="21358" xr:uid="{3AEB9938-21F6-4124-8C44-9C27575A2A55}"/>
    <cellStyle name="Normal 9 2 2 3 6 2 4" xfId="12910" xr:uid="{2956B30E-B21B-427D-9E7F-CC28DA76DFAD}"/>
    <cellStyle name="Normal 9 2 2 3 6 3" xfId="6533" xr:uid="{00000000-0005-0000-0000-0000E21E0000}"/>
    <cellStyle name="Normal 9 2 2 3 6 3 2" xfId="23431" xr:uid="{85016E01-15B3-4291-A86B-AC53BA853B81}"/>
    <cellStyle name="Normal 9 2 2 3 6 3 3" xfId="14983" xr:uid="{29099F0D-4968-47A6-9F7F-82F3CF4AC16E}"/>
    <cellStyle name="Normal 9 2 2 3 6 4" xfId="19213" xr:uid="{B8285273-535B-4DD8-BBE6-925EC59DB47D}"/>
    <cellStyle name="Normal 9 2 2 3 6 5" xfId="10765" xr:uid="{93829CCA-51E2-4298-BFE1-7807AD50FF56}"/>
    <cellStyle name="Normal 9 2 2 3 7" xfId="2663" xr:uid="{00000000-0005-0000-0000-0000E31E0000}"/>
    <cellStyle name="Normal 9 2 2 3 7 2" xfId="6946" xr:uid="{00000000-0005-0000-0000-0000E41E0000}"/>
    <cellStyle name="Normal 9 2 2 3 7 2 2" xfId="23844" xr:uid="{DA4BCE77-E713-4064-ACE2-BEA570633840}"/>
    <cellStyle name="Normal 9 2 2 3 7 2 3" xfId="15396" xr:uid="{5718720B-3893-467E-A364-4B400DB4468A}"/>
    <cellStyle name="Normal 9 2 2 3 7 3" xfId="19626" xr:uid="{1B8D1EBC-D627-4B2B-BA77-45F3DAED60F3}"/>
    <cellStyle name="Normal 9 2 2 3 7 4" xfId="11178" xr:uid="{29B11A92-E9A0-45C3-B47C-014EA37A89A0}"/>
    <cellStyle name="Normal 9 2 2 3 8" xfId="4881" xr:uid="{00000000-0005-0000-0000-0000E51E0000}"/>
    <cellStyle name="Normal 9 2 2 3 8 2" xfId="21779" xr:uid="{AE99187F-09A3-4FB6-9563-FD1FAA04EFF5}"/>
    <cellStyle name="Normal 9 2 2 3 8 3" xfId="13331" xr:uid="{3674607E-59A9-4620-BE93-E1DECF232736}"/>
    <cellStyle name="Normal 9 2 2 3 9" xfId="17561" xr:uid="{B05BA3AA-8F9B-44C6-8B08-02DC20DCC8B9}"/>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24339" xr:uid="{F69CAE39-F9DD-419C-82CC-8DE897C3FF67}"/>
    <cellStyle name="Normal 9 2 2 4 2 2 2 3" xfId="15891" xr:uid="{2A852EB4-589E-47BD-B06A-D7FB6D5D4AA3}"/>
    <cellStyle name="Normal 9 2 2 4 2 2 3" xfId="20121" xr:uid="{BA8D690C-690F-481B-8A47-58B9F3BAEAA8}"/>
    <cellStyle name="Normal 9 2 2 4 2 2 4" xfId="11673" xr:uid="{8001E253-9B58-430E-A335-B119AA6FD850}"/>
    <cellStyle name="Normal 9 2 2 4 2 3" xfId="5296" xr:uid="{00000000-0005-0000-0000-0000EA1E0000}"/>
    <cellStyle name="Normal 9 2 2 4 2 3 2" xfId="22194" xr:uid="{730FA843-2391-4507-AF87-BE9858B51349}"/>
    <cellStyle name="Normal 9 2 2 4 2 3 3" xfId="13746" xr:uid="{E197422C-F187-4E33-BA68-14C9A5BD15C5}"/>
    <cellStyle name="Normal 9 2 2 4 2 4" xfId="17976" xr:uid="{B51DCE05-27CB-4933-93AC-3D051080ACF4}"/>
    <cellStyle name="Normal 9 2 2 4 2 5" xfId="9528" xr:uid="{9B7C7984-1765-4AAD-9F88-97A826F55528}"/>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24752" xr:uid="{429E4880-1243-466A-A47A-86ABDEBDFDBC}"/>
    <cellStyle name="Normal 9 2 2 4 3 2 2 3" xfId="16304" xr:uid="{0BF66A51-9AC9-4C30-BADE-CBBD808C3189}"/>
    <cellStyle name="Normal 9 2 2 4 3 2 3" xfId="20534" xr:uid="{7A0AC064-6329-4EA4-919F-187621785129}"/>
    <cellStyle name="Normal 9 2 2 4 3 2 4" xfId="12086" xr:uid="{66A655DF-38B1-447D-8550-882A6379A510}"/>
    <cellStyle name="Normal 9 2 2 4 3 3" xfId="5709" xr:uid="{00000000-0005-0000-0000-0000EE1E0000}"/>
    <cellStyle name="Normal 9 2 2 4 3 3 2" xfId="22607" xr:uid="{FB00FD26-223C-4EF3-94E4-7DFB575EFADB}"/>
    <cellStyle name="Normal 9 2 2 4 3 3 3" xfId="14159" xr:uid="{BD9A200C-BE7A-4817-AA64-66A6C3F69B11}"/>
    <cellStyle name="Normal 9 2 2 4 3 4" xfId="18389" xr:uid="{F2FA215C-6A01-471A-A595-DC78CA93C6A8}"/>
    <cellStyle name="Normal 9 2 2 4 3 5" xfId="9941" xr:uid="{8EFB440A-9233-46F6-9748-CDA6F181DBFC}"/>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25165" xr:uid="{31B0C421-324C-438F-9F09-68600E815C2B}"/>
    <cellStyle name="Normal 9 2 2 4 4 2 2 3" xfId="16717" xr:uid="{116242CE-52B6-452C-9AAC-0D5C6BC39739}"/>
    <cellStyle name="Normal 9 2 2 4 4 2 3" xfId="20947" xr:uid="{C8F52255-BBBD-4488-B4FA-544ACD8915EE}"/>
    <cellStyle name="Normal 9 2 2 4 4 2 4" xfId="12499" xr:uid="{FB06BB61-1027-47EA-A7A5-D72E95CC1BE6}"/>
    <cellStyle name="Normal 9 2 2 4 4 3" xfId="6122" xr:uid="{00000000-0005-0000-0000-0000F21E0000}"/>
    <cellStyle name="Normal 9 2 2 4 4 3 2" xfId="23020" xr:uid="{839798AC-0D36-40E7-B78E-41BAC74079BC}"/>
    <cellStyle name="Normal 9 2 2 4 4 3 3" xfId="14572" xr:uid="{5F52976B-C864-4035-9A65-1D1EFAA72B41}"/>
    <cellStyle name="Normal 9 2 2 4 4 4" xfId="18802" xr:uid="{93D53042-0723-4A1D-BF25-0BF998C91E14}"/>
    <cellStyle name="Normal 9 2 2 4 4 5" xfId="10354" xr:uid="{E6054E1B-FAE0-4BCA-89D0-89400B9D5B3E}"/>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25578" xr:uid="{6FE3AD10-AFC1-42EF-877F-7BF796F1E0B3}"/>
    <cellStyle name="Normal 9 2 2 4 5 2 2 3" xfId="17130" xr:uid="{F2328949-D8FC-4E9C-A9C5-AC3C62FF2914}"/>
    <cellStyle name="Normal 9 2 2 4 5 2 3" xfId="21360" xr:uid="{1E20AF31-7C89-4E6D-8BBD-BD1E7D017FE9}"/>
    <cellStyle name="Normal 9 2 2 4 5 2 4" xfId="12912" xr:uid="{4957CB4C-9C3F-4201-9C73-2E52E36B6377}"/>
    <cellStyle name="Normal 9 2 2 4 5 3" xfId="6535" xr:uid="{00000000-0005-0000-0000-0000F61E0000}"/>
    <cellStyle name="Normal 9 2 2 4 5 3 2" xfId="23433" xr:uid="{A5912369-62F4-4743-AC1E-C084B00A4551}"/>
    <cellStyle name="Normal 9 2 2 4 5 3 3" xfId="14985" xr:uid="{AB81A2B2-ABF1-400D-99BF-A83E457B59B0}"/>
    <cellStyle name="Normal 9 2 2 4 5 4" xfId="19215" xr:uid="{BE51E257-EAD0-4762-9D59-C175114728F4}"/>
    <cellStyle name="Normal 9 2 2 4 5 5" xfId="10767" xr:uid="{4313C0AD-07ED-4FE7-B5E4-A8F5BB2D6DFD}"/>
    <cellStyle name="Normal 9 2 2 4 6" xfId="2665" xr:uid="{00000000-0005-0000-0000-0000F71E0000}"/>
    <cellStyle name="Normal 9 2 2 4 6 2" xfId="6948" xr:uid="{00000000-0005-0000-0000-0000F81E0000}"/>
    <cellStyle name="Normal 9 2 2 4 6 2 2" xfId="23846" xr:uid="{D2DD5D5B-420D-4CA3-871C-7AD22EBE216A}"/>
    <cellStyle name="Normal 9 2 2 4 6 2 3" xfId="15398" xr:uid="{497E54F5-22A8-40F5-B307-1D25EBEF92A6}"/>
    <cellStyle name="Normal 9 2 2 4 6 3" xfId="19628" xr:uid="{C51F5592-81CF-4BA8-8795-5EF0DB9AAEEA}"/>
    <cellStyle name="Normal 9 2 2 4 6 4" xfId="11180" xr:uid="{AEDCC564-A3C4-4F28-9426-29EF252C489F}"/>
    <cellStyle name="Normal 9 2 2 4 7" xfId="4883" xr:uid="{00000000-0005-0000-0000-0000F91E0000}"/>
    <cellStyle name="Normal 9 2 2 4 7 2" xfId="21781" xr:uid="{1BEF2938-2CAD-40A6-AB3B-04C6AADA9B2D}"/>
    <cellStyle name="Normal 9 2 2 4 7 3" xfId="13333" xr:uid="{0C823084-B997-452F-AE75-1A0980758687}"/>
    <cellStyle name="Normal 9 2 2 4 8" xfId="17563" xr:uid="{3FA026F7-CACA-4337-A523-5170B44A129F}"/>
    <cellStyle name="Normal 9 2 2 4 9" xfId="9115" xr:uid="{B8854182-453D-4BC3-A4A9-B3338F88070B}"/>
    <cellStyle name="Normal 9 2 2 5" xfId="979" xr:uid="{00000000-0005-0000-0000-0000FA1E0000}"/>
    <cellStyle name="Normal 9 2 2 5 2" xfId="3212" xr:uid="{00000000-0005-0000-0000-0000FB1E0000}"/>
    <cellStyle name="Normal 9 2 2 5 2 2" xfId="7434" xr:uid="{00000000-0005-0000-0000-0000FC1E0000}"/>
    <cellStyle name="Normal 9 2 2 5 2 2 2" xfId="24332" xr:uid="{EB1F4EEB-5472-43A2-B8E1-8C80AA8FB404}"/>
    <cellStyle name="Normal 9 2 2 5 2 2 3" xfId="15884" xr:uid="{E665822B-2C78-425A-8D98-D5173CB7A7EA}"/>
    <cellStyle name="Normal 9 2 2 5 2 3" xfId="20114" xr:uid="{89ACA447-1477-4621-AA15-E3D4CB3D56EA}"/>
    <cellStyle name="Normal 9 2 2 5 2 4" xfId="11666" xr:uid="{5987D425-35F6-4BFA-BEF4-E5F42C3171EC}"/>
    <cellStyle name="Normal 9 2 2 5 3" xfId="5289" xr:uid="{00000000-0005-0000-0000-0000FD1E0000}"/>
    <cellStyle name="Normal 9 2 2 5 3 2" xfId="22187" xr:uid="{BF1A7084-EA64-45D0-A40F-9B5416D129F9}"/>
    <cellStyle name="Normal 9 2 2 5 3 3" xfId="13739" xr:uid="{D7991C8C-89B6-404A-9298-6B70874E1CFC}"/>
    <cellStyle name="Normal 9 2 2 5 4" xfId="17969" xr:uid="{81FA5088-3F56-4D49-87A1-5235C88BD97C}"/>
    <cellStyle name="Normal 9 2 2 5 5" xfId="9521" xr:uid="{D702DC4A-E8BE-4B09-B74A-D473138AF34F}"/>
    <cellStyle name="Normal 9 2 2 6" xfId="1395" xr:uid="{00000000-0005-0000-0000-0000FE1E0000}"/>
    <cellStyle name="Normal 9 2 2 6 2" xfId="3625" xr:uid="{00000000-0005-0000-0000-0000FF1E0000}"/>
    <cellStyle name="Normal 9 2 2 6 2 2" xfId="7847" xr:uid="{00000000-0005-0000-0000-0000001F0000}"/>
    <cellStyle name="Normal 9 2 2 6 2 2 2" xfId="24745" xr:uid="{F167CA83-DB60-4878-85C6-1D3390B529BD}"/>
    <cellStyle name="Normal 9 2 2 6 2 2 3" xfId="16297" xr:uid="{2D576523-A9A2-465F-9C5C-29D0881C265E}"/>
    <cellStyle name="Normal 9 2 2 6 2 3" xfId="20527" xr:uid="{E618AC0B-C9A7-4D1F-B678-7CEB6FA8665B}"/>
    <cellStyle name="Normal 9 2 2 6 2 4" xfId="12079" xr:uid="{D4C6D76C-07C8-4445-8015-9A1BBD4E4926}"/>
    <cellStyle name="Normal 9 2 2 6 3" xfId="5702" xr:uid="{00000000-0005-0000-0000-0000011F0000}"/>
    <cellStyle name="Normal 9 2 2 6 3 2" xfId="22600" xr:uid="{BA4F211E-481A-4779-9A70-D881279AF477}"/>
    <cellStyle name="Normal 9 2 2 6 3 3" xfId="14152" xr:uid="{735BDF2F-A865-4C58-9A33-6FCE5B7C6A0B}"/>
    <cellStyle name="Normal 9 2 2 6 4" xfId="18382" xr:uid="{A1DD1C0D-721F-4E6B-BBB3-D050C976A454}"/>
    <cellStyle name="Normal 9 2 2 6 5" xfId="9934" xr:uid="{82863BAE-EFF6-444F-98D0-481A87A43602}"/>
    <cellStyle name="Normal 9 2 2 7" xfId="1808" xr:uid="{00000000-0005-0000-0000-0000021F0000}"/>
    <cellStyle name="Normal 9 2 2 7 2" xfId="4038" xr:uid="{00000000-0005-0000-0000-0000031F0000}"/>
    <cellStyle name="Normal 9 2 2 7 2 2" xfId="8260" xr:uid="{00000000-0005-0000-0000-0000041F0000}"/>
    <cellStyle name="Normal 9 2 2 7 2 2 2" xfId="25158" xr:uid="{20D71C12-9737-4E9C-8933-EAF0A5246D1F}"/>
    <cellStyle name="Normal 9 2 2 7 2 2 3" xfId="16710" xr:uid="{841E3C3F-A731-4A9A-938B-BB99ED88E14D}"/>
    <cellStyle name="Normal 9 2 2 7 2 3" xfId="20940" xr:uid="{644CD78C-6099-4AAD-AC69-CCED010335BF}"/>
    <cellStyle name="Normal 9 2 2 7 2 4" xfId="12492" xr:uid="{7E53EFDD-86CE-4BA8-90F0-CE0F8E39D4F4}"/>
    <cellStyle name="Normal 9 2 2 7 3" xfId="6115" xr:uid="{00000000-0005-0000-0000-0000051F0000}"/>
    <cellStyle name="Normal 9 2 2 7 3 2" xfId="23013" xr:uid="{B0E5A8EA-E388-41F8-BF49-9D9C573BC5C6}"/>
    <cellStyle name="Normal 9 2 2 7 3 3" xfId="14565" xr:uid="{71D90522-0B33-4D16-AC82-7AA0A6B59AA0}"/>
    <cellStyle name="Normal 9 2 2 7 4" xfId="18795" xr:uid="{934FC596-F0C7-41FB-A40E-15BE270B37EC}"/>
    <cellStyle name="Normal 9 2 2 7 5" xfId="10347" xr:uid="{E78B88FC-F216-4FD6-9BAE-5808977213F1}"/>
    <cellStyle name="Normal 9 2 2 8" xfId="2222" xr:uid="{00000000-0005-0000-0000-0000061F0000}"/>
    <cellStyle name="Normal 9 2 2 8 2" xfId="4451" xr:uid="{00000000-0005-0000-0000-0000071F0000}"/>
    <cellStyle name="Normal 9 2 2 8 2 2" xfId="8673" xr:uid="{00000000-0005-0000-0000-0000081F0000}"/>
    <cellStyle name="Normal 9 2 2 8 2 2 2" xfId="25571" xr:uid="{263FE7BF-92F5-439B-9126-D5ABA00A8496}"/>
    <cellStyle name="Normal 9 2 2 8 2 2 3" xfId="17123" xr:uid="{DC9C6B15-0F92-426E-B0A9-59598109A80A}"/>
    <cellStyle name="Normal 9 2 2 8 2 3" xfId="21353" xr:uid="{83CCADDF-A8A0-43C7-A66B-6EF947ED00B0}"/>
    <cellStyle name="Normal 9 2 2 8 2 4" xfId="12905" xr:uid="{E7B0CB85-21B2-42E7-AE09-8115BB087282}"/>
    <cellStyle name="Normal 9 2 2 8 3" xfId="6528" xr:uid="{00000000-0005-0000-0000-0000091F0000}"/>
    <cellStyle name="Normal 9 2 2 8 3 2" xfId="23426" xr:uid="{C9017F66-850D-4714-9972-0D3627D9F15B}"/>
    <cellStyle name="Normal 9 2 2 8 3 3" xfId="14978" xr:uid="{5CC8CAA8-0672-4BDB-AE70-72B3A213D1CC}"/>
    <cellStyle name="Normal 9 2 2 8 4" xfId="19208" xr:uid="{2F13F3AF-8EDE-4D95-B1BB-0CA51FF2C837}"/>
    <cellStyle name="Normal 9 2 2 8 5" xfId="10760" xr:uid="{AB0E9D08-F2DA-4039-94BE-A416DF47DB09}"/>
    <cellStyle name="Normal 9 2 2 9" xfId="2658" xr:uid="{00000000-0005-0000-0000-00000A1F0000}"/>
    <cellStyle name="Normal 9 2 2 9 2" xfId="6941" xr:uid="{00000000-0005-0000-0000-00000B1F0000}"/>
    <cellStyle name="Normal 9 2 2 9 2 2" xfId="23839" xr:uid="{A31EF388-6FD6-4DE3-823C-CEA4D0AC1B03}"/>
    <cellStyle name="Normal 9 2 2 9 2 3" xfId="15391" xr:uid="{835D6A7B-6B96-4D0D-8EFD-0BB5F8909FAE}"/>
    <cellStyle name="Normal 9 2 2 9 3" xfId="19621" xr:uid="{22019D45-22A2-4629-8F3B-CA227EFC3EEB}"/>
    <cellStyle name="Normal 9 2 2 9 4" xfId="11173" xr:uid="{575BC90B-E112-441D-BB1D-F1763FE8D423}"/>
    <cellStyle name="Normal 9 2 3" xfId="520" xr:uid="{00000000-0005-0000-0000-00000C1F0000}"/>
    <cellStyle name="Normal 9 2 3 10" xfId="17564" xr:uid="{EA9A40D7-1ABF-43A5-BCD6-3923DB066FDD}"/>
    <cellStyle name="Normal 9 2 3 11" xfId="9116" xr:uid="{1D4B839F-C09B-4985-B2A0-2EC26B5F483D}"/>
    <cellStyle name="Normal 9 2 3 2" xfId="521" xr:uid="{00000000-0005-0000-0000-00000D1F0000}"/>
    <cellStyle name="Normal 9 2 3 2 10" xfId="9117" xr:uid="{CD6A98C9-850A-4331-A82A-D32B2BD3E958}"/>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24342" xr:uid="{DFADA49D-35D1-4847-819A-9EFC27198D9F}"/>
    <cellStyle name="Normal 9 2 3 2 2 2 2 2 3" xfId="15894" xr:uid="{12A39CC5-A549-4712-B952-309481D02C50}"/>
    <cellStyle name="Normal 9 2 3 2 2 2 2 3" xfId="20124" xr:uid="{C5FC0E9A-FF2A-4721-9F78-8FA0557EB0A8}"/>
    <cellStyle name="Normal 9 2 3 2 2 2 2 4" xfId="11676" xr:uid="{18EC2578-58FC-4230-8416-C8C35531BD73}"/>
    <cellStyle name="Normal 9 2 3 2 2 2 3" xfId="5299" xr:uid="{00000000-0005-0000-0000-0000121F0000}"/>
    <cellStyle name="Normal 9 2 3 2 2 2 3 2" xfId="22197" xr:uid="{EB5E870D-E37E-49F8-B0E2-416BE40AA48B}"/>
    <cellStyle name="Normal 9 2 3 2 2 2 3 3" xfId="13749" xr:uid="{D71811FD-E68E-4D04-9B42-6263316844BD}"/>
    <cellStyle name="Normal 9 2 3 2 2 2 4" xfId="17979" xr:uid="{A2A5D7E1-6617-472F-8BFF-58F98036EA9A}"/>
    <cellStyle name="Normal 9 2 3 2 2 2 5" xfId="9531" xr:uid="{E8E864C5-71DC-4DB5-AB02-F44B47B48C42}"/>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24755" xr:uid="{8714B65E-FD31-4650-85B3-A52336043B59}"/>
    <cellStyle name="Normal 9 2 3 2 2 3 2 2 3" xfId="16307" xr:uid="{9AE54A4D-4EAD-40A2-9E1B-B2AC01CFF023}"/>
    <cellStyle name="Normal 9 2 3 2 2 3 2 3" xfId="20537" xr:uid="{F5141931-9E96-4EAA-8983-B0C0726FB33F}"/>
    <cellStyle name="Normal 9 2 3 2 2 3 2 4" xfId="12089" xr:uid="{AE17FC13-4A8C-4784-8334-BF93E4A2D46A}"/>
    <cellStyle name="Normal 9 2 3 2 2 3 3" xfId="5712" xr:uid="{00000000-0005-0000-0000-0000161F0000}"/>
    <cellStyle name="Normal 9 2 3 2 2 3 3 2" xfId="22610" xr:uid="{BBA41390-8103-476D-8DC5-450D79982BC8}"/>
    <cellStyle name="Normal 9 2 3 2 2 3 3 3" xfId="14162" xr:uid="{D9E3441E-08FF-4CE6-B3C1-43510742A985}"/>
    <cellStyle name="Normal 9 2 3 2 2 3 4" xfId="18392" xr:uid="{C5AE503C-91FE-4E58-BE25-1E2D30E8C64F}"/>
    <cellStyle name="Normal 9 2 3 2 2 3 5" xfId="9944" xr:uid="{18B83A19-BC15-4DD7-AB8A-0165F5556D44}"/>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25168" xr:uid="{F5981F3C-0D4D-4EA1-B56C-4719D451184D}"/>
    <cellStyle name="Normal 9 2 3 2 2 4 2 2 3" xfId="16720" xr:uid="{57FFFA23-3F34-4FCF-A1A6-4C0DF9AFFB52}"/>
    <cellStyle name="Normal 9 2 3 2 2 4 2 3" xfId="20950" xr:uid="{BE00EF88-CFA1-4E78-B427-2040A2487D61}"/>
    <cellStyle name="Normal 9 2 3 2 2 4 2 4" xfId="12502" xr:uid="{E20D9C51-EA75-4532-9349-CCADABF6B2B1}"/>
    <cellStyle name="Normal 9 2 3 2 2 4 3" xfId="6125" xr:uid="{00000000-0005-0000-0000-00001A1F0000}"/>
    <cellStyle name="Normal 9 2 3 2 2 4 3 2" xfId="23023" xr:uid="{BCC685AA-006B-4508-BB82-2450D8D8D11F}"/>
    <cellStyle name="Normal 9 2 3 2 2 4 3 3" xfId="14575" xr:uid="{6A27610F-03EB-452C-B5AF-7D0C50248AD2}"/>
    <cellStyle name="Normal 9 2 3 2 2 4 4" xfId="18805" xr:uid="{760C3173-397F-4FD0-A2F6-DFDED20C312B}"/>
    <cellStyle name="Normal 9 2 3 2 2 4 5" xfId="10357" xr:uid="{3010E413-D51B-430B-ABD5-E31195BF4054}"/>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25581" xr:uid="{F8272C60-53C1-4B5A-B71A-741E2E36858D}"/>
    <cellStyle name="Normal 9 2 3 2 2 5 2 2 3" xfId="17133" xr:uid="{88220BC2-4694-4920-9B52-B9D9E3BF12C6}"/>
    <cellStyle name="Normal 9 2 3 2 2 5 2 3" xfId="21363" xr:uid="{E47686DB-8CCD-49A0-933F-B23AE725DB4D}"/>
    <cellStyle name="Normal 9 2 3 2 2 5 2 4" xfId="12915" xr:uid="{18BC31E7-1460-4810-B48A-F457977099DB}"/>
    <cellStyle name="Normal 9 2 3 2 2 5 3" xfId="6538" xr:uid="{00000000-0005-0000-0000-00001E1F0000}"/>
    <cellStyle name="Normal 9 2 3 2 2 5 3 2" xfId="23436" xr:uid="{84987888-153B-4974-8873-88FCA66E9DB9}"/>
    <cellStyle name="Normal 9 2 3 2 2 5 3 3" xfId="14988" xr:uid="{2F6F98B0-9780-48F8-BD2F-AC05E49BD2E8}"/>
    <cellStyle name="Normal 9 2 3 2 2 5 4" xfId="19218" xr:uid="{057886F3-7508-409A-96A3-5DD3F718FBC5}"/>
    <cellStyle name="Normal 9 2 3 2 2 5 5" xfId="10770" xr:uid="{8C563996-4AA2-4ECC-8FE0-4F5953243824}"/>
    <cellStyle name="Normal 9 2 3 2 2 6" xfId="2668" xr:uid="{00000000-0005-0000-0000-00001F1F0000}"/>
    <cellStyle name="Normal 9 2 3 2 2 6 2" xfId="6951" xr:uid="{00000000-0005-0000-0000-0000201F0000}"/>
    <cellStyle name="Normal 9 2 3 2 2 6 2 2" xfId="23849" xr:uid="{D7A8CF3B-558E-4FF4-95EE-17E17F9FC86C}"/>
    <cellStyle name="Normal 9 2 3 2 2 6 2 3" xfId="15401" xr:uid="{0A1968B8-CC01-4947-83DC-1DD9DCBD4DFF}"/>
    <cellStyle name="Normal 9 2 3 2 2 6 3" xfId="19631" xr:uid="{FB72B5BD-7510-416A-BC43-CE4A67EE6405}"/>
    <cellStyle name="Normal 9 2 3 2 2 6 4" xfId="11183" xr:uid="{E95F7093-FA11-4638-BA53-2F8D71EA94EE}"/>
    <cellStyle name="Normal 9 2 3 2 2 7" xfId="4886" xr:uid="{00000000-0005-0000-0000-0000211F0000}"/>
    <cellStyle name="Normal 9 2 3 2 2 7 2" xfId="21784" xr:uid="{46BBC052-CA2F-4F8A-AE9E-B50EAF850A3D}"/>
    <cellStyle name="Normal 9 2 3 2 2 7 3" xfId="13336" xr:uid="{CA91E06D-905D-46A7-940A-F81ADC10C353}"/>
    <cellStyle name="Normal 9 2 3 2 2 8" xfId="17566" xr:uid="{F1ED5B31-E169-48AA-9C01-EBA9C39070DB}"/>
    <cellStyle name="Normal 9 2 3 2 2 9" xfId="9118" xr:uid="{35A72395-8734-4F9B-B99C-B1ED604F7713}"/>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24341" xr:uid="{1B0B3F1E-9F5A-4221-B442-3425287D6739}"/>
    <cellStyle name="Normal 9 2 3 2 3 2 2 3" xfId="15893" xr:uid="{F1AFF014-894F-4AC4-9B24-451527C17E79}"/>
    <cellStyle name="Normal 9 2 3 2 3 2 3" xfId="20123" xr:uid="{58745B1B-59A7-45E7-8E36-2E7F469CDF60}"/>
    <cellStyle name="Normal 9 2 3 2 3 2 4" xfId="11675" xr:uid="{F7ABA13B-42A9-41A4-8CD7-A62D87269376}"/>
    <cellStyle name="Normal 9 2 3 2 3 3" xfId="5298" xr:uid="{00000000-0005-0000-0000-0000251F0000}"/>
    <cellStyle name="Normal 9 2 3 2 3 3 2" xfId="22196" xr:uid="{476B53F2-541A-45AA-B316-D80525BD1EBC}"/>
    <cellStyle name="Normal 9 2 3 2 3 3 3" xfId="13748" xr:uid="{5551A8E5-4599-4194-944B-09CA503D910F}"/>
    <cellStyle name="Normal 9 2 3 2 3 4" xfId="17978" xr:uid="{41ADAF51-5850-4CA6-A8D1-E014D1806D3A}"/>
    <cellStyle name="Normal 9 2 3 2 3 5" xfId="9530" xr:uid="{49E71BED-E0CA-4DEE-8557-D6B1C373A7B9}"/>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24754" xr:uid="{E6FF16F6-96EE-422D-A65F-22B835AE3F1E}"/>
    <cellStyle name="Normal 9 2 3 2 4 2 2 3" xfId="16306" xr:uid="{E26EE09B-9DFA-49CD-81B8-79812F11510A}"/>
    <cellStyle name="Normal 9 2 3 2 4 2 3" xfId="20536" xr:uid="{CEE31F4F-3913-4516-8926-2DF70017EAA6}"/>
    <cellStyle name="Normal 9 2 3 2 4 2 4" xfId="12088" xr:uid="{AFE18E33-3E61-4512-8690-4749753BFC49}"/>
    <cellStyle name="Normal 9 2 3 2 4 3" xfId="5711" xr:uid="{00000000-0005-0000-0000-0000291F0000}"/>
    <cellStyle name="Normal 9 2 3 2 4 3 2" xfId="22609" xr:uid="{2323A45C-743F-424B-8D65-937414B982BE}"/>
    <cellStyle name="Normal 9 2 3 2 4 3 3" xfId="14161" xr:uid="{A6D79835-98BC-41D2-82A8-69CDA015B5B8}"/>
    <cellStyle name="Normal 9 2 3 2 4 4" xfId="18391" xr:uid="{A139FC15-7EF2-49E2-AB84-6053E34AC32A}"/>
    <cellStyle name="Normal 9 2 3 2 4 5" xfId="9943" xr:uid="{EF78AB50-8CFD-43EA-B6AC-9D6E8A93ABA1}"/>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25167" xr:uid="{1F4DF894-C858-4D43-865C-B6141FA159B4}"/>
    <cellStyle name="Normal 9 2 3 2 5 2 2 3" xfId="16719" xr:uid="{A535B2C4-146C-490F-822D-704AD7E6E879}"/>
    <cellStyle name="Normal 9 2 3 2 5 2 3" xfId="20949" xr:uid="{39320C3B-E6D3-4A74-973A-277D43D76E07}"/>
    <cellStyle name="Normal 9 2 3 2 5 2 4" xfId="12501" xr:uid="{31AAE34B-E606-4CA9-984B-9BB3969422B3}"/>
    <cellStyle name="Normal 9 2 3 2 5 3" xfId="6124" xr:uid="{00000000-0005-0000-0000-00002D1F0000}"/>
    <cellStyle name="Normal 9 2 3 2 5 3 2" xfId="23022" xr:uid="{7C6DF299-92C2-409C-806C-F35EAC65788C}"/>
    <cellStyle name="Normal 9 2 3 2 5 3 3" xfId="14574" xr:uid="{7D2B18BC-7829-46B0-BFC4-8F0C1E1E1921}"/>
    <cellStyle name="Normal 9 2 3 2 5 4" xfId="18804" xr:uid="{46F3FC8D-9512-4C28-AFC1-28784B421C53}"/>
    <cellStyle name="Normal 9 2 3 2 5 5" xfId="10356" xr:uid="{3E3DDAD8-3B6A-4338-A1CE-B94B0DE52E53}"/>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25580" xr:uid="{1AF495C4-991D-40E4-A602-83859A30642A}"/>
    <cellStyle name="Normal 9 2 3 2 6 2 2 3" xfId="17132" xr:uid="{AF24EBFA-4E85-4EA8-B896-714C6588DCFF}"/>
    <cellStyle name="Normal 9 2 3 2 6 2 3" xfId="21362" xr:uid="{A07E57C0-A3A0-4F83-8630-36EFE5C192AE}"/>
    <cellStyle name="Normal 9 2 3 2 6 2 4" xfId="12914" xr:uid="{488F036F-F0B4-47A5-B79B-4FE5599A64AB}"/>
    <cellStyle name="Normal 9 2 3 2 6 3" xfId="6537" xr:uid="{00000000-0005-0000-0000-0000311F0000}"/>
    <cellStyle name="Normal 9 2 3 2 6 3 2" xfId="23435" xr:uid="{D25A80CE-B25F-4825-8F50-88AC66A01A8C}"/>
    <cellStyle name="Normal 9 2 3 2 6 3 3" xfId="14987" xr:uid="{56288D54-3D57-4A9E-BDCE-D40214892A8F}"/>
    <cellStyle name="Normal 9 2 3 2 6 4" xfId="19217" xr:uid="{BC7572E7-2B1B-4F85-9AA4-01088E586E06}"/>
    <cellStyle name="Normal 9 2 3 2 6 5" xfId="10769" xr:uid="{525AD45C-517B-4E31-A59D-B958B194C5F8}"/>
    <cellStyle name="Normal 9 2 3 2 7" xfId="2667" xr:uid="{00000000-0005-0000-0000-0000321F0000}"/>
    <cellStyle name="Normal 9 2 3 2 7 2" xfId="6950" xr:uid="{00000000-0005-0000-0000-0000331F0000}"/>
    <cellStyle name="Normal 9 2 3 2 7 2 2" xfId="23848" xr:uid="{FFF50D47-02F4-48B0-842E-EAEE5D6EF01E}"/>
    <cellStyle name="Normal 9 2 3 2 7 2 3" xfId="15400" xr:uid="{E52DA32C-806C-416C-A1F5-AB85258AE3F0}"/>
    <cellStyle name="Normal 9 2 3 2 7 3" xfId="19630" xr:uid="{D2F230D6-15DF-4DCD-B179-86A5F190590E}"/>
    <cellStyle name="Normal 9 2 3 2 7 4" xfId="11182" xr:uid="{E56A5BAB-432C-4CED-94C1-55EFB700921E}"/>
    <cellStyle name="Normal 9 2 3 2 8" xfId="4885" xr:uid="{00000000-0005-0000-0000-0000341F0000}"/>
    <cellStyle name="Normal 9 2 3 2 8 2" xfId="21783" xr:uid="{522BC905-DD9D-4FC7-8671-9EA5856535ED}"/>
    <cellStyle name="Normal 9 2 3 2 8 3" xfId="13335" xr:uid="{4019EA0D-5064-43BB-B60F-5C969E5E821A}"/>
    <cellStyle name="Normal 9 2 3 2 9" xfId="17565" xr:uid="{C5FC8044-D25F-4353-930E-014DDC2F399F}"/>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24343" xr:uid="{71102B6F-232B-4FA9-8524-D9AE3173985D}"/>
    <cellStyle name="Normal 9 2 3 3 2 2 2 3" xfId="15895" xr:uid="{27877F26-D98C-4401-B305-F2BA0787E4D7}"/>
    <cellStyle name="Normal 9 2 3 3 2 2 3" xfId="20125" xr:uid="{7D5700E7-C65F-4004-B0E9-480CB6927839}"/>
    <cellStyle name="Normal 9 2 3 3 2 2 4" xfId="11677" xr:uid="{9DDC62B3-5A13-4945-A55F-005E2F26893E}"/>
    <cellStyle name="Normal 9 2 3 3 2 3" xfId="5300" xr:uid="{00000000-0005-0000-0000-0000391F0000}"/>
    <cellStyle name="Normal 9 2 3 3 2 3 2" xfId="22198" xr:uid="{B597EF84-92D0-4E43-9AC1-DF078908A1F9}"/>
    <cellStyle name="Normal 9 2 3 3 2 3 3" xfId="13750" xr:uid="{335B465A-8521-4B27-BA22-6E8292594BBD}"/>
    <cellStyle name="Normal 9 2 3 3 2 4" xfId="17980" xr:uid="{AC4C32A0-83C4-4B56-944E-C57F31D3A60F}"/>
    <cellStyle name="Normal 9 2 3 3 2 5" xfId="9532" xr:uid="{D1AFBB8E-37C8-4ED2-A69D-CEC3C6312F63}"/>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24756" xr:uid="{792458BA-8712-4E34-B250-6BC3B99DDC3D}"/>
    <cellStyle name="Normal 9 2 3 3 3 2 2 3" xfId="16308" xr:uid="{44EFBA26-2785-46A9-8E6A-22F8DF25CF59}"/>
    <cellStyle name="Normal 9 2 3 3 3 2 3" xfId="20538" xr:uid="{61EB183F-07DB-4FDB-A175-0D8DD954D8EE}"/>
    <cellStyle name="Normal 9 2 3 3 3 2 4" xfId="12090" xr:uid="{0A648752-3C76-4C19-BC9C-AEE201ADCBD5}"/>
    <cellStyle name="Normal 9 2 3 3 3 3" xfId="5713" xr:uid="{00000000-0005-0000-0000-00003D1F0000}"/>
    <cellStyle name="Normal 9 2 3 3 3 3 2" xfId="22611" xr:uid="{1880A80C-F505-4920-8AEC-C18B991D333E}"/>
    <cellStyle name="Normal 9 2 3 3 3 3 3" xfId="14163" xr:uid="{E452A1F5-7CBE-44C7-86DD-F72F295B0157}"/>
    <cellStyle name="Normal 9 2 3 3 3 4" xfId="18393" xr:uid="{C9AD69A9-F254-48E1-A065-3A79031B0CB6}"/>
    <cellStyle name="Normal 9 2 3 3 3 5" xfId="9945" xr:uid="{655E9F8F-ABEB-4A49-A8D7-8B2CBFFA84BE}"/>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25169" xr:uid="{A662A756-3F95-4E16-A806-A6A7B7AC8736}"/>
    <cellStyle name="Normal 9 2 3 3 4 2 2 3" xfId="16721" xr:uid="{E0F845B9-B88C-410F-8174-E044EBCE7C62}"/>
    <cellStyle name="Normal 9 2 3 3 4 2 3" xfId="20951" xr:uid="{406D0330-9047-47CC-99C7-4EEF227D64DB}"/>
    <cellStyle name="Normal 9 2 3 3 4 2 4" xfId="12503" xr:uid="{89937FD4-8DD3-4CB0-ADEA-0861984374F2}"/>
    <cellStyle name="Normal 9 2 3 3 4 3" xfId="6126" xr:uid="{00000000-0005-0000-0000-0000411F0000}"/>
    <cellStyle name="Normal 9 2 3 3 4 3 2" xfId="23024" xr:uid="{96E8D481-3EB6-4B8A-8B0E-8DA0BFF3B06C}"/>
    <cellStyle name="Normal 9 2 3 3 4 3 3" xfId="14576" xr:uid="{CAD71A52-EDDB-4C84-B673-2C9E5865FD6B}"/>
    <cellStyle name="Normal 9 2 3 3 4 4" xfId="18806" xr:uid="{9E6DFFD7-FAFD-4928-A7AB-638B08367D8F}"/>
    <cellStyle name="Normal 9 2 3 3 4 5" xfId="10358" xr:uid="{6C540BDC-5561-4D74-B24C-5F6EBCF8717C}"/>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25582" xr:uid="{095A9175-A61E-48EE-A32A-05C7E3BBC64E}"/>
    <cellStyle name="Normal 9 2 3 3 5 2 2 3" xfId="17134" xr:uid="{9CE203DC-C674-4507-8A0D-A198E476F33B}"/>
    <cellStyle name="Normal 9 2 3 3 5 2 3" xfId="21364" xr:uid="{7D40BB53-4EC4-4E31-B3A5-2077DF79CF80}"/>
    <cellStyle name="Normal 9 2 3 3 5 2 4" xfId="12916" xr:uid="{D3D9614A-23F9-424A-8607-EB87D8B8F193}"/>
    <cellStyle name="Normal 9 2 3 3 5 3" xfId="6539" xr:uid="{00000000-0005-0000-0000-0000451F0000}"/>
    <cellStyle name="Normal 9 2 3 3 5 3 2" xfId="23437" xr:uid="{6C14396F-169E-46AA-AB45-0516A7E0553F}"/>
    <cellStyle name="Normal 9 2 3 3 5 3 3" xfId="14989" xr:uid="{4499FBAD-6B62-4EFF-8B43-571EF28AD50E}"/>
    <cellStyle name="Normal 9 2 3 3 5 4" xfId="19219" xr:uid="{69E75F47-6B93-4B65-B20D-B2988D83F63D}"/>
    <cellStyle name="Normal 9 2 3 3 5 5" xfId="10771" xr:uid="{F9AD7857-8E81-4AD4-AA73-FC73AB111209}"/>
    <cellStyle name="Normal 9 2 3 3 6" xfId="2669" xr:uid="{00000000-0005-0000-0000-0000461F0000}"/>
    <cellStyle name="Normal 9 2 3 3 6 2" xfId="6952" xr:uid="{00000000-0005-0000-0000-0000471F0000}"/>
    <cellStyle name="Normal 9 2 3 3 6 2 2" xfId="23850" xr:uid="{937487BD-C7C3-43F2-9406-4D123C2FF905}"/>
    <cellStyle name="Normal 9 2 3 3 6 2 3" xfId="15402" xr:uid="{9EB20161-4F11-4DEA-8A65-BAA0C493ADDF}"/>
    <cellStyle name="Normal 9 2 3 3 6 3" xfId="19632" xr:uid="{E3194F1E-F95E-4E48-99B4-F7DA621044F6}"/>
    <cellStyle name="Normal 9 2 3 3 6 4" xfId="11184" xr:uid="{D2D674D1-891E-40CD-A8B1-C83BFF530D99}"/>
    <cellStyle name="Normal 9 2 3 3 7" xfId="4887" xr:uid="{00000000-0005-0000-0000-0000481F0000}"/>
    <cellStyle name="Normal 9 2 3 3 7 2" xfId="21785" xr:uid="{74EAE9D9-6864-4A7D-8A1D-DEC4391BFBCB}"/>
    <cellStyle name="Normal 9 2 3 3 7 3" xfId="13337" xr:uid="{C4C1CF12-755D-4722-B5F1-5336DD6FCA90}"/>
    <cellStyle name="Normal 9 2 3 3 8" xfId="17567" xr:uid="{81DD731A-E9D7-41D1-90B9-798A5504A6EB}"/>
    <cellStyle name="Normal 9 2 3 3 9" xfId="9119" xr:uid="{4BBAB2EF-80ED-49E4-8F4A-8ABF6FDF40BA}"/>
    <cellStyle name="Normal 9 2 3 4" xfId="987" xr:uid="{00000000-0005-0000-0000-0000491F0000}"/>
    <cellStyle name="Normal 9 2 3 4 2" xfId="3220" xr:uid="{00000000-0005-0000-0000-00004A1F0000}"/>
    <cellStyle name="Normal 9 2 3 4 2 2" xfId="7442" xr:uid="{00000000-0005-0000-0000-00004B1F0000}"/>
    <cellStyle name="Normal 9 2 3 4 2 2 2" xfId="24340" xr:uid="{FD250A30-5FFF-4F56-BBF4-082F46B19492}"/>
    <cellStyle name="Normal 9 2 3 4 2 2 3" xfId="15892" xr:uid="{A7156D66-B0A4-47D2-BBB1-C1D3F2B24803}"/>
    <cellStyle name="Normal 9 2 3 4 2 3" xfId="20122" xr:uid="{E5B65671-2348-4FC8-A1F3-4D8888CF70D1}"/>
    <cellStyle name="Normal 9 2 3 4 2 4" xfId="11674" xr:uid="{DBDB524E-EAC6-4741-B3E8-C523B250560F}"/>
    <cellStyle name="Normal 9 2 3 4 3" xfId="5297" xr:uid="{00000000-0005-0000-0000-00004C1F0000}"/>
    <cellStyle name="Normal 9 2 3 4 3 2" xfId="22195" xr:uid="{3F08C3A7-C82C-40C7-90EE-B836C790EFB9}"/>
    <cellStyle name="Normal 9 2 3 4 3 3" xfId="13747" xr:uid="{2A15E511-3658-436E-97E4-DAF4139D2DEF}"/>
    <cellStyle name="Normal 9 2 3 4 4" xfId="17977" xr:uid="{C8683B1E-D8AC-41B2-993F-05C200D43E34}"/>
    <cellStyle name="Normal 9 2 3 4 5" xfId="9529" xr:uid="{36187B3B-5C23-4244-932A-FB97086EEF3F}"/>
    <cellStyle name="Normal 9 2 3 5" xfId="1403" xr:uid="{00000000-0005-0000-0000-00004D1F0000}"/>
    <cellStyle name="Normal 9 2 3 5 2" xfId="3633" xr:uid="{00000000-0005-0000-0000-00004E1F0000}"/>
    <cellStyle name="Normal 9 2 3 5 2 2" xfId="7855" xr:uid="{00000000-0005-0000-0000-00004F1F0000}"/>
    <cellStyle name="Normal 9 2 3 5 2 2 2" xfId="24753" xr:uid="{75E3E4CD-D4B2-4772-B5D7-0411EE91D32D}"/>
    <cellStyle name="Normal 9 2 3 5 2 2 3" xfId="16305" xr:uid="{D4D89EC2-FDDF-4589-8BFA-95677FE6CC09}"/>
    <cellStyle name="Normal 9 2 3 5 2 3" xfId="20535" xr:uid="{632C8656-B00A-443C-9C9A-C3614A4D5982}"/>
    <cellStyle name="Normal 9 2 3 5 2 4" xfId="12087" xr:uid="{8A743BD0-F306-4EA6-899B-406A4AB273BA}"/>
    <cellStyle name="Normal 9 2 3 5 3" xfId="5710" xr:uid="{00000000-0005-0000-0000-0000501F0000}"/>
    <cellStyle name="Normal 9 2 3 5 3 2" xfId="22608" xr:uid="{57D1C406-A1F1-4733-8F33-7F1A5D9C6098}"/>
    <cellStyle name="Normal 9 2 3 5 3 3" xfId="14160" xr:uid="{55949910-B42A-4FFE-8DDE-23688A29A9D6}"/>
    <cellStyle name="Normal 9 2 3 5 4" xfId="18390" xr:uid="{0419D7E2-0AF0-4DEA-9F53-4F0F28D80937}"/>
    <cellStyle name="Normal 9 2 3 5 5" xfId="9942" xr:uid="{F417F401-B297-4047-B079-4D17CCE9C323}"/>
    <cellStyle name="Normal 9 2 3 6" xfId="1816" xr:uid="{00000000-0005-0000-0000-0000511F0000}"/>
    <cellStyle name="Normal 9 2 3 6 2" xfId="4046" xr:uid="{00000000-0005-0000-0000-0000521F0000}"/>
    <cellStyle name="Normal 9 2 3 6 2 2" xfId="8268" xr:uid="{00000000-0005-0000-0000-0000531F0000}"/>
    <cellStyle name="Normal 9 2 3 6 2 2 2" xfId="25166" xr:uid="{3D34C06F-220A-42D1-B147-1AA3D6CE5CDE}"/>
    <cellStyle name="Normal 9 2 3 6 2 2 3" xfId="16718" xr:uid="{7EBA61A2-C417-4B23-8CA2-1DFA3B6457A1}"/>
    <cellStyle name="Normal 9 2 3 6 2 3" xfId="20948" xr:uid="{8B664E3A-7616-4BB3-9647-5C3EC83CD527}"/>
    <cellStyle name="Normal 9 2 3 6 2 4" xfId="12500" xr:uid="{F5BD754F-BA0F-42D4-B03A-F83590F5768E}"/>
    <cellStyle name="Normal 9 2 3 6 3" xfId="6123" xr:uid="{00000000-0005-0000-0000-0000541F0000}"/>
    <cellStyle name="Normal 9 2 3 6 3 2" xfId="23021" xr:uid="{FEC625D8-CD88-46CC-92ED-5378E28DBC80}"/>
    <cellStyle name="Normal 9 2 3 6 3 3" xfId="14573" xr:uid="{5CB24923-9730-4B75-BCF8-F8C73617EEE9}"/>
    <cellStyle name="Normal 9 2 3 6 4" xfId="18803" xr:uid="{336BB4DE-A542-487F-A8C6-39A826B50B40}"/>
    <cellStyle name="Normal 9 2 3 6 5" xfId="10355" xr:uid="{E5E5DA0F-12D9-406B-A5E5-E4048BDCCEEC}"/>
    <cellStyle name="Normal 9 2 3 7" xfId="2230" xr:uid="{00000000-0005-0000-0000-0000551F0000}"/>
    <cellStyle name="Normal 9 2 3 7 2" xfId="4459" xr:uid="{00000000-0005-0000-0000-0000561F0000}"/>
    <cellStyle name="Normal 9 2 3 7 2 2" xfId="8681" xr:uid="{00000000-0005-0000-0000-0000571F0000}"/>
    <cellStyle name="Normal 9 2 3 7 2 2 2" xfId="25579" xr:uid="{EB6E3859-D1AD-4084-8D7C-DC0F9A21AC76}"/>
    <cellStyle name="Normal 9 2 3 7 2 2 3" xfId="17131" xr:uid="{C374EEE9-E9A0-46B7-BF4A-CCD77F76EBBF}"/>
    <cellStyle name="Normal 9 2 3 7 2 3" xfId="21361" xr:uid="{E8890FCC-12AD-4C2C-8CD7-E5E41CB151FE}"/>
    <cellStyle name="Normal 9 2 3 7 2 4" xfId="12913" xr:uid="{98B62485-A8F5-4D5B-ADFB-ADF46E15AE69}"/>
    <cellStyle name="Normal 9 2 3 7 3" xfId="6536" xr:uid="{00000000-0005-0000-0000-0000581F0000}"/>
    <cellStyle name="Normal 9 2 3 7 3 2" xfId="23434" xr:uid="{23F83A94-C777-4C1A-AED2-BF75FFE4CC7A}"/>
    <cellStyle name="Normal 9 2 3 7 3 3" xfId="14986" xr:uid="{773A0C1E-50E3-463F-A0FC-30463E7B4CA6}"/>
    <cellStyle name="Normal 9 2 3 7 4" xfId="19216" xr:uid="{4F46466B-DE33-444E-BC92-0D78B0AEC8E0}"/>
    <cellStyle name="Normal 9 2 3 7 5" xfId="10768" xr:uid="{480EE1B4-5B01-4D8E-8458-33A537C44E67}"/>
    <cellStyle name="Normal 9 2 3 8" xfId="2666" xr:uid="{00000000-0005-0000-0000-0000591F0000}"/>
    <cellStyle name="Normal 9 2 3 8 2" xfId="6949" xr:uid="{00000000-0005-0000-0000-00005A1F0000}"/>
    <cellStyle name="Normal 9 2 3 8 2 2" xfId="23847" xr:uid="{C239D95D-80EC-44AD-B1BC-EB56EB642634}"/>
    <cellStyle name="Normal 9 2 3 8 2 3" xfId="15399" xr:uid="{C5E49AD3-EEF8-479F-A21B-443B8B594472}"/>
    <cellStyle name="Normal 9 2 3 8 3" xfId="19629" xr:uid="{15A41A84-0570-493C-A2E7-8DB834D86E2C}"/>
    <cellStyle name="Normal 9 2 3 8 4" xfId="11181" xr:uid="{17589E3E-0121-4990-A266-15CCF36BD8C6}"/>
    <cellStyle name="Normal 9 2 3 9" xfId="4884" xr:uid="{00000000-0005-0000-0000-00005B1F0000}"/>
    <cellStyle name="Normal 9 2 3 9 2" xfId="21782" xr:uid="{4F6500FC-53EC-4BAA-BA41-D7B80A17CBB7}"/>
    <cellStyle name="Normal 9 2 3 9 3" xfId="13334" xr:uid="{E85ABF54-5DE4-408E-8476-1504965E0785}"/>
    <cellStyle name="Normal 9 2 4" xfId="524" xr:uid="{00000000-0005-0000-0000-00005C1F0000}"/>
    <cellStyle name="Normal 9 2 4 10" xfId="9120" xr:uid="{3948C018-4572-412B-A4DB-7C436CC0C2B3}"/>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24345" xr:uid="{CFC3C570-AB26-4235-8195-13C41201332F}"/>
    <cellStyle name="Normal 9 2 4 2 2 2 2 3" xfId="15897" xr:uid="{0AA123F9-9926-482A-88D0-4E4A36BA6178}"/>
    <cellStyle name="Normal 9 2 4 2 2 2 3" xfId="20127" xr:uid="{63C56391-BFA7-4804-AE51-B53B3CE7E424}"/>
    <cellStyle name="Normal 9 2 4 2 2 2 4" xfId="11679" xr:uid="{168D6649-90CB-4C24-90E0-07C79BAA0F67}"/>
    <cellStyle name="Normal 9 2 4 2 2 3" xfId="5302" xr:uid="{00000000-0005-0000-0000-0000611F0000}"/>
    <cellStyle name="Normal 9 2 4 2 2 3 2" xfId="22200" xr:uid="{5BD3FBBE-ED0C-4D30-ADED-C0C610A0BECF}"/>
    <cellStyle name="Normal 9 2 4 2 2 3 3" xfId="13752" xr:uid="{68A834E4-5B4D-4837-9F24-995BA22D97EA}"/>
    <cellStyle name="Normal 9 2 4 2 2 4" xfId="17982" xr:uid="{70D21E8A-5E4B-48B0-8BD1-A3521D4E5B64}"/>
    <cellStyle name="Normal 9 2 4 2 2 5" xfId="9534" xr:uid="{3067298A-4346-4427-B492-A37EFCB160BF}"/>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24758" xr:uid="{A207CFEB-B8E3-4E53-939B-2B7C24AC9F50}"/>
    <cellStyle name="Normal 9 2 4 2 3 2 2 3" xfId="16310" xr:uid="{2F7F7C47-8283-485D-943D-8A7650A41131}"/>
    <cellStyle name="Normal 9 2 4 2 3 2 3" xfId="20540" xr:uid="{879E21CF-9DB7-4088-8988-CB2A4BD88824}"/>
    <cellStyle name="Normal 9 2 4 2 3 2 4" xfId="12092" xr:uid="{1F0CEEBF-9388-4AD0-9D1A-2B7E2D6E4ED9}"/>
    <cellStyle name="Normal 9 2 4 2 3 3" xfId="5715" xr:uid="{00000000-0005-0000-0000-0000651F0000}"/>
    <cellStyle name="Normal 9 2 4 2 3 3 2" xfId="22613" xr:uid="{CA78F6B8-E0C8-4F7C-8841-55817A59881C}"/>
    <cellStyle name="Normal 9 2 4 2 3 3 3" xfId="14165" xr:uid="{D1337B0D-DB3C-409E-8D2A-E1D2E0360E26}"/>
    <cellStyle name="Normal 9 2 4 2 3 4" xfId="18395" xr:uid="{8CEA8060-C985-4D8E-98BF-F6BEC864A5A4}"/>
    <cellStyle name="Normal 9 2 4 2 3 5" xfId="9947" xr:uid="{4133974C-C57D-42F4-958A-8454C390C4C6}"/>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25171" xr:uid="{26E570AF-0F3E-4D8F-88DD-1BE7247C9B4A}"/>
    <cellStyle name="Normal 9 2 4 2 4 2 2 3" xfId="16723" xr:uid="{B64CB8EC-C0B1-4B83-A15D-BFE4373BFFA8}"/>
    <cellStyle name="Normal 9 2 4 2 4 2 3" xfId="20953" xr:uid="{D6BCE77D-0D66-4CB3-80EE-892EC4E5AB48}"/>
    <cellStyle name="Normal 9 2 4 2 4 2 4" xfId="12505" xr:uid="{E881FEEC-EE64-4746-956C-83048EBA882E}"/>
    <cellStyle name="Normal 9 2 4 2 4 3" xfId="6128" xr:uid="{00000000-0005-0000-0000-0000691F0000}"/>
    <cellStyle name="Normal 9 2 4 2 4 3 2" xfId="23026" xr:uid="{9973775F-399D-456D-93EE-42B76288D37F}"/>
    <cellStyle name="Normal 9 2 4 2 4 3 3" xfId="14578" xr:uid="{5428BD94-6886-4EAC-A275-AFEDEA3ECC08}"/>
    <cellStyle name="Normal 9 2 4 2 4 4" xfId="18808" xr:uid="{0288DFCE-16AD-4A9A-929C-6344222F14C0}"/>
    <cellStyle name="Normal 9 2 4 2 4 5" xfId="10360" xr:uid="{FE223F85-B1B8-44E8-97DC-DFEBF4E6063C}"/>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25584" xr:uid="{35309E5A-4336-4AA3-B095-CACA058A80DB}"/>
    <cellStyle name="Normal 9 2 4 2 5 2 2 3" xfId="17136" xr:uid="{363D6FFA-81E2-4EFA-84B5-1336BF321489}"/>
    <cellStyle name="Normal 9 2 4 2 5 2 3" xfId="21366" xr:uid="{82277FA2-3627-4371-A93E-6C1960A85BAD}"/>
    <cellStyle name="Normal 9 2 4 2 5 2 4" xfId="12918" xr:uid="{B32A3736-9A49-4A36-8702-A1B5B2DDB30A}"/>
    <cellStyle name="Normal 9 2 4 2 5 3" xfId="6541" xr:uid="{00000000-0005-0000-0000-00006D1F0000}"/>
    <cellStyle name="Normal 9 2 4 2 5 3 2" xfId="23439" xr:uid="{9D505DD3-6329-44CD-BDFD-6DA430665ED1}"/>
    <cellStyle name="Normal 9 2 4 2 5 3 3" xfId="14991" xr:uid="{74A0DD71-7537-4EDB-B0F4-022625359BC3}"/>
    <cellStyle name="Normal 9 2 4 2 5 4" xfId="19221" xr:uid="{F5AA26C3-C25E-492A-B74F-F77E273B9B5C}"/>
    <cellStyle name="Normal 9 2 4 2 5 5" xfId="10773" xr:uid="{321E6C67-F8D2-4993-92F6-27B4956AEEFC}"/>
    <cellStyle name="Normal 9 2 4 2 6" xfId="2671" xr:uid="{00000000-0005-0000-0000-00006E1F0000}"/>
    <cellStyle name="Normal 9 2 4 2 6 2" xfId="6954" xr:uid="{00000000-0005-0000-0000-00006F1F0000}"/>
    <cellStyle name="Normal 9 2 4 2 6 2 2" xfId="23852" xr:uid="{B11B775C-45B9-4224-A8B8-35CE7A12F566}"/>
    <cellStyle name="Normal 9 2 4 2 6 2 3" xfId="15404" xr:uid="{801516B0-9EF3-43C2-9EBF-BF5472E872CC}"/>
    <cellStyle name="Normal 9 2 4 2 6 3" xfId="19634" xr:uid="{C339D55C-E6ED-4E7A-80F4-3746B6C6A33C}"/>
    <cellStyle name="Normal 9 2 4 2 6 4" xfId="11186" xr:uid="{4C193D48-737A-4E8B-9462-6161BEA6FFA8}"/>
    <cellStyle name="Normal 9 2 4 2 7" xfId="4889" xr:uid="{00000000-0005-0000-0000-0000701F0000}"/>
    <cellStyle name="Normal 9 2 4 2 7 2" xfId="21787" xr:uid="{5361822E-3DC9-4629-9C63-2138F50152AE}"/>
    <cellStyle name="Normal 9 2 4 2 7 3" xfId="13339" xr:uid="{62699BEC-9E08-448F-AF57-4713A0B4C3E0}"/>
    <cellStyle name="Normal 9 2 4 2 8" xfId="17569" xr:uid="{D0D7C3F4-E0FC-49B1-A566-1D27EB18AFB3}"/>
    <cellStyle name="Normal 9 2 4 2 9" xfId="9121" xr:uid="{5CFBCAF2-0E22-4B21-AC10-1F02085D4BBD}"/>
    <cellStyle name="Normal 9 2 4 3" xfId="991" xr:uid="{00000000-0005-0000-0000-0000711F0000}"/>
    <cellStyle name="Normal 9 2 4 3 2" xfId="3224" xr:uid="{00000000-0005-0000-0000-0000721F0000}"/>
    <cellStyle name="Normal 9 2 4 3 2 2" xfId="7446" xr:uid="{00000000-0005-0000-0000-0000731F0000}"/>
    <cellStyle name="Normal 9 2 4 3 2 2 2" xfId="24344" xr:uid="{6545153A-E298-45A6-97E5-1F7B0511C686}"/>
    <cellStyle name="Normal 9 2 4 3 2 2 3" xfId="15896" xr:uid="{57DE3034-EF9B-41A7-9A5B-A2DDB25B6C21}"/>
    <cellStyle name="Normal 9 2 4 3 2 3" xfId="20126" xr:uid="{A395DBD9-272B-4D58-98BD-C0E216787C7D}"/>
    <cellStyle name="Normal 9 2 4 3 2 4" xfId="11678" xr:uid="{66E70251-0A18-4F14-BF52-34A31784B27A}"/>
    <cellStyle name="Normal 9 2 4 3 3" xfId="5301" xr:uid="{00000000-0005-0000-0000-0000741F0000}"/>
    <cellStyle name="Normal 9 2 4 3 3 2" xfId="22199" xr:uid="{97C55334-A6E0-46FF-95EB-863007B2196C}"/>
    <cellStyle name="Normal 9 2 4 3 3 3" xfId="13751" xr:uid="{B067B897-2B11-4B03-A46A-BA04EF9EFDDB}"/>
    <cellStyle name="Normal 9 2 4 3 4" xfId="17981" xr:uid="{A1897487-2957-4C96-A98F-E3A20DA759DC}"/>
    <cellStyle name="Normal 9 2 4 3 5" xfId="9533" xr:uid="{2D8742CA-D1B6-4D78-A10D-5911F2493702}"/>
    <cellStyle name="Normal 9 2 4 4" xfId="1407" xr:uid="{00000000-0005-0000-0000-0000751F0000}"/>
    <cellStyle name="Normal 9 2 4 4 2" xfId="3637" xr:uid="{00000000-0005-0000-0000-0000761F0000}"/>
    <cellStyle name="Normal 9 2 4 4 2 2" xfId="7859" xr:uid="{00000000-0005-0000-0000-0000771F0000}"/>
    <cellStyle name="Normal 9 2 4 4 2 2 2" xfId="24757" xr:uid="{1FDF62B0-D1A3-4FD4-941A-FF00D4D1094F}"/>
    <cellStyle name="Normal 9 2 4 4 2 2 3" xfId="16309" xr:uid="{E24FD5D6-C456-4939-B43C-5A782CE7A0A9}"/>
    <cellStyle name="Normal 9 2 4 4 2 3" xfId="20539" xr:uid="{5A3723D4-3A0F-4C3A-B3CB-6947639E51C0}"/>
    <cellStyle name="Normal 9 2 4 4 2 4" xfId="12091" xr:uid="{060E71F9-9CFA-4FA0-B253-36BDD91DB579}"/>
    <cellStyle name="Normal 9 2 4 4 3" xfId="5714" xr:uid="{00000000-0005-0000-0000-0000781F0000}"/>
    <cellStyle name="Normal 9 2 4 4 3 2" xfId="22612" xr:uid="{A9FFBCAF-2192-4F82-A09C-80344CFD7D3C}"/>
    <cellStyle name="Normal 9 2 4 4 3 3" xfId="14164" xr:uid="{7BB5BB82-5CD4-4B05-A376-60E0D287F167}"/>
    <cellStyle name="Normal 9 2 4 4 4" xfId="18394" xr:uid="{761C630C-3C6F-4A46-B226-20C32D7CC731}"/>
    <cellStyle name="Normal 9 2 4 4 5" xfId="9946" xr:uid="{3DEA751F-69E0-49EF-AB22-BA17CF484103}"/>
    <cellStyle name="Normal 9 2 4 5" xfId="1820" xr:uid="{00000000-0005-0000-0000-0000791F0000}"/>
    <cellStyle name="Normal 9 2 4 5 2" xfId="4050" xr:uid="{00000000-0005-0000-0000-00007A1F0000}"/>
    <cellStyle name="Normal 9 2 4 5 2 2" xfId="8272" xr:uid="{00000000-0005-0000-0000-00007B1F0000}"/>
    <cellStyle name="Normal 9 2 4 5 2 2 2" xfId="25170" xr:uid="{46DF1BC0-3097-4145-92C2-2347F75F7FDB}"/>
    <cellStyle name="Normal 9 2 4 5 2 2 3" xfId="16722" xr:uid="{333A525B-E3C8-41A4-8B6F-49ACF0FB6A51}"/>
    <cellStyle name="Normal 9 2 4 5 2 3" xfId="20952" xr:uid="{D3E6C9E9-FC34-4808-9AF3-EA3B3CB91D13}"/>
    <cellStyle name="Normal 9 2 4 5 2 4" xfId="12504" xr:uid="{977E012F-B8BB-4F00-87B9-43DC7BA6BDB6}"/>
    <cellStyle name="Normal 9 2 4 5 3" xfId="6127" xr:uid="{00000000-0005-0000-0000-00007C1F0000}"/>
    <cellStyle name="Normal 9 2 4 5 3 2" xfId="23025" xr:uid="{DB95E59E-7C27-4DEB-81BB-8977FE834715}"/>
    <cellStyle name="Normal 9 2 4 5 3 3" xfId="14577" xr:uid="{2D6F8901-01A2-48D6-932F-83FF1487C4EB}"/>
    <cellStyle name="Normal 9 2 4 5 4" xfId="18807" xr:uid="{EE6A6B8B-BA83-473B-8966-1BC0314F0B27}"/>
    <cellStyle name="Normal 9 2 4 5 5" xfId="10359" xr:uid="{7742F59A-46F8-4923-9EB7-FA060AE3FF15}"/>
    <cellStyle name="Normal 9 2 4 6" xfId="2234" xr:uid="{00000000-0005-0000-0000-00007D1F0000}"/>
    <cellStyle name="Normal 9 2 4 6 2" xfId="4463" xr:uid="{00000000-0005-0000-0000-00007E1F0000}"/>
    <cellStyle name="Normal 9 2 4 6 2 2" xfId="8685" xr:uid="{00000000-0005-0000-0000-00007F1F0000}"/>
    <cellStyle name="Normal 9 2 4 6 2 2 2" xfId="25583" xr:uid="{8BC6B620-3DC8-4470-937C-E2458541E67B}"/>
    <cellStyle name="Normal 9 2 4 6 2 2 3" xfId="17135" xr:uid="{DD3A3AC5-DBEE-491F-8ABA-0FD7FC308DAE}"/>
    <cellStyle name="Normal 9 2 4 6 2 3" xfId="21365" xr:uid="{56F61E03-DF2F-4245-84BE-BD2851D9D97C}"/>
    <cellStyle name="Normal 9 2 4 6 2 4" xfId="12917" xr:uid="{D285DA4C-0346-4B87-9753-F09D8BF7C248}"/>
    <cellStyle name="Normal 9 2 4 6 3" xfId="6540" xr:uid="{00000000-0005-0000-0000-0000801F0000}"/>
    <cellStyle name="Normal 9 2 4 6 3 2" xfId="23438" xr:uid="{652729A1-3D85-420C-B4FE-A7793F55D25D}"/>
    <cellStyle name="Normal 9 2 4 6 3 3" xfId="14990" xr:uid="{4E1DEBDE-F815-4093-AC4A-633BDD4456E0}"/>
    <cellStyle name="Normal 9 2 4 6 4" xfId="19220" xr:uid="{01DEB032-0CFB-47C0-A49B-B26D01302280}"/>
    <cellStyle name="Normal 9 2 4 6 5" xfId="10772" xr:uid="{7539EB87-A1B3-414B-80B2-48F3FC4819E1}"/>
    <cellStyle name="Normal 9 2 4 7" xfId="2670" xr:uid="{00000000-0005-0000-0000-0000811F0000}"/>
    <cellStyle name="Normal 9 2 4 7 2" xfId="6953" xr:uid="{00000000-0005-0000-0000-0000821F0000}"/>
    <cellStyle name="Normal 9 2 4 7 2 2" xfId="23851" xr:uid="{7FC788D9-BCE1-4900-A52B-425D84277E09}"/>
    <cellStyle name="Normal 9 2 4 7 2 3" xfId="15403" xr:uid="{4E1FB4D8-E77D-432A-B8A6-84BE90726602}"/>
    <cellStyle name="Normal 9 2 4 7 3" xfId="19633" xr:uid="{AE6CCEEA-DB9A-4B32-B738-C267092B7F47}"/>
    <cellStyle name="Normal 9 2 4 7 4" xfId="11185" xr:uid="{AE214D21-0927-4F38-9E49-D0D1608A28B2}"/>
    <cellStyle name="Normal 9 2 4 8" xfId="4888" xr:uid="{00000000-0005-0000-0000-0000831F0000}"/>
    <cellStyle name="Normal 9 2 4 8 2" xfId="21786" xr:uid="{5BA2423D-5879-44F4-945F-EC476605D03A}"/>
    <cellStyle name="Normal 9 2 4 8 3" xfId="13338" xr:uid="{F32E6DBF-0F79-4E06-BB6F-197AF9FDBE48}"/>
    <cellStyle name="Normal 9 2 4 9" xfId="17568" xr:uid="{D0D040A8-BB73-4219-8F74-04086DE7F6D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2 2 2" xfId="24346" xr:uid="{E199509E-E136-4C97-AF5A-A02D58BB5B6B}"/>
    <cellStyle name="Normal 9 2 5 2 2 2 3" xfId="15898" xr:uid="{500702F2-E171-48A3-B6AE-47440718B19C}"/>
    <cellStyle name="Normal 9 2 5 2 2 3" xfId="20128" xr:uid="{918D7D1D-9F44-4D04-ABA9-D42ECF499EAB}"/>
    <cellStyle name="Normal 9 2 5 2 2 4" xfId="11680" xr:uid="{AC5CF892-398D-4C1F-8272-CB10F97B21AA}"/>
    <cellStyle name="Normal 9 2 5 2 3" xfId="5303" xr:uid="{00000000-0005-0000-0000-0000881F0000}"/>
    <cellStyle name="Normal 9 2 5 2 3 2" xfId="22201" xr:uid="{7ADE3F53-A169-4BA5-A576-8791B246135E}"/>
    <cellStyle name="Normal 9 2 5 2 3 3" xfId="13753" xr:uid="{339E7FD0-7457-4D76-8B30-8A68C336528C}"/>
    <cellStyle name="Normal 9 2 5 2 4" xfId="17983" xr:uid="{A192A437-7818-419B-AB7D-2B6EDDE861CB}"/>
    <cellStyle name="Normal 9 2 5 2 5" xfId="9535" xr:uid="{34B513E9-ED17-48A1-B7A0-743FD54892B5}"/>
    <cellStyle name="Normal 9 2 5 3" xfId="1409" xr:uid="{00000000-0005-0000-0000-0000891F0000}"/>
    <cellStyle name="Normal 9 2 5 3 2" xfId="3639" xr:uid="{00000000-0005-0000-0000-00008A1F0000}"/>
    <cellStyle name="Normal 9 2 5 3 2 2" xfId="7861" xr:uid="{00000000-0005-0000-0000-00008B1F0000}"/>
    <cellStyle name="Normal 9 2 5 3 2 2 2" xfId="24759" xr:uid="{AD69CC1B-32AA-4AFC-A487-A54E07C3C050}"/>
    <cellStyle name="Normal 9 2 5 3 2 2 3" xfId="16311" xr:uid="{FF40844D-5DD1-4D49-ABCA-1ED6A7BB3811}"/>
    <cellStyle name="Normal 9 2 5 3 2 3" xfId="20541" xr:uid="{ED335687-B446-4E01-944B-F10A24802876}"/>
    <cellStyle name="Normal 9 2 5 3 2 4" xfId="12093" xr:uid="{04C20A5E-C5BA-4783-848D-E2285D0FA0F9}"/>
    <cellStyle name="Normal 9 2 5 3 3" xfId="5716" xr:uid="{00000000-0005-0000-0000-00008C1F0000}"/>
    <cellStyle name="Normal 9 2 5 3 3 2" xfId="22614" xr:uid="{9C209229-C78E-4057-B6A8-8FD1A3FC600D}"/>
    <cellStyle name="Normal 9 2 5 3 3 3" xfId="14166" xr:uid="{C317705C-1284-4284-9EA6-F9BFD8636786}"/>
    <cellStyle name="Normal 9 2 5 3 4" xfId="18396" xr:uid="{2B9495FD-3BF1-4CE4-81F9-27164F327DD2}"/>
    <cellStyle name="Normal 9 2 5 3 5" xfId="9948" xr:uid="{0E5EF43C-69DF-48FD-96BC-5354AD2FF8C4}"/>
    <cellStyle name="Normal 9 2 5 4" xfId="1822" xr:uid="{00000000-0005-0000-0000-00008D1F0000}"/>
    <cellStyle name="Normal 9 2 5 4 2" xfId="4052" xr:uid="{00000000-0005-0000-0000-00008E1F0000}"/>
    <cellStyle name="Normal 9 2 5 4 2 2" xfId="8274" xr:uid="{00000000-0005-0000-0000-00008F1F0000}"/>
    <cellStyle name="Normal 9 2 5 4 2 2 2" xfId="25172" xr:uid="{7AA84FFC-B21E-40E4-8CF3-024D455AF4B0}"/>
    <cellStyle name="Normal 9 2 5 4 2 2 3" xfId="16724" xr:uid="{06ED68FA-B4DD-405F-92C8-C6DBC3667691}"/>
    <cellStyle name="Normal 9 2 5 4 2 3" xfId="20954" xr:uid="{B4F67C2B-DC60-403B-8A96-A0A9DD215956}"/>
    <cellStyle name="Normal 9 2 5 4 2 4" xfId="12506" xr:uid="{65E27337-8C3A-4822-A539-3E113E5A01FB}"/>
    <cellStyle name="Normal 9 2 5 4 3" xfId="6129" xr:uid="{00000000-0005-0000-0000-0000901F0000}"/>
    <cellStyle name="Normal 9 2 5 4 3 2" xfId="23027" xr:uid="{841144F8-CD29-4682-ADB1-051254B64846}"/>
    <cellStyle name="Normal 9 2 5 4 3 3" xfId="14579" xr:uid="{EE7DBF21-42BA-473B-8A6E-BCBA24CE3C85}"/>
    <cellStyle name="Normal 9 2 5 4 4" xfId="18809" xr:uid="{390FE79B-2064-4BC4-A519-D7ABE16A60E1}"/>
    <cellStyle name="Normal 9 2 5 4 5" xfId="10361" xr:uid="{05B84188-4A69-47FF-9B6E-4A07975B7A92}"/>
    <cellStyle name="Normal 9 2 5 5" xfId="2236" xr:uid="{00000000-0005-0000-0000-0000911F0000}"/>
    <cellStyle name="Normal 9 2 5 5 2" xfId="4465" xr:uid="{00000000-0005-0000-0000-0000921F0000}"/>
    <cellStyle name="Normal 9 2 5 5 2 2" xfId="8687" xr:uid="{00000000-0005-0000-0000-0000931F0000}"/>
    <cellStyle name="Normal 9 2 5 5 2 2 2" xfId="25585" xr:uid="{6B7A2429-E65D-4EE4-AD44-087158511272}"/>
    <cellStyle name="Normal 9 2 5 5 2 2 3" xfId="17137" xr:uid="{D99630F1-2EDC-4248-91B5-785B0E0DE9CE}"/>
    <cellStyle name="Normal 9 2 5 5 2 3" xfId="21367" xr:uid="{0D791233-F17E-46B8-AB5B-3A844B394C07}"/>
    <cellStyle name="Normal 9 2 5 5 2 4" xfId="12919" xr:uid="{4FF1E00D-EAFA-44A3-B549-3CE9609799CD}"/>
    <cellStyle name="Normal 9 2 5 5 3" xfId="6542" xr:uid="{00000000-0005-0000-0000-0000941F0000}"/>
    <cellStyle name="Normal 9 2 5 5 3 2" xfId="23440" xr:uid="{37E9A719-E6DA-4FF1-B296-DF297741C7E3}"/>
    <cellStyle name="Normal 9 2 5 5 3 3" xfId="14992" xr:uid="{843A25A6-B7D4-4250-8D15-B47BC724F33E}"/>
    <cellStyle name="Normal 9 2 5 5 4" xfId="19222" xr:uid="{10836244-4C11-44CC-A2E5-CDABBDCA2CBF}"/>
    <cellStyle name="Normal 9 2 5 5 5" xfId="10774" xr:uid="{FEFA9D0C-D013-4733-AC80-EFB9EAB25B2D}"/>
    <cellStyle name="Normal 9 2 5 6" xfId="2672" xr:uid="{00000000-0005-0000-0000-0000951F0000}"/>
    <cellStyle name="Normal 9 2 5 6 2" xfId="6955" xr:uid="{00000000-0005-0000-0000-0000961F0000}"/>
    <cellStyle name="Normal 9 2 5 6 2 2" xfId="23853" xr:uid="{1832A139-FE12-49E7-97FC-11E883EA2DE5}"/>
    <cellStyle name="Normal 9 2 5 6 2 3" xfId="15405" xr:uid="{7523E080-20D7-471F-AD45-2C9766CF4ECC}"/>
    <cellStyle name="Normal 9 2 5 6 3" xfId="19635" xr:uid="{D92058B5-AFFA-43C6-8488-2DEDA1C6EE43}"/>
    <cellStyle name="Normal 9 2 5 6 4" xfId="11187" xr:uid="{DD92AE51-74F6-4A0B-AE33-31FEA7E196AA}"/>
    <cellStyle name="Normal 9 2 5 7" xfId="4890" xr:uid="{00000000-0005-0000-0000-0000971F0000}"/>
    <cellStyle name="Normal 9 2 5 7 2" xfId="21788" xr:uid="{91855463-1A34-4B3D-897B-CA5438E547D7}"/>
    <cellStyle name="Normal 9 2 5 7 3" xfId="13340" xr:uid="{C5CB5C8A-7C42-447A-B52E-62FDD0479999}"/>
    <cellStyle name="Normal 9 2 5 8" xfId="17570" xr:uid="{56A0F847-6465-462B-9886-9477FAC3FEAF}"/>
    <cellStyle name="Normal 9 2 5 9" xfId="9122" xr:uid="{6FCDDCC1-FF76-48F2-9AFC-574CA02B6B43}"/>
    <cellStyle name="Normal 9 2 6" xfId="978" xr:uid="{00000000-0005-0000-0000-0000981F0000}"/>
    <cellStyle name="Normal 9 2 6 2" xfId="3211" xr:uid="{00000000-0005-0000-0000-0000991F0000}"/>
    <cellStyle name="Normal 9 2 6 2 2" xfId="7433" xr:uid="{00000000-0005-0000-0000-00009A1F0000}"/>
    <cellStyle name="Normal 9 2 6 2 2 2" xfId="24331" xr:uid="{D59F9971-F105-42F2-A520-1AA9BFB9C251}"/>
    <cellStyle name="Normal 9 2 6 2 2 3" xfId="15883" xr:uid="{E1F366E6-9BB4-4E8C-9618-8F812D6E9AC7}"/>
    <cellStyle name="Normal 9 2 6 2 3" xfId="20113" xr:uid="{35E466CA-04C6-49FD-ABA0-60240E67364C}"/>
    <cellStyle name="Normal 9 2 6 2 4" xfId="11665" xr:uid="{69FF608C-264D-4351-804F-22F2E89CD2EB}"/>
    <cellStyle name="Normal 9 2 6 3" xfId="5288" xr:uid="{00000000-0005-0000-0000-00009B1F0000}"/>
    <cellStyle name="Normal 9 2 6 3 2" xfId="22186" xr:uid="{C5C8FC49-9314-4D75-86B1-21CF2AEF499F}"/>
    <cellStyle name="Normal 9 2 6 3 3" xfId="13738" xr:uid="{4102F68C-A000-4A03-808F-C716C3AABDE7}"/>
    <cellStyle name="Normal 9 2 6 4" xfId="17968" xr:uid="{59948471-A5C7-48EF-A8E6-F64F80D73526}"/>
    <cellStyle name="Normal 9 2 6 5" xfId="9520" xr:uid="{6CB59D91-D5FF-41AD-9F5F-8720315F9E1C}"/>
    <cellStyle name="Normal 9 2 7" xfId="1394" xr:uid="{00000000-0005-0000-0000-00009C1F0000}"/>
    <cellStyle name="Normal 9 2 7 2" xfId="3624" xr:uid="{00000000-0005-0000-0000-00009D1F0000}"/>
    <cellStyle name="Normal 9 2 7 2 2" xfId="7846" xr:uid="{00000000-0005-0000-0000-00009E1F0000}"/>
    <cellStyle name="Normal 9 2 7 2 2 2" xfId="24744" xr:uid="{31976A15-F410-4F06-8A31-0993759A0600}"/>
    <cellStyle name="Normal 9 2 7 2 2 3" xfId="16296" xr:uid="{8F1544DF-E9B7-470F-A24B-A70CEA4BAC68}"/>
    <cellStyle name="Normal 9 2 7 2 3" xfId="20526" xr:uid="{38ACFFD2-7BD5-4F0E-B2DA-1D5782BE18CD}"/>
    <cellStyle name="Normal 9 2 7 2 4" xfId="12078" xr:uid="{A34DB0C4-5101-4179-BBDE-5DDCFFBB9A14}"/>
    <cellStyle name="Normal 9 2 7 3" xfId="5701" xr:uid="{00000000-0005-0000-0000-00009F1F0000}"/>
    <cellStyle name="Normal 9 2 7 3 2" xfId="22599" xr:uid="{7DD67513-274C-4E2A-B5F1-023D70F7F108}"/>
    <cellStyle name="Normal 9 2 7 3 3" xfId="14151" xr:uid="{076BAB77-45BD-4AC8-BD5D-8C28A91FBFFD}"/>
    <cellStyle name="Normal 9 2 7 4" xfId="18381" xr:uid="{75CA2507-96DC-4751-B5C3-B755D8C5602F}"/>
    <cellStyle name="Normal 9 2 7 5" xfId="9933" xr:uid="{8A37289A-983B-47EE-82E6-950CD31B5D3C}"/>
    <cellStyle name="Normal 9 2 8" xfId="1807" xr:uid="{00000000-0005-0000-0000-0000A01F0000}"/>
    <cellStyle name="Normal 9 2 8 2" xfId="4037" xr:uid="{00000000-0005-0000-0000-0000A11F0000}"/>
    <cellStyle name="Normal 9 2 8 2 2" xfId="8259" xr:uid="{00000000-0005-0000-0000-0000A21F0000}"/>
    <cellStyle name="Normal 9 2 8 2 2 2" xfId="25157" xr:uid="{F98503EA-EE67-44A1-9003-F51BA654F899}"/>
    <cellStyle name="Normal 9 2 8 2 2 3" xfId="16709" xr:uid="{272749F3-F253-4F7E-9C56-33D6554AB4D3}"/>
    <cellStyle name="Normal 9 2 8 2 3" xfId="20939" xr:uid="{B1A9661A-60EC-475C-AB1F-99801AAB300D}"/>
    <cellStyle name="Normal 9 2 8 2 4" xfId="12491" xr:uid="{DA1E30DC-BBA3-4429-96E5-F44ACE8A96D9}"/>
    <cellStyle name="Normal 9 2 8 3" xfId="6114" xr:uid="{00000000-0005-0000-0000-0000A31F0000}"/>
    <cellStyle name="Normal 9 2 8 3 2" xfId="23012" xr:uid="{ABB420EA-156C-43AE-8EF1-95FB2B38D6BF}"/>
    <cellStyle name="Normal 9 2 8 3 3" xfId="14564" xr:uid="{715BE967-4549-45A0-A69A-858BB788374B}"/>
    <cellStyle name="Normal 9 2 8 4" xfId="18794" xr:uid="{E127445E-338B-49B4-82DD-231738EFA158}"/>
    <cellStyle name="Normal 9 2 8 5" xfId="10346" xr:uid="{A0209DAA-BD78-401E-9F2C-E5277E63AC6E}"/>
    <cellStyle name="Normal 9 2 9" xfId="2221" xr:uid="{00000000-0005-0000-0000-0000A41F0000}"/>
    <cellStyle name="Normal 9 2 9 2" xfId="4450" xr:uid="{00000000-0005-0000-0000-0000A51F0000}"/>
    <cellStyle name="Normal 9 2 9 2 2" xfId="8672" xr:uid="{00000000-0005-0000-0000-0000A61F0000}"/>
    <cellStyle name="Normal 9 2 9 2 2 2" xfId="25570" xr:uid="{3BF93B0C-18FE-4712-929A-2A2BF4FBD8E1}"/>
    <cellStyle name="Normal 9 2 9 2 2 3" xfId="17122" xr:uid="{15EA5669-58AF-4B96-BEF0-FC33A328AA74}"/>
    <cellStyle name="Normal 9 2 9 2 3" xfId="21352" xr:uid="{A64F4A73-DC92-4EBA-A3C3-B08D9B0B7651}"/>
    <cellStyle name="Normal 9 2 9 2 4" xfId="12904" xr:uid="{F38C0683-0350-473E-B355-AE46D95FA06D}"/>
    <cellStyle name="Normal 9 2 9 3" xfId="6527" xr:uid="{00000000-0005-0000-0000-0000A71F0000}"/>
    <cellStyle name="Normal 9 2 9 3 2" xfId="23425" xr:uid="{624921AB-5CFE-459F-9295-2BA15C57F1BE}"/>
    <cellStyle name="Normal 9 2 9 3 3" xfId="14977" xr:uid="{9385882C-6319-4532-83FD-53591D60889B}"/>
    <cellStyle name="Normal 9 2 9 4" xfId="19207" xr:uid="{AAAE42AB-88C5-4125-9248-12241CD54957}"/>
    <cellStyle name="Normal 9 2 9 5" xfId="10759" xr:uid="{77BD7AE7-3C48-4EEB-BF82-CD60FE00AC55}"/>
    <cellStyle name="Normal 9 3" xfId="527" xr:uid="{00000000-0005-0000-0000-0000A81F0000}"/>
    <cellStyle name="Normal 9 3 10" xfId="4891" xr:uid="{00000000-0005-0000-0000-0000A91F0000}"/>
    <cellStyle name="Normal 9 3 10 2" xfId="21789" xr:uid="{2202F4AC-7476-4CBA-BCFC-F9C223FC1A24}"/>
    <cellStyle name="Normal 9 3 10 3" xfId="13341" xr:uid="{769A64B5-1AB6-48A6-B201-373F12356D2F}"/>
    <cellStyle name="Normal 9 3 11" xfId="17571" xr:uid="{8DC210AA-5DA2-4D20-B543-9F1A66F92A2E}"/>
    <cellStyle name="Normal 9 3 12" xfId="9123" xr:uid="{85EE1CD8-E7BA-4F0C-A8C9-8511BB114126}"/>
    <cellStyle name="Normal 9 3 2" xfId="528" xr:uid="{00000000-0005-0000-0000-0000AA1F0000}"/>
    <cellStyle name="Normal 9 3 2 10" xfId="17572" xr:uid="{0FCDDA3B-CC37-4A64-9E21-835AFB2243A7}"/>
    <cellStyle name="Normal 9 3 2 11" xfId="9124" xr:uid="{1666130A-B8E8-4C1B-9D83-6200C2202EA1}"/>
    <cellStyle name="Normal 9 3 2 2" xfId="529" xr:uid="{00000000-0005-0000-0000-0000AB1F0000}"/>
    <cellStyle name="Normal 9 3 2 2 10" xfId="9125" xr:uid="{E97791A4-1D75-44D5-9E54-782A17E366A3}"/>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24350" xr:uid="{EC66C051-1741-48EB-BAFC-8689F8853441}"/>
    <cellStyle name="Normal 9 3 2 2 2 2 2 2 3" xfId="15902" xr:uid="{8F518D9E-7C4E-4757-B7D4-CEED89B3451E}"/>
    <cellStyle name="Normal 9 3 2 2 2 2 2 3" xfId="20132" xr:uid="{7E5F472B-1747-4F2E-97B7-FC362EF9A8D3}"/>
    <cellStyle name="Normal 9 3 2 2 2 2 2 4" xfId="11684" xr:uid="{63E09BE3-72C0-439D-A1AB-A5E4455685E1}"/>
    <cellStyle name="Normal 9 3 2 2 2 2 3" xfId="5307" xr:uid="{00000000-0005-0000-0000-0000B01F0000}"/>
    <cellStyle name="Normal 9 3 2 2 2 2 3 2" xfId="22205" xr:uid="{3653F6E0-0EE8-48AB-81E8-C28EE337A1B0}"/>
    <cellStyle name="Normal 9 3 2 2 2 2 3 3" xfId="13757" xr:uid="{D6BF45AB-363E-4BD1-B9FE-100E78F6497B}"/>
    <cellStyle name="Normal 9 3 2 2 2 2 4" xfId="17987" xr:uid="{D182CAC3-048B-425F-967C-E32552FEA06B}"/>
    <cellStyle name="Normal 9 3 2 2 2 2 5" xfId="9539" xr:uid="{F0B98B35-ECB1-4FE9-ABA4-FAC21C5AC572}"/>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24763" xr:uid="{1E3F7992-FCF0-406E-BD15-47751D432AF1}"/>
    <cellStyle name="Normal 9 3 2 2 2 3 2 2 3" xfId="16315" xr:uid="{C47AC8E7-0E73-43B1-B0BB-95AA92895DC2}"/>
    <cellStyle name="Normal 9 3 2 2 2 3 2 3" xfId="20545" xr:uid="{9C23BB67-F9A3-4521-9D58-A75203D4B7AD}"/>
    <cellStyle name="Normal 9 3 2 2 2 3 2 4" xfId="12097" xr:uid="{2792350C-003F-466A-AC45-250EB9B23B18}"/>
    <cellStyle name="Normal 9 3 2 2 2 3 3" xfId="5720" xr:uid="{00000000-0005-0000-0000-0000B41F0000}"/>
    <cellStyle name="Normal 9 3 2 2 2 3 3 2" xfId="22618" xr:uid="{521ABA99-46CA-4DF5-AB18-2BEB0C6AFCAE}"/>
    <cellStyle name="Normal 9 3 2 2 2 3 3 3" xfId="14170" xr:uid="{9895EA4D-4945-4F3C-8D19-50AE4C744923}"/>
    <cellStyle name="Normal 9 3 2 2 2 3 4" xfId="18400" xr:uid="{051BC9AA-524C-4A00-BC54-807AB4C775DB}"/>
    <cellStyle name="Normal 9 3 2 2 2 3 5" xfId="9952" xr:uid="{16617E59-1E8A-4EE3-B3E6-1F72BAE9AAA3}"/>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25176" xr:uid="{92337AE6-AE51-48EE-9D1E-BA75F8F872DA}"/>
    <cellStyle name="Normal 9 3 2 2 2 4 2 2 3" xfId="16728" xr:uid="{DDD4FEB6-58B0-4F69-9031-F9FAF1D494BF}"/>
    <cellStyle name="Normal 9 3 2 2 2 4 2 3" xfId="20958" xr:uid="{30EDE54F-1632-464C-837B-A8CE4808742B}"/>
    <cellStyle name="Normal 9 3 2 2 2 4 2 4" xfId="12510" xr:uid="{22F9A99E-47E7-490C-A651-FD623E1EA4C0}"/>
    <cellStyle name="Normal 9 3 2 2 2 4 3" xfId="6133" xr:uid="{00000000-0005-0000-0000-0000B81F0000}"/>
    <cellStyle name="Normal 9 3 2 2 2 4 3 2" xfId="23031" xr:uid="{9948D09B-3A31-4622-8767-5C2270C9B35B}"/>
    <cellStyle name="Normal 9 3 2 2 2 4 3 3" xfId="14583" xr:uid="{DE96B4F5-3F38-4319-A043-5700BC9E4A98}"/>
    <cellStyle name="Normal 9 3 2 2 2 4 4" xfId="18813" xr:uid="{9C8EF945-6347-4202-9B64-D00DF2F8632C}"/>
    <cellStyle name="Normal 9 3 2 2 2 4 5" xfId="10365" xr:uid="{347BEBF6-6B96-4FD7-B073-1D0F225D7A36}"/>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25589" xr:uid="{C6919470-656B-4E94-A2A1-CD0483DA7E56}"/>
    <cellStyle name="Normal 9 3 2 2 2 5 2 2 3" xfId="17141" xr:uid="{6E8BF700-E3E3-4176-9C0B-8D3F3CECCAB5}"/>
    <cellStyle name="Normal 9 3 2 2 2 5 2 3" xfId="21371" xr:uid="{1AB4721B-D76A-41B8-8B78-8889FD7C14D0}"/>
    <cellStyle name="Normal 9 3 2 2 2 5 2 4" xfId="12923" xr:uid="{C2E7438E-3CAE-4F50-B144-D4B9792FC4E4}"/>
    <cellStyle name="Normal 9 3 2 2 2 5 3" xfId="6546" xr:uid="{00000000-0005-0000-0000-0000BC1F0000}"/>
    <cellStyle name="Normal 9 3 2 2 2 5 3 2" xfId="23444" xr:uid="{6D90210C-D4D7-43FA-B6A6-8BB1C40A2576}"/>
    <cellStyle name="Normal 9 3 2 2 2 5 3 3" xfId="14996" xr:uid="{888F1E89-0A06-47AC-9CEB-FFB1AB5887DB}"/>
    <cellStyle name="Normal 9 3 2 2 2 5 4" xfId="19226" xr:uid="{67830157-A52E-4001-94F0-F63B89EF90C6}"/>
    <cellStyle name="Normal 9 3 2 2 2 5 5" xfId="10778" xr:uid="{05B0D67E-8C47-417F-B6C6-E73CACB1619D}"/>
    <cellStyle name="Normal 9 3 2 2 2 6" xfId="2676" xr:uid="{00000000-0005-0000-0000-0000BD1F0000}"/>
    <cellStyle name="Normal 9 3 2 2 2 6 2" xfId="6959" xr:uid="{00000000-0005-0000-0000-0000BE1F0000}"/>
    <cellStyle name="Normal 9 3 2 2 2 6 2 2" xfId="23857" xr:uid="{69634FEE-EA7C-44FE-94F0-37D3E9381AE1}"/>
    <cellStyle name="Normal 9 3 2 2 2 6 2 3" xfId="15409" xr:uid="{122957E4-39EC-4FB2-8B5A-B36A81FB42D1}"/>
    <cellStyle name="Normal 9 3 2 2 2 6 3" xfId="19639" xr:uid="{F325FF36-25FE-4523-A289-0C6EDB311AE6}"/>
    <cellStyle name="Normal 9 3 2 2 2 6 4" xfId="11191" xr:uid="{73064D67-3B28-4DC1-ABD2-84A66E647AC6}"/>
    <cellStyle name="Normal 9 3 2 2 2 7" xfId="4894" xr:uid="{00000000-0005-0000-0000-0000BF1F0000}"/>
    <cellStyle name="Normal 9 3 2 2 2 7 2" xfId="21792" xr:uid="{F76FBB8F-6CD0-443A-B8B8-F10287E21352}"/>
    <cellStyle name="Normal 9 3 2 2 2 7 3" xfId="13344" xr:uid="{21AF5FF7-5443-496C-9B98-7071AF08C04F}"/>
    <cellStyle name="Normal 9 3 2 2 2 8" xfId="17574" xr:uid="{C73D4A32-7036-404A-82ED-5259B08081C2}"/>
    <cellStyle name="Normal 9 3 2 2 2 9" xfId="9126" xr:uid="{C8CE9A21-258D-440E-9BDD-9C721B01EBE6}"/>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24349" xr:uid="{A96E0232-EE59-403F-8C68-696A1FC0B51C}"/>
    <cellStyle name="Normal 9 3 2 2 3 2 2 3" xfId="15901" xr:uid="{C4BA0A22-F2FF-40D7-B345-F20AE4F8E1F5}"/>
    <cellStyle name="Normal 9 3 2 2 3 2 3" xfId="20131" xr:uid="{FD95229E-4208-46EA-ADFB-A32BEE12F247}"/>
    <cellStyle name="Normal 9 3 2 2 3 2 4" xfId="11683" xr:uid="{8C495017-23E1-4F85-8805-2FFEA22310F2}"/>
    <cellStyle name="Normal 9 3 2 2 3 3" xfId="5306" xr:uid="{00000000-0005-0000-0000-0000C31F0000}"/>
    <cellStyle name="Normal 9 3 2 2 3 3 2" xfId="22204" xr:uid="{6168AD12-9CD5-4608-A67C-0BA55D958C16}"/>
    <cellStyle name="Normal 9 3 2 2 3 3 3" xfId="13756" xr:uid="{687CE312-379C-4ACE-ADB5-B834A207FB85}"/>
    <cellStyle name="Normal 9 3 2 2 3 4" xfId="17986" xr:uid="{280B6ED3-B2A7-4558-83D6-20181129C610}"/>
    <cellStyle name="Normal 9 3 2 2 3 5" xfId="9538" xr:uid="{9EC9676D-965E-4463-8274-4D2761A23553}"/>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24762" xr:uid="{7AC14830-951B-46AC-8CA2-631F8C18A5AC}"/>
    <cellStyle name="Normal 9 3 2 2 4 2 2 3" xfId="16314" xr:uid="{42A72EB2-F6D2-4EAF-84BC-342DFE2F896C}"/>
    <cellStyle name="Normal 9 3 2 2 4 2 3" xfId="20544" xr:uid="{76BFF892-4438-44F6-9FAC-260280E52F9D}"/>
    <cellStyle name="Normal 9 3 2 2 4 2 4" xfId="12096" xr:uid="{04817FE9-0DA6-4BFD-919D-602F9C5B1AC2}"/>
    <cellStyle name="Normal 9 3 2 2 4 3" xfId="5719" xr:uid="{00000000-0005-0000-0000-0000C71F0000}"/>
    <cellStyle name="Normal 9 3 2 2 4 3 2" xfId="22617" xr:uid="{D0E71C49-EC8F-4F16-8776-FD78A8E87A8A}"/>
    <cellStyle name="Normal 9 3 2 2 4 3 3" xfId="14169" xr:uid="{5999E4A2-4A9C-418E-94E1-3EDF466E63AA}"/>
    <cellStyle name="Normal 9 3 2 2 4 4" xfId="18399" xr:uid="{628D72BC-FF2A-4B81-AD83-0445B37564D1}"/>
    <cellStyle name="Normal 9 3 2 2 4 5" xfId="9951" xr:uid="{455BF0D7-214F-4EFA-8504-41AEFCB199C2}"/>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25175" xr:uid="{4B49918D-01E1-4B26-A5AF-51B031E3D92D}"/>
    <cellStyle name="Normal 9 3 2 2 5 2 2 3" xfId="16727" xr:uid="{6F09A15D-38FD-44EC-AE1A-5F03837DEB4C}"/>
    <cellStyle name="Normal 9 3 2 2 5 2 3" xfId="20957" xr:uid="{E2803EBD-049D-4F23-819A-DF5454C52AEC}"/>
    <cellStyle name="Normal 9 3 2 2 5 2 4" xfId="12509" xr:uid="{91824940-056A-4F69-8418-5D6D03855299}"/>
    <cellStyle name="Normal 9 3 2 2 5 3" xfId="6132" xr:uid="{00000000-0005-0000-0000-0000CB1F0000}"/>
    <cellStyle name="Normal 9 3 2 2 5 3 2" xfId="23030" xr:uid="{4CF52757-103F-4319-910F-A6BD6C223E16}"/>
    <cellStyle name="Normal 9 3 2 2 5 3 3" xfId="14582" xr:uid="{DEFF65D3-91A4-4C65-9FD3-C52A3AF1DE20}"/>
    <cellStyle name="Normal 9 3 2 2 5 4" xfId="18812" xr:uid="{51E34668-4474-4AB4-93F7-3E4CE92218EB}"/>
    <cellStyle name="Normal 9 3 2 2 5 5" xfId="10364" xr:uid="{BE39843D-F4D8-4B73-869A-153C9A9709AD}"/>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25588" xr:uid="{97FA01A3-1A6A-4127-ADB0-6CC37A43663B}"/>
    <cellStyle name="Normal 9 3 2 2 6 2 2 3" xfId="17140" xr:uid="{E84C9E3D-3B73-458A-8B91-90EB9ACD1FEB}"/>
    <cellStyle name="Normal 9 3 2 2 6 2 3" xfId="21370" xr:uid="{2B5CAD0F-EDEA-4D13-9E3B-1AA4C6378707}"/>
    <cellStyle name="Normal 9 3 2 2 6 2 4" xfId="12922" xr:uid="{C5056644-337D-420F-9854-DD9A3A8178DA}"/>
    <cellStyle name="Normal 9 3 2 2 6 3" xfId="6545" xr:uid="{00000000-0005-0000-0000-0000CF1F0000}"/>
    <cellStyle name="Normal 9 3 2 2 6 3 2" xfId="23443" xr:uid="{8FCA61D3-4F37-4778-8489-23843F8C2B64}"/>
    <cellStyle name="Normal 9 3 2 2 6 3 3" xfId="14995" xr:uid="{B09469B7-8AAE-4420-8FEB-B7FB2AD26C54}"/>
    <cellStyle name="Normal 9 3 2 2 6 4" xfId="19225" xr:uid="{E7CA14F2-DF4A-42BA-857F-E10C1ECA5713}"/>
    <cellStyle name="Normal 9 3 2 2 6 5" xfId="10777" xr:uid="{A1DC2B3F-E436-4E7B-92D4-C21597FE6223}"/>
    <cellStyle name="Normal 9 3 2 2 7" xfId="2675" xr:uid="{00000000-0005-0000-0000-0000D01F0000}"/>
    <cellStyle name="Normal 9 3 2 2 7 2" xfId="6958" xr:uid="{00000000-0005-0000-0000-0000D11F0000}"/>
    <cellStyle name="Normal 9 3 2 2 7 2 2" xfId="23856" xr:uid="{2C30A87D-F7C0-49B9-B596-0BACC92FD9A4}"/>
    <cellStyle name="Normal 9 3 2 2 7 2 3" xfId="15408" xr:uid="{417EF5E2-79F2-42CF-BDD6-ABF24B195395}"/>
    <cellStyle name="Normal 9 3 2 2 7 3" xfId="19638" xr:uid="{DE91CBEB-795D-4E01-A47C-1712872A24B5}"/>
    <cellStyle name="Normal 9 3 2 2 7 4" xfId="11190" xr:uid="{4815C4AD-F7C9-4B4F-A240-4FAA16F26CC0}"/>
    <cellStyle name="Normal 9 3 2 2 8" xfId="4893" xr:uid="{00000000-0005-0000-0000-0000D21F0000}"/>
    <cellStyle name="Normal 9 3 2 2 8 2" xfId="21791" xr:uid="{43606A1D-39B0-4022-BA67-C769DF0F6A88}"/>
    <cellStyle name="Normal 9 3 2 2 8 3" xfId="13343" xr:uid="{B0B3A37D-EBB0-4E76-8493-E63B7F6F20AE}"/>
    <cellStyle name="Normal 9 3 2 2 9" xfId="17573" xr:uid="{8602AB7A-52CD-4C15-9824-4A4AF1B8A08E}"/>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24351" xr:uid="{CB9173D7-B904-4EBE-A62E-F026D6219B61}"/>
    <cellStyle name="Normal 9 3 2 3 2 2 2 3" xfId="15903" xr:uid="{DA8B8B5A-CA5F-46C2-9063-83539409FD4A}"/>
    <cellStyle name="Normal 9 3 2 3 2 2 3" xfId="20133" xr:uid="{3B6B1191-97CC-43B5-8FCB-C453CFB05CFB}"/>
    <cellStyle name="Normal 9 3 2 3 2 2 4" xfId="11685" xr:uid="{C6184A74-B0FC-4C29-B3A9-0237C1D1942F}"/>
    <cellStyle name="Normal 9 3 2 3 2 3" xfId="5308" xr:uid="{00000000-0005-0000-0000-0000D71F0000}"/>
    <cellStyle name="Normal 9 3 2 3 2 3 2" xfId="22206" xr:uid="{E167C64F-3307-4CBB-963D-2AF8B7642FEB}"/>
    <cellStyle name="Normal 9 3 2 3 2 3 3" xfId="13758" xr:uid="{56E3E93C-C065-40FA-AECF-1B307A21ECC3}"/>
    <cellStyle name="Normal 9 3 2 3 2 4" xfId="17988" xr:uid="{EAB7666A-1765-499C-8BEF-3700664FC647}"/>
    <cellStyle name="Normal 9 3 2 3 2 5" xfId="9540" xr:uid="{67D5A811-6290-435D-A0C0-68E2DCF357D4}"/>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24764" xr:uid="{E9D97E3B-14EF-4088-89FE-5B9ABA0E19C4}"/>
    <cellStyle name="Normal 9 3 2 3 3 2 2 3" xfId="16316" xr:uid="{651E045C-6A06-49FC-BD20-ACD345F0E372}"/>
    <cellStyle name="Normal 9 3 2 3 3 2 3" xfId="20546" xr:uid="{614E2E39-8105-461F-BC11-B02BE99E82FB}"/>
    <cellStyle name="Normal 9 3 2 3 3 2 4" xfId="12098" xr:uid="{A531D4EB-1C7C-4137-B49A-12E304F71FC5}"/>
    <cellStyle name="Normal 9 3 2 3 3 3" xfId="5721" xr:uid="{00000000-0005-0000-0000-0000DB1F0000}"/>
    <cellStyle name="Normal 9 3 2 3 3 3 2" xfId="22619" xr:uid="{7DF9B5A0-C8D2-4A0D-9283-B6AB736A7226}"/>
    <cellStyle name="Normal 9 3 2 3 3 3 3" xfId="14171" xr:uid="{E7C0CFEB-AD8F-421B-B5A4-13E63BF5EF66}"/>
    <cellStyle name="Normal 9 3 2 3 3 4" xfId="18401" xr:uid="{197A039D-F7D8-49C0-95FA-1EA22DA5AA00}"/>
    <cellStyle name="Normal 9 3 2 3 3 5" xfId="9953" xr:uid="{1ED9AE32-908F-4D28-BB79-B06AAEAD50FD}"/>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25177" xr:uid="{CA23BF04-8947-4CEE-8CD6-1F5AA6DAECBE}"/>
    <cellStyle name="Normal 9 3 2 3 4 2 2 3" xfId="16729" xr:uid="{22D5F078-B10B-43DC-8E1D-CD5928E223D3}"/>
    <cellStyle name="Normal 9 3 2 3 4 2 3" xfId="20959" xr:uid="{96AE9DB1-1CA8-45E8-B18F-DD9F3B49AB13}"/>
    <cellStyle name="Normal 9 3 2 3 4 2 4" xfId="12511" xr:uid="{6D9016A7-D6AB-4DD1-B3CF-50DB9A58EC97}"/>
    <cellStyle name="Normal 9 3 2 3 4 3" xfId="6134" xr:uid="{00000000-0005-0000-0000-0000DF1F0000}"/>
    <cellStyle name="Normal 9 3 2 3 4 3 2" xfId="23032" xr:uid="{64E5BFE8-E1A4-4FAA-AFEF-A11A59A9BBC0}"/>
    <cellStyle name="Normal 9 3 2 3 4 3 3" xfId="14584" xr:uid="{79FF199D-8957-4D5B-99A4-C8130AA78D69}"/>
    <cellStyle name="Normal 9 3 2 3 4 4" xfId="18814" xr:uid="{1CDBA472-4AE3-49F6-9C81-4E29E0BABC93}"/>
    <cellStyle name="Normal 9 3 2 3 4 5" xfId="10366" xr:uid="{C6755428-A791-44FF-9ADF-C8B9B71F938A}"/>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25590" xr:uid="{A6D6C2CA-42A9-4352-8350-D629A88CAE95}"/>
    <cellStyle name="Normal 9 3 2 3 5 2 2 3" xfId="17142" xr:uid="{26B271B2-EB28-4AAC-A5A4-18EAFA8A06B0}"/>
    <cellStyle name="Normal 9 3 2 3 5 2 3" xfId="21372" xr:uid="{9605388F-9EE8-4718-83D9-E72F04AC8A8C}"/>
    <cellStyle name="Normal 9 3 2 3 5 2 4" xfId="12924" xr:uid="{9B993DC2-1F82-4266-99B9-9DB98D58E46F}"/>
    <cellStyle name="Normal 9 3 2 3 5 3" xfId="6547" xr:uid="{00000000-0005-0000-0000-0000E31F0000}"/>
    <cellStyle name="Normal 9 3 2 3 5 3 2" xfId="23445" xr:uid="{44BB21EB-1FCD-47FC-9DDA-D5E9E20DFDF5}"/>
    <cellStyle name="Normal 9 3 2 3 5 3 3" xfId="14997" xr:uid="{8419ED54-0AF7-4F58-A48D-264006E00EA6}"/>
    <cellStyle name="Normal 9 3 2 3 5 4" xfId="19227" xr:uid="{1ED8723E-F9EC-4394-AD90-3ED926E21ACB}"/>
    <cellStyle name="Normal 9 3 2 3 5 5" xfId="10779" xr:uid="{89E39156-789D-49A2-A3D1-5DC8A81C0B7B}"/>
    <cellStyle name="Normal 9 3 2 3 6" xfId="2677" xr:uid="{00000000-0005-0000-0000-0000E41F0000}"/>
    <cellStyle name="Normal 9 3 2 3 6 2" xfId="6960" xr:uid="{00000000-0005-0000-0000-0000E51F0000}"/>
    <cellStyle name="Normal 9 3 2 3 6 2 2" xfId="23858" xr:uid="{776CEFC3-04CE-4A8A-986E-80379A0A3188}"/>
    <cellStyle name="Normal 9 3 2 3 6 2 3" xfId="15410" xr:uid="{09840D00-E063-44F4-88DB-D69B2B0AD499}"/>
    <cellStyle name="Normal 9 3 2 3 6 3" xfId="19640" xr:uid="{13321385-F882-4B34-BD91-AA8CFD0962EE}"/>
    <cellStyle name="Normal 9 3 2 3 6 4" xfId="11192" xr:uid="{C9D37416-242D-4BD0-881B-93091ED25382}"/>
    <cellStyle name="Normal 9 3 2 3 7" xfId="4895" xr:uid="{00000000-0005-0000-0000-0000E61F0000}"/>
    <cellStyle name="Normal 9 3 2 3 7 2" xfId="21793" xr:uid="{9A3E7F8C-17BB-4C4E-B0B0-B61D91BD6246}"/>
    <cellStyle name="Normal 9 3 2 3 7 3" xfId="13345" xr:uid="{0BBF73CB-1FBC-408B-9855-11F5876B7AC7}"/>
    <cellStyle name="Normal 9 3 2 3 8" xfId="17575" xr:uid="{5B295879-01FB-4F1A-92E9-6C430F5D671E}"/>
    <cellStyle name="Normal 9 3 2 3 9" xfId="9127" xr:uid="{CEBD267D-D6DC-4800-92A0-08079AE028CC}"/>
    <cellStyle name="Normal 9 3 2 4" xfId="995" xr:uid="{00000000-0005-0000-0000-0000E71F0000}"/>
    <cellStyle name="Normal 9 3 2 4 2" xfId="3228" xr:uid="{00000000-0005-0000-0000-0000E81F0000}"/>
    <cellStyle name="Normal 9 3 2 4 2 2" xfId="7450" xr:uid="{00000000-0005-0000-0000-0000E91F0000}"/>
    <cellStyle name="Normal 9 3 2 4 2 2 2" xfId="24348" xr:uid="{B8F70936-42D7-4E50-8EA0-7413973F5318}"/>
    <cellStyle name="Normal 9 3 2 4 2 2 3" xfId="15900" xr:uid="{C9FF2B71-5035-4AF3-9D53-262BE2C7DF30}"/>
    <cellStyle name="Normal 9 3 2 4 2 3" xfId="20130" xr:uid="{61B400BC-5F3A-47CE-8C4A-CE17313BBBB4}"/>
    <cellStyle name="Normal 9 3 2 4 2 4" xfId="11682" xr:uid="{24CB4510-BB0F-4F96-B70A-BE3EEF985B01}"/>
    <cellStyle name="Normal 9 3 2 4 3" xfId="5305" xr:uid="{00000000-0005-0000-0000-0000EA1F0000}"/>
    <cellStyle name="Normal 9 3 2 4 3 2" xfId="22203" xr:uid="{A19F1CBB-C315-41AB-88D5-16FA6BA347C0}"/>
    <cellStyle name="Normal 9 3 2 4 3 3" xfId="13755" xr:uid="{FF4538B7-9BD0-4FD6-B92F-3189D63791AB}"/>
    <cellStyle name="Normal 9 3 2 4 4" xfId="17985" xr:uid="{B6146540-187F-4FF5-AECB-50B822A76CE3}"/>
    <cellStyle name="Normal 9 3 2 4 5" xfId="9537" xr:uid="{B30D41E5-2354-47FC-94A6-4C91FF3B0107}"/>
    <cellStyle name="Normal 9 3 2 5" xfId="1411" xr:uid="{00000000-0005-0000-0000-0000EB1F0000}"/>
    <cellStyle name="Normal 9 3 2 5 2" xfId="3641" xr:uid="{00000000-0005-0000-0000-0000EC1F0000}"/>
    <cellStyle name="Normal 9 3 2 5 2 2" xfId="7863" xr:uid="{00000000-0005-0000-0000-0000ED1F0000}"/>
    <cellStyle name="Normal 9 3 2 5 2 2 2" xfId="24761" xr:uid="{A2BF17EF-E96F-4F32-A3C7-5C73E52D6A6E}"/>
    <cellStyle name="Normal 9 3 2 5 2 2 3" xfId="16313" xr:uid="{4E285118-E934-496E-8D8B-0DF736142915}"/>
    <cellStyle name="Normal 9 3 2 5 2 3" xfId="20543" xr:uid="{43FC2879-F618-4CDC-A267-D9D8C14251F6}"/>
    <cellStyle name="Normal 9 3 2 5 2 4" xfId="12095" xr:uid="{F885DCD1-112C-420C-9C6B-8440C2AD96B0}"/>
    <cellStyle name="Normal 9 3 2 5 3" xfId="5718" xr:uid="{00000000-0005-0000-0000-0000EE1F0000}"/>
    <cellStyle name="Normal 9 3 2 5 3 2" xfId="22616" xr:uid="{FF687090-BD88-43B0-AA8D-1035B61F57E4}"/>
    <cellStyle name="Normal 9 3 2 5 3 3" xfId="14168" xr:uid="{A1CF7267-10EC-48DF-90CD-89F42F568F6A}"/>
    <cellStyle name="Normal 9 3 2 5 4" xfId="18398" xr:uid="{ED19A30C-8467-40C3-94EA-02CDDF3F30B5}"/>
    <cellStyle name="Normal 9 3 2 5 5" xfId="9950" xr:uid="{39347964-4889-4E9C-9F89-20FF30A6AA19}"/>
    <cellStyle name="Normal 9 3 2 6" xfId="1824" xr:uid="{00000000-0005-0000-0000-0000EF1F0000}"/>
    <cellStyle name="Normal 9 3 2 6 2" xfId="4054" xr:uid="{00000000-0005-0000-0000-0000F01F0000}"/>
    <cellStyle name="Normal 9 3 2 6 2 2" xfId="8276" xr:uid="{00000000-0005-0000-0000-0000F11F0000}"/>
    <cellStyle name="Normal 9 3 2 6 2 2 2" xfId="25174" xr:uid="{FD0EE7C7-B86D-4E56-ABDA-5FE606537648}"/>
    <cellStyle name="Normal 9 3 2 6 2 2 3" xfId="16726" xr:uid="{EDE9693D-BA7A-46BD-A1ED-C18CAA9E6506}"/>
    <cellStyle name="Normal 9 3 2 6 2 3" xfId="20956" xr:uid="{14A3DC7F-531D-45E8-8E16-5432A1940E3B}"/>
    <cellStyle name="Normal 9 3 2 6 2 4" xfId="12508" xr:uid="{B64CB87B-4702-4A73-AEEF-AD338646BBB9}"/>
    <cellStyle name="Normal 9 3 2 6 3" xfId="6131" xr:uid="{00000000-0005-0000-0000-0000F21F0000}"/>
    <cellStyle name="Normal 9 3 2 6 3 2" xfId="23029" xr:uid="{0C577F47-D432-46F4-9858-D3B8E3152446}"/>
    <cellStyle name="Normal 9 3 2 6 3 3" xfId="14581" xr:uid="{9EF86DC0-8029-4EF2-BCA0-07317AC3C3CC}"/>
    <cellStyle name="Normal 9 3 2 6 4" xfId="18811" xr:uid="{4A9B054F-FF12-4B5C-A511-7F815E9B4E0F}"/>
    <cellStyle name="Normal 9 3 2 6 5" xfId="10363" xr:uid="{8C2ED67D-0974-411C-8C53-33DD4812DB44}"/>
    <cellStyle name="Normal 9 3 2 7" xfId="2238" xr:uid="{00000000-0005-0000-0000-0000F31F0000}"/>
    <cellStyle name="Normal 9 3 2 7 2" xfId="4467" xr:uid="{00000000-0005-0000-0000-0000F41F0000}"/>
    <cellStyle name="Normal 9 3 2 7 2 2" xfId="8689" xr:uid="{00000000-0005-0000-0000-0000F51F0000}"/>
    <cellStyle name="Normal 9 3 2 7 2 2 2" xfId="25587" xr:uid="{7850BE46-1BA0-4056-990D-E0E7C9F91781}"/>
    <cellStyle name="Normal 9 3 2 7 2 2 3" xfId="17139" xr:uid="{0891C94D-A865-4252-A08D-F63FB8E98A4E}"/>
    <cellStyle name="Normal 9 3 2 7 2 3" xfId="21369" xr:uid="{0A95461B-E46E-479D-B163-B0DFB17F83BA}"/>
    <cellStyle name="Normal 9 3 2 7 2 4" xfId="12921" xr:uid="{740B7B79-DA26-4497-B52E-B6F79C9B91C4}"/>
    <cellStyle name="Normal 9 3 2 7 3" xfId="6544" xr:uid="{00000000-0005-0000-0000-0000F61F0000}"/>
    <cellStyle name="Normal 9 3 2 7 3 2" xfId="23442" xr:uid="{07C1B750-3A49-4C3D-B165-38F99548D0AF}"/>
    <cellStyle name="Normal 9 3 2 7 3 3" xfId="14994" xr:uid="{98A16A0C-DAA8-425E-9D70-B8AEE4FBFD0F}"/>
    <cellStyle name="Normal 9 3 2 7 4" xfId="19224" xr:uid="{7616E8B4-9950-4D53-AF4C-A74FE61B1574}"/>
    <cellStyle name="Normal 9 3 2 7 5" xfId="10776" xr:uid="{F3087DDF-1F33-4A30-A170-1AF3918F06E3}"/>
    <cellStyle name="Normal 9 3 2 8" xfId="2674" xr:uid="{00000000-0005-0000-0000-0000F71F0000}"/>
    <cellStyle name="Normal 9 3 2 8 2" xfId="6957" xr:uid="{00000000-0005-0000-0000-0000F81F0000}"/>
    <cellStyle name="Normal 9 3 2 8 2 2" xfId="23855" xr:uid="{07A352EA-E9CC-4506-B2CC-36CAB7074957}"/>
    <cellStyle name="Normal 9 3 2 8 2 3" xfId="15407" xr:uid="{78DD8AC5-70AB-4F01-B00B-B459DD6FF37C}"/>
    <cellStyle name="Normal 9 3 2 8 3" xfId="19637" xr:uid="{C1771C7B-A65E-47E3-BC00-D63CFD9D8AAA}"/>
    <cellStyle name="Normal 9 3 2 8 4" xfId="11189" xr:uid="{D33AD042-08D8-4B41-B6AF-5353AC22D62C}"/>
    <cellStyle name="Normal 9 3 2 9" xfId="4892" xr:uid="{00000000-0005-0000-0000-0000F91F0000}"/>
    <cellStyle name="Normal 9 3 2 9 2" xfId="21790" xr:uid="{EDF8514B-2BDA-4431-A4D6-4F3A3C3421F1}"/>
    <cellStyle name="Normal 9 3 2 9 3" xfId="13342" xr:uid="{C1385EB5-A9F6-4100-B422-FEC22CFD1CC0}"/>
    <cellStyle name="Normal 9 3 3" xfId="532" xr:uid="{00000000-0005-0000-0000-0000FA1F0000}"/>
    <cellStyle name="Normal 9 3 3 10" xfId="9128" xr:uid="{4AD063E6-2899-48CD-BED2-71EC317ABF88}"/>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24353" xr:uid="{F213771B-ECB7-4EEC-AD9F-12473DCFCF10}"/>
    <cellStyle name="Normal 9 3 3 2 2 2 2 3" xfId="15905" xr:uid="{414FCEF9-4147-4495-AC04-8F5DDEDE541A}"/>
    <cellStyle name="Normal 9 3 3 2 2 2 3" xfId="20135" xr:uid="{31F649EE-8CC4-439A-9EE6-BDD8108C6F52}"/>
    <cellStyle name="Normal 9 3 3 2 2 2 4" xfId="11687" xr:uid="{E2AA0603-A68E-4C50-93B3-66EC28C6004F}"/>
    <cellStyle name="Normal 9 3 3 2 2 3" xfId="5310" xr:uid="{00000000-0005-0000-0000-0000FF1F0000}"/>
    <cellStyle name="Normal 9 3 3 2 2 3 2" xfId="22208" xr:uid="{B2AB1C83-740B-4B1E-9CE6-71C6FB194927}"/>
    <cellStyle name="Normal 9 3 3 2 2 3 3" xfId="13760" xr:uid="{8A9EEA10-72AE-45C1-A525-7CD5BE407390}"/>
    <cellStyle name="Normal 9 3 3 2 2 4" xfId="17990" xr:uid="{FDBF6027-CE22-4420-95B1-A379322A02C6}"/>
    <cellStyle name="Normal 9 3 3 2 2 5" xfId="9542" xr:uid="{D742F3D8-39C2-468D-9E59-C42419FDA0A6}"/>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24766" xr:uid="{8670A94A-667A-4585-927E-59EE03F87CEA}"/>
    <cellStyle name="Normal 9 3 3 2 3 2 2 3" xfId="16318" xr:uid="{F3EAD5C7-BB21-4FCA-AFF5-2B784D2DA0E5}"/>
    <cellStyle name="Normal 9 3 3 2 3 2 3" xfId="20548" xr:uid="{5C35B023-5BDF-4790-B5EB-B930258A1673}"/>
    <cellStyle name="Normal 9 3 3 2 3 2 4" xfId="12100" xr:uid="{54D2863D-6804-45D8-B92F-468DCFF8B7B6}"/>
    <cellStyle name="Normal 9 3 3 2 3 3" xfId="5723" xr:uid="{00000000-0005-0000-0000-000003200000}"/>
    <cellStyle name="Normal 9 3 3 2 3 3 2" xfId="22621" xr:uid="{428FFDA7-5A80-490E-8EEF-1A1F24420E2E}"/>
    <cellStyle name="Normal 9 3 3 2 3 3 3" xfId="14173" xr:uid="{FE7C6C02-D8EE-4228-955A-BBC2F4C3D552}"/>
    <cellStyle name="Normal 9 3 3 2 3 4" xfId="18403" xr:uid="{A43D9D56-D304-4F51-9A82-53A822D81596}"/>
    <cellStyle name="Normal 9 3 3 2 3 5" xfId="9955" xr:uid="{BCBE7A1E-5B30-4FE0-8953-AA2CF3301602}"/>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25179" xr:uid="{606B5D84-B247-4B55-911F-8E4FF1B7074D}"/>
    <cellStyle name="Normal 9 3 3 2 4 2 2 3" xfId="16731" xr:uid="{DEFE1BC8-335E-4D07-99A9-8160A03DB0A0}"/>
    <cellStyle name="Normal 9 3 3 2 4 2 3" xfId="20961" xr:uid="{EB7AE66B-CCAB-47BE-B8B5-CCB7354A183D}"/>
    <cellStyle name="Normal 9 3 3 2 4 2 4" xfId="12513" xr:uid="{66D4361D-DA96-427E-8741-DC9A109D6C3F}"/>
    <cellStyle name="Normal 9 3 3 2 4 3" xfId="6136" xr:uid="{00000000-0005-0000-0000-000007200000}"/>
    <cellStyle name="Normal 9 3 3 2 4 3 2" xfId="23034" xr:uid="{E70CC08C-BA19-4352-9616-30E5BB9D3731}"/>
    <cellStyle name="Normal 9 3 3 2 4 3 3" xfId="14586" xr:uid="{DB0E4A41-8D45-4F69-BB5F-691927B18CB9}"/>
    <cellStyle name="Normal 9 3 3 2 4 4" xfId="18816" xr:uid="{312B5F58-96FB-4698-9301-82EAB8355D70}"/>
    <cellStyle name="Normal 9 3 3 2 4 5" xfId="10368" xr:uid="{CFCB81AC-C15F-4705-BB1F-8A13CA4E939A}"/>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25592" xr:uid="{8C397B1E-9636-4A1F-BEA4-43F8B8489C09}"/>
    <cellStyle name="Normal 9 3 3 2 5 2 2 3" xfId="17144" xr:uid="{1E08A493-B685-4459-B6B8-0DC9F62B6AD1}"/>
    <cellStyle name="Normal 9 3 3 2 5 2 3" xfId="21374" xr:uid="{0E63F821-BC37-4C84-A688-CF9D0C3C98AE}"/>
    <cellStyle name="Normal 9 3 3 2 5 2 4" xfId="12926" xr:uid="{3749E893-49A4-4FD1-8BA2-ACF5CC0F82D1}"/>
    <cellStyle name="Normal 9 3 3 2 5 3" xfId="6549" xr:uid="{00000000-0005-0000-0000-00000B200000}"/>
    <cellStyle name="Normal 9 3 3 2 5 3 2" xfId="23447" xr:uid="{464E2C61-7F4B-4ACD-882A-36C5081A4E19}"/>
    <cellStyle name="Normal 9 3 3 2 5 3 3" xfId="14999" xr:uid="{E445FD07-EA4E-41A2-8964-3CE09D09EF30}"/>
    <cellStyle name="Normal 9 3 3 2 5 4" xfId="19229" xr:uid="{40259C1C-903E-4F5C-8536-E1D7094771E4}"/>
    <cellStyle name="Normal 9 3 3 2 5 5" xfId="10781" xr:uid="{D26AF5EC-7D12-4012-ACD6-DD34FE70F853}"/>
    <cellStyle name="Normal 9 3 3 2 6" xfId="2679" xr:uid="{00000000-0005-0000-0000-00000C200000}"/>
    <cellStyle name="Normal 9 3 3 2 6 2" xfId="6962" xr:uid="{00000000-0005-0000-0000-00000D200000}"/>
    <cellStyle name="Normal 9 3 3 2 6 2 2" xfId="23860" xr:uid="{D546ACF3-EB29-49B5-A01F-961DCE273D19}"/>
    <cellStyle name="Normal 9 3 3 2 6 2 3" xfId="15412" xr:uid="{69BB5615-5A99-41DA-9A67-54624AA15BA7}"/>
    <cellStyle name="Normal 9 3 3 2 6 3" xfId="19642" xr:uid="{BC04D87E-8508-4731-A9B1-703D3A462933}"/>
    <cellStyle name="Normal 9 3 3 2 6 4" xfId="11194" xr:uid="{9A8B8F4B-2EBF-4047-9B46-5CE6ADED147C}"/>
    <cellStyle name="Normal 9 3 3 2 7" xfId="4897" xr:uid="{00000000-0005-0000-0000-00000E200000}"/>
    <cellStyle name="Normal 9 3 3 2 7 2" xfId="21795" xr:uid="{C88E5F13-8A8E-4DA0-8D1E-D7579BF3A61C}"/>
    <cellStyle name="Normal 9 3 3 2 7 3" xfId="13347" xr:uid="{BE2BCEC5-0CA4-4235-9780-B4344A64A3B8}"/>
    <cellStyle name="Normal 9 3 3 2 8" xfId="17577" xr:uid="{E4FF5377-7075-4D0B-9446-45AFB67D759B}"/>
    <cellStyle name="Normal 9 3 3 2 9" xfId="9129" xr:uid="{58FE6302-D3DA-4E89-9040-F3868BA85ECD}"/>
    <cellStyle name="Normal 9 3 3 3" xfId="999" xr:uid="{00000000-0005-0000-0000-00000F200000}"/>
    <cellStyle name="Normal 9 3 3 3 2" xfId="3232" xr:uid="{00000000-0005-0000-0000-000010200000}"/>
    <cellStyle name="Normal 9 3 3 3 2 2" xfId="7454" xr:uid="{00000000-0005-0000-0000-000011200000}"/>
    <cellStyle name="Normal 9 3 3 3 2 2 2" xfId="24352" xr:uid="{37D5695D-8850-45FF-880F-1DE48DA81924}"/>
    <cellStyle name="Normal 9 3 3 3 2 2 3" xfId="15904" xr:uid="{DE5DD69E-552C-45A7-B0C4-EF987A74EDD6}"/>
    <cellStyle name="Normal 9 3 3 3 2 3" xfId="20134" xr:uid="{489C3723-608A-4733-9B39-87B7239EBC64}"/>
    <cellStyle name="Normal 9 3 3 3 2 4" xfId="11686" xr:uid="{2E5603C9-20E7-47EF-B278-F7CE9E44BDBD}"/>
    <cellStyle name="Normal 9 3 3 3 3" xfId="5309" xr:uid="{00000000-0005-0000-0000-000012200000}"/>
    <cellStyle name="Normal 9 3 3 3 3 2" xfId="22207" xr:uid="{31CB3FCA-E193-4768-8858-50BF50F05753}"/>
    <cellStyle name="Normal 9 3 3 3 3 3" xfId="13759" xr:uid="{71AEC9AE-5915-47A0-9429-A2DDC7288B85}"/>
    <cellStyle name="Normal 9 3 3 3 4" xfId="17989" xr:uid="{645C70A3-DB5E-49EB-9CD5-127FB480CF42}"/>
    <cellStyle name="Normal 9 3 3 3 5" xfId="9541" xr:uid="{FEB7233B-F280-477C-AAB7-0B6379F1747A}"/>
    <cellStyle name="Normal 9 3 3 4" xfId="1415" xr:uid="{00000000-0005-0000-0000-000013200000}"/>
    <cellStyle name="Normal 9 3 3 4 2" xfId="3645" xr:uid="{00000000-0005-0000-0000-000014200000}"/>
    <cellStyle name="Normal 9 3 3 4 2 2" xfId="7867" xr:uid="{00000000-0005-0000-0000-000015200000}"/>
    <cellStyle name="Normal 9 3 3 4 2 2 2" xfId="24765" xr:uid="{BA2C5BA9-DE86-49F8-971D-39049E795E9B}"/>
    <cellStyle name="Normal 9 3 3 4 2 2 3" xfId="16317" xr:uid="{B40F6F5B-4A5A-4604-B331-77D5E00898A9}"/>
    <cellStyle name="Normal 9 3 3 4 2 3" xfId="20547" xr:uid="{AAB1B170-774C-428D-89EB-B375B5AF1987}"/>
    <cellStyle name="Normal 9 3 3 4 2 4" xfId="12099" xr:uid="{90760D49-F4EA-4DF8-9CF7-E98052399249}"/>
    <cellStyle name="Normal 9 3 3 4 3" xfId="5722" xr:uid="{00000000-0005-0000-0000-000016200000}"/>
    <cellStyle name="Normal 9 3 3 4 3 2" xfId="22620" xr:uid="{398175AD-A163-45AC-ABAC-87E7A9024E72}"/>
    <cellStyle name="Normal 9 3 3 4 3 3" xfId="14172" xr:uid="{6FE38926-786B-4245-85BA-4FDFFA9C69CE}"/>
    <cellStyle name="Normal 9 3 3 4 4" xfId="18402" xr:uid="{02A6BD83-6FBB-4619-A5BB-CAC238F4F0E5}"/>
    <cellStyle name="Normal 9 3 3 4 5" xfId="9954" xr:uid="{01464008-7416-4AB9-9909-2D2B99380680}"/>
    <cellStyle name="Normal 9 3 3 5" xfId="1828" xr:uid="{00000000-0005-0000-0000-000017200000}"/>
    <cellStyle name="Normal 9 3 3 5 2" xfId="4058" xr:uid="{00000000-0005-0000-0000-000018200000}"/>
    <cellStyle name="Normal 9 3 3 5 2 2" xfId="8280" xr:uid="{00000000-0005-0000-0000-000019200000}"/>
    <cellStyle name="Normal 9 3 3 5 2 2 2" xfId="25178" xr:uid="{BE3ABE6D-8343-4224-8714-73FFD0FA0EE0}"/>
    <cellStyle name="Normal 9 3 3 5 2 2 3" xfId="16730" xr:uid="{F12FA442-10B1-4655-BFFB-98CC8F5655B7}"/>
    <cellStyle name="Normal 9 3 3 5 2 3" xfId="20960" xr:uid="{69A05A43-4A7A-4D49-A1B1-91302146C5CC}"/>
    <cellStyle name="Normal 9 3 3 5 2 4" xfId="12512" xr:uid="{2A9DA260-D5C6-4469-8FD0-CA5664CFE46C}"/>
    <cellStyle name="Normal 9 3 3 5 3" xfId="6135" xr:uid="{00000000-0005-0000-0000-00001A200000}"/>
    <cellStyle name="Normal 9 3 3 5 3 2" xfId="23033" xr:uid="{BAC3EFB3-8364-4C4C-9646-78F4AF68EE3E}"/>
    <cellStyle name="Normal 9 3 3 5 3 3" xfId="14585" xr:uid="{7079B001-A876-47DD-98BA-F1B3F5DD0E16}"/>
    <cellStyle name="Normal 9 3 3 5 4" xfId="18815" xr:uid="{3CD738E8-6EEA-4353-AADF-4D04FD3170D3}"/>
    <cellStyle name="Normal 9 3 3 5 5" xfId="10367" xr:uid="{CBE8086C-DE57-40D8-AD0D-95190ED0A9FF}"/>
    <cellStyle name="Normal 9 3 3 6" xfId="2242" xr:uid="{00000000-0005-0000-0000-00001B200000}"/>
    <cellStyle name="Normal 9 3 3 6 2" xfId="4471" xr:uid="{00000000-0005-0000-0000-00001C200000}"/>
    <cellStyle name="Normal 9 3 3 6 2 2" xfId="8693" xr:uid="{00000000-0005-0000-0000-00001D200000}"/>
    <cellStyle name="Normal 9 3 3 6 2 2 2" xfId="25591" xr:uid="{3216F27B-BD69-41EE-B9DA-F9453E697536}"/>
    <cellStyle name="Normal 9 3 3 6 2 2 3" xfId="17143" xr:uid="{777A1FDD-7C14-4E5A-BA82-52AD471374FC}"/>
    <cellStyle name="Normal 9 3 3 6 2 3" xfId="21373" xr:uid="{F5B3E7E6-DC54-4943-825E-1C26E5F024C6}"/>
    <cellStyle name="Normal 9 3 3 6 2 4" xfId="12925" xr:uid="{649D9308-0F50-4E49-8E79-41EEA81CC230}"/>
    <cellStyle name="Normal 9 3 3 6 3" xfId="6548" xr:uid="{00000000-0005-0000-0000-00001E200000}"/>
    <cellStyle name="Normal 9 3 3 6 3 2" xfId="23446" xr:uid="{F391EC4F-2ACC-4012-AC12-B636503A4632}"/>
    <cellStyle name="Normal 9 3 3 6 3 3" xfId="14998" xr:uid="{C81AAF52-C7BA-401A-B8CC-270DA59D6A68}"/>
    <cellStyle name="Normal 9 3 3 6 4" xfId="19228" xr:uid="{003283EA-DAA2-4BCC-A315-29DB558A78F1}"/>
    <cellStyle name="Normal 9 3 3 6 5" xfId="10780" xr:uid="{A2F2486F-B04B-4345-A3EB-4BEED4F74594}"/>
    <cellStyle name="Normal 9 3 3 7" xfId="2678" xr:uid="{00000000-0005-0000-0000-00001F200000}"/>
    <cellStyle name="Normal 9 3 3 7 2" xfId="6961" xr:uid="{00000000-0005-0000-0000-000020200000}"/>
    <cellStyle name="Normal 9 3 3 7 2 2" xfId="23859" xr:uid="{8BB5FA57-F497-46C0-8E75-97F8F01EA019}"/>
    <cellStyle name="Normal 9 3 3 7 2 3" xfId="15411" xr:uid="{58D9EFEB-C868-4B8E-A852-3BB3EF086419}"/>
    <cellStyle name="Normal 9 3 3 7 3" xfId="19641" xr:uid="{74013BB3-BAFB-49AA-AC95-719201C98967}"/>
    <cellStyle name="Normal 9 3 3 7 4" xfId="11193" xr:uid="{A167FB51-D6AA-436D-A770-BF4E9F0187D7}"/>
    <cellStyle name="Normal 9 3 3 8" xfId="4896" xr:uid="{00000000-0005-0000-0000-000021200000}"/>
    <cellStyle name="Normal 9 3 3 8 2" xfId="21794" xr:uid="{1BE6C9E3-2904-419F-9E77-0C13ADC813D7}"/>
    <cellStyle name="Normal 9 3 3 8 3" xfId="13346" xr:uid="{0A08B929-AD94-461C-B9F3-62408C90FE0F}"/>
    <cellStyle name="Normal 9 3 3 9" xfId="17576" xr:uid="{D7826F60-60C4-4AA6-8F3D-249DC95CDF2E}"/>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2 2 2" xfId="24354" xr:uid="{69FB1667-0A2B-4026-B617-1CD3C8BB12ED}"/>
    <cellStyle name="Normal 9 3 4 2 2 2 3" xfId="15906" xr:uid="{7BC02A3E-FAEF-4FD9-ACBA-F94B27144CB9}"/>
    <cellStyle name="Normal 9 3 4 2 2 3" xfId="20136" xr:uid="{471F6362-D019-43FF-8996-B228E5FFEC0A}"/>
    <cellStyle name="Normal 9 3 4 2 2 4" xfId="11688" xr:uid="{C1D18856-213E-4236-AFB5-40AD77F45C2E}"/>
    <cellStyle name="Normal 9 3 4 2 3" xfId="5311" xr:uid="{00000000-0005-0000-0000-000026200000}"/>
    <cellStyle name="Normal 9 3 4 2 3 2" xfId="22209" xr:uid="{AD560262-4D83-4519-99B0-AD2D23997DF1}"/>
    <cellStyle name="Normal 9 3 4 2 3 3" xfId="13761" xr:uid="{A27008B2-A3B4-42FF-8317-4787DBDBCB76}"/>
    <cellStyle name="Normal 9 3 4 2 4" xfId="17991" xr:uid="{AE985DF4-9735-4AB3-A861-D20238D7DBBA}"/>
    <cellStyle name="Normal 9 3 4 2 5" xfId="9543" xr:uid="{0174BFE9-6904-40DF-8BB7-AC39C5DE19E1}"/>
    <cellStyle name="Normal 9 3 4 3" xfId="1417" xr:uid="{00000000-0005-0000-0000-000027200000}"/>
    <cellStyle name="Normal 9 3 4 3 2" xfId="3647" xr:uid="{00000000-0005-0000-0000-000028200000}"/>
    <cellStyle name="Normal 9 3 4 3 2 2" xfId="7869" xr:uid="{00000000-0005-0000-0000-000029200000}"/>
    <cellStyle name="Normal 9 3 4 3 2 2 2" xfId="24767" xr:uid="{06D27042-DD25-45DB-AAD2-C3A265710CD9}"/>
    <cellStyle name="Normal 9 3 4 3 2 2 3" xfId="16319" xr:uid="{359586C1-442A-4226-B30D-1C6727205016}"/>
    <cellStyle name="Normal 9 3 4 3 2 3" xfId="20549" xr:uid="{887A0A3C-3B5A-439C-B36D-38B9F0C8E556}"/>
    <cellStyle name="Normal 9 3 4 3 2 4" xfId="12101" xr:uid="{E4E2BB03-7A74-4A27-B10A-5F124856B3B7}"/>
    <cellStyle name="Normal 9 3 4 3 3" xfId="5724" xr:uid="{00000000-0005-0000-0000-00002A200000}"/>
    <cellStyle name="Normal 9 3 4 3 3 2" xfId="22622" xr:uid="{A4E30E67-661C-43E5-BE93-0DBFA112DBD4}"/>
    <cellStyle name="Normal 9 3 4 3 3 3" xfId="14174" xr:uid="{778F0D91-301E-4588-980D-45739AA5202A}"/>
    <cellStyle name="Normal 9 3 4 3 4" xfId="18404" xr:uid="{ADB6138B-4E02-489D-9886-65B42B276575}"/>
    <cellStyle name="Normal 9 3 4 3 5" xfId="9956" xr:uid="{6E9E0C82-0193-43D2-92A1-CC92E31C8A58}"/>
    <cellStyle name="Normal 9 3 4 4" xfId="1830" xr:uid="{00000000-0005-0000-0000-00002B200000}"/>
    <cellStyle name="Normal 9 3 4 4 2" xfId="4060" xr:uid="{00000000-0005-0000-0000-00002C200000}"/>
    <cellStyle name="Normal 9 3 4 4 2 2" xfId="8282" xr:uid="{00000000-0005-0000-0000-00002D200000}"/>
    <cellStyle name="Normal 9 3 4 4 2 2 2" xfId="25180" xr:uid="{3EECC7A4-CF4B-4D3D-B2A0-35E2C1F4787D}"/>
    <cellStyle name="Normal 9 3 4 4 2 2 3" xfId="16732" xr:uid="{E06DA584-75E6-4AA1-B53C-F6FD0987D384}"/>
    <cellStyle name="Normal 9 3 4 4 2 3" xfId="20962" xr:uid="{D7F3A240-FF0C-45FC-A0A6-06183B4BD956}"/>
    <cellStyle name="Normal 9 3 4 4 2 4" xfId="12514" xr:uid="{B5744BF9-3747-4DE5-B1C1-7A40AA433181}"/>
    <cellStyle name="Normal 9 3 4 4 3" xfId="6137" xr:uid="{00000000-0005-0000-0000-00002E200000}"/>
    <cellStyle name="Normal 9 3 4 4 3 2" xfId="23035" xr:uid="{FDACAB00-DED5-4443-AD87-96FCC8FFA8D9}"/>
    <cellStyle name="Normal 9 3 4 4 3 3" xfId="14587" xr:uid="{D066E312-332A-444A-B55C-F39EE8968E13}"/>
    <cellStyle name="Normal 9 3 4 4 4" xfId="18817" xr:uid="{2D47E590-97DB-4C96-A51B-F0690D4E87AC}"/>
    <cellStyle name="Normal 9 3 4 4 5" xfId="10369" xr:uid="{2BE79923-E21C-4B27-9750-C59339E6129B}"/>
    <cellStyle name="Normal 9 3 4 5" xfId="2244" xr:uid="{00000000-0005-0000-0000-00002F200000}"/>
    <cellStyle name="Normal 9 3 4 5 2" xfId="4473" xr:uid="{00000000-0005-0000-0000-000030200000}"/>
    <cellStyle name="Normal 9 3 4 5 2 2" xfId="8695" xr:uid="{00000000-0005-0000-0000-000031200000}"/>
    <cellStyle name="Normal 9 3 4 5 2 2 2" xfId="25593" xr:uid="{DBE103B0-AEF3-45C2-91EF-1A5FAF7921EA}"/>
    <cellStyle name="Normal 9 3 4 5 2 2 3" xfId="17145" xr:uid="{DAEADC14-254F-4BDE-9DF7-A6BCC2C775EC}"/>
    <cellStyle name="Normal 9 3 4 5 2 3" xfId="21375" xr:uid="{CCF65381-C2D8-4007-9244-C1191C87916B}"/>
    <cellStyle name="Normal 9 3 4 5 2 4" xfId="12927" xr:uid="{893152C5-4A39-477F-838F-7468DAFFC5BE}"/>
    <cellStyle name="Normal 9 3 4 5 3" xfId="6550" xr:uid="{00000000-0005-0000-0000-000032200000}"/>
    <cellStyle name="Normal 9 3 4 5 3 2" xfId="23448" xr:uid="{207C8EFF-4DC5-466E-8C34-4299CF1587BB}"/>
    <cellStyle name="Normal 9 3 4 5 3 3" xfId="15000" xr:uid="{D26EDC48-A492-4D5F-B71E-B9BE4B1BF008}"/>
    <cellStyle name="Normal 9 3 4 5 4" xfId="19230" xr:uid="{7A9511D2-FF30-441B-B968-7B89AD8842FB}"/>
    <cellStyle name="Normal 9 3 4 5 5" xfId="10782" xr:uid="{84A67CA4-0DF3-4785-9C07-8C0A33BA10D9}"/>
    <cellStyle name="Normal 9 3 4 6" xfId="2680" xr:uid="{00000000-0005-0000-0000-000033200000}"/>
    <cellStyle name="Normal 9 3 4 6 2" xfId="6963" xr:uid="{00000000-0005-0000-0000-000034200000}"/>
    <cellStyle name="Normal 9 3 4 6 2 2" xfId="23861" xr:uid="{E06B7795-953D-4F24-94A4-8A05F8D6B1F7}"/>
    <cellStyle name="Normal 9 3 4 6 2 3" xfId="15413" xr:uid="{C34688D8-42E3-47ED-8011-5DF61C6E1E8E}"/>
    <cellStyle name="Normal 9 3 4 6 3" xfId="19643" xr:uid="{095D8280-6CD2-4F22-B9A5-1753AE8F4A4B}"/>
    <cellStyle name="Normal 9 3 4 6 4" xfId="11195" xr:uid="{33DA30F6-5CF5-452E-AA01-D8137D55FC25}"/>
    <cellStyle name="Normal 9 3 4 7" xfId="4898" xr:uid="{00000000-0005-0000-0000-000035200000}"/>
    <cellStyle name="Normal 9 3 4 7 2" xfId="21796" xr:uid="{1CA1507C-C042-4721-B177-0E46E13D1D97}"/>
    <cellStyle name="Normal 9 3 4 7 3" xfId="13348" xr:uid="{6A41DE04-88E3-4A7C-93D7-6253E188AEFA}"/>
    <cellStyle name="Normal 9 3 4 8" xfId="17578" xr:uid="{449D7273-F189-4B32-BA0F-CB3E7F7C26AC}"/>
    <cellStyle name="Normal 9 3 4 9" xfId="9130" xr:uid="{23E4AD36-E156-470A-97D3-668299369E1F}"/>
    <cellStyle name="Normal 9 3 5" xfId="994" xr:uid="{00000000-0005-0000-0000-000036200000}"/>
    <cellStyle name="Normal 9 3 5 2" xfId="3227" xr:uid="{00000000-0005-0000-0000-000037200000}"/>
    <cellStyle name="Normal 9 3 5 2 2" xfId="7449" xr:uid="{00000000-0005-0000-0000-000038200000}"/>
    <cellStyle name="Normal 9 3 5 2 2 2" xfId="24347" xr:uid="{302B6EE8-4057-4016-A020-446743C17A31}"/>
    <cellStyle name="Normal 9 3 5 2 2 3" xfId="15899" xr:uid="{241E748D-E437-4AAB-B63B-15A4085DEE8B}"/>
    <cellStyle name="Normal 9 3 5 2 3" xfId="20129" xr:uid="{65BB91EC-871D-4845-98A0-B60CEE28F3D6}"/>
    <cellStyle name="Normal 9 3 5 2 4" xfId="11681" xr:uid="{7F585426-06E8-4879-AAE4-8CD5B729E5F8}"/>
    <cellStyle name="Normal 9 3 5 3" xfId="5304" xr:uid="{00000000-0005-0000-0000-000039200000}"/>
    <cellStyle name="Normal 9 3 5 3 2" xfId="22202" xr:uid="{22432DDF-F7EF-4CC6-86E2-B74B0CE0AA90}"/>
    <cellStyle name="Normal 9 3 5 3 3" xfId="13754" xr:uid="{22EC0ECE-18A8-4A7A-B75A-0B98A5578C97}"/>
    <cellStyle name="Normal 9 3 5 4" xfId="17984" xr:uid="{567112A6-7C34-4C96-9A50-A7291CA38F6F}"/>
    <cellStyle name="Normal 9 3 5 5" xfId="9536" xr:uid="{A2B3FC57-EC41-4D26-8F81-1B6C693CDD19}"/>
    <cellStyle name="Normal 9 3 6" xfId="1410" xr:uid="{00000000-0005-0000-0000-00003A200000}"/>
    <cellStyle name="Normal 9 3 6 2" xfId="3640" xr:uid="{00000000-0005-0000-0000-00003B200000}"/>
    <cellStyle name="Normal 9 3 6 2 2" xfId="7862" xr:uid="{00000000-0005-0000-0000-00003C200000}"/>
    <cellStyle name="Normal 9 3 6 2 2 2" xfId="24760" xr:uid="{A72EA3AC-75BD-4A5F-BE9B-882D147AA675}"/>
    <cellStyle name="Normal 9 3 6 2 2 3" xfId="16312" xr:uid="{59625CC7-4C7B-4509-BA1E-52A0E4D718C4}"/>
    <cellStyle name="Normal 9 3 6 2 3" xfId="20542" xr:uid="{1EAB37F4-B51B-473B-B71A-B63A2A42CD62}"/>
    <cellStyle name="Normal 9 3 6 2 4" xfId="12094" xr:uid="{7D987582-F257-4F5C-86CA-8D9FF7795225}"/>
    <cellStyle name="Normal 9 3 6 3" xfId="5717" xr:uid="{00000000-0005-0000-0000-00003D200000}"/>
    <cellStyle name="Normal 9 3 6 3 2" xfId="22615" xr:uid="{4D03FE6A-2DE7-4060-A824-AB2AAA5E0FD9}"/>
    <cellStyle name="Normal 9 3 6 3 3" xfId="14167" xr:uid="{51A47D09-5222-4940-B15F-0617BCCED5F4}"/>
    <cellStyle name="Normal 9 3 6 4" xfId="18397" xr:uid="{4F54FD18-0DA5-40EF-9359-557578ADCCAD}"/>
    <cellStyle name="Normal 9 3 6 5" xfId="9949" xr:uid="{FB044019-F55D-40FD-B69A-F9D352EE2487}"/>
    <cellStyle name="Normal 9 3 7" xfId="1823" xr:uid="{00000000-0005-0000-0000-00003E200000}"/>
    <cellStyle name="Normal 9 3 7 2" xfId="4053" xr:uid="{00000000-0005-0000-0000-00003F200000}"/>
    <cellStyle name="Normal 9 3 7 2 2" xfId="8275" xr:uid="{00000000-0005-0000-0000-000040200000}"/>
    <cellStyle name="Normal 9 3 7 2 2 2" xfId="25173" xr:uid="{1F1BCAB4-6296-4B68-B962-244846A7C98B}"/>
    <cellStyle name="Normal 9 3 7 2 2 3" xfId="16725" xr:uid="{2D7D5E5C-EA6C-4E7B-B40E-BE6AF0290EE7}"/>
    <cellStyle name="Normal 9 3 7 2 3" xfId="20955" xr:uid="{FFA1E7F1-2C68-4BC4-9AF9-76E7D3BCF670}"/>
    <cellStyle name="Normal 9 3 7 2 4" xfId="12507" xr:uid="{F18227DD-C187-46A4-91B7-C0B72DEE4817}"/>
    <cellStyle name="Normal 9 3 7 3" xfId="6130" xr:uid="{00000000-0005-0000-0000-000041200000}"/>
    <cellStyle name="Normal 9 3 7 3 2" xfId="23028" xr:uid="{410EFFC5-7259-4672-A67E-C635094FA58A}"/>
    <cellStyle name="Normal 9 3 7 3 3" xfId="14580" xr:uid="{520DF3BF-4231-49D5-87BB-01F3030E2EE4}"/>
    <cellStyle name="Normal 9 3 7 4" xfId="18810" xr:uid="{130400B1-910F-4545-A513-A6FC52B96421}"/>
    <cellStyle name="Normal 9 3 7 5" xfId="10362" xr:uid="{A86446FA-A5DF-4CAB-BAF4-24DCBD4C1EF5}"/>
    <cellStyle name="Normal 9 3 8" xfId="2237" xr:uid="{00000000-0005-0000-0000-000042200000}"/>
    <cellStyle name="Normal 9 3 8 2" xfId="4466" xr:uid="{00000000-0005-0000-0000-000043200000}"/>
    <cellStyle name="Normal 9 3 8 2 2" xfId="8688" xr:uid="{00000000-0005-0000-0000-000044200000}"/>
    <cellStyle name="Normal 9 3 8 2 2 2" xfId="25586" xr:uid="{9394686F-10D7-4CB9-9A88-7510338FE6DB}"/>
    <cellStyle name="Normal 9 3 8 2 2 3" xfId="17138" xr:uid="{AEF1E444-7A5A-438F-9E23-C08E6088D774}"/>
    <cellStyle name="Normal 9 3 8 2 3" xfId="21368" xr:uid="{350DBDE9-A3EA-4DEC-A0CF-E5BA9B5B9E74}"/>
    <cellStyle name="Normal 9 3 8 2 4" xfId="12920" xr:uid="{1684EDF3-CA5F-4420-B7F7-28D60A9802D6}"/>
    <cellStyle name="Normal 9 3 8 3" xfId="6543" xr:uid="{00000000-0005-0000-0000-000045200000}"/>
    <cellStyle name="Normal 9 3 8 3 2" xfId="23441" xr:uid="{80C91FF4-AF91-448C-BBAE-256CCD0334DE}"/>
    <cellStyle name="Normal 9 3 8 3 3" xfId="14993" xr:uid="{D22FCE20-C60F-4645-9B33-2E844792347C}"/>
    <cellStyle name="Normal 9 3 8 4" xfId="19223" xr:uid="{E1C32F2B-5400-4AA0-96A7-F70F31B0494D}"/>
    <cellStyle name="Normal 9 3 8 5" xfId="10775" xr:uid="{9865BC35-ABBE-4E6D-97C0-F0A7C3D8991B}"/>
    <cellStyle name="Normal 9 3 9" xfId="2673" xr:uid="{00000000-0005-0000-0000-000046200000}"/>
    <cellStyle name="Normal 9 3 9 2" xfId="6956" xr:uid="{00000000-0005-0000-0000-000047200000}"/>
    <cellStyle name="Normal 9 3 9 2 2" xfId="23854" xr:uid="{E062D803-EA6E-41B2-AB39-501F6A1BA9BA}"/>
    <cellStyle name="Normal 9 3 9 2 3" xfId="15406" xr:uid="{5B343BC8-7A87-4DB4-A99E-1FB2D6055399}"/>
    <cellStyle name="Normal 9 3 9 3" xfId="19636" xr:uid="{8C4266B2-EF96-4FA4-801D-7CC1474F1855}"/>
    <cellStyle name="Normal 9 3 9 4" xfId="11188" xr:uid="{A3313733-12D0-41A1-B188-BFF38F140F13}"/>
    <cellStyle name="Normal 9 4" xfId="535" xr:uid="{00000000-0005-0000-0000-000048200000}"/>
    <cellStyle name="Normal 9 4 2" xfId="1002" xr:uid="{00000000-0005-0000-0000-000049200000}"/>
    <cellStyle name="Normal 9 5" xfId="536" xr:uid="{00000000-0005-0000-0000-00004A200000}"/>
    <cellStyle name="Normal 9 5 10" xfId="9131" xr:uid="{78920714-8134-45B6-90C0-0C66C11330A2}"/>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2 2 2" xfId="24356" xr:uid="{78F2B93F-B864-49CC-8BE0-1D3CF9A563D0}"/>
    <cellStyle name="Normal 9 5 2 2 2 2 3" xfId="15908" xr:uid="{34332F5A-C011-4344-A6CD-EDA56A2F0E94}"/>
    <cellStyle name="Normal 9 5 2 2 2 3" xfId="20138" xr:uid="{46D379A2-9AD0-45BF-9455-25F59B447790}"/>
    <cellStyle name="Normal 9 5 2 2 2 4" xfId="11690" xr:uid="{7FD51078-6A6D-4C35-B173-64A7A783B6F8}"/>
    <cellStyle name="Normal 9 5 2 2 3" xfId="5313" xr:uid="{00000000-0005-0000-0000-00004F200000}"/>
    <cellStyle name="Normal 9 5 2 2 3 2" xfId="22211" xr:uid="{BACA0ACE-964E-430B-8561-E36C006D53FD}"/>
    <cellStyle name="Normal 9 5 2 2 3 3" xfId="13763" xr:uid="{FF14EF8A-3665-4262-BCE6-FB9F00E67817}"/>
    <cellStyle name="Normal 9 5 2 2 4" xfId="17993" xr:uid="{B4CB82E8-55CA-40D8-9576-80BA709BA089}"/>
    <cellStyle name="Normal 9 5 2 2 5" xfId="9545" xr:uid="{25EC783D-1976-4D2D-96C5-C07C941D5CDA}"/>
    <cellStyle name="Normal 9 5 2 3" xfId="1419" xr:uid="{00000000-0005-0000-0000-000050200000}"/>
    <cellStyle name="Normal 9 5 2 3 2" xfId="3649" xr:uid="{00000000-0005-0000-0000-000051200000}"/>
    <cellStyle name="Normal 9 5 2 3 2 2" xfId="7871" xr:uid="{00000000-0005-0000-0000-000052200000}"/>
    <cellStyle name="Normal 9 5 2 3 2 2 2" xfId="24769" xr:uid="{F3EADFCD-8E6E-41EC-A378-13B947B10CC3}"/>
    <cellStyle name="Normal 9 5 2 3 2 2 3" xfId="16321" xr:uid="{F3E00BB8-8553-42E3-A676-AF64059B6315}"/>
    <cellStyle name="Normal 9 5 2 3 2 3" xfId="20551" xr:uid="{1F650342-611E-4D10-B9F9-8CBADC2C117A}"/>
    <cellStyle name="Normal 9 5 2 3 2 4" xfId="12103" xr:uid="{6A0504DC-C6CB-4D6C-9CC3-BF3C572B6464}"/>
    <cellStyle name="Normal 9 5 2 3 3" xfId="5726" xr:uid="{00000000-0005-0000-0000-000053200000}"/>
    <cellStyle name="Normal 9 5 2 3 3 2" xfId="22624" xr:uid="{FF22F380-E9CB-48E2-93FD-FFD8B3AF86AD}"/>
    <cellStyle name="Normal 9 5 2 3 3 3" xfId="14176" xr:uid="{188AAAA9-8FFE-4463-8977-1E0D0B824DC4}"/>
    <cellStyle name="Normal 9 5 2 3 4" xfId="18406" xr:uid="{80D2C99D-B196-41F5-A4AF-96A03F32BCF1}"/>
    <cellStyle name="Normal 9 5 2 3 5" xfId="9958" xr:uid="{6C72F37E-30BB-40FD-9827-18A19F0AF8EB}"/>
    <cellStyle name="Normal 9 5 2 4" xfId="1832" xr:uid="{00000000-0005-0000-0000-000054200000}"/>
    <cellStyle name="Normal 9 5 2 4 2" xfId="4062" xr:uid="{00000000-0005-0000-0000-000055200000}"/>
    <cellStyle name="Normal 9 5 2 4 2 2" xfId="8284" xr:uid="{00000000-0005-0000-0000-000056200000}"/>
    <cellStyle name="Normal 9 5 2 4 2 2 2" xfId="25182" xr:uid="{DB96B1C6-786B-4718-A01F-0889CB6FFBF7}"/>
    <cellStyle name="Normal 9 5 2 4 2 2 3" xfId="16734" xr:uid="{9AFEE58C-6914-411F-A53E-CEC145C732A5}"/>
    <cellStyle name="Normal 9 5 2 4 2 3" xfId="20964" xr:uid="{75559592-50B8-46E7-A166-285028EB23FA}"/>
    <cellStyle name="Normal 9 5 2 4 2 4" xfId="12516" xr:uid="{D11414C8-57DB-441D-B980-AD5B1A212A30}"/>
    <cellStyle name="Normal 9 5 2 4 3" xfId="6139" xr:uid="{00000000-0005-0000-0000-000057200000}"/>
    <cellStyle name="Normal 9 5 2 4 3 2" xfId="23037" xr:uid="{5D4260A1-7766-4C59-8E0B-4F004BEB3926}"/>
    <cellStyle name="Normal 9 5 2 4 3 3" xfId="14589" xr:uid="{A372F850-3A1A-49DE-B7CB-4C83EE0D03F9}"/>
    <cellStyle name="Normal 9 5 2 4 4" xfId="18819" xr:uid="{6CF6E1ED-7157-438E-8EDE-0429D8ADE34F}"/>
    <cellStyle name="Normal 9 5 2 4 5" xfId="10371" xr:uid="{69B0E51C-F8E2-4D1A-BEAC-E49C959476A2}"/>
    <cellStyle name="Normal 9 5 2 5" xfId="2246" xr:uid="{00000000-0005-0000-0000-000058200000}"/>
    <cellStyle name="Normal 9 5 2 5 2" xfId="4475" xr:uid="{00000000-0005-0000-0000-000059200000}"/>
    <cellStyle name="Normal 9 5 2 5 2 2" xfId="8697" xr:uid="{00000000-0005-0000-0000-00005A200000}"/>
    <cellStyle name="Normal 9 5 2 5 2 2 2" xfId="25595" xr:uid="{9942DFC7-AD70-43D9-A2A8-8C31AC08701A}"/>
    <cellStyle name="Normal 9 5 2 5 2 2 3" xfId="17147" xr:uid="{1118AC6A-9CE9-4F48-88D9-EF76DDC1F3DB}"/>
    <cellStyle name="Normal 9 5 2 5 2 3" xfId="21377" xr:uid="{7EDA6EF1-F41D-4F16-A392-B3A03225C060}"/>
    <cellStyle name="Normal 9 5 2 5 2 4" xfId="12929" xr:uid="{266FA90E-00CE-450D-BE06-E3B7FC0981C6}"/>
    <cellStyle name="Normal 9 5 2 5 3" xfId="6552" xr:uid="{00000000-0005-0000-0000-00005B200000}"/>
    <cellStyle name="Normal 9 5 2 5 3 2" xfId="23450" xr:uid="{168E2C50-3982-4383-88D0-3D641F92E1BD}"/>
    <cellStyle name="Normal 9 5 2 5 3 3" xfId="15002" xr:uid="{227A947C-EDBE-4AA6-9619-3E7776B0EEFF}"/>
    <cellStyle name="Normal 9 5 2 5 4" xfId="19232" xr:uid="{1924104E-99E8-4493-B521-63ECEA0D4D11}"/>
    <cellStyle name="Normal 9 5 2 5 5" xfId="10784" xr:uid="{79EE2C9F-3CEE-4133-A7F7-80642EB88A49}"/>
    <cellStyle name="Normal 9 5 2 6" xfId="2682" xr:uid="{00000000-0005-0000-0000-00005C200000}"/>
    <cellStyle name="Normal 9 5 2 6 2" xfId="6965" xr:uid="{00000000-0005-0000-0000-00005D200000}"/>
    <cellStyle name="Normal 9 5 2 6 2 2" xfId="23863" xr:uid="{4DDF9918-C26C-40D6-8AC1-4AB536482F30}"/>
    <cellStyle name="Normal 9 5 2 6 2 3" xfId="15415" xr:uid="{C21D84F1-0077-42B6-AEFD-C861D0CB9701}"/>
    <cellStyle name="Normal 9 5 2 6 3" xfId="19645" xr:uid="{ECE52E74-BEC6-4971-9B8C-09AA89CD5594}"/>
    <cellStyle name="Normal 9 5 2 6 4" xfId="11197" xr:uid="{D4FF1402-5EE8-445C-A98B-D62E48D1533E}"/>
    <cellStyle name="Normal 9 5 2 7" xfId="4900" xr:uid="{00000000-0005-0000-0000-00005E200000}"/>
    <cellStyle name="Normal 9 5 2 7 2" xfId="21798" xr:uid="{BB631C23-14E1-4764-8AD3-7956B649E5DA}"/>
    <cellStyle name="Normal 9 5 2 7 3" xfId="13350" xr:uid="{B779CF08-5E8B-4DEE-A2D9-DA1FCE66D694}"/>
    <cellStyle name="Normal 9 5 2 8" xfId="17580" xr:uid="{806550BB-4616-4F9D-8938-6FB6A02F951B}"/>
    <cellStyle name="Normal 9 5 2 9" xfId="9132" xr:uid="{2E619AD8-1115-4F31-91E4-A159C4CF2EA1}"/>
    <cellStyle name="Normal 9 5 3" xfId="1003" xr:uid="{00000000-0005-0000-0000-00005F200000}"/>
    <cellStyle name="Normal 9 5 3 2" xfId="3235" xr:uid="{00000000-0005-0000-0000-000060200000}"/>
    <cellStyle name="Normal 9 5 3 2 2" xfId="7457" xr:uid="{00000000-0005-0000-0000-000061200000}"/>
    <cellStyle name="Normal 9 5 3 2 2 2" xfId="24355" xr:uid="{EEEE02E2-1754-4611-B1CF-D19EF41E6870}"/>
    <cellStyle name="Normal 9 5 3 2 2 3" xfId="15907" xr:uid="{F8C5DE7A-B2F2-445B-9578-CAA55916838D}"/>
    <cellStyle name="Normal 9 5 3 2 3" xfId="20137" xr:uid="{BF8E0C35-C25C-4AFB-B8AB-1DB90A4BC6E4}"/>
    <cellStyle name="Normal 9 5 3 2 4" xfId="11689" xr:uid="{955F33CF-0EE4-4259-90D2-15DA87FF42D7}"/>
    <cellStyle name="Normal 9 5 3 3" xfId="5312" xr:uid="{00000000-0005-0000-0000-000062200000}"/>
    <cellStyle name="Normal 9 5 3 3 2" xfId="22210" xr:uid="{F932E792-F56A-48BC-B5DC-095BDD660C98}"/>
    <cellStyle name="Normal 9 5 3 3 3" xfId="13762" xr:uid="{7CB19AE0-73A9-4148-9D1B-75C63ED5A5C3}"/>
    <cellStyle name="Normal 9 5 3 4" xfId="17992" xr:uid="{3FC9F756-554F-4FD5-BF10-D7140CAF8387}"/>
    <cellStyle name="Normal 9 5 3 5" xfId="9544" xr:uid="{9553BBE4-B59A-4F69-A0EE-5C291728EF0F}"/>
    <cellStyle name="Normal 9 5 4" xfId="1418" xr:uid="{00000000-0005-0000-0000-000063200000}"/>
    <cellStyle name="Normal 9 5 4 2" xfId="3648" xr:uid="{00000000-0005-0000-0000-000064200000}"/>
    <cellStyle name="Normal 9 5 4 2 2" xfId="7870" xr:uid="{00000000-0005-0000-0000-000065200000}"/>
    <cellStyle name="Normal 9 5 4 2 2 2" xfId="24768" xr:uid="{7188D66F-BC47-4070-93FA-DF1D415056CA}"/>
    <cellStyle name="Normal 9 5 4 2 2 3" xfId="16320" xr:uid="{1D7FD5C7-E668-41C8-885F-EC087F0F4F10}"/>
    <cellStyle name="Normal 9 5 4 2 3" xfId="20550" xr:uid="{8BA48F05-9D07-43A7-8349-14908B5DC3D6}"/>
    <cellStyle name="Normal 9 5 4 2 4" xfId="12102" xr:uid="{B2EAFD90-4688-4956-A0E2-1F9BBE6E2DAB}"/>
    <cellStyle name="Normal 9 5 4 3" xfId="5725" xr:uid="{00000000-0005-0000-0000-000066200000}"/>
    <cellStyle name="Normal 9 5 4 3 2" xfId="22623" xr:uid="{146C5825-6899-4FDF-BAF1-6CF02537B684}"/>
    <cellStyle name="Normal 9 5 4 3 3" xfId="14175" xr:uid="{D2240E32-D591-4B5E-8EF7-547BB94D321F}"/>
    <cellStyle name="Normal 9 5 4 4" xfId="18405" xr:uid="{ECE8FC99-A056-4F04-809B-99F6CA39F4F2}"/>
    <cellStyle name="Normal 9 5 4 5" xfId="9957" xr:uid="{61C533BA-11B8-4CE0-A0CF-24326F9EB1DA}"/>
    <cellStyle name="Normal 9 5 5" xfId="1831" xr:uid="{00000000-0005-0000-0000-000067200000}"/>
    <cellStyle name="Normal 9 5 5 2" xfId="4061" xr:uid="{00000000-0005-0000-0000-000068200000}"/>
    <cellStyle name="Normal 9 5 5 2 2" xfId="8283" xr:uid="{00000000-0005-0000-0000-000069200000}"/>
    <cellStyle name="Normal 9 5 5 2 2 2" xfId="25181" xr:uid="{B0329DC6-7011-4F38-AD67-BAE0D2734726}"/>
    <cellStyle name="Normal 9 5 5 2 2 3" xfId="16733" xr:uid="{26A6ED90-C63D-495E-908E-54B7D87EB34C}"/>
    <cellStyle name="Normal 9 5 5 2 3" xfId="20963" xr:uid="{3CBEA659-44EA-40D6-8944-8A975EB11F30}"/>
    <cellStyle name="Normal 9 5 5 2 4" xfId="12515" xr:uid="{FF686B78-1BB5-4464-B539-74BFA6291E18}"/>
    <cellStyle name="Normal 9 5 5 3" xfId="6138" xr:uid="{00000000-0005-0000-0000-00006A200000}"/>
    <cellStyle name="Normal 9 5 5 3 2" xfId="23036" xr:uid="{58337592-75B6-43DE-B81F-5502C320353A}"/>
    <cellStyle name="Normal 9 5 5 3 3" xfId="14588" xr:uid="{DFCB3978-1F96-44B9-AFC1-1B00333A0CC0}"/>
    <cellStyle name="Normal 9 5 5 4" xfId="18818" xr:uid="{607404BB-5C6F-496F-8C57-28BF3ACBC26C}"/>
    <cellStyle name="Normal 9 5 5 5" xfId="10370" xr:uid="{E3C2F7F1-DCBF-40F6-A961-B390786F27BA}"/>
    <cellStyle name="Normal 9 5 6" xfId="2245" xr:uid="{00000000-0005-0000-0000-00006B200000}"/>
    <cellStyle name="Normal 9 5 6 2" xfId="4474" xr:uid="{00000000-0005-0000-0000-00006C200000}"/>
    <cellStyle name="Normal 9 5 6 2 2" xfId="8696" xr:uid="{00000000-0005-0000-0000-00006D200000}"/>
    <cellStyle name="Normal 9 5 6 2 2 2" xfId="25594" xr:uid="{1F8D43CC-A9B5-4FA8-BF33-518FBEA90EC0}"/>
    <cellStyle name="Normal 9 5 6 2 2 3" xfId="17146" xr:uid="{00511570-65ED-4A63-9149-6B398E3ACF7A}"/>
    <cellStyle name="Normal 9 5 6 2 3" xfId="21376" xr:uid="{AFDC001E-8D6C-4E2E-B7D4-862BD27F3468}"/>
    <cellStyle name="Normal 9 5 6 2 4" xfId="12928" xr:uid="{6F025F1C-C4BB-40AD-8CC9-D5CF83D5F3BF}"/>
    <cellStyle name="Normal 9 5 6 3" xfId="6551" xr:uid="{00000000-0005-0000-0000-00006E200000}"/>
    <cellStyle name="Normal 9 5 6 3 2" xfId="23449" xr:uid="{E358BFFB-76EC-4C68-B3C8-DB670CCA6805}"/>
    <cellStyle name="Normal 9 5 6 3 3" xfId="15001" xr:uid="{4BA4B7C6-BC70-482A-B9D7-6DFE3C4E1420}"/>
    <cellStyle name="Normal 9 5 6 4" xfId="19231" xr:uid="{8B597C64-E843-4E69-A234-94EF73659A44}"/>
    <cellStyle name="Normal 9 5 6 5" xfId="10783" xr:uid="{2EEB8B29-027E-44B2-8782-52A37C0DD94D}"/>
    <cellStyle name="Normal 9 5 7" xfId="2681" xr:uid="{00000000-0005-0000-0000-00006F200000}"/>
    <cellStyle name="Normal 9 5 7 2" xfId="6964" xr:uid="{00000000-0005-0000-0000-000070200000}"/>
    <cellStyle name="Normal 9 5 7 2 2" xfId="23862" xr:uid="{001B1D48-BB8B-4849-A396-09331CD8643D}"/>
    <cellStyle name="Normal 9 5 7 2 3" xfId="15414" xr:uid="{47A79505-219D-4BAB-927C-02FBCA917F68}"/>
    <cellStyle name="Normal 9 5 7 3" xfId="19644" xr:uid="{D5E4048F-6A9B-4906-9497-F45700C1CA89}"/>
    <cellStyle name="Normal 9 5 7 4" xfId="11196" xr:uid="{591E242C-6F03-407F-812F-DB673D71B016}"/>
    <cellStyle name="Normal 9 5 8" xfId="4899" xr:uid="{00000000-0005-0000-0000-000071200000}"/>
    <cellStyle name="Normal 9 5 8 2" xfId="21797" xr:uid="{9F025433-B5A9-4EB6-9427-D100A3B68956}"/>
    <cellStyle name="Normal 9 5 8 3" xfId="13349" xr:uid="{333F2463-62B7-47E6-9D86-97A38D91BF04}"/>
    <cellStyle name="Normal 9 5 9" xfId="17579" xr:uid="{C338D628-CCC4-4DBE-827E-2BB3C15F7752}"/>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2 2 2" xfId="24357" xr:uid="{6EB2CFF5-CA05-4D42-81E6-D126AA8C618A}"/>
    <cellStyle name="Normal 9 6 2 2 2 3" xfId="15909" xr:uid="{7F991486-24CF-47C9-936D-AAA0CFB6BD69}"/>
    <cellStyle name="Normal 9 6 2 2 3" xfId="20139" xr:uid="{5581A852-7525-4ACB-A2C4-CC2C73D8BD70}"/>
    <cellStyle name="Normal 9 6 2 2 4" xfId="11691" xr:uid="{765871EE-B237-41C6-A501-4801E6804318}"/>
    <cellStyle name="Normal 9 6 2 3" xfId="5314" xr:uid="{00000000-0005-0000-0000-000076200000}"/>
    <cellStyle name="Normal 9 6 2 3 2" xfId="22212" xr:uid="{C0E28CC1-7FFB-47D7-8F12-60FF663816FF}"/>
    <cellStyle name="Normal 9 6 2 3 3" xfId="13764" xr:uid="{6FE8CCDC-615E-4AC1-BD36-4470492F1789}"/>
    <cellStyle name="Normal 9 6 2 4" xfId="17994" xr:uid="{401A15E5-0968-44A4-9A8A-49596BDE9F65}"/>
    <cellStyle name="Normal 9 6 2 5" xfId="9546" xr:uid="{8320FDD5-806F-4FF0-84F7-3F41DFD3F881}"/>
    <cellStyle name="Normal 9 6 3" xfId="1420" xr:uid="{00000000-0005-0000-0000-000077200000}"/>
    <cellStyle name="Normal 9 6 3 2" xfId="3650" xr:uid="{00000000-0005-0000-0000-000078200000}"/>
    <cellStyle name="Normal 9 6 3 2 2" xfId="7872" xr:uid="{00000000-0005-0000-0000-000079200000}"/>
    <cellStyle name="Normal 9 6 3 2 2 2" xfId="24770" xr:uid="{E555583D-58CD-4097-9676-AB183E3AF5D3}"/>
    <cellStyle name="Normal 9 6 3 2 2 3" xfId="16322" xr:uid="{E542990B-CEBD-4613-89B8-55CA6778068B}"/>
    <cellStyle name="Normal 9 6 3 2 3" xfId="20552" xr:uid="{37550EAD-2D8D-44FA-9D42-4951E13A4E46}"/>
    <cellStyle name="Normal 9 6 3 2 4" xfId="12104" xr:uid="{E1708CB2-F6A3-46E3-A700-86797127EF54}"/>
    <cellStyle name="Normal 9 6 3 3" xfId="5727" xr:uid="{00000000-0005-0000-0000-00007A200000}"/>
    <cellStyle name="Normal 9 6 3 3 2" xfId="22625" xr:uid="{02FA45FD-D76F-4510-A57B-624F277C5868}"/>
    <cellStyle name="Normal 9 6 3 3 3" xfId="14177" xr:uid="{F97D8190-C179-4408-BD67-F4B0B48C11E1}"/>
    <cellStyle name="Normal 9 6 3 4" xfId="18407" xr:uid="{B0DFA1C1-6566-4FB4-AD1B-A76CBF6159AB}"/>
    <cellStyle name="Normal 9 6 3 5" xfId="9959" xr:uid="{B39893F4-AC09-40A0-B0E4-9832D16F5513}"/>
    <cellStyle name="Normal 9 6 4" xfId="1833" xr:uid="{00000000-0005-0000-0000-00007B200000}"/>
    <cellStyle name="Normal 9 6 4 2" xfId="4063" xr:uid="{00000000-0005-0000-0000-00007C200000}"/>
    <cellStyle name="Normal 9 6 4 2 2" xfId="8285" xr:uid="{00000000-0005-0000-0000-00007D200000}"/>
    <cellStyle name="Normal 9 6 4 2 2 2" xfId="25183" xr:uid="{FD15CDA8-38EA-400F-9D5F-1C133BB84F7E}"/>
    <cellStyle name="Normal 9 6 4 2 2 3" xfId="16735" xr:uid="{7CD0BFE9-24C1-473E-A403-7EC6D2F66343}"/>
    <cellStyle name="Normal 9 6 4 2 3" xfId="20965" xr:uid="{10A76246-1FD7-49E9-86F3-EA95B6BA7024}"/>
    <cellStyle name="Normal 9 6 4 2 4" xfId="12517" xr:uid="{44B1A454-27A0-4037-9A5F-2D30654F60F2}"/>
    <cellStyle name="Normal 9 6 4 3" xfId="6140" xr:uid="{00000000-0005-0000-0000-00007E200000}"/>
    <cellStyle name="Normal 9 6 4 3 2" xfId="23038" xr:uid="{2B7BD04C-0109-46C5-B12C-F0028E3AF0BA}"/>
    <cellStyle name="Normal 9 6 4 3 3" xfId="14590" xr:uid="{05216639-E5BB-4299-91B4-676DBBA1427B}"/>
    <cellStyle name="Normal 9 6 4 4" xfId="18820" xr:uid="{4119A38B-41DA-46BC-8333-70C4657240CC}"/>
    <cellStyle name="Normal 9 6 4 5" xfId="10372" xr:uid="{DB394D0A-67C0-44ED-8AD1-6B2B1A0D94FB}"/>
    <cellStyle name="Normal 9 6 5" xfId="2247" xr:uid="{00000000-0005-0000-0000-00007F200000}"/>
    <cellStyle name="Normal 9 6 5 2" xfId="4476" xr:uid="{00000000-0005-0000-0000-000080200000}"/>
    <cellStyle name="Normal 9 6 5 2 2" xfId="8698" xr:uid="{00000000-0005-0000-0000-000081200000}"/>
    <cellStyle name="Normal 9 6 5 2 2 2" xfId="25596" xr:uid="{AEE46E2F-F9FD-413E-9F8A-5F82D44107D5}"/>
    <cellStyle name="Normal 9 6 5 2 2 3" xfId="17148" xr:uid="{EE5990D5-4A24-4F2E-B94F-8A5C7A6B8D6F}"/>
    <cellStyle name="Normal 9 6 5 2 3" xfId="21378" xr:uid="{F54A1438-A80B-40B8-930B-77516C8FA89B}"/>
    <cellStyle name="Normal 9 6 5 2 4" xfId="12930" xr:uid="{F9B50721-CEB6-4AD4-9B67-865FD02B5920}"/>
    <cellStyle name="Normal 9 6 5 3" xfId="6553" xr:uid="{00000000-0005-0000-0000-000082200000}"/>
    <cellStyle name="Normal 9 6 5 3 2" xfId="23451" xr:uid="{4D6266E5-A137-46B1-B759-0254EC327BA8}"/>
    <cellStyle name="Normal 9 6 5 3 3" xfId="15003" xr:uid="{5C53D0E8-402C-4FA3-8E92-AC31C52174C9}"/>
    <cellStyle name="Normal 9 6 5 4" xfId="19233" xr:uid="{B2EB677C-EAA1-425C-8077-A27104AB0A03}"/>
    <cellStyle name="Normal 9 6 5 5" xfId="10785" xr:uid="{8CE00264-8ED7-4B31-B8D1-72167AB8CE52}"/>
    <cellStyle name="Normal 9 6 6" xfId="2683" xr:uid="{00000000-0005-0000-0000-000083200000}"/>
    <cellStyle name="Normal 9 6 6 2" xfId="6966" xr:uid="{00000000-0005-0000-0000-000084200000}"/>
    <cellStyle name="Normal 9 6 6 2 2" xfId="23864" xr:uid="{483D85A8-67CC-44C9-B1DD-D3AAD1711D4F}"/>
    <cellStyle name="Normal 9 6 6 2 3" xfId="15416" xr:uid="{2C5C0B70-16F5-4B0A-8DE2-E59324B2F115}"/>
    <cellStyle name="Normal 9 6 6 3" xfId="19646" xr:uid="{862DFE8F-97C1-43EE-AFF2-1D6A20D8E00D}"/>
    <cellStyle name="Normal 9 6 6 4" xfId="11198" xr:uid="{01458A76-DC53-43CA-99A5-A8A4F1F49D8B}"/>
    <cellStyle name="Normal 9 6 7" xfId="4901" xr:uid="{00000000-0005-0000-0000-000085200000}"/>
    <cellStyle name="Normal 9 6 7 2" xfId="21799" xr:uid="{35A092CE-7BB2-4842-A143-17DAD7FB125A}"/>
    <cellStyle name="Normal 9 6 7 3" xfId="13351" xr:uid="{6E86EB77-3660-4796-968C-B2288B61D029}"/>
    <cellStyle name="Normal 9 6 8" xfId="17581" xr:uid="{945318A3-2AE0-4BD1-8262-AB2A32F44319}"/>
    <cellStyle name="Normal 9 6 9" xfId="9133" xr:uid="{5626EE96-D7A0-49DE-AF24-95DFAB5ABA4A}"/>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23945" xr:uid="{54BECAF8-1769-49AF-95CC-13601677C057}"/>
    <cellStyle name="Note 2 2 10 2 3" xfId="15497" xr:uid="{8814BF50-B3AB-42BB-8972-DAE3EB6A51FB}"/>
    <cellStyle name="Note 2 2 10 3" xfId="19727" xr:uid="{343F0732-F985-462F-8247-4CE85375A34B}"/>
    <cellStyle name="Note 2 2 10 4" xfId="11279" xr:uid="{BAD5D72D-DC15-4CA7-B3D6-F8DFFB4C4034}"/>
    <cellStyle name="Note 2 2 11" xfId="4902" xr:uid="{00000000-0005-0000-0000-000094200000}"/>
    <cellStyle name="Note 2 2 11 2" xfId="21800" xr:uid="{9DF8BC0C-D0EB-41A6-A8C0-2405307F30F8}"/>
    <cellStyle name="Note 2 2 11 3" xfId="13352" xr:uid="{2A3CC1F1-D8AF-4664-9521-033D4D4DF09B}"/>
    <cellStyle name="Note 2 2 12" xfId="17582" xr:uid="{AE253A9A-DAB8-4731-804A-CFB339F1A1E9}"/>
    <cellStyle name="Note 2 2 13" xfId="9134" xr:uid="{C3CB200B-0B65-4D68-8678-71DF85E0417E}"/>
    <cellStyle name="Note 2 2 2" xfId="546" xr:uid="{00000000-0005-0000-0000-000095200000}"/>
    <cellStyle name="Note 2 2 2 10" xfId="4903" xr:uid="{00000000-0005-0000-0000-000096200000}"/>
    <cellStyle name="Note 2 2 2 10 2" xfId="21801" xr:uid="{87E30854-972B-435E-89BE-F3D449AAE8A3}"/>
    <cellStyle name="Note 2 2 2 10 3" xfId="13353" xr:uid="{4AF52636-B356-4348-88AF-0F81DAA60DBA}"/>
    <cellStyle name="Note 2 2 2 11" xfId="17583" xr:uid="{3BF2EA0B-0E06-44E5-B65C-C52991D44FD9}"/>
    <cellStyle name="Note 2 2 2 12" xfId="9135" xr:uid="{9742641E-785A-435E-979C-9A4E454787FE}"/>
    <cellStyle name="Note 2 2 2 2" xfId="547" xr:uid="{00000000-0005-0000-0000-000097200000}"/>
    <cellStyle name="Note 2 2 2 2 10" xfId="17584" xr:uid="{349BFE39-EDA0-4881-A975-85044EE761BD}"/>
    <cellStyle name="Note 2 2 2 2 11" xfId="9136" xr:uid="{ED0FC358-4532-4315-8E43-3472165B964E}"/>
    <cellStyle name="Note 2 2 2 2 2" xfId="1008" xr:uid="{00000000-0005-0000-0000-000098200000}"/>
    <cellStyle name="Note 2 2 2 2 2 2" xfId="3240" xr:uid="{00000000-0005-0000-0000-000099200000}"/>
    <cellStyle name="Note 2 2 2 2 2 2 2" xfId="7462" xr:uid="{00000000-0005-0000-0000-00009A200000}"/>
    <cellStyle name="Note 2 2 2 2 2 2 2 2" xfId="24360" xr:uid="{B4E5718C-D898-4666-AA00-0FFA1DF69F3B}"/>
    <cellStyle name="Note 2 2 2 2 2 2 2 3" xfId="15912" xr:uid="{AC693160-4434-4812-BAFB-91A623815E68}"/>
    <cellStyle name="Note 2 2 2 2 2 2 3" xfId="20142" xr:uid="{F8BD68E0-8FF5-4564-87FA-4DE244726DEB}"/>
    <cellStyle name="Note 2 2 2 2 2 2 4" xfId="11694" xr:uid="{86B7F673-3E2B-4411-9F50-91AD4D379ED5}"/>
    <cellStyle name="Note 2 2 2 2 2 3" xfId="5317" xr:uid="{00000000-0005-0000-0000-00009B200000}"/>
    <cellStyle name="Note 2 2 2 2 2 3 2" xfId="22215" xr:uid="{1DAAD39A-9E71-47DA-ACBA-2D87BF53AEDC}"/>
    <cellStyle name="Note 2 2 2 2 2 3 3" xfId="13767" xr:uid="{E6F19885-643B-40FA-9AC2-088580736260}"/>
    <cellStyle name="Note 2 2 2 2 2 4" xfId="17997" xr:uid="{5CB63034-9622-4683-B881-5042AAD8BD23}"/>
    <cellStyle name="Note 2 2 2 2 2 5" xfId="9549" xr:uid="{5C3C5686-CD82-48A0-9A97-8DD98FD458A2}"/>
    <cellStyle name="Note 2 2 2 2 3" xfId="1423" xr:uid="{00000000-0005-0000-0000-00009C200000}"/>
    <cellStyle name="Note 2 2 2 2 3 2" xfId="3653" xr:uid="{00000000-0005-0000-0000-00009D200000}"/>
    <cellStyle name="Note 2 2 2 2 3 2 2" xfId="7875" xr:uid="{00000000-0005-0000-0000-00009E200000}"/>
    <cellStyle name="Note 2 2 2 2 3 2 2 2" xfId="24773" xr:uid="{CFD8CF59-7047-4A3E-8FD4-54DFFDE5108B}"/>
    <cellStyle name="Note 2 2 2 2 3 2 2 3" xfId="16325" xr:uid="{8C92C7C6-5C7A-41A3-8E50-A463D9432E29}"/>
    <cellStyle name="Note 2 2 2 2 3 2 3" xfId="20555" xr:uid="{C684C359-0767-47E5-A0C1-C694C0E7BABF}"/>
    <cellStyle name="Note 2 2 2 2 3 2 4" xfId="12107" xr:uid="{2F2D3998-D622-4923-A70A-FDB32EFD5EBC}"/>
    <cellStyle name="Note 2 2 2 2 3 3" xfId="5730" xr:uid="{00000000-0005-0000-0000-00009F200000}"/>
    <cellStyle name="Note 2 2 2 2 3 3 2" xfId="22628" xr:uid="{30A59EA3-D70D-4DF0-9C0F-C4CFDBFE8885}"/>
    <cellStyle name="Note 2 2 2 2 3 3 3" xfId="14180" xr:uid="{8B81A47F-661D-4806-B57C-AC89AC41D4E1}"/>
    <cellStyle name="Note 2 2 2 2 3 4" xfId="18410" xr:uid="{72F48CD7-691C-400B-BCEC-C204DFE20987}"/>
    <cellStyle name="Note 2 2 2 2 3 5" xfId="9962" xr:uid="{571EF227-3A9B-4202-AC75-40240811A1FC}"/>
    <cellStyle name="Note 2 2 2 2 4" xfId="1837" xr:uid="{00000000-0005-0000-0000-0000A0200000}"/>
    <cellStyle name="Note 2 2 2 2 4 2" xfId="4066" xr:uid="{00000000-0005-0000-0000-0000A1200000}"/>
    <cellStyle name="Note 2 2 2 2 4 2 2" xfId="8288" xr:uid="{00000000-0005-0000-0000-0000A2200000}"/>
    <cellStyle name="Note 2 2 2 2 4 2 2 2" xfId="25186" xr:uid="{CCF403AE-9223-48B9-959A-D3BF6703546D}"/>
    <cellStyle name="Note 2 2 2 2 4 2 2 3" xfId="16738" xr:uid="{8601CDFF-6386-4613-BA90-078195F99CD0}"/>
    <cellStyle name="Note 2 2 2 2 4 2 3" xfId="20968" xr:uid="{4152AA22-0C59-4F60-8FD4-49B4530FAF42}"/>
    <cellStyle name="Note 2 2 2 2 4 2 4" xfId="12520" xr:uid="{1EAEBED0-BE21-45E0-B780-F4204C3B620F}"/>
    <cellStyle name="Note 2 2 2 2 4 3" xfId="6143" xr:uid="{00000000-0005-0000-0000-0000A3200000}"/>
    <cellStyle name="Note 2 2 2 2 4 3 2" xfId="23041" xr:uid="{D9B62F89-EC39-4C74-801F-D864EAF9ECBB}"/>
    <cellStyle name="Note 2 2 2 2 4 3 3" xfId="14593" xr:uid="{67DCE5B2-E9D3-42FF-B3C6-6D8826A2AC64}"/>
    <cellStyle name="Note 2 2 2 2 4 4" xfId="18823" xr:uid="{ADCCD8E2-B6EF-44D0-90FB-EAA54B1F138F}"/>
    <cellStyle name="Note 2 2 2 2 4 5" xfId="10375" xr:uid="{EA328285-7776-408F-8B1A-4C497CBFD246}"/>
    <cellStyle name="Note 2 2 2 2 5" xfId="2250" xr:uid="{00000000-0005-0000-0000-0000A4200000}"/>
    <cellStyle name="Note 2 2 2 2 5 2" xfId="4479" xr:uid="{00000000-0005-0000-0000-0000A5200000}"/>
    <cellStyle name="Note 2 2 2 2 5 2 2" xfId="8701" xr:uid="{00000000-0005-0000-0000-0000A6200000}"/>
    <cellStyle name="Note 2 2 2 2 5 2 2 2" xfId="25599" xr:uid="{31FA8BF5-510E-4336-A689-927BD3E987F1}"/>
    <cellStyle name="Note 2 2 2 2 5 2 2 3" xfId="17151" xr:uid="{89F1E7F2-E6CE-4CF4-8BB0-49F5580CD3C4}"/>
    <cellStyle name="Note 2 2 2 2 5 2 3" xfId="21381" xr:uid="{AAD1FAEE-FF69-4139-A9D9-2B5DAD6D7E42}"/>
    <cellStyle name="Note 2 2 2 2 5 2 4" xfId="12933" xr:uid="{679A5AB4-FEF3-4F9E-9EB0-6E283C5DEC5F}"/>
    <cellStyle name="Note 2 2 2 2 5 3" xfId="6556" xr:uid="{00000000-0005-0000-0000-0000A7200000}"/>
    <cellStyle name="Note 2 2 2 2 5 3 2" xfId="23454" xr:uid="{2CDE1AF5-8D52-486E-B471-7AA8218E99A5}"/>
    <cellStyle name="Note 2 2 2 2 5 3 3" xfId="15006" xr:uid="{B3C8E114-4569-48CC-961D-ECB2568FDEBE}"/>
    <cellStyle name="Note 2 2 2 2 5 4" xfId="19236" xr:uid="{4475A694-6DF7-4DEB-8E22-FC3C611CDA9D}"/>
    <cellStyle name="Note 2 2 2 2 5 5" xfId="10788" xr:uid="{F45B16B2-7FC9-4345-BAED-7E28CB13052F}"/>
    <cellStyle name="Note 2 2 2 2 6" xfId="2686" xr:uid="{00000000-0005-0000-0000-0000A8200000}"/>
    <cellStyle name="Note 2 2 2 2 6 2" xfId="6969" xr:uid="{00000000-0005-0000-0000-0000A9200000}"/>
    <cellStyle name="Note 2 2 2 2 6 2 2" xfId="23867" xr:uid="{CDDB32AD-1F37-4BEA-B84E-170B46293CFC}"/>
    <cellStyle name="Note 2 2 2 2 6 2 3" xfId="15419" xr:uid="{E3EC7B0B-1EBC-4851-825F-65EF2D19A88E}"/>
    <cellStyle name="Note 2 2 2 2 6 3" xfId="19649" xr:uid="{0BC3A812-5B06-4E4E-9FB4-E7044C53941C}"/>
    <cellStyle name="Note 2 2 2 2 6 4" xfId="11201" xr:uid="{47785513-4F84-4BAC-B16D-8F34909C5258}"/>
    <cellStyle name="Note 2 2 2 2 7" xfId="2745" xr:uid="{00000000-0005-0000-0000-0000AA200000}"/>
    <cellStyle name="Note 2 2 2 2 8" xfId="2826" xr:uid="{00000000-0005-0000-0000-0000AB200000}"/>
    <cellStyle name="Note 2 2 2 2 8 2" xfId="7049" xr:uid="{00000000-0005-0000-0000-0000AC200000}"/>
    <cellStyle name="Note 2 2 2 2 8 2 2" xfId="23947" xr:uid="{418D5088-C184-4CD0-96E2-8115FA515EE5}"/>
    <cellStyle name="Note 2 2 2 2 8 2 3" xfId="15499" xr:uid="{357427B7-51E3-4F65-B23E-C75A3ABE8B00}"/>
    <cellStyle name="Note 2 2 2 2 8 3" xfId="19729" xr:uid="{E88196B1-11C3-48D5-A0CE-99632324F0BE}"/>
    <cellStyle name="Note 2 2 2 2 8 4" xfId="11281" xr:uid="{5F473675-A2F2-4734-A70C-6E1DE202AEA0}"/>
    <cellStyle name="Note 2 2 2 2 9" xfId="4904" xr:uid="{00000000-0005-0000-0000-0000AD200000}"/>
    <cellStyle name="Note 2 2 2 2 9 2" xfId="21802" xr:uid="{DC1E8912-0F51-44D6-92AD-90DFEEA450DF}"/>
    <cellStyle name="Note 2 2 2 2 9 3" xfId="13354" xr:uid="{A2541A3F-72BB-4A7D-B124-1E3BA5B23EE0}"/>
    <cellStyle name="Note 2 2 2 3" xfId="1007" xr:uid="{00000000-0005-0000-0000-0000AE200000}"/>
    <cellStyle name="Note 2 2 2 3 2" xfId="3239" xr:uid="{00000000-0005-0000-0000-0000AF200000}"/>
    <cellStyle name="Note 2 2 2 3 2 2" xfId="7461" xr:uid="{00000000-0005-0000-0000-0000B0200000}"/>
    <cellStyle name="Note 2 2 2 3 2 2 2" xfId="24359" xr:uid="{2E32DBD7-1C36-4777-AAF0-FB693BE6ACFB}"/>
    <cellStyle name="Note 2 2 2 3 2 2 3" xfId="15911" xr:uid="{9578F2FA-CD83-4330-86C9-DE510B7D5624}"/>
    <cellStyle name="Note 2 2 2 3 2 3" xfId="20141" xr:uid="{A4D3ED2C-8D47-4B94-8998-E92F3C02E452}"/>
    <cellStyle name="Note 2 2 2 3 2 4" xfId="11693" xr:uid="{79305087-9666-45B5-AAC0-2428EF9E9FA2}"/>
    <cellStyle name="Note 2 2 2 3 3" xfId="5316" xr:uid="{00000000-0005-0000-0000-0000B1200000}"/>
    <cellStyle name="Note 2 2 2 3 3 2" xfId="22214" xr:uid="{5309DABB-FEC8-4A36-88F1-3D0A4B47D803}"/>
    <cellStyle name="Note 2 2 2 3 3 3" xfId="13766" xr:uid="{C5E4B80B-B4CA-48EA-A14F-7A9FB19AB7F4}"/>
    <cellStyle name="Note 2 2 2 3 4" xfId="17996" xr:uid="{4860E057-D667-4F08-AF9F-F3C5CEA1AE5F}"/>
    <cellStyle name="Note 2 2 2 3 5" xfId="9548" xr:uid="{23336DCE-8C09-49D5-8B68-EC14B0743F3B}"/>
    <cellStyle name="Note 2 2 2 4" xfId="1422" xr:uid="{00000000-0005-0000-0000-0000B2200000}"/>
    <cellStyle name="Note 2 2 2 4 2" xfId="3652" xr:uid="{00000000-0005-0000-0000-0000B3200000}"/>
    <cellStyle name="Note 2 2 2 4 2 2" xfId="7874" xr:uid="{00000000-0005-0000-0000-0000B4200000}"/>
    <cellStyle name="Note 2 2 2 4 2 2 2" xfId="24772" xr:uid="{8C6DE3AF-F65D-47EC-AF3F-9929F510BEC5}"/>
    <cellStyle name="Note 2 2 2 4 2 2 3" xfId="16324" xr:uid="{8A8796CA-000F-46CC-9448-3C0627DF268B}"/>
    <cellStyle name="Note 2 2 2 4 2 3" xfId="20554" xr:uid="{5EB14D3E-3A83-43C1-9634-318717A6B36C}"/>
    <cellStyle name="Note 2 2 2 4 2 4" xfId="12106" xr:uid="{665F5A0F-D442-4092-A426-75A382421723}"/>
    <cellStyle name="Note 2 2 2 4 3" xfId="5729" xr:uid="{00000000-0005-0000-0000-0000B5200000}"/>
    <cellStyle name="Note 2 2 2 4 3 2" xfId="22627" xr:uid="{E04D9D57-881E-44EB-A484-3F309D7FBF47}"/>
    <cellStyle name="Note 2 2 2 4 3 3" xfId="14179" xr:uid="{85FA823D-75EF-4690-A72B-46C0339B0BAF}"/>
    <cellStyle name="Note 2 2 2 4 4" xfId="18409" xr:uid="{E8225043-D63A-40D1-A520-393AE59D37EB}"/>
    <cellStyle name="Note 2 2 2 4 5" xfId="9961" xr:uid="{48873F76-12B1-4388-9068-91EF5B233CAC}"/>
    <cellStyle name="Note 2 2 2 5" xfId="1836" xr:uid="{00000000-0005-0000-0000-0000B6200000}"/>
    <cellStyle name="Note 2 2 2 5 2" xfId="4065" xr:uid="{00000000-0005-0000-0000-0000B7200000}"/>
    <cellStyle name="Note 2 2 2 5 2 2" xfId="8287" xr:uid="{00000000-0005-0000-0000-0000B8200000}"/>
    <cellStyle name="Note 2 2 2 5 2 2 2" xfId="25185" xr:uid="{7334DEF6-BF17-4623-A600-DD29FFD12AAC}"/>
    <cellStyle name="Note 2 2 2 5 2 2 3" xfId="16737" xr:uid="{931B7163-6F00-4633-BA25-D3908B1E5886}"/>
    <cellStyle name="Note 2 2 2 5 2 3" xfId="20967" xr:uid="{6E0D8231-B3E7-4C59-BFBD-AD19B9D19434}"/>
    <cellStyle name="Note 2 2 2 5 2 4" xfId="12519" xr:uid="{7F2EDE07-427A-48BB-9E70-705EA69BC78C}"/>
    <cellStyle name="Note 2 2 2 5 3" xfId="6142" xr:uid="{00000000-0005-0000-0000-0000B9200000}"/>
    <cellStyle name="Note 2 2 2 5 3 2" xfId="23040" xr:uid="{E93B1DA1-E58C-4059-8565-E4AAF948EE4B}"/>
    <cellStyle name="Note 2 2 2 5 3 3" xfId="14592" xr:uid="{723A6454-E170-4509-99E4-ACE5B103E734}"/>
    <cellStyle name="Note 2 2 2 5 4" xfId="18822" xr:uid="{47F752F4-08F4-4BAC-9618-430A17D88453}"/>
    <cellStyle name="Note 2 2 2 5 5" xfId="10374" xr:uid="{9082D913-BA6C-439B-B5DD-000F8AD31BC1}"/>
    <cellStyle name="Note 2 2 2 6" xfId="2249" xr:uid="{00000000-0005-0000-0000-0000BA200000}"/>
    <cellStyle name="Note 2 2 2 6 2" xfId="4478" xr:uid="{00000000-0005-0000-0000-0000BB200000}"/>
    <cellStyle name="Note 2 2 2 6 2 2" xfId="8700" xr:uid="{00000000-0005-0000-0000-0000BC200000}"/>
    <cellStyle name="Note 2 2 2 6 2 2 2" xfId="25598" xr:uid="{0840D0FD-8A97-4B25-A2FC-C61AAC2AD40B}"/>
    <cellStyle name="Note 2 2 2 6 2 2 3" xfId="17150" xr:uid="{38CA1E3B-B9EC-496C-9443-D5ADEF7BD40F}"/>
    <cellStyle name="Note 2 2 2 6 2 3" xfId="21380" xr:uid="{2DAC98C7-EEF1-40A3-9F59-B332986EF6F8}"/>
    <cellStyle name="Note 2 2 2 6 2 4" xfId="12932" xr:uid="{848E34B7-CB10-43C0-89F1-61246CAE910C}"/>
    <cellStyle name="Note 2 2 2 6 3" xfId="6555" xr:uid="{00000000-0005-0000-0000-0000BD200000}"/>
    <cellStyle name="Note 2 2 2 6 3 2" xfId="23453" xr:uid="{35971AFA-E640-4A46-BE23-57B696F04E5A}"/>
    <cellStyle name="Note 2 2 2 6 3 3" xfId="15005" xr:uid="{CC8F8AA3-B60C-4095-B4BE-2EB849602C18}"/>
    <cellStyle name="Note 2 2 2 6 4" xfId="19235" xr:uid="{0C071B85-F02E-4421-A93F-F23B3DBF3810}"/>
    <cellStyle name="Note 2 2 2 6 5" xfId="10787" xr:uid="{F251E5A1-9523-4069-92EE-C56F88EAE953}"/>
    <cellStyle name="Note 2 2 2 7" xfId="2685" xr:uid="{00000000-0005-0000-0000-0000BE200000}"/>
    <cellStyle name="Note 2 2 2 7 2" xfId="6968" xr:uid="{00000000-0005-0000-0000-0000BF200000}"/>
    <cellStyle name="Note 2 2 2 7 2 2" xfId="23866" xr:uid="{C6BE66CB-0DBD-44A1-8FA5-8782444CF7BE}"/>
    <cellStyle name="Note 2 2 2 7 2 3" xfId="15418" xr:uid="{832ED719-D8B0-483A-B757-735ADF24CC65}"/>
    <cellStyle name="Note 2 2 2 7 3" xfId="19648" xr:uid="{37D8FB77-8BF5-4999-9B9C-A8FED7262B3C}"/>
    <cellStyle name="Note 2 2 2 7 4" xfId="11200" xr:uid="{0C3BEA03-2419-4819-A037-6735420297EE}"/>
    <cellStyle name="Note 2 2 2 8" xfId="2744" xr:uid="{00000000-0005-0000-0000-0000C0200000}"/>
    <cellStyle name="Note 2 2 2 9" xfId="2825" xr:uid="{00000000-0005-0000-0000-0000C1200000}"/>
    <cellStyle name="Note 2 2 2 9 2" xfId="7048" xr:uid="{00000000-0005-0000-0000-0000C2200000}"/>
    <cellStyle name="Note 2 2 2 9 2 2" xfId="23946" xr:uid="{6FB436B5-1791-4FA3-BA67-37E9E2D33958}"/>
    <cellStyle name="Note 2 2 2 9 2 3" xfId="15498" xr:uid="{A339144B-726A-4163-976E-12590E5E51BC}"/>
    <cellStyle name="Note 2 2 2 9 3" xfId="19728" xr:uid="{44CAFCCB-51E8-4C2E-AF34-229111509815}"/>
    <cellStyle name="Note 2 2 2 9 4" xfId="11280" xr:uid="{08B56417-D8EF-4E6A-9B68-39021E24FDAD}"/>
    <cellStyle name="Note 2 2 3" xfId="548" xr:uid="{00000000-0005-0000-0000-0000C3200000}"/>
    <cellStyle name="Note 2 2 3 10" xfId="17585" xr:uid="{E8DE4BA4-EE11-464A-B4DF-A03E176B7B93}"/>
    <cellStyle name="Note 2 2 3 11" xfId="9137" xr:uid="{9E6D036A-7933-4691-8F0F-816BF9437EDB}"/>
    <cellStyle name="Note 2 2 3 2" xfId="1009" xr:uid="{00000000-0005-0000-0000-0000C4200000}"/>
    <cellStyle name="Note 2 2 3 2 2" xfId="3241" xr:uid="{00000000-0005-0000-0000-0000C5200000}"/>
    <cellStyle name="Note 2 2 3 2 2 2" xfId="7463" xr:uid="{00000000-0005-0000-0000-0000C6200000}"/>
    <cellStyle name="Note 2 2 3 2 2 2 2" xfId="24361" xr:uid="{5D8A3CFD-C6AA-4CBD-8EA6-ADA161CCB639}"/>
    <cellStyle name="Note 2 2 3 2 2 2 3" xfId="15913" xr:uid="{BEA962FE-F51E-43AD-88DF-69654B49C136}"/>
    <cellStyle name="Note 2 2 3 2 2 3" xfId="20143" xr:uid="{2FD33DDE-B18E-4A70-93CA-95A93171DB38}"/>
    <cellStyle name="Note 2 2 3 2 2 4" xfId="11695" xr:uid="{E8EFEEC5-0BD3-4A56-BC53-2453B0CB6FDC}"/>
    <cellStyle name="Note 2 2 3 2 3" xfId="5318" xr:uid="{00000000-0005-0000-0000-0000C7200000}"/>
    <cellStyle name="Note 2 2 3 2 3 2" xfId="22216" xr:uid="{6C4F4F9F-3C36-482F-92DC-B7214385682E}"/>
    <cellStyle name="Note 2 2 3 2 3 3" xfId="13768" xr:uid="{FB0D22D0-50EA-4BEB-9764-FFFBA034D0F7}"/>
    <cellStyle name="Note 2 2 3 2 4" xfId="17998" xr:uid="{10C0C0F9-4D76-4F85-8C20-1C889B2DD893}"/>
    <cellStyle name="Note 2 2 3 2 5" xfId="9550" xr:uid="{F37547BB-8666-45E7-AF3C-78C9CF8AA7B6}"/>
    <cellStyle name="Note 2 2 3 3" xfId="1424" xr:uid="{00000000-0005-0000-0000-0000C8200000}"/>
    <cellStyle name="Note 2 2 3 3 2" xfId="3654" xr:uid="{00000000-0005-0000-0000-0000C9200000}"/>
    <cellStyle name="Note 2 2 3 3 2 2" xfId="7876" xr:uid="{00000000-0005-0000-0000-0000CA200000}"/>
    <cellStyle name="Note 2 2 3 3 2 2 2" xfId="24774" xr:uid="{8E3780EA-8E4C-4ABF-AF44-2ACB4DE34D9B}"/>
    <cellStyle name="Note 2 2 3 3 2 2 3" xfId="16326" xr:uid="{1000E7F0-153A-4FCD-8997-D6950CDDC95E}"/>
    <cellStyle name="Note 2 2 3 3 2 3" xfId="20556" xr:uid="{EC722EBF-538B-4AEC-B4E3-56D0B7820EE0}"/>
    <cellStyle name="Note 2 2 3 3 2 4" xfId="12108" xr:uid="{96481EA6-F286-4EEC-B8FD-E55E211D00C1}"/>
    <cellStyle name="Note 2 2 3 3 3" xfId="5731" xr:uid="{00000000-0005-0000-0000-0000CB200000}"/>
    <cellStyle name="Note 2 2 3 3 3 2" xfId="22629" xr:uid="{8234A316-B53F-446D-9C58-BF71DA8E0854}"/>
    <cellStyle name="Note 2 2 3 3 3 3" xfId="14181" xr:uid="{8F84B3E0-73FC-4C92-97F8-78D37927BF70}"/>
    <cellStyle name="Note 2 2 3 3 4" xfId="18411" xr:uid="{D98AEB05-615B-4051-87CB-9C219747F646}"/>
    <cellStyle name="Note 2 2 3 3 5" xfId="9963" xr:uid="{BF651DCB-F525-48B0-A0E3-7939A70DF225}"/>
    <cellStyle name="Note 2 2 3 4" xfId="1838" xr:uid="{00000000-0005-0000-0000-0000CC200000}"/>
    <cellStyle name="Note 2 2 3 4 2" xfId="4067" xr:uid="{00000000-0005-0000-0000-0000CD200000}"/>
    <cellStyle name="Note 2 2 3 4 2 2" xfId="8289" xr:uid="{00000000-0005-0000-0000-0000CE200000}"/>
    <cellStyle name="Note 2 2 3 4 2 2 2" xfId="25187" xr:uid="{D652C84D-310D-43D7-8995-B61FD7ED4867}"/>
    <cellStyle name="Note 2 2 3 4 2 2 3" xfId="16739" xr:uid="{422922CA-D558-480F-8B87-BC9AAD823C6B}"/>
    <cellStyle name="Note 2 2 3 4 2 3" xfId="20969" xr:uid="{B0524A61-E1B3-4460-AEDE-6E2B43A09468}"/>
    <cellStyle name="Note 2 2 3 4 2 4" xfId="12521" xr:uid="{80E3D290-74B9-49C9-A3C3-8D017D2D96E3}"/>
    <cellStyle name="Note 2 2 3 4 3" xfId="6144" xr:uid="{00000000-0005-0000-0000-0000CF200000}"/>
    <cellStyle name="Note 2 2 3 4 3 2" xfId="23042" xr:uid="{8E8CE136-3123-4141-832B-8CD1881A9688}"/>
    <cellStyle name="Note 2 2 3 4 3 3" xfId="14594" xr:uid="{B89383B9-6089-48D5-902E-EB76D8128D6D}"/>
    <cellStyle name="Note 2 2 3 4 4" xfId="18824" xr:uid="{8EA50532-E0DF-428D-A7C7-2795B18228D8}"/>
    <cellStyle name="Note 2 2 3 4 5" xfId="10376" xr:uid="{E978C58C-BC77-46B1-9322-F5164EE7F06E}"/>
    <cellStyle name="Note 2 2 3 5" xfId="2251" xr:uid="{00000000-0005-0000-0000-0000D0200000}"/>
    <cellStyle name="Note 2 2 3 5 2" xfId="4480" xr:uid="{00000000-0005-0000-0000-0000D1200000}"/>
    <cellStyle name="Note 2 2 3 5 2 2" xfId="8702" xr:uid="{00000000-0005-0000-0000-0000D2200000}"/>
    <cellStyle name="Note 2 2 3 5 2 2 2" xfId="25600" xr:uid="{E9FE4601-EA80-45A2-8041-4056360E03F6}"/>
    <cellStyle name="Note 2 2 3 5 2 2 3" xfId="17152" xr:uid="{C558E888-B01F-4FC6-A375-E552A437981E}"/>
    <cellStyle name="Note 2 2 3 5 2 3" xfId="21382" xr:uid="{B3C609EC-B2E3-47B8-95C7-53B8DFBE2384}"/>
    <cellStyle name="Note 2 2 3 5 2 4" xfId="12934" xr:uid="{DE99F457-2A2C-4B8C-82E4-63ADD6AF8CA7}"/>
    <cellStyle name="Note 2 2 3 5 3" xfId="6557" xr:uid="{00000000-0005-0000-0000-0000D3200000}"/>
    <cellStyle name="Note 2 2 3 5 3 2" xfId="23455" xr:uid="{0290F613-A808-4A2D-A8F3-1366280F69A5}"/>
    <cellStyle name="Note 2 2 3 5 3 3" xfId="15007" xr:uid="{11F0FC33-6C94-4AC7-B76B-56A3F019CF02}"/>
    <cellStyle name="Note 2 2 3 5 4" xfId="19237" xr:uid="{C5E65380-E833-4E88-BA0F-D9A2AB0EB199}"/>
    <cellStyle name="Note 2 2 3 5 5" xfId="10789" xr:uid="{F9809B85-5D8A-413E-8108-8E53B3626503}"/>
    <cellStyle name="Note 2 2 3 6" xfId="2687" xr:uid="{00000000-0005-0000-0000-0000D4200000}"/>
    <cellStyle name="Note 2 2 3 6 2" xfId="6970" xr:uid="{00000000-0005-0000-0000-0000D5200000}"/>
    <cellStyle name="Note 2 2 3 6 2 2" xfId="23868" xr:uid="{AFFB0490-C498-4114-85FE-510326988FAF}"/>
    <cellStyle name="Note 2 2 3 6 2 3" xfId="15420" xr:uid="{401919F9-9455-42B7-AE58-EDC95A7EBC9C}"/>
    <cellStyle name="Note 2 2 3 6 3" xfId="19650" xr:uid="{8D5A4D70-35F5-4EAB-B588-C515D6484A21}"/>
    <cellStyle name="Note 2 2 3 6 4" xfId="11202" xr:uid="{B8AD28CB-9A85-4EA8-9C50-F2604A376AC9}"/>
    <cellStyle name="Note 2 2 3 7" xfId="2746" xr:uid="{00000000-0005-0000-0000-0000D6200000}"/>
    <cellStyle name="Note 2 2 3 8" xfId="2827" xr:uid="{00000000-0005-0000-0000-0000D7200000}"/>
    <cellStyle name="Note 2 2 3 8 2" xfId="7050" xr:uid="{00000000-0005-0000-0000-0000D8200000}"/>
    <cellStyle name="Note 2 2 3 8 2 2" xfId="23948" xr:uid="{3BDBD1B0-47A9-4186-9D45-604A6FCF7CFA}"/>
    <cellStyle name="Note 2 2 3 8 2 3" xfId="15500" xr:uid="{A2BE12D5-F9AE-4BAB-8BFD-4AFDACAD2E00}"/>
    <cellStyle name="Note 2 2 3 8 3" xfId="19730" xr:uid="{2B2EBEF0-7D6E-45E8-AA2E-5856C395E954}"/>
    <cellStyle name="Note 2 2 3 8 4" xfId="11282" xr:uid="{273E5D7A-C4CF-4E3B-A048-07570310CDF5}"/>
    <cellStyle name="Note 2 2 3 9" xfId="4905" xr:uid="{00000000-0005-0000-0000-0000D9200000}"/>
    <cellStyle name="Note 2 2 3 9 2" xfId="21803" xr:uid="{4CC01358-5D8A-41D0-8325-5E8944037CEE}"/>
    <cellStyle name="Note 2 2 3 9 3" xfId="13355" xr:uid="{5698136D-515F-40E7-9FDE-38914DCFD3DF}"/>
    <cellStyle name="Note 2 2 4" xfId="1006" xr:uid="{00000000-0005-0000-0000-0000DA200000}"/>
    <cellStyle name="Note 2 2 4 2" xfId="3238" xr:uid="{00000000-0005-0000-0000-0000DB200000}"/>
    <cellStyle name="Note 2 2 4 2 2" xfId="7460" xr:uid="{00000000-0005-0000-0000-0000DC200000}"/>
    <cellStyle name="Note 2 2 4 2 2 2" xfId="24358" xr:uid="{55EBEEFF-5328-47AC-9764-7A358D9E05C4}"/>
    <cellStyle name="Note 2 2 4 2 2 3" xfId="15910" xr:uid="{508F95D1-0BCC-4683-92B3-2AA4F490E3FC}"/>
    <cellStyle name="Note 2 2 4 2 3" xfId="20140" xr:uid="{D8AE311F-F935-4427-93C8-6B30DE9F3C73}"/>
    <cellStyle name="Note 2 2 4 2 4" xfId="11692" xr:uid="{7EAF2908-5C57-4DA4-8D7A-4E53166C96B5}"/>
    <cellStyle name="Note 2 2 4 3" xfId="5315" xr:uid="{00000000-0005-0000-0000-0000DD200000}"/>
    <cellStyle name="Note 2 2 4 3 2" xfId="22213" xr:uid="{9EE5E245-B529-40E8-9826-E2654A7BC5D0}"/>
    <cellStyle name="Note 2 2 4 3 3" xfId="13765" xr:uid="{60310478-3C7D-4551-A05D-F5BE0DE6CCBD}"/>
    <cellStyle name="Note 2 2 4 4" xfId="17995" xr:uid="{63431E54-3144-4276-848B-C2FB4082115A}"/>
    <cellStyle name="Note 2 2 4 5" xfId="9547" xr:uid="{962899F5-5FFD-417A-954A-616600839223}"/>
    <cellStyle name="Note 2 2 5" xfId="1421" xr:uid="{00000000-0005-0000-0000-0000DE200000}"/>
    <cellStyle name="Note 2 2 5 2" xfId="3651" xr:uid="{00000000-0005-0000-0000-0000DF200000}"/>
    <cellStyle name="Note 2 2 5 2 2" xfId="7873" xr:uid="{00000000-0005-0000-0000-0000E0200000}"/>
    <cellStyle name="Note 2 2 5 2 2 2" xfId="24771" xr:uid="{9DDBB855-C27F-4828-9FBC-7D925F6B712B}"/>
    <cellStyle name="Note 2 2 5 2 2 3" xfId="16323" xr:uid="{B0B0D861-C467-451E-9056-1384D626DF13}"/>
    <cellStyle name="Note 2 2 5 2 3" xfId="20553" xr:uid="{63B117AA-C912-47A0-BC60-700EACF21D09}"/>
    <cellStyle name="Note 2 2 5 2 4" xfId="12105" xr:uid="{AE00199C-355D-4B05-8AC4-04CCD2511ECC}"/>
    <cellStyle name="Note 2 2 5 3" xfId="5728" xr:uid="{00000000-0005-0000-0000-0000E1200000}"/>
    <cellStyle name="Note 2 2 5 3 2" xfId="22626" xr:uid="{025F3188-3C61-4BB4-8812-627D4D9CB009}"/>
    <cellStyle name="Note 2 2 5 3 3" xfId="14178" xr:uid="{800F3275-678C-4317-ABCC-B7326C715FFF}"/>
    <cellStyle name="Note 2 2 5 4" xfId="18408" xr:uid="{1C1CD62C-2229-4C75-90A6-A925A20A99B4}"/>
    <cellStyle name="Note 2 2 5 5" xfId="9960" xr:uid="{D0EAE774-C89E-4E66-B76D-7F110937C443}"/>
    <cellStyle name="Note 2 2 6" xfId="1835" xr:uid="{00000000-0005-0000-0000-0000E2200000}"/>
    <cellStyle name="Note 2 2 6 2" xfId="4064" xr:uid="{00000000-0005-0000-0000-0000E3200000}"/>
    <cellStyle name="Note 2 2 6 2 2" xfId="8286" xr:uid="{00000000-0005-0000-0000-0000E4200000}"/>
    <cellStyle name="Note 2 2 6 2 2 2" xfId="25184" xr:uid="{E4692DF7-B67B-41BC-AA81-6FFBDA0687F1}"/>
    <cellStyle name="Note 2 2 6 2 2 3" xfId="16736" xr:uid="{391B5A3D-AAFC-4C07-B6C7-75BC1F63393B}"/>
    <cellStyle name="Note 2 2 6 2 3" xfId="20966" xr:uid="{085BB0E9-5AB0-4A6F-961D-A7E9404295FC}"/>
    <cellStyle name="Note 2 2 6 2 4" xfId="12518" xr:uid="{EA6B9A03-2D5E-46F3-8D41-4EEEA423228A}"/>
    <cellStyle name="Note 2 2 6 3" xfId="6141" xr:uid="{00000000-0005-0000-0000-0000E5200000}"/>
    <cellStyle name="Note 2 2 6 3 2" xfId="23039" xr:uid="{63BCEE24-BFA3-404A-AA74-4189E6262351}"/>
    <cellStyle name="Note 2 2 6 3 3" xfId="14591" xr:uid="{7BB48D74-7A19-4BA2-AB6C-E4C0EF60CCCA}"/>
    <cellStyle name="Note 2 2 6 4" xfId="18821" xr:uid="{1C9A7E61-65AE-4393-BA50-C8F8235E1B8A}"/>
    <cellStyle name="Note 2 2 6 5" xfId="10373" xr:uid="{C8BF1D87-6A47-420B-98F6-B4D224019913}"/>
    <cellStyle name="Note 2 2 7" xfId="2248" xr:uid="{00000000-0005-0000-0000-0000E6200000}"/>
    <cellStyle name="Note 2 2 7 2" xfId="4477" xr:uid="{00000000-0005-0000-0000-0000E7200000}"/>
    <cellStyle name="Note 2 2 7 2 2" xfId="8699" xr:uid="{00000000-0005-0000-0000-0000E8200000}"/>
    <cellStyle name="Note 2 2 7 2 2 2" xfId="25597" xr:uid="{86205852-39F2-4FD7-8A65-CB32957A4ABF}"/>
    <cellStyle name="Note 2 2 7 2 2 3" xfId="17149" xr:uid="{4810379A-A8AA-4AA1-8F40-1A819E2FB77A}"/>
    <cellStyle name="Note 2 2 7 2 3" xfId="21379" xr:uid="{D91C255E-BEEA-48ED-A24F-24865FA7840C}"/>
    <cellStyle name="Note 2 2 7 2 4" xfId="12931" xr:uid="{BC67B968-2BBF-4B22-B187-CD696B11AD77}"/>
    <cellStyle name="Note 2 2 7 3" xfId="6554" xr:uid="{00000000-0005-0000-0000-0000E9200000}"/>
    <cellStyle name="Note 2 2 7 3 2" xfId="23452" xr:uid="{72D226F6-863A-4154-9AF8-CD07F3F692D6}"/>
    <cellStyle name="Note 2 2 7 3 3" xfId="15004" xr:uid="{55497F9C-3DFF-4BBE-BE60-A223F10F61CB}"/>
    <cellStyle name="Note 2 2 7 4" xfId="19234" xr:uid="{757BA7AE-BF69-4894-8909-E70806FA00E4}"/>
    <cellStyle name="Note 2 2 7 5" xfId="10786" xr:uid="{2AF0D9EE-341E-4B2E-88D2-475412A35FEE}"/>
    <cellStyle name="Note 2 2 8" xfId="2684" xr:uid="{00000000-0005-0000-0000-0000EA200000}"/>
    <cellStyle name="Note 2 2 8 2" xfId="6967" xr:uid="{00000000-0005-0000-0000-0000EB200000}"/>
    <cellStyle name="Note 2 2 8 2 2" xfId="23865" xr:uid="{44B5ABA8-7AA5-4FB6-AFB8-5B4162DA40EF}"/>
    <cellStyle name="Note 2 2 8 2 3" xfId="15417" xr:uid="{635F5B01-4D81-4C80-9688-693E420E1B2B}"/>
    <cellStyle name="Note 2 2 8 3" xfId="19647" xr:uid="{6B77DDF9-DEED-4CF7-874C-3C493FB80A48}"/>
    <cellStyle name="Note 2 2 8 4" xfId="11199" xr:uid="{274C676B-C8BE-43A4-B6F3-1E7AC12E07A3}"/>
    <cellStyle name="Note 2 2 9" xfId="2743" xr:uid="{00000000-0005-0000-0000-0000EC200000}"/>
    <cellStyle name="Note 2 3" xfId="549" xr:uid="{00000000-0005-0000-0000-0000ED200000}"/>
    <cellStyle name="Note 2 3 10" xfId="4906" xr:uid="{00000000-0005-0000-0000-0000EE200000}"/>
    <cellStyle name="Note 2 3 10 2" xfId="21804" xr:uid="{74C620CA-6B77-4E3A-9B86-25EE891BFC1D}"/>
    <cellStyle name="Note 2 3 10 3" xfId="13356" xr:uid="{2E63B415-69E6-4BC2-9977-571C44BCFD71}"/>
    <cellStyle name="Note 2 3 11" xfId="17586" xr:uid="{51B7CC46-57E7-44A9-8D08-C946C55C853B}"/>
    <cellStyle name="Note 2 3 12" xfId="9138" xr:uid="{31008FBE-A91D-4CF9-AFD3-CDD43884B166}"/>
    <cellStyle name="Note 2 3 2" xfId="550" xr:uid="{00000000-0005-0000-0000-0000EF200000}"/>
    <cellStyle name="Note 2 3 2 10" xfId="17587" xr:uid="{82D43642-6C64-4225-B43D-28AE693FF613}"/>
    <cellStyle name="Note 2 3 2 11" xfId="9139" xr:uid="{30123BF4-A684-4A7E-8B28-EAC140D7B785}"/>
    <cellStyle name="Note 2 3 2 2" xfId="1011" xr:uid="{00000000-0005-0000-0000-0000F0200000}"/>
    <cellStyle name="Note 2 3 2 2 2" xfId="3243" xr:uid="{00000000-0005-0000-0000-0000F1200000}"/>
    <cellStyle name="Note 2 3 2 2 2 2" xfId="7465" xr:uid="{00000000-0005-0000-0000-0000F2200000}"/>
    <cellStyle name="Note 2 3 2 2 2 2 2" xfId="24363" xr:uid="{944CCFB4-819F-4125-A84B-2EE0E7C06E1E}"/>
    <cellStyle name="Note 2 3 2 2 2 2 3" xfId="15915" xr:uid="{FB393D18-1BA5-49C3-AEE5-A1F6B26F5065}"/>
    <cellStyle name="Note 2 3 2 2 2 3" xfId="20145" xr:uid="{434D6BE7-28EF-4697-A371-9DFFCE037B99}"/>
    <cellStyle name="Note 2 3 2 2 2 4" xfId="11697" xr:uid="{757CBBD2-CB6C-46B0-9DF3-22CFE65BE192}"/>
    <cellStyle name="Note 2 3 2 2 3" xfId="5320" xr:uid="{00000000-0005-0000-0000-0000F3200000}"/>
    <cellStyle name="Note 2 3 2 2 3 2" xfId="22218" xr:uid="{92A10D62-649E-4354-A7B9-70EAF2302ADE}"/>
    <cellStyle name="Note 2 3 2 2 3 3" xfId="13770" xr:uid="{F58C6756-7C99-4EF4-9C43-AA41153BCB97}"/>
    <cellStyle name="Note 2 3 2 2 4" xfId="18000" xr:uid="{793C4778-552A-460D-A15E-B70742CA225F}"/>
    <cellStyle name="Note 2 3 2 2 5" xfId="9552" xr:uid="{8C81B826-69CB-4907-B1F3-E90145085F5A}"/>
    <cellStyle name="Note 2 3 2 3" xfId="1426" xr:uid="{00000000-0005-0000-0000-0000F4200000}"/>
    <cellStyle name="Note 2 3 2 3 2" xfId="3656" xr:uid="{00000000-0005-0000-0000-0000F5200000}"/>
    <cellStyle name="Note 2 3 2 3 2 2" xfId="7878" xr:uid="{00000000-0005-0000-0000-0000F6200000}"/>
    <cellStyle name="Note 2 3 2 3 2 2 2" xfId="24776" xr:uid="{A53699FC-EDAB-4321-BB40-F2DC391AA4A8}"/>
    <cellStyle name="Note 2 3 2 3 2 2 3" xfId="16328" xr:uid="{2369FDF0-E884-410B-B2B6-D4163BDBCEFC}"/>
    <cellStyle name="Note 2 3 2 3 2 3" xfId="20558" xr:uid="{3F033BB8-82A3-4593-BB7F-5CD72F690066}"/>
    <cellStyle name="Note 2 3 2 3 2 4" xfId="12110" xr:uid="{C4EA6309-D126-4927-861E-A2BAFE04B3B4}"/>
    <cellStyle name="Note 2 3 2 3 3" xfId="5733" xr:uid="{00000000-0005-0000-0000-0000F7200000}"/>
    <cellStyle name="Note 2 3 2 3 3 2" xfId="22631" xr:uid="{ABA443DD-600F-4148-BC0F-76B05A40D885}"/>
    <cellStyle name="Note 2 3 2 3 3 3" xfId="14183" xr:uid="{FCB87B64-77AE-4D6F-9F32-A827B27DCCC1}"/>
    <cellStyle name="Note 2 3 2 3 4" xfId="18413" xr:uid="{81955F98-4CF8-4BA2-ADD6-BD50AC6E0D69}"/>
    <cellStyle name="Note 2 3 2 3 5" xfId="9965" xr:uid="{75298776-B6BF-40B4-B16A-98FAA61AEEC2}"/>
    <cellStyle name="Note 2 3 2 4" xfId="1840" xr:uid="{00000000-0005-0000-0000-0000F8200000}"/>
    <cellStyle name="Note 2 3 2 4 2" xfId="4069" xr:uid="{00000000-0005-0000-0000-0000F9200000}"/>
    <cellStyle name="Note 2 3 2 4 2 2" xfId="8291" xr:uid="{00000000-0005-0000-0000-0000FA200000}"/>
    <cellStyle name="Note 2 3 2 4 2 2 2" xfId="25189" xr:uid="{78EE3790-EE4A-4E58-B6C7-B0E53D047D2D}"/>
    <cellStyle name="Note 2 3 2 4 2 2 3" xfId="16741" xr:uid="{D758795A-B974-49F3-9B11-082DCE41A193}"/>
    <cellStyle name="Note 2 3 2 4 2 3" xfId="20971" xr:uid="{84027D5C-4BEB-48A5-A748-8B6AA66DA903}"/>
    <cellStyle name="Note 2 3 2 4 2 4" xfId="12523" xr:uid="{4E1BD8C5-CB98-4A7F-A2EE-6F2D1DE443A4}"/>
    <cellStyle name="Note 2 3 2 4 3" xfId="6146" xr:uid="{00000000-0005-0000-0000-0000FB200000}"/>
    <cellStyle name="Note 2 3 2 4 3 2" xfId="23044" xr:uid="{26D1EB3A-8C36-42BC-AD58-5DA587E8A465}"/>
    <cellStyle name="Note 2 3 2 4 3 3" xfId="14596" xr:uid="{C05C66AF-99BC-4376-B24C-A3CE26C0E7F1}"/>
    <cellStyle name="Note 2 3 2 4 4" xfId="18826" xr:uid="{ADC3BB13-E8E3-44DA-86C9-598E254DC962}"/>
    <cellStyle name="Note 2 3 2 4 5" xfId="10378" xr:uid="{FACF6310-1CCB-4D4A-984E-2BDB025BB272}"/>
    <cellStyle name="Note 2 3 2 5" xfId="2253" xr:uid="{00000000-0005-0000-0000-0000FC200000}"/>
    <cellStyle name="Note 2 3 2 5 2" xfId="4482" xr:uid="{00000000-0005-0000-0000-0000FD200000}"/>
    <cellStyle name="Note 2 3 2 5 2 2" xfId="8704" xr:uid="{00000000-0005-0000-0000-0000FE200000}"/>
    <cellStyle name="Note 2 3 2 5 2 2 2" xfId="25602" xr:uid="{7202D1E2-712A-4EF3-BF34-CA2BE3A46EBC}"/>
    <cellStyle name="Note 2 3 2 5 2 2 3" xfId="17154" xr:uid="{9E01B527-E38A-4660-A23F-4B5127036CD2}"/>
    <cellStyle name="Note 2 3 2 5 2 3" xfId="21384" xr:uid="{7877D167-35C1-44A5-9B58-9A5A3989EFE3}"/>
    <cellStyle name="Note 2 3 2 5 2 4" xfId="12936" xr:uid="{D0162825-A578-43CD-B922-F311994747DE}"/>
    <cellStyle name="Note 2 3 2 5 3" xfId="6559" xr:uid="{00000000-0005-0000-0000-0000FF200000}"/>
    <cellStyle name="Note 2 3 2 5 3 2" xfId="23457" xr:uid="{E5F67343-B78B-4EC1-B5E1-9AF0E359084B}"/>
    <cellStyle name="Note 2 3 2 5 3 3" xfId="15009" xr:uid="{1719AD37-4C55-4398-9BF1-3C8F9F17C9BB}"/>
    <cellStyle name="Note 2 3 2 5 4" xfId="19239" xr:uid="{1E1B350C-07F9-4221-B084-BA030D2D8F8D}"/>
    <cellStyle name="Note 2 3 2 5 5" xfId="10791" xr:uid="{17D6B29E-992A-45DA-882F-6DA1D8C604D4}"/>
    <cellStyle name="Note 2 3 2 6" xfId="2689" xr:uid="{00000000-0005-0000-0000-000000210000}"/>
    <cellStyle name="Note 2 3 2 6 2" xfId="6972" xr:uid="{00000000-0005-0000-0000-000001210000}"/>
    <cellStyle name="Note 2 3 2 6 2 2" xfId="23870" xr:uid="{F192821D-68B7-4AA9-A22E-5AE8B5364C0A}"/>
    <cellStyle name="Note 2 3 2 6 2 3" xfId="15422" xr:uid="{93564D37-D14A-4664-8BAC-A73CED674181}"/>
    <cellStyle name="Note 2 3 2 6 3" xfId="19652" xr:uid="{1EF22278-9F16-4ABA-87A6-841EE6AA8163}"/>
    <cellStyle name="Note 2 3 2 6 4" xfId="11204" xr:uid="{6F54304A-C367-494C-9F92-415B0D2C3761}"/>
    <cellStyle name="Note 2 3 2 7" xfId="2748" xr:uid="{00000000-0005-0000-0000-000002210000}"/>
    <cellStyle name="Note 2 3 2 8" xfId="2829" xr:uid="{00000000-0005-0000-0000-000003210000}"/>
    <cellStyle name="Note 2 3 2 8 2" xfId="7052" xr:uid="{00000000-0005-0000-0000-000004210000}"/>
    <cellStyle name="Note 2 3 2 8 2 2" xfId="23950" xr:uid="{83BA00A9-5D0A-494C-B61E-C8A18BA82A8A}"/>
    <cellStyle name="Note 2 3 2 8 2 3" xfId="15502" xr:uid="{DFE8FD7D-04CE-462A-8701-E407CD05B3DF}"/>
    <cellStyle name="Note 2 3 2 8 3" xfId="19732" xr:uid="{BD9A7D9D-226A-42E0-8BC7-1B9AAA8F806F}"/>
    <cellStyle name="Note 2 3 2 8 4" xfId="11284" xr:uid="{38864351-CA79-4493-AC76-C28DD6386F4B}"/>
    <cellStyle name="Note 2 3 2 9" xfId="4907" xr:uid="{00000000-0005-0000-0000-000005210000}"/>
    <cellStyle name="Note 2 3 2 9 2" xfId="21805" xr:uid="{3A27CF0F-3A58-4850-B197-F9536AEB402D}"/>
    <cellStyle name="Note 2 3 2 9 3" xfId="13357" xr:uid="{F97D8542-0AB6-4EF3-AD30-2D1475E51CE0}"/>
    <cellStyle name="Note 2 3 3" xfId="1010" xr:uid="{00000000-0005-0000-0000-000006210000}"/>
    <cellStyle name="Note 2 3 3 2" xfId="3242" xr:uid="{00000000-0005-0000-0000-000007210000}"/>
    <cellStyle name="Note 2 3 3 2 2" xfId="7464" xr:uid="{00000000-0005-0000-0000-000008210000}"/>
    <cellStyle name="Note 2 3 3 2 2 2" xfId="24362" xr:uid="{A25418AD-5846-4FD2-AA33-2BD25F0C9AF9}"/>
    <cellStyle name="Note 2 3 3 2 2 3" xfId="15914" xr:uid="{8FC35554-2562-4566-B53A-31B7BA09A95C}"/>
    <cellStyle name="Note 2 3 3 2 3" xfId="20144" xr:uid="{F63669CF-269C-47C9-BDD5-CB820901446B}"/>
    <cellStyle name="Note 2 3 3 2 4" xfId="11696" xr:uid="{510414C1-0E8E-4C6E-BE5E-58C595016139}"/>
    <cellStyle name="Note 2 3 3 3" xfId="5319" xr:uid="{00000000-0005-0000-0000-000009210000}"/>
    <cellStyle name="Note 2 3 3 3 2" xfId="22217" xr:uid="{66954BF1-6C1A-409D-A55C-6EB8F6392508}"/>
    <cellStyle name="Note 2 3 3 3 3" xfId="13769" xr:uid="{A244176B-DE2F-428E-A14B-EF172B1B88F5}"/>
    <cellStyle name="Note 2 3 3 4" xfId="17999" xr:uid="{08182778-C488-47A5-A14D-8D76CB55E2D1}"/>
    <cellStyle name="Note 2 3 3 5" xfId="9551" xr:uid="{A90AC769-4BA2-49D1-905B-AA1F391739D1}"/>
    <cellStyle name="Note 2 3 4" xfId="1425" xr:uid="{00000000-0005-0000-0000-00000A210000}"/>
    <cellStyle name="Note 2 3 4 2" xfId="3655" xr:uid="{00000000-0005-0000-0000-00000B210000}"/>
    <cellStyle name="Note 2 3 4 2 2" xfId="7877" xr:uid="{00000000-0005-0000-0000-00000C210000}"/>
    <cellStyle name="Note 2 3 4 2 2 2" xfId="24775" xr:uid="{55C8C7E3-CC2D-4BCE-9565-389DCC46926E}"/>
    <cellStyle name="Note 2 3 4 2 2 3" xfId="16327" xr:uid="{5E17E7AE-5EC9-4ED5-95BB-80AB65A99DAE}"/>
    <cellStyle name="Note 2 3 4 2 3" xfId="20557" xr:uid="{027B9105-BD11-4395-AAA4-1ECA552E7058}"/>
    <cellStyle name="Note 2 3 4 2 4" xfId="12109" xr:uid="{58E440DA-1657-4D58-8C95-B3D018CE6D0F}"/>
    <cellStyle name="Note 2 3 4 3" xfId="5732" xr:uid="{00000000-0005-0000-0000-00000D210000}"/>
    <cellStyle name="Note 2 3 4 3 2" xfId="22630" xr:uid="{94EF2D3C-A82B-4C90-8476-D7CD8FEB7716}"/>
    <cellStyle name="Note 2 3 4 3 3" xfId="14182" xr:uid="{3A37644F-6433-48EE-8B89-B5FFD62D060D}"/>
    <cellStyle name="Note 2 3 4 4" xfId="18412" xr:uid="{6197478E-D3BC-44A2-B293-617FCE2E2BBF}"/>
    <cellStyle name="Note 2 3 4 5" xfId="9964" xr:uid="{F069FDAA-1A1A-40B6-A884-FD470DAB4C56}"/>
    <cellStyle name="Note 2 3 5" xfId="1839" xr:uid="{00000000-0005-0000-0000-00000E210000}"/>
    <cellStyle name="Note 2 3 5 2" xfId="4068" xr:uid="{00000000-0005-0000-0000-00000F210000}"/>
    <cellStyle name="Note 2 3 5 2 2" xfId="8290" xr:uid="{00000000-0005-0000-0000-000010210000}"/>
    <cellStyle name="Note 2 3 5 2 2 2" xfId="25188" xr:uid="{3032001A-CA50-4A5C-BAFE-939EF8E46251}"/>
    <cellStyle name="Note 2 3 5 2 2 3" xfId="16740" xr:uid="{F1B2A863-09D4-4027-94E4-68C434F15A74}"/>
    <cellStyle name="Note 2 3 5 2 3" xfId="20970" xr:uid="{22ED1C09-FDD7-49BE-909C-275AA697C071}"/>
    <cellStyle name="Note 2 3 5 2 4" xfId="12522" xr:uid="{1220B31E-C3B2-4CEC-89C9-AED726EA00BC}"/>
    <cellStyle name="Note 2 3 5 3" xfId="6145" xr:uid="{00000000-0005-0000-0000-000011210000}"/>
    <cellStyle name="Note 2 3 5 3 2" xfId="23043" xr:uid="{92546F09-D8AC-4D66-9EE5-56B5ACAEF0A7}"/>
    <cellStyle name="Note 2 3 5 3 3" xfId="14595" xr:uid="{74CDCEA1-C055-4ADA-A23E-3946BB6D0B16}"/>
    <cellStyle name="Note 2 3 5 4" xfId="18825" xr:uid="{20A59316-F3D6-40BC-B536-CF0D27EB3A68}"/>
    <cellStyle name="Note 2 3 5 5" xfId="10377" xr:uid="{FF0421BE-4443-4D20-A6DA-C1EB09A5FB48}"/>
    <cellStyle name="Note 2 3 6" xfId="2252" xr:uid="{00000000-0005-0000-0000-000012210000}"/>
    <cellStyle name="Note 2 3 6 2" xfId="4481" xr:uid="{00000000-0005-0000-0000-000013210000}"/>
    <cellStyle name="Note 2 3 6 2 2" xfId="8703" xr:uid="{00000000-0005-0000-0000-000014210000}"/>
    <cellStyle name="Note 2 3 6 2 2 2" xfId="25601" xr:uid="{18630853-FEB2-4616-B6C9-C7EA663A7E71}"/>
    <cellStyle name="Note 2 3 6 2 2 3" xfId="17153" xr:uid="{6BCAFDA5-F81E-47C1-A01B-74F028E13822}"/>
    <cellStyle name="Note 2 3 6 2 3" xfId="21383" xr:uid="{AA05FFBC-05BF-43F9-969E-E14D4DEA51F8}"/>
    <cellStyle name="Note 2 3 6 2 4" xfId="12935" xr:uid="{2BD78F0A-6734-4302-A19E-872E9AD7C0BB}"/>
    <cellStyle name="Note 2 3 6 3" xfId="6558" xr:uid="{00000000-0005-0000-0000-000015210000}"/>
    <cellStyle name="Note 2 3 6 3 2" xfId="23456" xr:uid="{C28666C9-4686-48E0-9684-5E2BC3B3676B}"/>
    <cellStyle name="Note 2 3 6 3 3" xfId="15008" xr:uid="{971B0106-6405-47D0-846A-621BB0D5B300}"/>
    <cellStyle name="Note 2 3 6 4" xfId="19238" xr:uid="{CCE24432-E493-486B-93E4-7D4D65A55D46}"/>
    <cellStyle name="Note 2 3 6 5" xfId="10790" xr:uid="{E685CA79-B166-4D6D-8F00-E8F62FA0557F}"/>
    <cellStyle name="Note 2 3 7" xfId="2688" xr:uid="{00000000-0005-0000-0000-000016210000}"/>
    <cellStyle name="Note 2 3 7 2" xfId="6971" xr:uid="{00000000-0005-0000-0000-000017210000}"/>
    <cellStyle name="Note 2 3 7 2 2" xfId="23869" xr:uid="{56F6C326-4DEF-4C94-9275-4B0DFEA37164}"/>
    <cellStyle name="Note 2 3 7 2 3" xfId="15421" xr:uid="{25FAF7C2-89F8-4A1E-954F-D4A3C3CBCE65}"/>
    <cellStyle name="Note 2 3 7 3" xfId="19651" xr:uid="{79455D6B-AB8C-409A-852E-6E188A57E0D5}"/>
    <cellStyle name="Note 2 3 7 4" xfId="11203" xr:uid="{01A8B03B-0727-4147-8D54-7531807838C1}"/>
    <cellStyle name="Note 2 3 8" xfId="2747" xr:uid="{00000000-0005-0000-0000-000018210000}"/>
    <cellStyle name="Note 2 3 9" xfId="2828" xr:uid="{00000000-0005-0000-0000-000019210000}"/>
    <cellStyle name="Note 2 3 9 2" xfId="7051" xr:uid="{00000000-0005-0000-0000-00001A210000}"/>
    <cellStyle name="Note 2 3 9 2 2" xfId="23949" xr:uid="{754381A0-F8DA-471D-9ECF-CA8E710D2365}"/>
    <cellStyle name="Note 2 3 9 2 3" xfId="15501" xr:uid="{1FE1F7B9-5449-4F9E-A1C6-24B47D461F44}"/>
    <cellStyle name="Note 2 3 9 3" xfId="19731" xr:uid="{B1AE7597-079A-471C-8FAB-0350AAFFAB17}"/>
    <cellStyle name="Note 2 3 9 4" xfId="11283" xr:uid="{772FEABC-E186-495D-8E4E-ECF05AA8CFEA}"/>
    <cellStyle name="Note 2 4" xfId="551" xr:uid="{00000000-0005-0000-0000-00001B210000}"/>
    <cellStyle name="Note 2 4 10" xfId="17588" xr:uid="{A6D5B5F7-D316-40E8-8587-270660B9342A}"/>
    <cellStyle name="Note 2 4 11" xfId="9140" xr:uid="{8F60EFA0-40B1-48E5-894F-E7F2F0C0C4AB}"/>
    <cellStyle name="Note 2 4 2" xfId="1012" xr:uid="{00000000-0005-0000-0000-00001C210000}"/>
    <cellStyle name="Note 2 4 2 2" xfId="3244" xr:uid="{00000000-0005-0000-0000-00001D210000}"/>
    <cellStyle name="Note 2 4 2 2 2" xfId="7466" xr:uid="{00000000-0005-0000-0000-00001E210000}"/>
    <cellStyle name="Note 2 4 2 2 2 2" xfId="24364" xr:uid="{44C91681-4570-40DB-8085-C3FFBDFE2E8F}"/>
    <cellStyle name="Note 2 4 2 2 2 3" xfId="15916" xr:uid="{BAD8DF57-ACC3-4BBD-A74F-37819DC63533}"/>
    <cellStyle name="Note 2 4 2 2 3" xfId="20146" xr:uid="{B611C8AC-4588-461D-8C65-3ABEB2E67FD8}"/>
    <cellStyle name="Note 2 4 2 2 4" xfId="11698" xr:uid="{DBBBAFF6-45D6-424D-96E1-D425528D1E5C}"/>
    <cellStyle name="Note 2 4 2 3" xfId="5321" xr:uid="{00000000-0005-0000-0000-00001F210000}"/>
    <cellStyle name="Note 2 4 2 3 2" xfId="22219" xr:uid="{9410E668-CF77-4445-AB02-104E44B1E0C8}"/>
    <cellStyle name="Note 2 4 2 3 3" xfId="13771" xr:uid="{AE3E1F68-37A2-457A-B0F0-8DFF5063CAE1}"/>
    <cellStyle name="Note 2 4 2 4" xfId="18001" xr:uid="{D4B8F102-AB04-49B5-868A-C44FFA07881D}"/>
    <cellStyle name="Note 2 4 2 5" xfId="9553" xr:uid="{DC427D8F-3409-4276-B793-424EFB577305}"/>
    <cellStyle name="Note 2 4 3" xfId="1427" xr:uid="{00000000-0005-0000-0000-000020210000}"/>
    <cellStyle name="Note 2 4 3 2" xfId="3657" xr:uid="{00000000-0005-0000-0000-000021210000}"/>
    <cellStyle name="Note 2 4 3 2 2" xfId="7879" xr:uid="{00000000-0005-0000-0000-000022210000}"/>
    <cellStyle name="Note 2 4 3 2 2 2" xfId="24777" xr:uid="{05EABBFA-5670-4736-9003-DDC5E976ED4B}"/>
    <cellStyle name="Note 2 4 3 2 2 3" xfId="16329" xr:uid="{6D12370F-90A2-4872-BC3C-0CC4F8F70A95}"/>
    <cellStyle name="Note 2 4 3 2 3" xfId="20559" xr:uid="{D87C6D37-1C2C-4D78-B3A3-419A1E2BC887}"/>
    <cellStyle name="Note 2 4 3 2 4" xfId="12111" xr:uid="{4E2FD673-C440-43A3-A0AA-77E555A721E9}"/>
    <cellStyle name="Note 2 4 3 3" xfId="5734" xr:uid="{00000000-0005-0000-0000-000023210000}"/>
    <cellStyle name="Note 2 4 3 3 2" xfId="22632" xr:uid="{8E5FC2DC-F86E-4AB4-963D-D09960715894}"/>
    <cellStyle name="Note 2 4 3 3 3" xfId="14184" xr:uid="{3CD15640-1310-4713-AACA-06BF4FAEDC66}"/>
    <cellStyle name="Note 2 4 3 4" xfId="18414" xr:uid="{813DB6DC-A8F3-43E7-A416-18A17BF1AF6A}"/>
    <cellStyle name="Note 2 4 3 5" xfId="9966" xr:uid="{D5DD771C-4952-4033-9A6A-19CBE1424041}"/>
    <cellStyle name="Note 2 4 4" xfId="1841" xr:uid="{00000000-0005-0000-0000-000024210000}"/>
    <cellStyle name="Note 2 4 4 2" xfId="4070" xr:uid="{00000000-0005-0000-0000-000025210000}"/>
    <cellStyle name="Note 2 4 4 2 2" xfId="8292" xr:uid="{00000000-0005-0000-0000-000026210000}"/>
    <cellStyle name="Note 2 4 4 2 2 2" xfId="25190" xr:uid="{E9F0AD8C-D7C5-4DB7-B4EB-BE697FAE8F3A}"/>
    <cellStyle name="Note 2 4 4 2 2 3" xfId="16742" xr:uid="{CCD44064-B472-4CBE-AE10-197DF20E6D7D}"/>
    <cellStyle name="Note 2 4 4 2 3" xfId="20972" xr:uid="{B4B91997-8E75-4ECF-B089-3C4768DCB616}"/>
    <cellStyle name="Note 2 4 4 2 4" xfId="12524" xr:uid="{5B03A921-B13C-4029-B26F-CBD1F3900319}"/>
    <cellStyle name="Note 2 4 4 3" xfId="6147" xr:uid="{00000000-0005-0000-0000-000027210000}"/>
    <cellStyle name="Note 2 4 4 3 2" xfId="23045" xr:uid="{A7F6DE43-FCD1-4027-A770-743E3057918B}"/>
    <cellStyle name="Note 2 4 4 3 3" xfId="14597" xr:uid="{6649C3C2-77EE-4052-8B65-37A7674DB645}"/>
    <cellStyle name="Note 2 4 4 4" xfId="18827" xr:uid="{54B9DB33-3113-4809-89C3-E69AB861EC76}"/>
    <cellStyle name="Note 2 4 4 5" xfId="10379" xr:uid="{DBAE30C0-D062-48B7-830B-C6E4ABF2A357}"/>
    <cellStyle name="Note 2 4 5" xfId="2254" xr:uid="{00000000-0005-0000-0000-000028210000}"/>
    <cellStyle name="Note 2 4 5 2" xfId="4483" xr:uid="{00000000-0005-0000-0000-000029210000}"/>
    <cellStyle name="Note 2 4 5 2 2" xfId="8705" xr:uid="{00000000-0005-0000-0000-00002A210000}"/>
    <cellStyle name="Note 2 4 5 2 2 2" xfId="25603" xr:uid="{3DE5BB97-7E43-4422-A325-57D9AB3C7080}"/>
    <cellStyle name="Note 2 4 5 2 2 3" xfId="17155" xr:uid="{BD5D5CB3-0B39-4E06-811B-0DD2C6C7B14B}"/>
    <cellStyle name="Note 2 4 5 2 3" xfId="21385" xr:uid="{825B62E4-CA05-4ABD-B4A1-F6EC6AA5B9C7}"/>
    <cellStyle name="Note 2 4 5 2 4" xfId="12937" xr:uid="{66D7B871-5455-4F72-BF4A-82585C7FE0DB}"/>
    <cellStyle name="Note 2 4 5 3" xfId="6560" xr:uid="{00000000-0005-0000-0000-00002B210000}"/>
    <cellStyle name="Note 2 4 5 3 2" xfId="23458" xr:uid="{FCC6FA08-270F-4CDD-A53A-EDA5E5CC596A}"/>
    <cellStyle name="Note 2 4 5 3 3" xfId="15010" xr:uid="{EFC94B88-8310-4A73-A5CA-BFAC100BDAFB}"/>
    <cellStyle name="Note 2 4 5 4" xfId="19240" xr:uid="{AA61677A-EC16-4AD2-BCBD-98538A09137C}"/>
    <cellStyle name="Note 2 4 5 5" xfId="10792" xr:uid="{E6BC3523-65CA-4768-B4F0-243AED258415}"/>
    <cellStyle name="Note 2 4 6" xfId="2690" xr:uid="{00000000-0005-0000-0000-00002C210000}"/>
    <cellStyle name="Note 2 4 6 2" xfId="6973" xr:uid="{00000000-0005-0000-0000-00002D210000}"/>
    <cellStyle name="Note 2 4 6 2 2" xfId="23871" xr:uid="{1A43B21D-9A0E-4DA2-AD82-298AB4CEE204}"/>
    <cellStyle name="Note 2 4 6 2 3" xfId="15423" xr:uid="{F88EC941-E39E-4C1C-A0B3-CF30D36F9075}"/>
    <cellStyle name="Note 2 4 6 3" xfId="19653" xr:uid="{EBB55F80-BD28-478C-BF7B-5F2763FB614D}"/>
    <cellStyle name="Note 2 4 6 4" xfId="11205" xr:uid="{76D663A2-2CBE-4B58-97B5-882BE5205939}"/>
    <cellStyle name="Note 2 4 7" xfId="2749" xr:uid="{00000000-0005-0000-0000-00002E210000}"/>
    <cellStyle name="Note 2 4 8" xfId="2830" xr:uid="{00000000-0005-0000-0000-00002F210000}"/>
    <cellStyle name="Note 2 4 8 2" xfId="7053" xr:uid="{00000000-0005-0000-0000-000030210000}"/>
    <cellStyle name="Note 2 4 8 2 2" xfId="23951" xr:uid="{0098C85D-7D2F-4730-A85F-441C2E15D5FD}"/>
    <cellStyle name="Note 2 4 8 2 3" xfId="15503" xr:uid="{EDF0DD9B-22BF-428D-B201-8064DFE9C689}"/>
    <cellStyle name="Note 2 4 8 3" xfId="19733" xr:uid="{0D912DC4-187E-40CC-A503-323AB214F3A1}"/>
    <cellStyle name="Note 2 4 8 4" xfId="11285" xr:uid="{1FEBF393-3999-464B-9EBE-CB20BCDBB1E7}"/>
    <cellStyle name="Note 2 4 9" xfId="4908" xr:uid="{00000000-0005-0000-0000-000031210000}"/>
    <cellStyle name="Note 2 4 9 2" xfId="21806" xr:uid="{2F2CDC60-24A4-4A39-8CB2-CCC643619C9C}"/>
    <cellStyle name="Note 2 4 9 3" xfId="13358" xr:uid="{87ABB3D0-48FE-44EF-8C94-99B15E5393E3}"/>
    <cellStyle name="Note 2 5" xfId="552" xr:uid="{00000000-0005-0000-0000-000032210000}"/>
    <cellStyle name="Note 2 5 10" xfId="17589" xr:uid="{A55DFCA5-9163-41E1-AEE0-7F66FD91ADD5}"/>
    <cellStyle name="Note 2 5 11" xfId="9141" xr:uid="{19C6AADB-AC88-49F9-B784-EFB049D76CCA}"/>
    <cellStyle name="Note 2 5 2" xfId="1013" xr:uid="{00000000-0005-0000-0000-000033210000}"/>
    <cellStyle name="Note 2 5 2 2" xfId="3245" xr:uid="{00000000-0005-0000-0000-000034210000}"/>
    <cellStyle name="Note 2 5 2 2 2" xfId="7467" xr:uid="{00000000-0005-0000-0000-000035210000}"/>
    <cellStyle name="Note 2 5 2 2 2 2" xfId="24365" xr:uid="{78AF6802-5FB8-432F-9482-1913377706D7}"/>
    <cellStyle name="Note 2 5 2 2 2 3" xfId="15917" xr:uid="{65AD725E-0AB8-484E-A29F-DA59C1BC0451}"/>
    <cellStyle name="Note 2 5 2 2 3" xfId="20147" xr:uid="{C15CEA5D-6C2C-4806-A383-2871C05A2AE0}"/>
    <cellStyle name="Note 2 5 2 2 4" xfId="11699" xr:uid="{FFDFADF9-1C28-49A1-938F-1B650E5FFDA1}"/>
    <cellStyle name="Note 2 5 2 3" xfId="5322" xr:uid="{00000000-0005-0000-0000-000036210000}"/>
    <cellStyle name="Note 2 5 2 3 2" xfId="22220" xr:uid="{0D75C311-48E4-4941-BE9D-8B0D528F6EAD}"/>
    <cellStyle name="Note 2 5 2 3 3" xfId="13772" xr:uid="{805771BF-F12B-47BE-94B0-1250F7687D3C}"/>
    <cellStyle name="Note 2 5 2 4" xfId="18002" xr:uid="{E7E7A000-2F73-45F9-BA1B-DB2E13C68327}"/>
    <cellStyle name="Note 2 5 2 5" xfId="9554" xr:uid="{86990929-2A7B-4CB5-9C12-ABFB7E31FC93}"/>
    <cellStyle name="Note 2 5 3" xfId="1428" xr:uid="{00000000-0005-0000-0000-000037210000}"/>
    <cellStyle name="Note 2 5 3 2" xfId="3658" xr:uid="{00000000-0005-0000-0000-000038210000}"/>
    <cellStyle name="Note 2 5 3 2 2" xfId="7880" xr:uid="{00000000-0005-0000-0000-000039210000}"/>
    <cellStyle name="Note 2 5 3 2 2 2" xfId="24778" xr:uid="{85A62E6E-0917-408B-99B1-0EC3862BDEF2}"/>
    <cellStyle name="Note 2 5 3 2 2 3" xfId="16330" xr:uid="{0F9CC186-7C65-42A2-BA65-4863D62C21B6}"/>
    <cellStyle name="Note 2 5 3 2 3" xfId="20560" xr:uid="{E8D9B410-1623-4717-AD3E-9FB597D37A05}"/>
    <cellStyle name="Note 2 5 3 2 4" xfId="12112" xr:uid="{A025C18A-DA79-431F-BDB0-FE98BE4F2891}"/>
    <cellStyle name="Note 2 5 3 3" xfId="5735" xr:uid="{00000000-0005-0000-0000-00003A210000}"/>
    <cellStyle name="Note 2 5 3 3 2" xfId="22633" xr:uid="{A08B93E2-6B13-4D77-AA53-AE78778454F7}"/>
    <cellStyle name="Note 2 5 3 3 3" xfId="14185" xr:uid="{E9F6ED3D-D484-469D-80D4-682B4DC836D3}"/>
    <cellStyle name="Note 2 5 3 4" xfId="18415" xr:uid="{BEC47EE9-EB2C-4AA9-832D-CE005570B3B4}"/>
    <cellStyle name="Note 2 5 3 5" xfId="9967" xr:uid="{A9BFD80B-6B0D-4304-B585-D245196C7896}"/>
    <cellStyle name="Note 2 5 4" xfId="1842" xr:uid="{00000000-0005-0000-0000-00003B210000}"/>
    <cellStyle name="Note 2 5 4 2" xfId="4071" xr:uid="{00000000-0005-0000-0000-00003C210000}"/>
    <cellStyle name="Note 2 5 4 2 2" xfId="8293" xr:uid="{00000000-0005-0000-0000-00003D210000}"/>
    <cellStyle name="Note 2 5 4 2 2 2" xfId="25191" xr:uid="{ACB27AA6-F2BE-45B0-9B9C-1AC17234DF88}"/>
    <cellStyle name="Note 2 5 4 2 2 3" xfId="16743" xr:uid="{C0CA7C61-7B60-4CDD-88AE-B1FF2338861A}"/>
    <cellStyle name="Note 2 5 4 2 3" xfId="20973" xr:uid="{3B2A7B48-68E6-4F37-B4DF-6C8C8726EE7A}"/>
    <cellStyle name="Note 2 5 4 2 4" xfId="12525" xr:uid="{0BE7E6F2-DCEA-46EF-926A-517FAD4069C3}"/>
    <cellStyle name="Note 2 5 4 3" xfId="6148" xr:uid="{00000000-0005-0000-0000-00003E210000}"/>
    <cellStyle name="Note 2 5 4 3 2" xfId="23046" xr:uid="{09E7B03C-3F32-41DE-AB04-FA385447C09A}"/>
    <cellStyle name="Note 2 5 4 3 3" xfId="14598" xr:uid="{1E28A1D3-B3B4-420E-B33F-FB0CC64C516D}"/>
    <cellStyle name="Note 2 5 4 4" xfId="18828" xr:uid="{BA3998F1-844D-466F-BD6E-9DAAE5FE7359}"/>
    <cellStyle name="Note 2 5 4 5" xfId="10380" xr:uid="{7797F700-E606-4844-97F3-C07FEA645628}"/>
    <cellStyle name="Note 2 5 5" xfId="2255" xr:uid="{00000000-0005-0000-0000-00003F210000}"/>
    <cellStyle name="Note 2 5 5 2" xfId="4484" xr:uid="{00000000-0005-0000-0000-000040210000}"/>
    <cellStyle name="Note 2 5 5 2 2" xfId="8706" xr:uid="{00000000-0005-0000-0000-000041210000}"/>
    <cellStyle name="Note 2 5 5 2 2 2" xfId="25604" xr:uid="{9B702B29-19EA-480C-844E-7813BDAA3E82}"/>
    <cellStyle name="Note 2 5 5 2 2 3" xfId="17156" xr:uid="{86EA3CA8-C37C-4D9E-A6EE-621D6B965202}"/>
    <cellStyle name="Note 2 5 5 2 3" xfId="21386" xr:uid="{71490EC4-2B63-4296-9405-F5178A578317}"/>
    <cellStyle name="Note 2 5 5 2 4" xfId="12938" xr:uid="{5D35B883-A8CB-44C0-98B4-3D3826AAF657}"/>
    <cellStyle name="Note 2 5 5 3" xfId="6561" xr:uid="{00000000-0005-0000-0000-000042210000}"/>
    <cellStyle name="Note 2 5 5 3 2" xfId="23459" xr:uid="{E8B0F2EB-94BF-4A85-A70F-74F4A44BF05C}"/>
    <cellStyle name="Note 2 5 5 3 3" xfId="15011" xr:uid="{465B5450-9EB6-447B-9B20-C100C9A0143F}"/>
    <cellStyle name="Note 2 5 5 4" xfId="19241" xr:uid="{061B3A7E-E8B6-4EDF-BA24-37675B40D024}"/>
    <cellStyle name="Note 2 5 5 5" xfId="10793" xr:uid="{33CBCCA7-1FD8-44BD-9F92-D51753595ADE}"/>
    <cellStyle name="Note 2 5 6" xfId="2691" xr:uid="{00000000-0005-0000-0000-000043210000}"/>
    <cellStyle name="Note 2 5 6 2" xfId="6974" xr:uid="{00000000-0005-0000-0000-000044210000}"/>
    <cellStyle name="Note 2 5 6 2 2" xfId="23872" xr:uid="{C59AEC64-2F2F-49C7-AAD9-5921276BE0D8}"/>
    <cellStyle name="Note 2 5 6 2 3" xfId="15424" xr:uid="{BE3501E6-0DEB-4D4A-856A-FEAD04FC1DF5}"/>
    <cellStyle name="Note 2 5 6 3" xfId="19654" xr:uid="{6365FD1A-DF3B-4E7E-9B29-761FB811284E}"/>
    <cellStyle name="Note 2 5 6 4" xfId="11206" xr:uid="{5695E7CC-ACF0-4AED-AC36-BEB48578F545}"/>
    <cellStyle name="Note 2 5 7" xfId="2750" xr:uid="{00000000-0005-0000-0000-000045210000}"/>
    <cellStyle name="Note 2 5 8" xfId="2831" xr:uid="{00000000-0005-0000-0000-000046210000}"/>
    <cellStyle name="Note 2 5 8 2" xfId="7054" xr:uid="{00000000-0005-0000-0000-000047210000}"/>
    <cellStyle name="Note 2 5 8 2 2" xfId="23952" xr:uid="{A86D156B-DBD1-4E8D-8568-B1159B4F6A3B}"/>
    <cellStyle name="Note 2 5 8 2 3" xfId="15504" xr:uid="{AF1D7451-446C-4D87-A72F-D79B1BB8061E}"/>
    <cellStyle name="Note 2 5 8 3" xfId="19734" xr:uid="{BE2851BA-87BE-4274-B989-EAF08C92F110}"/>
    <cellStyle name="Note 2 5 8 4" xfId="11286" xr:uid="{71C8EF95-98C2-4358-B46A-FF8838CEE2EC}"/>
    <cellStyle name="Note 2 5 9" xfId="4909" xr:uid="{00000000-0005-0000-0000-000048210000}"/>
    <cellStyle name="Note 2 5 9 2" xfId="21807" xr:uid="{69210285-D50F-4052-9C37-C482E47CA9AA}"/>
    <cellStyle name="Note 2 5 9 3" xfId="13359" xr:uid="{82F229BC-98BD-46A9-8A29-54D4AA2081DE}"/>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23953" xr:uid="{9728A620-245D-4DCB-888F-7BF8AAD01E99}"/>
    <cellStyle name="Note 3 2 10 2 3" xfId="15505" xr:uid="{8AB72471-2FED-40F9-B84E-A1F2466F1952}"/>
    <cellStyle name="Note 3 2 10 3" xfId="19735" xr:uid="{232E730E-30A5-4841-AB73-C376F77E8ADE}"/>
    <cellStyle name="Note 3 2 10 4" xfId="11287" xr:uid="{62BC8913-3F6F-4FE5-B470-153B8A884515}"/>
    <cellStyle name="Note 3 2 11" xfId="4910" xr:uid="{00000000-0005-0000-0000-00004D210000}"/>
    <cellStyle name="Note 3 2 11 2" xfId="21808" xr:uid="{2EA7CC25-46D7-4128-BB52-D10AAA42BE54}"/>
    <cellStyle name="Note 3 2 11 3" xfId="13360" xr:uid="{54494904-3133-4D91-B7F8-65F3E06AF25A}"/>
    <cellStyle name="Note 3 2 12" xfId="17590" xr:uid="{A4E4321F-8B48-4B00-8702-B8E9D9B696CB}"/>
    <cellStyle name="Note 3 2 13" xfId="9142" xr:uid="{148E49FC-B63C-470E-BFDD-0DD56ED685C9}"/>
    <cellStyle name="Note 3 2 2" xfId="555" xr:uid="{00000000-0005-0000-0000-00004E210000}"/>
    <cellStyle name="Note 3 2 2 10" xfId="4911" xr:uid="{00000000-0005-0000-0000-00004F210000}"/>
    <cellStyle name="Note 3 2 2 10 2" xfId="21809" xr:uid="{4B385F3C-DDD0-4900-A715-E809699530C3}"/>
    <cellStyle name="Note 3 2 2 10 3" xfId="13361" xr:uid="{3491D68F-5FD8-40C3-923B-CA383A8BD41B}"/>
    <cellStyle name="Note 3 2 2 11" xfId="17591" xr:uid="{B3AD73A4-698D-4A10-9264-DA03413F55BD}"/>
    <cellStyle name="Note 3 2 2 12" xfId="9143" xr:uid="{A7DCF605-686A-4C83-B50A-DDC89C9D5003}"/>
    <cellStyle name="Note 3 2 2 2" xfId="556" xr:uid="{00000000-0005-0000-0000-000050210000}"/>
    <cellStyle name="Note 3 2 2 2 10" xfId="17592" xr:uid="{B97F3D1C-70BA-45D1-8482-A720FE6D2D21}"/>
    <cellStyle name="Note 3 2 2 2 11" xfId="9144" xr:uid="{905C86F3-083C-48AF-9E26-94B9B521DF39}"/>
    <cellStyle name="Note 3 2 2 2 2" xfId="1016" xr:uid="{00000000-0005-0000-0000-000051210000}"/>
    <cellStyle name="Note 3 2 2 2 2 2" xfId="3248" xr:uid="{00000000-0005-0000-0000-000052210000}"/>
    <cellStyle name="Note 3 2 2 2 2 2 2" xfId="7470" xr:uid="{00000000-0005-0000-0000-000053210000}"/>
    <cellStyle name="Note 3 2 2 2 2 2 2 2" xfId="24368" xr:uid="{0F1EDF6B-13C6-4F29-80D4-AEFFEB5FDD26}"/>
    <cellStyle name="Note 3 2 2 2 2 2 2 3" xfId="15920" xr:uid="{3882C6A8-57E5-4F1E-BE6A-D2496845B31B}"/>
    <cellStyle name="Note 3 2 2 2 2 2 3" xfId="20150" xr:uid="{8E53CBCE-1915-4586-85A3-53D2AA105B13}"/>
    <cellStyle name="Note 3 2 2 2 2 2 4" xfId="11702" xr:uid="{44F8686A-A816-4CBF-9326-39D488A18D80}"/>
    <cellStyle name="Note 3 2 2 2 2 3" xfId="5325" xr:uid="{00000000-0005-0000-0000-000054210000}"/>
    <cellStyle name="Note 3 2 2 2 2 3 2" xfId="22223" xr:uid="{5CB7D4CF-8121-4AA2-B903-2B033563D88E}"/>
    <cellStyle name="Note 3 2 2 2 2 3 3" xfId="13775" xr:uid="{CDEE17F3-BDF4-4FA7-AA14-BE9F905DC6BA}"/>
    <cellStyle name="Note 3 2 2 2 2 4" xfId="18005" xr:uid="{FA80406E-0D56-4A71-B24E-1270B088D7B0}"/>
    <cellStyle name="Note 3 2 2 2 2 5" xfId="9557" xr:uid="{9B0CB9FB-53CC-4660-9877-97B852EC58D3}"/>
    <cellStyle name="Note 3 2 2 2 3" xfId="1431" xr:uid="{00000000-0005-0000-0000-000055210000}"/>
    <cellStyle name="Note 3 2 2 2 3 2" xfId="3661" xr:uid="{00000000-0005-0000-0000-000056210000}"/>
    <cellStyle name="Note 3 2 2 2 3 2 2" xfId="7883" xr:uid="{00000000-0005-0000-0000-000057210000}"/>
    <cellStyle name="Note 3 2 2 2 3 2 2 2" xfId="24781" xr:uid="{1F218A46-89D4-4948-95F9-AC44F35EBBE1}"/>
    <cellStyle name="Note 3 2 2 2 3 2 2 3" xfId="16333" xr:uid="{43C45805-9ED8-47A0-BC82-F2BA5EDA45FC}"/>
    <cellStyle name="Note 3 2 2 2 3 2 3" xfId="20563" xr:uid="{FA9A06CB-58E8-457E-A7DC-10E155564A2E}"/>
    <cellStyle name="Note 3 2 2 2 3 2 4" xfId="12115" xr:uid="{3011BDE5-BF89-4D56-AC93-4578FDCFF0B6}"/>
    <cellStyle name="Note 3 2 2 2 3 3" xfId="5738" xr:uid="{00000000-0005-0000-0000-000058210000}"/>
    <cellStyle name="Note 3 2 2 2 3 3 2" xfId="22636" xr:uid="{43A6AC7B-3582-4D3B-BE4E-11FE0581E60C}"/>
    <cellStyle name="Note 3 2 2 2 3 3 3" xfId="14188" xr:uid="{C9692A5E-83DC-41DD-B990-A7897084175F}"/>
    <cellStyle name="Note 3 2 2 2 3 4" xfId="18418" xr:uid="{3BCF098E-0320-4085-9174-11E9F1344ACD}"/>
    <cellStyle name="Note 3 2 2 2 3 5" xfId="9970" xr:uid="{D568CA83-6576-4593-9C34-34F8EAB38935}"/>
    <cellStyle name="Note 3 2 2 2 4" xfId="1845" xr:uid="{00000000-0005-0000-0000-000059210000}"/>
    <cellStyle name="Note 3 2 2 2 4 2" xfId="4074" xr:uid="{00000000-0005-0000-0000-00005A210000}"/>
    <cellStyle name="Note 3 2 2 2 4 2 2" xfId="8296" xr:uid="{00000000-0005-0000-0000-00005B210000}"/>
    <cellStyle name="Note 3 2 2 2 4 2 2 2" xfId="25194" xr:uid="{17130812-BE83-4A22-A97E-BA353ED9B764}"/>
    <cellStyle name="Note 3 2 2 2 4 2 2 3" xfId="16746" xr:uid="{C752821C-3FA2-4160-B595-94F24A22C1FC}"/>
    <cellStyle name="Note 3 2 2 2 4 2 3" xfId="20976" xr:uid="{501CE73F-5D74-44C4-9F8A-DB3CDD4BDDF9}"/>
    <cellStyle name="Note 3 2 2 2 4 2 4" xfId="12528" xr:uid="{46FD5203-DAD1-422D-A037-759EE7582832}"/>
    <cellStyle name="Note 3 2 2 2 4 3" xfId="6151" xr:uid="{00000000-0005-0000-0000-00005C210000}"/>
    <cellStyle name="Note 3 2 2 2 4 3 2" xfId="23049" xr:uid="{51DD6904-9B9A-4B30-9ECF-0DF31BEE7748}"/>
    <cellStyle name="Note 3 2 2 2 4 3 3" xfId="14601" xr:uid="{EF1AD7A4-9388-49D6-82A1-FF2C8302BFB7}"/>
    <cellStyle name="Note 3 2 2 2 4 4" xfId="18831" xr:uid="{F6A9C7E6-1DD5-415C-B32D-B3633446F977}"/>
    <cellStyle name="Note 3 2 2 2 4 5" xfId="10383" xr:uid="{1DDCB4B1-2D16-4B32-8C24-FDB4A95FD797}"/>
    <cellStyle name="Note 3 2 2 2 5" xfId="2258" xr:uid="{00000000-0005-0000-0000-00005D210000}"/>
    <cellStyle name="Note 3 2 2 2 5 2" xfId="4487" xr:uid="{00000000-0005-0000-0000-00005E210000}"/>
    <cellStyle name="Note 3 2 2 2 5 2 2" xfId="8709" xr:uid="{00000000-0005-0000-0000-00005F210000}"/>
    <cellStyle name="Note 3 2 2 2 5 2 2 2" xfId="25607" xr:uid="{42692425-B30C-4537-91FA-253AE38FE9CF}"/>
    <cellStyle name="Note 3 2 2 2 5 2 2 3" xfId="17159" xr:uid="{6B61FAE8-AC81-4D27-9E8D-5924D1614EA6}"/>
    <cellStyle name="Note 3 2 2 2 5 2 3" xfId="21389" xr:uid="{1726BC38-3E00-467B-A2F1-08DEB839D92F}"/>
    <cellStyle name="Note 3 2 2 2 5 2 4" xfId="12941" xr:uid="{365FBFC0-0AB3-426D-BFB3-3AF07A662B18}"/>
    <cellStyle name="Note 3 2 2 2 5 3" xfId="6564" xr:uid="{00000000-0005-0000-0000-000060210000}"/>
    <cellStyle name="Note 3 2 2 2 5 3 2" xfId="23462" xr:uid="{01CC966E-BB56-47C6-B295-84BECCB48A56}"/>
    <cellStyle name="Note 3 2 2 2 5 3 3" xfId="15014" xr:uid="{D03DBC33-11F8-48A8-8176-516113FB8238}"/>
    <cellStyle name="Note 3 2 2 2 5 4" xfId="19244" xr:uid="{A6EBF67C-0D7D-41ED-99EF-942C1EB3E1DB}"/>
    <cellStyle name="Note 3 2 2 2 5 5" xfId="10796" xr:uid="{F8150958-A3B3-41EB-B8C3-269C563531BB}"/>
    <cellStyle name="Note 3 2 2 2 6" xfId="2694" xr:uid="{00000000-0005-0000-0000-000061210000}"/>
    <cellStyle name="Note 3 2 2 2 6 2" xfId="6977" xr:uid="{00000000-0005-0000-0000-000062210000}"/>
    <cellStyle name="Note 3 2 2 2 6 2 2" xfId="23875" xr:uid="{8FBF800D-CEA4-460C-9C7B-FAF41E5A6243}"/>
    <cellStyle name="Note 3 2 2 2 6 2 3" xfId="15427" xr:uid="{ACB474F4-5817-4A97-ADD0-7D215670AF9D}"/>
    <cellStyle name="Note 3 2 2 2 6 3" xfId="19657" xr:uid="{95469AAA-7E9C-40F7-984A-DF5E53D66244}"/>
    <cellStyle name="Note 3 2 2 2 6 4" xfId="11209" xr:uid="{FC25C466-9FBB-4781-9A03-2F895775378E}"/>
    <cellStyle name="Note 3 2 2 2 7" xfId="2753" xr:uid="{00000000-0005-0000-0000-000063210000}"/>
    <cellStyle name="Note 3 2 2 2 8" xfId="2834" xr:uid="{00000000-0005-0000-0000-000064210000}"/>
    <cellStyle name="Note 3 2 2 2 8 2" xfId="7057" xr:uid="{00000000-0005-0000-0000-000065210000}"/>
    <cellStyle name="Note 3 2 2 2 8 2 2" xfId="23955" xr:uid="{DA1F9C9E-A3D2-4406-9E81-39921F80BF97}"/>
    <cellStyle name="Note 3 2 2 2 8 2 3" xfId="15507" xr:uid="{A0B747C2-ABC3-4D49-B97F-0671B5D6FA75}"/>
    <cellStyle name="Note 3 2 2 2 8 3" xfId="19737" xr:uid="{E90692A0-05C2-43E8-832C-7C3C5722471C}"/>
    <cellStyle name="Note 3 2 2 2 8 4" xfId="11289" xr:uid="{C646C7EB-04AA-4EFA-B2BE-0002B330ECFD}"/>
    <cellStyle name="Note 3 2 2 2 9" xfId="4912" xr:uid="{00000000-0005-0000-0000-000066210000}"/>
    <cellStyle name="Note 3 2 2 2 9 2" xfId="21810" xr:uid="{918BA428-5888-4B77-A2DA-DC469B923412}"/>
    <cellStyle name="Note 3 2 2 2 9 3" xfId="13362" xr:uid="{3BEB2FAB-E072-4BE1-8DB8-F0EC8CEA1367}"/>
    <cellStyle name="Note 3 2 2 3" xfId="1015" xr:uid="{00000000-0005-0000-0000-000067210000}"/>
    <cellStyle name="Note 3 2 2 3 2" xfId="3247" xr:uid="{00000000-0005-0000-0000-000068210000}"/>
    <cellStyle name="Note 3 2 2 3 2 2" xfId="7469" xr:uid="{00000000-0005-0000-0000-000069210000}"/>
    <cellStyle name="Note 3 2 2 3 2 2 2" xfId="24367" xr:uid="{72313EB8-85DA-411C-AAD0-8E779DF5B86E}"/>
    <cellStyle name="Note 3 2 2 3 2 2 3" xfId="15919" xr:uid="{F423A465-77B2-4738-98C5-677E5C037D20}"/>
    <cellStyle name="Note 3 2 2 3 2 3" xfId="20149" xr:uid="{8F9FEF1F-86AD-445F-93C7-2BB59E832EAB}"/>
    <cellStyle name="Note 3 2 2 3 2 4" xfId="11701" xr:uid="{B6C5F4D2-1300-448C-81FA-CD0835A81BEB}"/>
    <cellStyle name="Note 3 2 2 3 3" xfId="5324" xr:uid="{00000000-0005-0000-0000-00006A210000}"/>
    <cellStyle name="Note 3 2 2 3 3 2" xfId="22222" xr:uid="{DCE845D4-7E5A-4C36-8D4B-0008C38DE0AE}"/>
    <cellStyle name="Note 3 2 2 3 3 3" xfId="13774" xr:uid="{85C5B0EA-D04C-44B4-AE9C-BA756BC1E321}"/>
    <cellStyle name="Note 3 2 2 3 4" xfId="18004" xr:uid="{A930A605-5650-4B23-99CC-8826DB88BC01}"/>
    <cellStyle name="Note 3 2 2 3 5" xfId="9556" xr:uid="{5F8F7547-EAF9-425B-9C7A-F7654ED892D4}"/>
    <cellStyle name="Note 3 2 2 4" xfId="1430" xr:uid="{00000000-0005-0000-0000-00006B210000}"/>
    <cellStyle name="Note 3 2 2 4 2" xfId="3660" xr:uid="{00000000-0005-0000-0000-00006C210000}"/>
    <cellStyle name="Note 3 2 2 4 2 2" xfId="7882" xr:uid="{00000000-0005-0000-0000-00006D210000}"/>
    <cellStyle name="Note 3 2 2 4 2 2 2" xfId="24780" xr:uid="{F5D2FC49-6693-40A4-8646-14A2D0D35C3A}"/>
    <cellStyle name="Note 3 2 2 4 2 2 3" xfId="16332" xr:uid="{4F53BB03-258A-4614-875A-77A2ED452D6F}"/>
    <cellStyle name="Note 3 2 2 4 2 3" xfId="20562" xr:uid="{FE4B0EE1-164E-46F3-AB5C-CC5BAA615D81}"/>
    <cellStyle name="Note 3 2 2 4 2 4" xfId="12114" xr:uid="{37CC03C7-8E1F-40B0-9DBA-5DD09112EC4F}"/>
    <cellStyle name="Note 3 2 2 4 3" xfId="5737" xr:uid="{00000000-0005-0000-0000-00006E210000}"/>
    <cellStyle name="Note 3 2 2 4 3 2" xfId="22635" xr:uid="{57F3B8A8-07A6-4E67-92A3-7DCD5DFF358D}"/>
    <cellStyle name="Note 3 2 2 4 3 3" xfId="14187" xr:uid="{76B30E0B-0069-4A1D-9C60-121B434AB4B5}"/>
    <cellStyle name="Note 3 2 2 4 4" xfId="18417" xr:uid="{BD4B66BE-D682-406F-81F3-1884B9C837CB}"/>
    <cellStyle name="Note 3 2 2 4 5" xfId="9969" xr:uid="{F2AB98F4-553B-446D-8419-40375F060D1C}"/>
    <cellStyle name="Note 3 2 2 5" xfId="1844" xr:uid="{00000000-0005-0000-0000-00006F210000}"/>
    <cellStyle name="Note 3 2 2 5 2" xfId="4073" xr:uid="{00000000-0005-0000-0000-000070210000}"/>
    <cellStyle name="Note 3 2 2 5 2 2" xfId="8295" xr:uid="{00000000-0005-0000-0000-000071210000}"/>
    <cellStyle name="Note 3 2 2 5 2 2 2" xfId="25193" xr:uid="{C4FA7992-8585-403F-8A00-7241AEB47D7F}"/>
    <cellStyle name="Note 3 2 2 5 2 2 3" xfId="16745" xr:uid="{D737FA7A-CC24-4618-935B-5083F9A0F1E1}"/>
    <cellStyle name="Note 3 2 2 5 2 3" xfId="20975" xr:uid="{84FFA21D-8907-43FB-8890-1DD953BB35A5}"/>
    <cellStyle name="Note 3 2 2 5 2 4" xfId="12527" xr:uid="{2CFBBCE8-B8FE-4623-920B-6425C26C8798}"/>
    <cellStyle name="Note 3 2 2 5 3" xfId="6150" xr:uid="{00000000-0005-0000-0000-000072210000}"/>
    <cellStyle name="Note 3 2 2 5 3 2" xfId="23048" xr:uid="{B38E16A4-C72E-4000-B489-B51A2B7F21F7}"/>
    <cellStyle name="Note 3 2 2 5 3 3" xfId="14600" xr:uid="{A5F1DD36-645E-457B-8E47-1242AC7CCE43}"/>
    <cellStyle name="Note 3 2 2 5 4" xfId="18830" xr:uid="{E0DE121C-EEE5-47CA-B08F-555F5F4B0541}"/>
    <cellStyle name="Note 3 2 2 5 5" xfId="10382" xr:uid="{EA6541AE-E2E2-4799-B7E5-DEA0939C7369}"/>
    <cellStyle name="Note 3 2 2 6" xfId="2257" xr:uid="{00000000-0005-0000-0000-000073210000}"/>
    <cellStyle name="Note 3 2 2 6 2" xfId="4486" xr:uid="{00000000-0005-0000-0000-000074210000}"/>
    <cellStyle name="Note 3 2 2 6 2 2" xfId="8708" xr:uid="{00000000-0005-0000-0000-000075210000}"/>
    <cellStyle name="Note 3 2 2 6 2 2 2" xfId="25606" xr:uid="{FBF49B47-F1CD-4BEC-9428-4AE1730B2CCB}"/>
    <cellStyle name="Note 3 2 2 6 2 2 3" xfId="17158" xr:uid="{4A4C2949-62F9-4597-9BC9-1F47D225C685}"/>
    <cellStyle name="Note 3 2 2 6 2 3" xfId="21388" xr:uid="{C05CF810-7AEF-41E6-B19B-D483BAFAAC2C}"/>
    <cellStyle name="Note 3 2 2 6 2 4" xfId="12940" xr:uid="{81B4936F-CEFE-4703-ADD0-085D039C65B6}"/>
    <cellStyle name="Note 3 2 2 6 3" xfId="6563" xr:uid="{00000000-0005-0000-0000-000076210000}"/>
    <cellStyle name="Note 3 2 2 6 3 2" xfId="23461" xr:uid="{33C30B0E-6353-4D63-8960-A6DD5CC29C1C}"/>
    <cellStyle name="Note 3 2 2 6 3 3" xfId="15013" xr:uid="{287A58D9-61FC-4AC4-97B2-48FBF1B19115}"/>
    <cellStyle name="Note 3 2 2 6 4" xfId="19243" xr:uid="{2BCBC9E1-C7E6-42FE-B554-01E023045227}"/>
    <cellStyle name="Note 3 2 2 6 5" xfId="10795" xr:uid="{9820C228-B1DE-44CA-A4A2-E53ACF462E0A}"/>
    <cellStyle name="Note 3 2 2 7" xfId="2693" xr:uid="{00000000-0005-0000-0000-000077210000}"/>
    <cellStyle name="Note 3 2 2 7 2" xfId="6976" xr:uid="{00000000-0005-0000-0000-000078210000}"/>
    <cellStyle name="Note 3 2 2 7 2 2" xfId="23874" xr:uid="{674B11BE-6489-4893-B64A-922375FD7CE7}"/>
    <cellStyle name="Note 3 2 2 7 2 3" xfId="15426" xr:uid="{6E90F56D-875E-465F-BD27-3204C4424829}"/>
    <cellStyle name="Note 3 2 2 7 3" xfId="19656" xr:uid="{34CCFCFA-49BE-4AC2-AF26-4B20976CBDB2}"/>
    <cellStyle name="Note 3 2 2 7 4" xfId="11208" xr:uid="{EC689116-CD37-4618-B2A2-D776B8F28EB3}"/>
    <cellStyle name="Note 3 2 2 8" xfId="2752" xr:uid="{00000000-0005-0000-0000-000079210000}"/>
    <cellStyle name="Note 3 2 2 9" xfId="2833" xr:uid="{00000000-0005-0000-0000-00007A210000}"/>
    <cellStyle name="Note 3 2 2 9 2" xfId="7056" xr:uid="{00000000-0005-0000-0000-00007B210000}"/>
    <cellStyle name="Note 3 2 2 9 2 2" xfId="23954" xr:uid="{1937BFF9-F8C1-46F4-86CD-C4321E6399C1}"/>
    <cellStyle name="Note 3 2 2 9 2 3" xfId="15506" xr:uid="{112E4E3F-CEBF-4D7F-8E58-3EAB7A9C3C03}"/>
    <cellStyle name="Note 3 2 2 9 3" xfId="19736" xr:uid="{54394886-02B5-4081-BADF-45921776390F}"/>
    <cellStyle name="Note 3 2 2 9 4" xfId="11288" xr:uid="{CA5F407F-4DB0-49E5-9086-62D67B8291B0}"/>
    <cellStyle name="Note 3 2 3" xfId="557" xr:uid="{00000000-0005-0000-0000-00007C210000}"/>
    <cellStyle name="Note 3 2 3 10" xfId="17593" xr:uid="{10C19985-11A5-400B-9126-0FAA14F9E413}"/>
    <cellStyle name="Note 3 2 3 11" xfId="9145" xr:uid="{4ABA41E3-13C5-4B3D-AA34-E24FB6C577EE}"/>
    <cellStyle name="Note 3 2 3 2" xfId="1017" xr:uid="{00000000-0005-0000-0000-00007D210000}"/>
    <cellStyle name="Note 3 2 3 2 2" xfId="3249" xr:uid="{00000000-0005-0000-0000-00007E210000}"/>
    <cellStyle name="Note 3 2 3 2 2 2" xfId="7471" xr:uid="{00000000-0005-0000-0000-00007F210000}"/>
    <cellStyle name="Note 3 2 3 2 2 2 2" xfId="24369" xr:uid="{9852C660-2358-4B23-8539-915B16F125A3}"/>
    <cellStyle name="Note 3 2 3 2 2 2 3" xfId="15921" xr:uid="{D9EFEF0F-CECF-4282-BB86-BDFCA96F30EC}"/>
    <cellStyle name="Note 3 2 3 2 2 3" xfId="20151" xr:uid="{E25D0170-9C66-42F7-A45D-5D325AD233EC}"/>
    <cellStyle name="Note 3 2 3 2 2 4" xfId="11703" xr:uid="{F4C8DD93-4672-4EFF-BE8D-884AB441BA6C}"/>
    <cellStyle name="Note 3 2 3 2 3" xfId="5326" xr:uid="{00000000-0005-0000-0000-000080210000}"/>
    <cellStyle name="Note 3 2 3 2 3 2" xfId="22224" xr:uid="{EBB80E07-7AC5-444D-8A34-BB965FBFF905}"/>
    <cellStyle name="Note 3 2 3 2 3 3" xfId="13776" xr:uid="{FA73F8F9-F826-4A75-B8B8-64BC90E15FAC}"/>
    <cellStyle name="Note 3 2 3 2 4" xfId="18006" xr:uid="{38EF08B1-AEED-475A-B1FA-EA50E1F10597}"/>
    <cellStyle name="Note 3 2 3 2 5" xfId="9558" xr:uid="{5276BA15-3B95-400F-83CF-E39F75D9DE71}"/>
    <cellStyle name="Note 3 2 3 3" xfId="1432" xr:uid="{00000000-0005-0000-0000-000081210000}"/>
    <cellStyle name="Note 3 2 3 3 2" xfId="3662" xr:uid="{00000000-0005-0000-0000-000082210000}"/>
    <cellStyle name="Note 3 2 3 3 2 2" xfId="7884" xr:uid="{00000000-0005-0000-0000-000083210000}"/>
    <cellStyle name="Note 3 2 3 3 2 2 2" xfId="24782" xr:uid="{6CCE49A0-98C7-4B78-A108-46A119E1BD61}"/>
    <cellStyle name="Note 3 2 3 3 2 2 3" xfId="16334" xr:uid="{56D16E99-4553-4FF3-B3B9-CFC0071161F3}"/>
    <cellStyle name="Note 3 2 3 3 2 3" xfId="20564" xr:uid="{96FD272E-EC60-4BD1-AC2A-85CC035E7185}"/>
    <cellStyle name="Note 3 2 3 3 2 4" xfId="12116" xr:uid="{AB5482A1-6CFD-49E6-9501-D9BB1A8CB82D}"/>
    <cellStyle name="Note 3 2 3 3 3" xfId="5739" xr:uid="{00000000-0005-0000-0000-000084210000}"/>
    <cellStyle name="Note 3 2 3 3 3 2" xfId="22637" xr:uid="{6E96A2D3-1CE5-46DD-836C-3DB0B645931A}"/>
    <cellStyle name="Note 3 2 3 3 3 3" xfId="14189" xr:uid="{CC568D96-0B4B-4BD6-B0F8-0BD030A7BD61}"/>
    <cellStyle name="Note 3 2 3 3 4" xfId="18419" xr:uid="{3A8F258E-66C5-423D-9B71-ADFD33918C39}"/>
    <cellStyle name="Note 3 2 3 3 5" xfId="9971" xr:uid="{4C5C6C64-9931-4881-9A62-E7860D28035A}"/>
    <cellStyle name="Note 3 2 3 4" xfId="1846" xr:uid="{00000000-0005-0000-0000-000085210000}"/>
    <cellStyle name="Note 3 2 3 4 2" xfId="4075" xr:uid="{00000000-0005-0000-0000-000086210000}"/>
    <cellStyle name="Note 3 2 3 4 2 2" xfId="8297" xr:uid="{00000000-0005-0000-0000-000087210000}"/>
    <cellStyle name="Note 3 2 3 4 2 2 2" xfId="25195" xr:uid="{3C88A561-97BF-4A9B-BB1A-CC663C106D06}"/>
    <cellStyle name="Note 3 2 3 4 2 2 3" xfId="16747" xr:uid="{AF1C0976-9174-43D4-98C5-ECB941A1EF1B}"/>
    <cellStyle name="Note 3 2 3 4 2 3" xfId="20977" xr:uid="{5047CC55-8EE5-4F7B-B59A-DF15C217FC09}"/>
    <cellStyle name="Note 3 2 3 4 2 4" xfId="12529" xr:uid="{F525B535-9BBF-4149-8FDB-83C1B9103DC1}"/>
    <cellStyle name="Note 3 2 3 4 3" xfId="6152" xr:uid="{00000000-0005-0000-0000-000088210000}"/>
    <cellStyle name="Note 3 2 3 4 3 2" xfId="23050" xr:uid="{05660B5D-3785-4D9F-960E-22E4011AB9C0}"/>
    <cellStyle name="Note 3 2 3 4 3 3" xfId="14602" xr:uid="{39965E47-C44B-4661-8BEA-918F85BA2E04}"/>
    <cellStyle name="Note 3 2 3 4 4" xfId="18832" xr:uid="{7C238116-1ED9-4373-B052-E745B8CD5719}"/>
    <cellStyle name="Note 3 2 3 4 5" xfId="10384" xr:uid="{91D54CBD-F997-4F99-AC45-8DDEE3B86A79}"/>
    <cellStyle name="Note 3 2 3 5" xfId="2259" xr:uid="{00000000-0005-0000-0000-000089210000}"/>
    <cellStyle name="Note 3 2 3 5 2" xfId="4488" xr:uid="{00000000-0005-0000-0000-00008A210000}"/>
    <cellStyle name="Note 3 2 3 5 2 2" xfId="8710" xr:uid="{00000000-0005-0000-0000-00008B210000}"/>
    <cellStyle name="Note 3 2 3 5 2 2 2" xfId="25608" xr:uid="{AEF8E11D-9D5D-431E-A73B-98CEC45B3257}"/>
    <cellStyle name="Note 3 2 3 5 2 2 3" xfId="17160" xr:uid="{97E71F7A-4F00-4497-A375-59991A279E2C}"/>
    <cellStyle name="Note 3 2 3 5 2 3" xfId="21390" xr:uid="{4A3E9546-9C61-449E-B0A1-5C353B60BFCB}"/>
    <cellStyle name="Note 3 2 3 5 2 4" xfId="12942" xr:uid="{6A7DD945-E764-4DF9-8ED8-6EBB67EA9843}"/>
    <cellStyle name="Note 3 2 3 5 3" xfId="6565" xr:uid="{00000000-0005-0000-0000-00008C210000}"/>
    <cellStyle name="Note 3 2 3 5 3 2" xfId="23463" xr:uid="{7B0967F1-BF31-493E-AD8D-20436DBBC2DA}"/>
    <cellStyle name="Note 3 2 3 5 3 3" xfId="15015" xr:uid="{EE2C091C-10B8-4576-91BA-BB2D4CC1F8D4}"/>
    <cellStyle name="Note 3 2 3 5 4" xfId="19245" xr:uid="{7B908DA0-B71D-4D45-B73C-7B410DA32418}"/>
    <cellStyle name="Note 3 2 3 5 5" xfId="10797" xr:uid="{920409F8-2B9F-4F5A-8EBC-BC400F1C91BA}"/>
    <cellStyle name="Note 3 2 3 6" xfId="2695" xr:uid="{00000000-0005-0000-0000-00008D210000}"/>
    <cellStyle name="Note 3 2 3 6 2" xfId="6978" xr:uid="{00000000-0005-0000-0000-00008E210000}"/>
    <cellStyle name="Note 3 2 3 6 2 2" xfId="23876" xr:uid="{166D5D01-6537-4934-BFBB-EACE8F62181F}"/>
    <cellStyle name="Note 3 2 3 6 2 3" xfId="15428" xr:uid="{AD909283-1D04-4C53-80EC-8865968B07C7}"/>
    <cellStyle name="Note 3 2 3 6 3" xfId="19658" xr:uid="{98A63329-3D2B-4164-B8AA-FD79B15E434F}"/>
    <cellStyle name="Note 3 2 3 6 4" xfId="11210" xr:uid="{F3E72CDD-B246-4909-A569-3E6737D6DB46}"/>
    <cellStyle name="Note 3 2 3 7" xfId="2754" xr:uid="{00000000-0005-0000-0000-00008F210000}"/>
    <cellStyle name="Note 3 2 3 8" xfId="2835" xr:uid="{00000000-0005-0000-0000-000090210000}"/>
    <cellStyle name="Note 3 2 3 8 2" xfId="7058" xr:uid="{00000000-0005-0000-0000-000091210000}"/>
    <cellStyle name="Note 3 2 3 8 2 2" xfId="23956" xr:uid="{BB055DDC-E3A9-44DD-85C5-1C80039097E7}"/>
    <cellStyle name="Note 3 2 3 8 2 3" xfId="15508" xr:uid="{DAD52A49-8CAE-4B52-A0A2-49DB43D07AB8}"/>
    <cellStyle name="Note 3 2 3 8 3" xfId="19738" xr:uid="{6D8406A9-97CD-4800-B563-16F0BE8E88E2}"/>
    <cellStyle name="Note 3 2 3 8 4" xfId="11290" xr:uid="{D418A6A7-C8DE-4711-90D4-E06A26F72A96}"/>
    <cellStyle name="Note 3 2 3 9" xfId="4913" xr:uid="{00000000-0005-0000-0000-000092210000}"/>
    <cellStyle name="Note 3 2 3 9 2" xfId="21811" xr:uid="{7EC06BC5-EB13-479F-B4AD-736057CB6179}"/>
    <cellStyle name="Note 3 2 3 9 3" xfId="13363" xr:uid="{C41BAAEA-25D9-4066-996E-4F65FF1E5CBB}"/>
    <cellStyle name="Note 3 2 4" xfId="1014" xr:uid="{00000000-0005-0000-0000-000093210000}"/>
    <cellStyle name="Note 3 2 4 2" xfId="3246" xr:uid="{00000000-0005-0000-0000-000094210000}"/>
    <cellStyle name="Note 3 2 4 2 2" xfId="7468" xr:uid="{00000000-0005-0000-0000-000095210000}"/>
    <cellStyle name="Note 3 2 4 2 2 2" xfId="24366" xr:uid="{8E5B5E0A-FFC8-4739-BBDE-ED26D3C872FA}"/>
    <cellStyle name="Note 3 2 4 2 2 3" xfId="15918" xr:uid="{4CE5AA67-45C2-4A49-9A9A-E026A4981995}"/>
    <cellStyle name="Note 3 2 4 2 3" xfId="20148" xr:uid="{D72E19ED-8E3F-442A-9412-3803372660A7}"/>
    <cellStyle name="Note 3 2 4 2 4" xfId="11700" xr:uid="{B8DE113C-A8A8-4E98-BF72-867661DD5DEB}"/>
    <cellStyle name="Note 3 2 4 3" xfId="5323" xr:uid="{00000000-0005-0000-0000-000096210000}"/>
    <cellStyle name="Note 3 2 4 3 2" xfId="22221" xr:uid="{5DA85DCB-D488-44AD-9709-1D89DE60AE86}"/>
    <cellStyle name="Note 3 2 4 3 3" xfId="13773" xr:uid="{51020921-FB01-4FD8-8DCC-3C9CB3C5866A}"/>
    <cellStyle name="Note 3 2 4 4" xfId="18003" xr:uid="{3D34CF57-C893-4AC9-8213-87661295F13A}"/>
    <cellStyle name="Note 3 2 4 5" xfId="9555" xr:uid="{7383014C-D874-4905-B068-DE5D9C8D330C}"/>
    <cellStyle name="Note 3 2 5" xfId="1429" xr:uid="{00000000-0005-0000-0000-000097210000}"/>
    <cellStyle name="Note 3 2 5 2" xfId="3659" xr:uid="{00000000-0005-0000-0000-000098210000}"/>
    <cellStyle name="Note 3 2 5 2 2" xfId="7881" xr:uid="{00000000-0005-0000-0000-000099210000}"/>
    <cellStyle name="Note 3 2 5 2 2 2" xfId="24779" xr:uid="{65E2CA06-3934-42DC-8EA2-77F43E1AABC6}"/>
    <cellStyle name="Note 3 2 5 2 2 3" xfId="16331" xr:uid="{4767650E-05EA-45A2-9FFD-90C0F5F83B7C}"/>
    <cellStyle name="Note 3 2 5 2 3" xfId="20561" xr:uid="{98435C6F-F4B0-4114-B760-1155B26EF7B1}"/>
    <cellStyle name="Note 3 2 5 2 4" xfId="12113" xr:uid="{848F1744-7026-4171-AC8B-0BE606D55EF6}"/>
    <cellStyle name="Note 3 2 5 3" xfId="5736" xr:uid="{00000000-0005-0000-0000-00009A210000}"/>
    <cellStyle name="Note 3 2 5 3 2" xfId="22634" xr:uid="{F1B6BDD2-5A3F-4380-AEB9-C4E75549EAAE}"/>
    <cellStyle name="Note 3 2 5 3 3" xfId="14186" xr:uid="{1493B368-7739-4AC1-AC09-20F635108109}"/>
    <cellStyle name="Note 3 2 5 4" xfId="18416" xr:uid="{8AA34A4C-8EA1-4320-BA81-F71CD826D639}"/>
    <cellStyle name="Note 3 2 5 5" xfId="9968" xr:uid="{6F9C0799-CD87-4F9E-B0E7-B1668F40F784}"/>
    <cellStyle name="Note 3 2 6" xfId="1843" xr:uid="{00000000-0005-0000-0000-00009B210000}"/>
    <cellStyle name="Note 3 2 6 2" xfId="4072" xr:uid="{00000000-0005-0000-0000-00009C210000}"/>
    <cellStyle name="Note 3 2 6 2 2" xfId="8294" xr:uid="{00000000-0005-0000-0000-00009D210000}"/>
    <cellStyle name="Note 3 2 6 2 2 2" xfId="25192" xr:uid="{363CF0F0-A17D-4BBA-BD80-DAE5C9543BB5}"/>
    <cellStyle name="Note 3 2 6 2 2 3" xfId="16744" xr:uid="{0FE36970-3C35-4825-AA51-91D0787D6DD1}"/>
    <cellStyle name="Note 3 2 6 2 3" xfId="20974" xr:uid="{554ABC01-3B0A-4728-BE0D-F42EF0B6B5D8}"/>
    <cellStyle name="Note 3 2 6 2 4" xfId="12526" xr:uid="{6E00FF35-8269-41CA-8158-260ADB6A2F93}"/>
    <cellStyle name="Note 3 2 6 3" xfId="6149" xr:uid="{00000000-0005-0000-0000-00009E210000}"/>
    <cellStyle name="Note 3 2 6 3 2" xfId="23047" xr:uid="{0265C903-8389-471E-814C-7D80CBBD922C}"/>
    <cellStyle name="Note 3 2 6 3 3" xfId="14599" xr:uid="{8D0EE2E3-964F-46F1-A023-08D7919D2A93}"/>
    <cellStyle name="Note 3 2 6 4" xfId="18829" xr:uid="{DC4FE722-93AE-4942-8463-4701DC0C517C}"/>
    <cellStyle name="Note 3 2 6 5" xfId="10381" xr:uid="{EA4CC725-681D-4480-A2A7-4E9A47624C04}"/>
    <cellStyle name="Note 3 2 7" xfId="2256" xr:uid="{00000000-0005-0000-0000-00009F210000}"/>
    <cellStyle name="Note 3 2 7 2" xfId="4485" xr:uid="{00000000-0005-0000-0000-0000A0210000}"/>
    <cellStyle name="Note 3 2 7 2 2" xfId="8707" xr:uid="{00000000-0005-0000-0000-0000A1210000}"/>
    <cellStyle name="Note 3 2 7 2 2 2" xfId="25605" xr:uid="{293A5456-746D-4FAB-8A88-14C109C09166}"/>
    <cellStyle name="Note 3 2 7 2 2 3" xfId="17157" xr:uid="{1E59B753-D554-49AE-BEE0-7B613E7F2EF2}"/>
    <cellStyle name="Note 3 2 7 2 3" xfId="21387" xr:uid="{05AB583F-2969-4871-B41A-10BE01E46D6F}"/>
    <cellStyle name="Note 3 2 7 2 4" xfId="12939" xr:uid="{15C8656A-7F20-4AF1-B66B-71D9E5F75948}"/>
    <cellStyle name="Note 3 2 7 3" xfId="6562" xr:uid="{00000000-0005-0000-0000-0000A2210000}"/>
    <cellStyle name="Note 3 2 7 3 2" xfId="23460" xr:uid="{ABB3F15A-6479-4EF8-9F1A-4EF84333A5FF}"/>
    <cellStyle name="Note 3 2 7 3 3" xfId="15012" xr:uid="{3C3D5547-0304-4A6F-97A9-AFDFF5CD66EE}"/>
    <cellStyle name="Note 3 2 7 4" xfId="19242" xr:uid="{2B889876-DF88-4FBE-B266-DB64B16E40F4}"/>
    <cellStyle name="Note 3 2 7 5" xfId="10794" xr:uid="{5AA7D5E9-7016-43E3-8175-C8A70F615FAF}"/>
    <cellStyle name="Note 3 2 8" xfId="2692" xr:uid="{00000000-0005-0000-0000-0000A3210000}"/>
    <cellStyle name="Note 3 2 8 2" xfId="6975" xr:uid="{00000000-0005-0000-0000-0000A4210000}"/>
    <cellStyle name="Note 3 2 8 2 2" xfId="23873" xr:uid="{D7B5686E-E31B-430F-9F01-2F42A1FDFFF2}"/>
    <cellStyle name="Note 3 2 8 2 3" xfId="15425" xr:uid="{0B7CB984-B966-4738-A1E7-5533BAC9717E}"/>
    <cellStyle name="Note 3 2 8 3" xfId="19655" xr:uid="{092C4F00-5053-4CB2-80A2-515A5EEFD4F4}"/>
    <cellStyle name="Note 3 2 8 4" xfId="11207" xr:uid="{F4D78E54-C945-4D5C-9921-70F1FAB3DC90}"/>
    <cellStyle name="Note 3 2 9" xfId="2751" xr:uid="{00000000-0005-0000-0000-0000A5210000}"/>
    <cellStyle name="Note 3 3" xfId="558" xr:uid="{00000000-0005-0000-0000-0000A6210000}"/>
    <cellStyle name="Note 3 3 10" xfId="4914" xr:uid="{00000000-0005-0000-0000-0000A7210000}"/>
    <cellStyle name="Note 3 3 10 2" xfId="21812" xr:uid="{3BB614F3-3863-4B0A-ACC0-39F742E11F69}"/>
    <cellStyle name="Note 3 3 10 3" xfId="13364" xr:uid="{5E422384-E8CF-4E32-BAE5-747B9C97F431}"/>
    <cellStyle name="Note 3 3 11" xfId="17594" xr:uid="{B8F746FD-B9AF-47D8-A17D-C0F36449F8FE}"/>
    <cellStyle name="Note 3 3 12" xfId="9146" xr:uid="{5C29F1F2-AAF6-4FBC-A620-9B24581019A4}"/>
    <cellStyle name="Note 3 3 2" xfId="559" xr:uid="{00000000-0005-0000-0000-0000A8210000}"/>
    <cellStyle name="Note 3 3 2 10" xfId="17595" xr:uid="{3F6F12DE-9811-4284-B2A2-2C0F31596DE0}"/>
    <cellStyle name="Note 3 3 2 11" xfId="9147" xr:uid="{146BD991-E488-4628-BD72-5D74CFA31501}"/>
    <cellStyle name="Note 3 3 2 2" xfId="1019" xr:uid="{00000000-0005-0000-0000-0000A9210000}"/>
    <cellStyle name="Note 3 3 2 2 2" xfId="3251" xr:uid="{00000000-0005-0000-0000-0000AA210000}"/>
    <cellStyle name="Note 3 3 2 2 2 2" xfId="7473" xr:uid="{00000000-0005-0000-0000-0000AB210000}"/>
    <cellStyle name="Note 3 3 2 2 2 2 2" xfId="24371" xr:uid="{9F62A857-9127-4352-8045-DA2013440075}"/>
    <cellStyle name="Note 3 3 2 2 2 2 3" xfId="15923" xr:uid="{408A2F9D-F520-4E4A-A777-3ED64FE7A27A}"/>
    <cellStyle name="Note 3 3 2 2 2 3" xfId="20153" xr:uid="{665896B7-ECCD-473C-B01F-9A07EE2A3B30}"/>
    <cellStyle name="Note 3 3 2 2 2 4" xfId="11705" xr:uid="{7867E12A-18DF-4923-B471-E532285C3972}"/>
    <cellStyle name="Note 3 3 2 2 3" xfId="5328" xr:uid="{00000000-0005-0000-0000-0000AC210000}"/>
    <cellStyle name="Note 3 3 2 2 3 2" xfId="22226" xr:uid="{6A0DE68A-CD56-4EFA-BF2F-52B3534B38C7}"/>
    <cellStyle name="Note 3 3 2 2 3 3" xfId="13778" xr:uid="{75921DC2-74F1-4C6E-9F5B-5E11F13B8B8A}"/>
    <cellStyle name="Note 3 3 2 2 4" xfId="18008" xr:uid="{B3CB79E1-BB74-4C07-86B9-233B0439010D}"/>
    <cellStyle name="Note 3 3 2 2 5" xfId="9560" xr:uid="{8C358C6C-3A9D-4034-A1B6-DB50D9962621}"/>
    <cellStyle name="Note 3 3 2 3" xfId="1434" xr:uid="{00000000-0005-0000-0000-0000AD210000}"/>
    <cellStyle name="Note 3 3 2 3 2" xfId="3664" xr:uid="{00000000-0005-0000-0000-0000AE210000}"/>
    <cellStyle name="Note 3 3 2 3 2 2" xfId="7886" xr:uid="{00000000-0005-0000-0000-0000AF210000}"/>
    <cellStyle name="Note 3 3 2 3 2 2 2" xfId="24784" xr:uid="{D49834A0-C88E-4922-8D16-63F4A4E6D5CD}"/>
    <cellStyle name="Note 3 3 2 3 2 2 3" xfId="16336" xr:uid="{624C3390-3929-4D9E-B532-1AF72BD01DA8}"/>
    <cellStyle name="Note 3 3 2 3 2 3" xfId="20566" xr:uid="{D87D6448-D176-4497-B201-699F8D0BB2F2}"/>
    <cellStyle name="Note 3 3 2 3 2 4" xfId="12118" xr:uid="{39504739-8F47-4EC0-82C2-F4B78745039D}"/>
    <cellStyle name="Note 3 3 2 3 3" xfId="5741" xr:uid="{00000000-0005-0000-0000-0000B0210000}"/>
    <cellStyle name="Note 3 3 2 3 3 2" xfId="22639" xr:uid="{FF0CD704-882A-4CF6-BBB0-43D7ACAF8BE4}"/>
    <cellStyle name="Note 3 3 2 3 3 3" xfId="14191" xr:uid="{A299643A-94F5-482D-B9DD-2BB55770888A}"/>
    <cellStyle name="Note 3 3 2 3 4" xfId="18421" xr:uid="{23881054-DD64-4D69-9680-35B458C06616}"/>
    <cellStyle name="Note 3 3 2 3 5" xfId="9973" xr:uid="{0673FFC7-D98B-4054-B35E-855CDEC3290F}"/>
    <cellStyle name="Note 3 3 2 4" xfId="1848" xr:uid="{00000000-0005-0000-0000-0000B1210000}"/>
    <cellStyle name="Note 3 3 2 4 2" xfId="4077" xr:uid="{00000000-0005-0000-0000-0000B2210000}"/>
    <cellStyle name="Note 3 3 2 4 2 2" xfId="8299" xr:uid="{00000000-0005-0000-0000-0000B3210000}"/>
    <cellStyle name="Note 3 3 2 4 2 2 2" xfId="25197" xr:uid="{512E02EF-3472-4817-88AF-578CEBCDCF0D}"/>
    <cellStyle name="Note 3 3 2 4 2 2 3" xfId="16749" xr:uid="{19B80531-EE1D-4F15-9B42-8C844D630554}"/>
    <cellStyle name="Note 3 3 2 4 2 3" xfId="20979" xr:uid="{1AC890E6-A373-4DCF-8D9C-A4B888E0695F}"/>
    <cellStyle name="Note 3 3 2 4 2 4" xfId="12531" xr:uid="{B09E22FF-0246-42B2-B71D-3781145BBC08}"/>
    <cellStyle name="Note 3 3 2 4 3" xfId="6154" xr:uid="{00000000-0005-0000-0000-0000B4210000}"/>
    <cellStyle name="Note 3 3 2 4 3 2" xfId="23052" xr:uid="{3DDB4564-AFBB-4EEB-AA2B-214A2EEBDC4E}"/>
    <cellStyle name="Note 3 3 2 4 3 3" xfId="14604" xr:uid="{41191FB1-4E3C-4D28-9AC5-C72EA6E8F5A5}"/>
    <cellStyle name="Note 3 3 2 4 4" xfId="18834" xr:uid="{08DA2B8F-102D-4BF6-B2B0-367E47702CFA}"/>
    <cellStyle name="Note 3 3 2 4 5" xfId="10386" xr:uid="{E8C38DF2-569B-4AA8-A0A1-7B4E0AA26F77}"/>
    <cellStyle name="Note 3 3 2 5" xfId="2261" xr:uid="{00000000-0005-0000-0000-0000B5210000}"/>
    <cellStyle name="Note 3 3 2 5 2" xfId="4490" xr:uid="{00000000-0005-0000-0000-0000B6210000}"/>
    <cellStyle name="Note 3 3 2 5 2 2" xfId="8712" xr:uid="{00000000-0005-0000-0000-0000B7210000}"/>
    <cellStyle name="Note 3 3 2 5 2 2 2" xfId="25610" xr:uid="{3204935C-A0FC-46F8-A87B-07A367C5E90A}"/>
    <cellStyle name="Note 3 3 2 5 2 2 3" xfId="17162" xr:uid="{A39BA41F-5685-40BC-BC25-FDB700026E40}"/>
    <cellStyle name="Note 3 3 2 5 2 3" xfId="21392" xr:uid="{BFA3DC64-280C-4761-9F20-F9C8AEF82D61}"/>
    <cellStyle name="Note 3 3 2 5 2 4" xfId="12944" xr:uid="{07631833-E45D-46E5-A220-428A450EC984}"/>
    <cellStyle name="Note 3 3 2 5 3" xfId="6567" xr:uid="{00000000-0005-0000-0000-0000B8210000}"/>
    <cellStyle name="Note 3 3 2 5 3 2" xfId="23465" xr:uid="{2B95DDCC-4179-40F0-B691-EA0FD030627B}"/>
    <cellStyle name="Note 3 3 2 5 3 3" xfId="15017" xr:uid="{84B7B2AF-BC26-4535-B709-FDC32600CA5A}"/>
    <cellStyle name="Note 3 3 2 5 4" xfId="19247" xr:uid="{7250AE25-E4FF-4B67-8B0C-83DE410DC376}"/>
    <cellStyle name="Note 3 3 2 5 5" xfId="10799" xr:uid="{AE9B57BA-ADBE-489A-BD83-D314C51D8CA9}"/>
    <cellStyle name="Note 3 3 2 6" xfId="2697" xr:uid="{00000000-0005-0000-0000-0000B9210000}"/>
    <cellStyle name="Note 3 3 2 6 2" xfId="6980" xr:uid="{00000000-0005-0000-0000-0000BA210000}"/>
    <cellStyle name="Note 3 3 2 6 2 2" xfId="23878" xr:uid="{775954F6-2209-4F64-BEE8-B50DC05F6F39}"/>
    <cellStyle name="Note 3 3 2 6 2 3" xfId="15430" xr:uid="{C813E722-B48C-4F44-A5E5-574F5005D203}"/>
    <cellStyle name="Note 3 3 2 6 3" xfId="19660" xr:uid="{2B31B76B-E0B8-4EA3-B408-B6FBA643A2D0}"/>
    <cellStyle name="Note 3 3 2 6 4" xfId="11212" xr:uid="{A96295F3-0F5E-457D-A2D3-CB764042B3D8}"/>
    <cellStyle name="Note 3 3 2 7" xfId="2756" xr:uid="{00000000-0005-0000-0000-0000BB210000}"/>
    <cellStyle name="Note 3 3 2 8" xfId="2837" xr:uid="{00000000-0005-0000-0000-0000BC210000}"/>
    <cellStyle name="Note 3 3 2 8 2" xfId="7060" xr:uid="{00000000-0005-0000-0000-0000BD210000}"/>
    <cellStyle name="Note 3 3 2 8 2 2" xfId="23958" xr:uid="{C5F7AC17-E0A8-4595-B009-E548326C06F4}"/>
    <cellStyle name="Note 3 3 2 8 2 3" xfId="15510" xr:uid="{FFFE56E6-6F48-45BD-9C7A-FE8B45EBDA85}"/>
    <cellStyle name="Note 3 3 2 8 3" xfId="19740" xr:uid="{0181C011-6A33-4F79-BDD4-4F9628D2EF76}"/>
    <cellStyle name="Note 3 3 2 8 4" xfId="11292" xr:uid="{24E2AE0D-A9C2-4A67-AA59-0AC042A92847}"/>
    <cellStyle name="Note 3 3 2 9" xfId="4915" xr:uid="{00000000-0005-0000-0000-0000BE210000}"/>
    <cellStyle name="Note 3 3 2 9 2" xfId="21813" xr:uid="{B5A32776-54EB-4B5E-9BE7-99833D9BF681}"/>
    <cellStyle name="Note 3 3 2 9 3" xfId="13365" xr:uid="{F2F80438-C917-44E3-B17A-CF3E7BCCE38C}"/>
    <cellStyle name="Note 3 3 3" xfId="1018" xr:uid="{00000000-0005-0000-0000-0000BF210000}"/>
    <cellStyle name="Note 3 3 3 2" xfId="3250" xr:uid="{00000000-0005-0000-0000-0000C0210000}"/>
    <cellStyle name="Note 3 3 3 2 2" xfId="7472" xr:uid="{00000000-0005-0000-0000-0000C1210000}"/>
    <cellStyle name="Note 3 3 3 2 2 2" xfId="24370" xr:uid="{95C32291-099A-4D5D-9577-310EFBAAB1FF}"/>
    <cellStyle name="Note 3 3 3 2 2 3" xfId="15922" xr:uid="{A87DCFA1-0358-49B2-8120-A9D2DB8EF35D}"/>
    <cellStyle name="Note 3 3 3 2 3" xfId="20152" xr:uid="{426B40DB-A637-430D-9467-C7D86A6008AF}"/>
    <cellStyle name="Note 3 3 3 2 4" xfId="11704" xr:uid="{56D09E13-1601-4433-9CAA-E6390291D3C1}"/>
    <cellStyle name="Note 3 3 3 3" xfId="5327" xr:uid="{00000000-0005-0000-0000-0000C2210000}"/>
    <cellStyle name="Note 3 3 3 3 2" xfId="22225" xr:uid="{47A290F3-2630-42F9-B355-F7FCDE776469}"/>
    <cellStyle name="Note 3 3 3 3 3" xfId="13777" xr:uid="{170D9D15-AA8F-47BE-88BA-DDA7FF7C9AB6}"/>
    <cellStyle name="Note 3 3 3 4" xfId="18007" xr:uid="{04299959-ADD0-4588-BEF3-33145FEAD3D3}"/>
    <cellStyle name="Note 3 3 3 5" xfId="9559" xr:uid="{86B230F9-1827-4AF3-97D0-DDE514210F71}"/>
    <cellStyle name="Note 3 3 4" xfId="1433" xr:uid="{00000000-0005-0000-0000-0000C3210000}"/>
    <cellStyle name="Note 3 3 4 2" xfId="3663" xr:uid="{00000000-0005-0000-0000-0000C4210000}"/>
    <cellStyle name="Note 3 3 4 2 2" xfId="7885" xr:uid="{00000000-0005-0000-0000-0000C5210000}"/>
    <cellStyle name="Note 3 3 4 2 2 2" xfId="24783" xr:uid="{38EFDC4F-F684-49F3-8EA5-B54F1A7E1DEC}"/>
    <cellStyle name="Note 3 3 4 2 2 3" xfId="16335" xr:uid="{3BDE0A38-7C05-43E0-8BCE-F2D8AAB46518}"/>
    <cellStyle name="Note 3 3 4 2 3" xfId="20565" xr:uid="{A29A4347-E814-49FA-BDDC-7B2601692550}"/>
    <cellStyle name="Note 3 3 4 2 4" xfId="12117" xr:uid="{62A1E510-2667-407B-B669-9E36A57D36DA}"/>
    <cellStyle name="Note 3 3 4 3" xfId="5740" xr:uid="{00000000-0005-0000-0000-0000C6210000}"/>
    <cellStyle name="Note 3 3 4 3 2" xfId="22638" xr:uid="{A04180DC-8B60-4F50-ACB9-AB20DC4D13B5}"/>
    <cellStyle name="Note 3 3 4 3 3" xfId="14190" xr:uid="{75685542-C53B-4B9E-8BA9-3A089364FA35}"/>
    <cellStyle name="Note 3 3 4 4" xfId="18420" xr:uid="{682C4B1D-836A-4D88-BCCC-480967356B33}"/>
    <cellStyle name="Note 3 3 4 5" xfId="9972" xr:uid="{79F3D4E4-9099-4940-A296-4D98E1FE9708}"/>
    <cellStyle name="Note 3 3 5" xfId="1847" xr:uid="{00000000-0005-0000-0000-0000C7210000}"/>
    <cellStyle name="Note 3 3 5 2" xfId="4076" xr:uid="{00000000-0005-0000-0000-0000C8210000}"/>
    <cellStyle name="Note 3 3 5 2 2" xfId="8298" xr:uid="{00000000-0005-0000-0000-0000C9210000}"/>
    <cellStyle name="Note 3 3 5 2 2 2" xfId="25196" xr:uid="{5D15F261-3E71-4CE4-A85A-3AE681E9B411}"/>
    <cellStyle name="Note 3 3 5 2 2 3" xfId="16748" xr:uid="{9F126C9B-994E-44EB-9C3F-B243DD926EF7}"/>
    <cellStyle name="Note 3 3 5 2 3" xfId="20978" xr:uid="{F2D84FAB-527D-4B1A-AF84-DFFEAD10891F}"/>
    <cellStyle name="Note 3 3 5 2 4" xfId="12530" xr:uid="{45C4933C-DB06-48AF-9BFD-014F09F4B320}"/>
    <cellStyle name="Note 3 3 5 3" xfId="6153" xr:uid="{00000000-0005-0000-0000-0000CA210000}"/>
    <cellStyle name="Note 3 3 5 3 2" xfId="23051" xr:uid="{575597CE-4824-49DF-949B-65EF388EB9EA}"/>
    <cellStyle name="Note 3 3 5 3 3" xfId="14603" xr:uid="{FC7F8969-F138-4465-9AE9-CC7CD11E5CA9}"/>
    <cellStyle name="Note 3 3 5 4" xfId="18833" xr:uid="{8D315A77-E6EB-4951-B0E9-E0CDF5B930CC}"/>
    <cellStyle name="Note 3 3 5 5" xfId="10385" xr:uid="{31F2CF45-D369-4F27-8751-47358DE5F421}"/>
    <cellStyle name="Note 3 3 6" xfId="2260" xr:uid="{00000000-0005-0000-0000-0000CB210000}"/>
    <cellStyle name="Note 3 3 6 2" xfId="4489" xr:uid="{00000000-0005-0000-0000-0000CC210000}"/>
    <cellStyle name="Note 3 3 6 2 2" xfId="8711" xr:uid="{00000000-0005-0000-0000-0000CD210000}"/>
    <cellStyle name="Note 3 3 6 2 2 2" xfId="25609" xr:uid="{10C6E17A-BA0D-4596-8637-FA2E10A7515A}"/>
    <cellStyle name="Note 3 3 6 2 2 3" xfId="17161" xr:uid="{A5BDFA93-635C-4BA8-AB45-2556AE714662}"/>
    <cellStyle name="Note 3 3 6 2 3" xfId="21391" xr:uid="{EC04B460-6EBE-4BBF-899A-10275A4C7772}"/>
    <cellStyle name="Note 3 3 6 2 4" xfId="12943" xr:uid="{3A68B388-E7D0-4E09-BA32-910FE393DE28}"/>
    <cellStyle name="Note 3 3 6 3" xfId="6566" xr:uid="{00000000-0005-0000-0000-0000CE210000}"/>
    <cellStyle name="Note 3 3 6 3 2" xfId="23464" xr:uid="{C7980D1D-6B1D-4616-89DD-2941E8602CBE}"/>
    <cellStyle name="Note 3 3 6 3 3" xfId="15016" xr:uid="{7D93A27E-085B-4160-B097-08F43E465E77}"/>
    <cellStyle name="Note 3 3 6 4" xfId="19246" xr:uid="{BF546700-3D6E-45FF-81FC-8BD893E8FCBF}"/>
    <cellStyle name="Note 3 3 6 5" xfId="10798" xr:uid="{441B47DC-EB22-497F-84F6-B5307A6D9FD9}"/>
    <cellStyle name="Note 3 3 7" xfId="2696" xr:uid="{00000000-0005-0000-0000-0000CF210000}"/>
    <cellStyle name="Note 3 3 7 2" xfId="6979" xr:uid="{00000000-0005-0000-0000-0000D0210000}"/>
    <cellStyle name="Note 3 3 7 2 2" xfId="23877" xr:uid="{3D32EFA6-927F-4603-AD2D-5529BA3F478B}"/>
    <cellStyle name="Note 3 3 7 2 3" xfId="15429" xr:uid="{2F0B7E7F-3C02-47B3-9983-BB731200B59C}"/>
    <cellStyle name="Note 3 3 7 3" xfId="19659" xr:uid="{82D6D2D9-0D70-4F21-9EDD-9F989BC249AF}"/>
    <cellStyle name="Note 3 3 7 4" xfId="11211" xr:uid="{619F41D7-D632-4B95-A850-D52F2FBEDEB4}"/>
    <cellStyle name="Note 3 3 8" xfId="2755" xr:uid="{00000000-0005-0000-0000-0000D1210000}"/>
    <cellStyle name="Note 3 3 9" xfId="2836" xr:uid="{00000000-0005-0000-0000-0000D2210000}"/>
    <cellStyle name="Note 3 3 9 2" xfId="7059" xr:uid="{00000000-0005-0000-0000-0000D3210000}"/>
    <cellStyle name="Note 3 3 9 2 2" xfId="23957" xr:uid="{CA71FDE3-6DAF-42BC-A712-126E742E39C0}"/>
    <cellStyle name="Note 3 3 9 2 3" xfId="15509" xr:uid="{F5882604-A40E-4870-8BB2-C21907854FEE}"/>
    <cellStyle name="Note 3 3 9 3" xfId="19739" xr:uid="{3F22835D-463C-4F0F-8278-C5BE98528E0B}"/>
    <cellStyle name="Note 3 3 9 4" xfId="11291" xr:uid="{091614BC-5530-4B75-81C0-CF0A46B84088}"/>
    <cellStyle name="Note 3 4" xfId="560" xr:uid="{00000000-0005-0000-0000-0000D4210000}"/>
    <cellStyle name="Note 3 4 10" xfId="17596" xr:uid="{FFF064E2-00DF-408C-8432-C1EAAF9F2BBD}"/>
    <cellStyle name="Note 3 4 11" xfId="9148" xr:uid="{A5BECF04-B515-45CE-8B0B-E3477C0320CE}"/>
    <cellStyle name="Note 3 4 2" xfId="1020" xr:uid="{00000000-0005-0000-0000-0000D5210000}"/>
    <cellStyle name="Note 3 4 2 2" xfId="3252" xr:uid="{00000000-0005-0000-0000-0000D6210000}"/>
    <cellStyle name="Note 3 4 2 2 2" xfId="7474" xr:uid="{00000000-0005-0000-0000-0000D7210000}"/>
    <cellStyle name="Note 3 4 2 2 2 2" xfId="24372" xr:uid="{14A4EA52-7E0C-4D79-B217-51423CB9F81E}"/>
    <cellStyle name="Note 3 4 2 2 2 3" xfId="15924" xr:uid="{A5416A88-F065-444A-BE94-8889BAB921DF}"/>
    <cellStyle name="Note 3 4 2 2 3" xfId="20154" xr:uid="{C485DF11-ECE7-44CC-AA2E-F1A2202C5B50}"/>
    <cellStyle name="Note 3 4 2 2 4" xfId="11706" xr:uid="{490B62B1-E735-446B-AE35-AFEA46CD2620}"/>
    <cellStyle name="Note 3 4 2 3" xfId="5329" xr:uid="{00000000-0005-0000-0000-0000D8210000}"/>
    <cellStyle name="Note 3 4 2 3 2" xfId="22227" xr:uid="{39C55EE3-8270-4153-95BD-A3C6247815AB}"/>
    <cellStyle name="Note 3 4 2 3 3" xfId="13779" xr:uid="{233D6D5D-B701-4BFF-B21B-C5AE065E30A1}"/>
    <cellStyle name="Note 3 4 2 4" xfId="18009" xr:uid="{5B517975-26EA-409B-8807-86C2C9BF170E}"/>
    <cellStyle name="Note 3 4 2 5" xfId="9561" xr:uid="{B47F6552-78AE-4A0C-BC0B-E0FEB70504CF}"/>
    <cellStyle name="Note 3 4 3" xfId="1435" xr:uid="{00000000-0005-0000-0000-0000D9210000}"/>
    <cellStyle name="Note 3 4 3 2" xfId="3665" xr:uid="{00000000-0005-0000-0000-0000DA210000}"/>
    <cellStyle name="Note 3 4 3 2 2" xfId="7887" xr:uid="{00000000-0005-0000-0000-0000DB210000}"/>
    <cellStyle name="Note 3 4 3 2 2 2" xfId="24785" xr:uid="{0BFA2736-8EE9-4393-9A5F-41E94F72C70E}"/>
    <cellStyle name="Note 3 4 3 2 2 3" xfId="16337" xr:uid="{64776E5F-4D12-42C2-972E-0CE8715AC876}"/>
    <cellStyle name="Note 3 4 3 2 3" xfId="20567" xr:uid="{C38DFE4D-D3E9-431B-882F-AE3D9FC34072}"/>
    <cellStyle name="Note 3 4 3 2 4" xfId="12119" xr:uid="{B24CCA19-04E5-4A9B-9F4F-919D85826BB6}"/>
    <cellStyle name="Note 3 4 3 3" xfId="5742" xr:uid="{00000000-0005-0000-0000-0000DC210000}"/>
    <cellStyle name="Note 3 4 3 3 2" xfId="22640" xr:uid="{C55DA88B-4683-4D33-A420-2719B40EC544}"/>
    <cellStyle name="Note 3 4 3 3 3" xfId="14192" xr:uid="{9DF36543-96F5-4088-BD9B-FB8C81CF273B}"/>
    <cellStyle name="Note 3 4 3 4" xfId="18422" xr:uid="{AE4E20F2-FFE9-43F4-9121-5F3E54D1BA89}"/>
    <cellStyle name="Note 3 4 3 5" xfId="9974" xr:uid="{7F71EE60-E0DF-463F-BBA1-25ED98431B4D}"/>
    <cellStyle name="Note 3 4 4" xfId="1849" xr:uid="{00000000-0005-0000-0000-0000DD210000}"/>
    <cellStyle name="Note 3 4 4 2" xfId="4078" xr:uid="{00000000-0005-0000-0000-0000DE210000}"/>
    <cellStyle name="Note 3 4 4 2 2" xfId="8300" xr:uid="{00000000-0005-0000-0000-0000DF210000}"/>
    <cellStyle name="Note 3 4 4 2 2 2" xfId="25198" xr:uid="{065B250E-4306-420B-86D3-D6D754C28018}"/>
    <cellStyle name="Note 3 4 4 2 2 3" xfId="16750" xr:uid="{5ACB1D0B-6213-482A-AED4-7431F9685A13}"/>
    <cellStyle name="Note 3 4 4 2 3" xfId="20980" xr:uid="{F2EB2415-EB67-48F6-8214-710388F79D6D}"/>
    <cellStyle name="Note 3 4 4 2 4" xfId="12532" xr:uid="{D9C77F2F-A53C-414B-8992-71EA8EDB87B4}"/>
    <cellStyle name="Note 3 4 4 3" xfId="6155" xr:uid="{00000000-0005-0000-0000-0000E0210000}"/>
    <cellStyle name="Note 3 4 4 3 2" xfId="23053" xr:uid="{900BCCE8-723C-4659-9DBE-82CAF4232958}"/>
    <cellStyle name="Note 3 4 4 3 3" xfId="14605" xr:uid="{F8A61BC8-2A99-4D27-881B-9090D66EC8F2}"/>
    <cellStyle name="Note 3 4 4 4" xfId="18835" xr:uid="{B88F8BF0-D30C-443D-B132-2ADA7E57D90E}"/>
    <cellStyle name="Note 3 4 4 5" xfId="10387" xr:uid="{5339F70B-CB75-4DC9-842E-B1A6428336E8}"/>
    <cellStyle name="Note 3 4 5" xfId="2262" xr:uid="{00000000-0005-0000-0000-0000E1210000}"/>
    <cellStyle name="Note 3 4 5 2" xfId="4491" xr:uid="{00000000-0005-0000-0000-0000E2210000}"/>
    <cellStyle name="Note 3 4 5 2 2" xfId="8713" xr:uid="{00000000-0005-0000-0000-0000E3210000}"/>
    <cellStyle name="Note 3 4 5 2 2 2" xfId="25611" xr:uid="{AE78A1B8-8C23-4708-A281-7510E9A8CF23}"/>
    <cellStyle name="Note 3 4 5 2 2 3" xfId="17163" xr:uid="{4648CD77-0AD3-466F-9AB2-B88C4260E236}"/>
    <cellStyle name="Note 3 4 5 2 3" xfId="21393" xr:uid="{DD66E349-6CB8-42C8-8EF6-54A152036E54}"/>
    <cellStyle name="Note 3 4 5 2 4" xfId="12945" xr:uid="{DD2F5331-E1BF-4A0B-B21D-92999A0B51F1}"/>
    <cellStyle name="Note 3 4 5 3" xfId="6568" xr:uid="{00000000-0005-0000-0000-0000E4210000}"/>
    <cellStyle name="Note 3 4 5 3 2" xfId="23466" xr:uid="{80C6F2F8-CA35-4E26-900D-B3AA11744DDF}"/>
    <cellStyle name="Note 3 4 5 3 3" xfId="15018" xr:uid="{6E263E6A-F2A6-4A41-8B02-0D8E4AC3D431}"/>
    <cellStyle name="Note 3 4 5 4" xfId="19248" xr:uid="{5F414AB7-4D65-4FE3-9BB4-5A351882ECA8}"/>
    <cellStyle name="Note 3 4 5 5" xfId="10800" xr:uid="{448024C8-2E83-4B5E-B497-E15ACAD97D7C}"/>
    <cellStyle name="Note 3 4 6" xfId="2698" xr:uid="{00000000-0005-0000-0000-0000E5210000}"/>
    <cellStyle name="Note 3 4 6 2" xfId="6981" xr:uid="{00000000-0005-0000-0000-0000E6210000}"/>
    <cellStyle name="Note 3 4 6 2 2" xfId="23879" xr:uid="{75812C29-E38E-439C-BB3F-E1C7DDE0C619}"/>
    <cellStyle name="Note 3 4 6 2 3" xfId="15431" xr:uid="{5E9F83A5-EFC6-4678-893D-CFC2E90EAB14}"/>
    <cellStyle name="Note 3 4 6 3" xfId="19661" xr:uid="{D806AE53-CA84-4726-84D3-73AD0B0A81B9}"/>
    <cellStyle name="Note 3 4 6 4" xfId="11213" xr:uid="{117F4AEC-7A86-4EBE-9038-8E6A3DC07CB6}"/>
    <cellStyle name="Note 3 4 7" xfId="2757" xr:uid="{00000000-0005-0000-0000-0000E7210000}"/>
    <cellStyle name="Note 3 4 8" xfId="2838" xr:uid="{00000000-0005-0000-0000-0000E8210000}"/>
    <cellStyle name="Note 3 4 8 2" xfId="7061" xr:uid="{00000000-0005-0000-0000-0000E9210000}"/>
    <cellStyle name="Note 3 4 8 2 2" xfId="23959" xr:uid="{9A9CE08A-6F19-4F90-8615-7B8DF6D13CBE}"/>
    <cellStyle name="Note 3 4 8 2 3" xfId="15511" xr:uid="{96D4EBAA-D550-45B8-BB2A-C67D98431082}"/>
    <cellStyle name="Note 3 4 8 3" xfId="19741" xr:uid="{3E0D36D2-F7D1-4652-9602-D09CFEFEFC5A}"/>
    <cellStyle name="Note 3 4 8 4" xfId="11293" xr:uid="{DCF7C077-AD6D-4416-8087-4D7AE3284373}"/>
    <cellStyle name="Note 3 4 9" xfId="4916" xr:uid="{00000000-0005-0000-0000-0000EA210000}"/>
    <cellStyle name="Note 3 4 9 2" xfId="21814" xr:uid="{9657F397-0A7A-4E2A-9F25-3D28CCFD10B8}"/>
    <cellStyle name="Note 3 4 9 3" xfId="13366" xr:uid="{1E1B3A12-E807-47DC-B0A5-17354AD2AEF6}"/>
    <cellStyle name="Note 3 5" xfId="561" xr:uid="{00000000-0005-0000-0000-0000EB210000}"/>
    <cellStyle name="Note 3 5 10" xfId="17597" xr:uid="{283C7D1C-2826-4638-94EB-69B4EDB3FE4C}"/>
    <cellStyle name="Note 3 5 11" xfId="9149" xr:uid="{37FB9D54-8E9D-40E5-8F8F-F2545A27514B}"/>
    <cellStyle name="Note 3 5 2" xfId="1021" xr:uid="{00000000-0005-0000-0000-0000EC210000}"/>
    <cellStyle name="Note 3 5 2 2" xfId="3253" xr:uid="{00000000-0005-0000-0000-0000ED210000}"/>
    <cellStyle name="Note 3 5 2 2 2" xfId="7475" xr:uid="{00000000-0005-0000-0000-0000EE210000}"/>
    <cellStyle name="Note 3 5 2 2 2 2" xfId="24373" xr:uid="{61492EC1-1F80-475D-8170-39DD10D68C24}"/>
    <cellStyle name="Note 3 5 2 2 2 3" xfId="15925" xr:uid="{1F30722F-8925-43B1-B8B9-E71928641F21}"/>
    <cellStyle name="Note 3 5 2 2 3" xfId="20155" xr:uid="{6DF2B79A-45CD-490F-9F74-EF95F3C28734}"/>
    <cellStyle name="Note 3 5 2 2 4" xfId="11707" xr:uid="{74B5CA46-6AED-4D98-90A6-688FF4E6E772}"/>
    <cellStyle name="Note 3 5 2 3" xfId="5330" xr:uid="{00000000-0005-0000-0000-0000EF210000}"/>
    <cellStyle name="Note 3 5 2 3 2" xfId="22228" xr:uid="{37683605-007B-47EE-82D6-4AA8DE298B24}"/>
    <cellStyle name="Note 3 5 2 3 3" xfId="13780" xr:uid="{E1F2D8B7-4099-434A-B078-A1366133B1FD}"/>
    <cellStyle name="Note 3 5 2 4" xfId="18010" xr:uid="{2736F4A4-060B-478B-BF8B-29FEC1833A4E}"/>
    <cellStyle name="Note 3 5 2 5" xfId="9562" xr:uid="{3E04D46F-321E-4FFB-8A64-B2257DBCF01F}"/>
    <cellStyle name="Note 3 5 3" xfId="1436" xr:uid="{00000000-0005-0000-0000-0000F0210000}"/>
    <cellStyle name="Note 3 5 3 2" xfId="3666" xr:uid="{00000000-0005-0000-0000-0000F1210000}"/>
    <cellStyle name="Note 3 5 3 2 2" xfId="7888" xr:uid="{00000000-0005-0000-0000-0000F2210000}"/>
    <cellStyle name="Note 3 5 3 2 2 2" xfId="24786" xr:uid="{E94F1B2D-78B7-4E42-8902-B770AAA8D89F}"/>
    <cellStyle name="Note 3 5 3 2 2 3" xfId="16338" xr:uid="{8C2B27FC-F288-4DC2-9082-02DC00FA8581}"/>
    <cellStyle name="Note 3 5 3 2 3" xfId="20568" xr:uid="{C49719A8-124C-42AE-8A5A-4CC6FD9282C3}"/>
    <cellStyle name="Note 3 5 3 2 4" xfId="12120" xr:uid="{DB5EED4E-888A-4C24-B801-1D7CED58AB51}"/>
    <cellStyle name="Note 3 5 3 3" xfId="5743" xr:uid="{00000000-0005-0000-0000-0000F3210000}"/>
    <cellStyle name="Note 3 5 3 3 2" xfId="22641" xr:uid="{E826F889-D6A3-4B99-8209-2A1FF3A94AB2}"/>
    <cellStyle name="Note 3 5 3 3 3" xfId="14193" xr:uid="{21D09D45-A6D6-4985-995D-58D07896CC62}"/>
    <cellStyle name="Note 3 5 3 4" xfId="18423" xr:uid="{444ADB09-3AFC-4D24-BDCF-5A278972DD91}"/>
    <cellStyle name="Note 3 5 3 5" xfId="9975" xr:uid="{A60FEF0B-7F2E-4321-9926-521185D7D0A8}"/>
    <cellStyle name="Note 3 5 4" xfId="1850" xr:uid="{00000000-0005-0000-0000-0000F4210000}"/>
    <cellStyle name="Note 3 5 4 2" xfId="4079" xr:uid="{00000000-0005-0000-0000-0000F5210000}"/>
    <cellStyle name="Note 3 5 4 2 2" xfId="8301" xr:uid="{00000000-0005-0000-0000-0000F6210000}"/>
    <cellStyle name="Note 3 5 4 2 2 2" xfId="25199" xr:uid="{3C8581B1-10F1-489C-BDE1-95AFF47F0BE7}"/>
    <cellStyle name="Note 3 5 4 2 2 3" xfId="16751" xr:uid="{9792BE2D-3D8D-44B2-9F5F-95FC2C0077A8}"/>
    <cellStyle name="Note 3 5 4 2 3" xfId="20981" xr:uid="{5C4F653E-CF81-42A7-93A3-69BF69636797}"/>
    <cellStyle name="Note 3 5 4 2 4" xfId="12533" xr:uid="{9B9A52FA-956D-4064-9069-9A483C87481A}"/>
    <cellStyle name="Note 3 5 4 3" xfId="6156" xr:uid="{00000000-0005-0000-0000-0000F7210000}"/>
    <cellStyle name="Note 3 5 4 3 2" xfId="23054" xr:uid="{61398EE7-CEE3-4389-BC86-0CAD87C0BEAB}"/>
    <cellStyle name="Note 3 5 4 3 3" xfId="14606" xr:uid="{3E965326-0171-4E99-B214-4D483F7A8E61}"/>
    <cellStyle name="Note 3 5 4 4" xfId="18836" xr:uid="{23A0E340-0465-4D88-B7C5-15CBD6C5A390}"/>
    <cellStyle name="Note 3 5 4 5" xfId="10388" xr:uid="{8A00DBF7-E2E2-4188-BEA4-D7058EC02333}"/>
    <cellStyle name="Note 3 5 5" xfId="2263" xr:uid="{00000000-0005-0000-0000-0000F8210000}"/>
    <cellStyle name="Note 3 5 5 2" xfId="4492" xr:uid="{00000000-0005-0000-0000-0000F9210000}"/>
    <cellStyle name="Note 3 5 5 2 2" xfId="8714" xr:uid="{00000000-0005-0000-0000-0000FA210000}"/>
    <cellStyle name="Note 3 5 5 2 2 2" xfId="25612" xr:uid="{D9196111-3124-4573-81E4-72637D211758}"/>
    <cellStyle name="Note 3 5 5 2 2 3" xfId="17164" xr:uid="{B0B08B38-B1F9-4343-A478-7F2864FCA247}"/>
    <cellStyle name="Note 3 5 5 2 3" xfId="21394" xr:uid="{379A2353-A4BA-4F93-9C05-6F28BCC4FB3B}"/>
    <cellStyle name="Note 3 5 5 2 4" xfId="12946" xr:uid="{50155849-9C94-4733-8D30-DDAAFF527C76}"/>
    <cellStyle name="Note 3 5 5 3" xfId="6569" xr:uid="{00000000-0005-0000-0000-0000FB210000}"/>
    <cellStyle name="Note 3 5 5 3 2" xfId="23467" xr:uid="{DF7B7CCA-2924-4555-82A8-14279281A243}"/>
    <cellStyle name="Note 3 5 5 3 3" xfId="15019" xr:uid="{7F219CB6-D7D6-4DA6-B2BD-FF8449F4493D}"/>
    <cellStyle name="Note 3 5 5 4" xfId="19249" xr:uid="{A61CED9B-B392-4063-AA0A-2D105C92C808}"/>
    <cellStyle name="Note 3 5 5 5" xfId="10801" xr:uid="{3478EDF3-818B-4ECA-A6A0-788AF9B72BF3}"/>
    <cellStyle name="Note 3 5 6" xfId="2699" xr:uid="{00000000-0005-0000-0000-0000FC210000}"/>
    <cellStyle name="Note 3 5 6 2" xfId="6982" xr:uid="{00000000-0005-0000-0000-0000FD210000}"/>
    <cellStyle name="Note 3 5 6 2 2" xfId="23880" xr:uid="{8F495660-3AFB-4B4E-B238-83D2C256F080}"/>
    <cellStyle name="Note 3 5 6 2 3" xfId="15432" xr:uid="{0C059044-9A7F-4674-9392-1FCC34CBAD6D}"/>
    <cellStyle name="Note 3 5 6 3" xfId="19662" xr:uid="{63A02F3B-665B-4B43-BEE4-60AE5B7A4341}"/>
    <cellStyle name="Note 3 5 6 4" xfId="11214" xr:uid="{073549BA-7114-4A7D-A125-FB47CDC0857A}"/>
    <cellStyle name="Note 3 5 7" xfId="2758" xr:uid="{00000000-0005-0000-0000-0000FE210000}"/>
    <cellStyle name="Note 3 5 8" xfId="2839" xr:uid="{00000000-0005-0000-0000-0000FF210000}"/>
    <cellStyle name="Note 3 5 8 2" xfId="7062" xr:uid="{00000000-0005-0000-0000-000000220000}"/>
    <cellStyle name="Note 3 5 8 2 2" xfId="23960" xr:uid="{7C5A44FE-8330-48A3-B571-867A6EC2ABC5}"/>
    <cellStyle name="Note 3 5 8 2 3" xfId="15512" xr:uid="{DA4FEF30-4F6E-4C60-A09F-E41C072D6F18}"/>
    <cellStyle name="Note 3 5 8 3" xfId="19742" xr:uid="{514C2006-DF14-4F68-ADE0-36726FB6F063}"/>
    <cellStyle name="Note 3 5 8 4" xfId="11294" xr:uid="{1FE98B62-D0C3-499B-A47A-60E318F077F4}"/>
    <cellStyle name="Note 3 5 9" xfId="4917" xr:uid="{00000000-0005-0000-0000-000001220000}"/>
    <cellStyle name="Note 3 5 9 2" xfId="21815" xr:uid="{B66BE068-4049-41B6-95AF-BC955E283598}"/>
    <cellStyle name="Note 3 5 9 3" xfId="13367" xr:uid="{1E131213-5AF3-473E-9EA8-7E90C90712E7}"/>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21398" xr:uid="{D4D141E7-A50D-4440-A20D-807323D70719}"/>
    <cellStyle name="Percent 3 3" xfId="12950" xr:uid="{2EB2BCD3-A73B-4201-B7FC-9663AC809C2E}"/>
    <cellStyle name="Percent 4" xfId="4502" xr:uid="{00000000-0005-0000-0000-000007220000}"/>
    <cellStyle name="Percent 4 2" xfId="8717" xr:uid="{00000000-0005-0000-0000-000008220000}"/>
    <cellStyle name="Percent 4 2 2" xfId="25615" xr:uid="{2879EB2F-D542-4F1D-95B3-B7914D74EA7D}"/>
    <cellStyle name="Percent 4 2 3" xfId="17167" xr:uid="{7FFEB0B9-C42C-4784-95C8-067EEC9CFF2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25631" xr:uid="{B7C72C99-6209-4F2E-92F7-2A2A8C1A9EF9}"/>
    <cellStyle name="Percent 4 3 2 2 2 2 3" xfId="17183" xr:uid="{8304C0CF-693A-4BB8-BEAC-18003D7E06FE}"/>
    <cellStyle name="Percent 4 3 2 2 2 3" xfId="25628" xr:uid="{DFD7D039-C8F7-49BF-AF70-DABF2C015481}"/>
    <cellStyle name="Percent 4 3 2 2 2 4" xfId="17180" xr:uid="{24C797C3-1516-4578-8F54-ECFAAAD0FC87}"/>
    <cellStyle name="Percent 4 3 2 2 3" xfId="25624" xr:uid="{1F4DB302-3A4E-409B-B724-1124BBCD0F61}"/>
    <cellStyle name="Percent 4 3 2 2 4" xfId="17176" xr:uid="{DFC9CDDF-8554-4214-A310-FA832FAF6C87}"/>
    <cellStyle name="Percent 4 3 2 3" xfId="25621" xr:uid="{C7EE32C6-A727-4755-994F-30E8558EBEF5}"/>
    <cellStyle name="Percent 4 3 2 4" xfId="17173" xr:uid="{B368CD19-893A-45CC-93D2-35AE3703FD35}"/>
    <cellStyle name="Percent 4 3 3" xfId="25618" xr:uid="{A0D83505-6399-4A87-BAA7-3F8C0F847AD2}"/>
    <cellStyle name="Percent 4 3 4" xfId="17170" xr:uid="{DEC66A0C-1E48-4CC4-A75B-B70E933F45BA}"/>
    <cellStyle name="Percent 4 4" xfId="21401" xr:uid="{A114BD6F-4DF5-45CE-BEC0-1250277300C4}"/>
    <cellStyle name="Percent 4 5" xfId="12953" xr:uid="{9DE78766-2EA9-4D8C-A6E7-548609D828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1" defaultTableStyle="TableStyleMedium9" defaultPivotStyle="PivotStyleLight16">
    <tableStyle name="Invisible" pivot="0" table="0" count="0" xr9:uid="{4562BC38-408F-4B2A-B4E9-B7FCF55A3F41}"/>
  </tableStyles>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T:/SEA-DATA/CLIENTS/02.%20Potential%20Clients/Impact%20Residential/Round%20Three/OLD%202025-4-percent-attachment-40%20-%20Marinwood%20Plaza.xlsx" TargetMode="External"/><Relationship Id="rId1" Type="http://schemas.openxmlformats.org/officeDocument/2006/relationships/externalLinkPath" Target="file:///T:/SEA-DATA/CLIENTS/02.%20Potential%20Clients/Impact%20Residential/Round%20Three/OLD%202025-4-percent-attachment-40%20-%20Marinwood%20Plaz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App Completion "/>
      <sheetName val="Instructions-Electronic Submit"/>
      <sheetName val="Application Checklist"/>
      <sheetName val="Application"/>
      <sheetName val="Sources and Uses Budget"/>
      <sheetName val="Sources and Basis Breakdown"/>
      <sheetName val="CalHFA Addendum"/>
      <sheetName val="Basis &amp; Credits"/>
      <sheetName val="Points System"/>
      <sheetName val="Tie Breaker"/>
      <sheetName val="Subsidy Contract Calculation"/>
      <sheetName val="15 Year Pro Forma"/>
      <sheetName val="Post-award Instructions"/>
      <sheetName val="Post-award Project Cost Changes"/>
    </sheetNames>
    <sheetDataSet>
      <sheetData sheetId="0" refreshError="1"/>
      <sheetData sheetId="1" refreshError="1"/>
      <sheetData sheetId="2" refreshError="1"/>
      <sheetData sheetId="3">
        <row r="251">
          <cell r="M251" t="str">
            <v>PACH San Jose Holding LLC</v>
          </cell>
        </row>
        <row r="335">
          <cell r="AA335" t="str">
            <v xml:space="preserve">Aperto Property Management, Inc.										</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74" t="s">
        <v>550</v>
      </c>
      <c r="B1" s="1274"/>
      <c r="C1" s="1274"/>
      <c r="D1" s="1274"/>
      <c r="E1" s="1274"/>
      <c r="F1" s="1274"/>
      <c r="G1" s="1274"/>
      <c r="H1" s="1274"/>
      <c r="I1" s="1274"/>
      <c r="J1" s="1274"/>
      <c r="K1" s="1274"/>
      <c r="L1" s="1274"/>
      <c r="M1" s="1274"/>
      <c r="N1" s="1274"/>
      <c r="O1" s="1274"/>
      <c r="P1" s="1274"/>
      <c r="Q1" s="1274"/>
      <c r="R1" s="1274"/>
      <c r="S1" s="1274"/>
      <c r="T1" s="1274"/>
      <c r="U1" s="1274"/>
      <c r="V1" s="1274"/>
      <c r="W1" s="1274"/>
      <c r="X1" s="1274"/>
      <c r="Y1" s="1274"/>
      <c r="Z1" s="1274"/>
      <c r="AA1" s="1274"/>
      <c r="AB1" s="1274"/>
      <c r="AC1" s="1274"/>
      <c r="AD1" s="1274"/>
      <c r="AE1" s="1274"/>
      <c r="AF1" s="1274"/>
      <c r="AG1" s="1274"/>
      <c r="AH1" s="1274"/>
      <c r="AI1" s="1274"/>
      <c r="AJ1" s="1274"/>
      <c r="AK1" s="1274"/>
      <c r="AL1" s="1274"/>
    </row>
    <row r="2" spans="1:38" ht="14" thickBot="1">
      <c r="A2" s="1275"/>
      <c r="B2" s="1275"/>
      <c r="C2" s="1275"/>
      <c r="D2" s="1275"/>
      <c r="E2" s="1275"/>
      <c r="F2" s="1275"/>
      <c r="G2" s="1275"/>
      <c r="H2" s="1275"/>
      <c r="I2" s="1275"/>
      <c r="J2" s="1275"/>
      <c r="K2" s="1275"/>
      <c r="L2" s="1275"/>
      <c r="M2" s="1275"/>
      <c r="N2" s="1275"/>
      <c r="O2" s="1275"/>
      <c r="P2" s="1275"/>
      <c r="Q2" s="1275"/>
      <c r="R2" s="1275"/>
      <c r="S2" s="1275"/>
      <c r="T2" s="1275"/>
      <c r="U2" s="1275"/>
      <c r="V2" s="1275"/>
      <c r="W2" s="1275"/>
      <c r="X2" s="1275"/>
      <c r="Y2" s="1275"/>
      <c r="Z2" s="1275"/>
      <c r="AA2" s="1275"/>
      <c r="AB2" s="1275"/>
      <c r="AC2" s="1275"/>
      <c r="AD2" s="1275"/>
      <c r="AE2" s="1275"/>
      <c r="AF2" s="1275"/>
      <c r="AG2" s="1275"/>
      <c r="AH2" s="1275"/>
      <c r="AI2" s="1275"/>
      <c r="AJ2" s="1275"/>
      <c r="AK2" s="1275"/>
      <c r="AL2" s="1275"/>
    </row>
    <row r="3" spans="1:38" ht="14"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25" customHeight="1">
      <c r="A7" s="204"/>
      <c r="B7" s="204"/>
      <c r="C7" s="205"/>
      <c r="D7" s="1264" t="s">
        <v>2034</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55"/>
    </row>
    <row r="8" spans="1:38">
      <c r="A8" s="204"/>
      <c r="B8" s="204"/>
      <c r="C8" s="205"/>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55"/>
    </row>
    <row r="9" spans="1:38">
      <c r="A9" s="204"/>
      <c r="B9" s="204"/>
      <c r="C9" s="205"/>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4" t="s">
        <v>2035</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55"/>
    </row>
    <row r="12" spans="1:38">
      <c r="A12" s="204"/>
      <c r="B12" s="204"/>
      <c r="C12" s="205"/>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55"/>
    </row>
    <row r="13" spans="1:38">
      <c r="A13" s="204"/>
      <c r="B13" s="204"/>
      <c r="C13" s="205"/>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5" customHeight="1">
      <c r="A15" s="204"/>
      <c r="B15" s="204"/>
      <c r="C15" s="205"/>
      <c r="D15" s="1264" t="s">
        <v>2599</v>
      </c>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55"/>
    </row>
    <row r="16" spans="1:38" ht="13.25" customHeight="1">
      <c r="A16" s="204"/>
      <c r="B16" s="204"/>
      <c r="C16" s="205"/>
      <c r="D16" s="1264"/>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55"/>
    </row>
    <row r="17" spans="1:38">
      <c r="A17" s="204"/>
      <c r="B17" s="204"/>
      <c r="C17" s="205"/>
      <c r="D17" s="1264"/>
      <c r="E17" s="1264"/>
      <c r="F17" s="1264"/>
      <c r="G17" s="1264"/>
      <c r="H17" s="1264"/>
      <c r="I17" s="1264"/>
      <c r="J17" s="1264"/>
      <c r="K17" s="1264"/>
      <c r="L17" s="1264"/>
      <c r="M17" s="1264"/>
      <c r="N17" s="1264"/>
      <c r="O17" s="1264"/>
      <c r="P17" s="1264"/>
      <c r="Q17" s="1264"/>
      <c r="R17" s="1264"/>
      <c r="S17" s="1264"/>
      <c r="T17" s="1264"/>
      <c r="U17" s="1264"/>
      <c r="V17" s="1264"/>
      <c r="W17" s="1264"/>
      <c r="X17" s="1264"/>
      <c r="Y17" s="1264"/>
      <c r="Z17" s="1264"/>
      <c r="AA17" s="1264"/>
      <c r="AB17" s="1264"/>
      <c r="AC17" s="1264"/>
      <c r="AD17" s="1264"/>
      <c r="AE17" s="1264"/>
      <c r="AF17" s="1264"/>
      <c r="AG17" s="1264"/>
      <c r="AH17" s="1264"/>
      <c r="AI17" s="1264"/>
      <c r="AJ17" s="1264"/>
      <c r="AK17" s="1264"/>
      <c r="AL17" s="455"/>
    </row>
    <row r="18" spans="1:38">
      <c r="A18" s="204"/>
      <c r="B18" s="204"/>
      <c r="C18" s="205"/>
      <c r="D18" s="519" t="s">
        <v>2598</v>
      </c>
      <c r="E18" s="441"/>
      <c r="G18" s="441"/>
      <c r="H18" s="441"/>
      <c r="I18" s="441"/>
      <c r="J18" s="1277" t="s">
        <v>2597</v>
      </c>
      <c r="K18" s="1277"/>
      <c r="L18" s="1277"/>
      <c r="M18" s="1277"/>
      <c r="N18" s="1277"/>
      <c r="O18" s="1277"/>
      <c r="P18" s="1277"/>
      <c r="Q18" s="1277"/>
      <c r="R18" s="1277"/>
      <c r="S18" s="1277"/>
      <c r="T18" s="1277"/>
      <c r="U18" s="1277"/>
      <c r="V18" s="1277"/>
      <c r="W18" s="1277"/>
      <c r="X18" s="1277"/>
      <c r="Y18" s="1277"/>
      <c r="Z18" s="1277"/>
      <c r="AA18" s="1277"/>
      <c r="AB18" s="1277"/>
      <c r="AC18" s="1277"/>
      <c r="AD18" s="1277"/>
      <c r="AE18" s="1277"/>
      <c r="AF18" s="1277"/>
      <c r="AG18" s="1277"/>
      <c r="AH18" s="1277"/>
      <c r="AI18" s="1277"/>
      <c r="AJ18" s="1277"/>
      <c r="AK18" s="1277"/>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5" customHeight="1">
      <c r="A20" s="204"/>
      <c r="B20" s="204"/>
      <c r="C20" s="205"/>
      <c r="D20" s="1264" t="s">
        <v>2036</v>
      </c>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04"/>
    </row>
    <row r="21" spans="1:38">
      <c r="A21" s="204"/>
      <c r="B21" s="204"/>
      <c r="C21" s="205"/>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04"/>
    </row>
    <row r="22" spans="1:38">
      <c r="A22" s="204"/>
      <c r="B22" s="204"/>
      <c r="C22" s="205"/>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04"/>
    </row>
    <row r="23" spans="1:38" ht="13.25" customHeight="1">
      <c r="A23" s="204"/>
      <c r="B23" s="204"/>
      <c r="C23" s="205"/>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04"/>
    </row>
    <row r="24" spans="1:38">
      <c r="A24" s="204"/>
      <c r="B24" s="204"/>
      <c r="C24" s="205"/>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04"/>
    </row>
    <row r="25" spans="1:38">
      <c r="A25" s="204"/>
      <c r="B25" s="204"/>
      <c r="C25" s="205"/>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04"/>
    </row>
    <row r="26" spans="1:38">
      <c r="A26" s="204"/>
      <c r="B26" s="204"/>
      <c r="C26" s="205"/>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04"/>
    </row>
    <row r="27" spans="1:38">
      <c r="A27" s="204"/>
      <c r="B27" s="204"/>
      <c r="C27" s="205"/>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04"/>
    </row>
    <row r="28" spans="1:38">
      <c r="A28" s="204"/>
      <c r="B28" s="204"/>
      <c r="C28" s="205"/>
      <c r="D28" s="1264"/>
      <c r="E28" s="1264"/>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5" customHeight="1">
      <c r="A30" s="204"/>
      <c r="B30" s="204"/>
      <c r="C30" s="205"/>
      <c r="D30" s="1264" t="s">
        <v>2037</v>
      </c>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04"/>
    </row>
    <row r="31" spans="1:38">
      <c r="A31" s="204"/>
      <c r="B31" s="204"/>
      <c r="C31" s="205"/>
      <c r="D31" s="455"/>
      <c r="E31" s="1265" t="s">
        <v>2513</v>
      </c>
      <c r="F31" s="1266"/>
      <c r="G31" s="1266"/>
      <c r="H31" s="1266"/>
      <c r="I31" s="1266"/>
      <c r="J31" s="1266"/>
      <c r="K31" s="1266"/>
      <c r="L31" s="1266"/>
      <c r="M31" s="1266"/>
      <c r="N31" s="1266"/>
      <c r="O31" s="1266"/>
      <c r="P31" s="1266"/>
      <c r="Q31" s="1266"/>
      <c r="R31" s="1266"/>
      <c r="S31" s="1266"/>
      <c r="T31" s="1266"/>
      <c r="U31" s="1266"/>
      <c r="V31" s="1266"/>
      <c r="W31" s="1266"/>
      <c r="X31" s="1266"/>
      <c r="Y31" s="1266"/>
      <c r="Z31" s="1266"/>
      <c r="AA31" s="1266"/>
      <c r="AB31" s="1266"/>
      <c r="AC31" s="1266"/>
      <c r="AD31" s="1266"/>
      <c r="AE31" s="1266"/>
      <c r="AF31" s="1266"/>
      <c r="AG31" s="1266"/>
      <c r="AH31" s="1266"/>
      <c r="AI31" s="1266"/>
      <c r="AJ31" s="1266"/>
      <c r="AK31" s="1266"/>
      <c r="AL31" s="204"/>
    </row>
    <row r="32" spans="1:38">
      <c r="A32" s="4"/>
      <c r="C32" s="2"/>
    </row>
    <row r="33" spans="1:38">
      <c r="A33" s="4"/>
      <c r="D33" s="1276" t="s">
        <v>2141</v>
      </c>
      <c r="E33" s="1276"/>
      <c r="F33" s="1276"/>
      <c r="G33" s="1276"/>
      <c r="H33" s="1276"/>
      <c r="I33" s="1276"/>
      <c r="J33" s="1276"/>
      <c r="K33" s="1276"/>
      <c r="L33" s="1276"/>
      <c r="M33" s="1276"/>
      <c r="N33" s="1276"/>
      <c r="O33" s="1276"/>
      <c r="P33" s="1276"/>
      <c r="Q33" s="1276"/>
      <c r="R33" s="1276"/>
      <c r="S33" s="1276"/>
      <c r="T33" s="1276"/>
      <c r="U33" s="1276"/>
      <c r="V33" s="1276"/>
      <c r="W33" s="1276"/>
      <c r="X33" s="1276"/>
      <c r="Y33" s="1276"/>
      <c r="Z33" s="1276"/>
      <c r="AA33" s="1276"/>
      <c r="AB33" s="1276"/>
      <c r="AC33" s="1276"/>
      <c r="AD33" s="1276"/>
      <c r="AE33" s="1276"/>
      <c r="AF33" s="1276"/>
      <c r="AG33" s="1276"/>
      <c r="AH33" s="1276"/>
      <c r="AI33" s="1276"/>
      <c r="AJ33" s="1276"/>
      <c r="AK33" s="1276"/>
    </row>
    <row r="34" spans="1:38">
      <c r="A34" s="4"/>
      <c r="D34" s="1276"/>
      <c r="E34" s="1276"/>
      <c r="F34" s="1276"/>
      <c r="G34" s="1276"/>
      <c r="H34" s="1276"/>
      <c r="I34" s="1276"/>
      <c r="J34" s="1276"/>
      <c r="K34" s="1276"/>
      <c r="L34" s="1276"/>
      <c r="M34" s="1276"/>
      <c r="N34" s="1276"/>
      <c r="O34" s="1276"/>
      <c r="P34" s="1276"/>
      <c r="Q34" s="1276"/>
      <c r="R34" s="1276"/>
      <c r="S34" s="1276"/>
      <c r="T34" s="1276"/>
      <c r="U34" s="1276"/>
      <c r="V34" s="1276"/>
      <c r="W34" s="1276"/>
      <c r="X34" s="1276"/>
      <c r="Y34" s="1276"/>
      <c r="Z34" s="1276"/>
      <c r="AA34" s="1276"/>
      <c r="AB34" s="1276"/>
      <c r="AC34" s="1276"/>
      <c r="AD34" s="1276"/>
      <c r="AE34" s="1276"/>
      <c r="AF34" s="1276"/>
      <c r="AG34" s="1276"/>
      <c r="AH34" s="1276"/>
      <c r="AI34" s="1276"/>
      <c r="AJ34" s="1276"/>
      <c r="AK34" s="1276"/>
    </row>
    <row r="35" spans="1:38">
      <c r="A35" s="4"/>
      <c r="D35" s="120"/>
      <c r="E35" s="1271" t="s">
        <v>2044</v>
      </c>
      <c r="F35" s="1271"/>
      <c r="G35" s="1271"/>
      <c r="H35" s="1271"/>
      <c r="I35" s="1271"/>
      <c r="J35" s="1271"/>
      <c r="K35" s="1271"/>
      <c r="L35" s="1271"/>
      <c r="M35" s="1271"/>
      <c r="N35" s="1271"/>
      <c r="O35" s="1271"/>
      <c r="P35" s="1271"/>
      <c r="Q35" s="1271"/>
      <c r="R35" s="1271"/>
      <c r="S35" s="1271"/>
      <c r="T35" s="1271"/>
      <c r="U35" s="1271"/>
      <c r="V35" s="1271"/>
      <c r="W35" s="1271"/>
      <c r="X35" s="1271"/>
      <c r="Y35" s="1271"/>
      <c r="Z35" s="1271"/>
      <c r="AA35" s="1271"/>
      <c r="AB35" s="1271"/>
      <c r="AC35" s="1271"/>
      <c r="AD35" s="1271"/>
      <c r="AE35" s="1271"/>
      <c r="AF35" s="1271"/>
      <c r="AG35" s="1271"/>
      <c r="AH35" s="1271"/>
      <c r="AI35" s="1271"/>
      <c r="AJ35" s="1271"/>
      <c r="AK35" s="1271"/>
    </row>
    <row r="36" spans="1:38">
      <c r="A36" s="4"/>
      <c r="D36" s="120"/>
      <c r="E36" s="1271" t="s">
        <v>2045</v>
      </c>
      <c r="F36" s="1271"/>
      <c r="G36" s="1271"/>
      <c r="H36" s="1271"/>
      <c r="I36" s="1271"/>
      <c r="J36" s="1271"/>
      <c r="K36" s="1271"/>
      <c r="L36" s="1271"/>
      <c r="M36" s="1271"/>
      <c r="N36" s="1271"/>
      <c r="O36" s="1271"/>
      <c r="P36" s="1271"/>
      <c r="Q36" s="1271"/>
      <c r="R36" s="1271"/>
      <c r="S36" s="1271"/>
      <c r="T36" s="1271"/>
      <c r="U36" s="1271"/>
      <c r="V36" s="1271"/>
      <c r="W36" s="1271"/>
      <c r="X36" s="1271"/>
      <c r="Y36" s="1271"/>
      <c r="Z36" s="1271"/>
      <c r="AA36" s="1271"/>
      <c r="AB36" s="1271"/>
      <c r="AC36" s="1271"/>
      <c r="AD36" s="1271"/>
      <c r="AE36" s="1271"/>
      <c r="AF36" s="1271"/>
      <c r="AG36" s="1271"/>
      <c r="AH36" s="1271"/>
      <c r="AI36" s="1271"/>
      <c r="AJ36" s="1271"/>
      <c r="AK36" s="1271"/>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4" customFormat="1" ht="13.25" customHeight="1">
      <c r="A40" s="4"/>
      <c r="B40"/>
      <c r="C40" s="2"/>
      <c r="D40" s="4"/>
      <c r="E40" s="4" t="s">
        <v>653</v>
      </c>
      <c r="F40" s="1264" t="s">
        <v>1164</v>
      </c>
    </row>
    <row r="41" spans="1:38" s="1264" customFormat="1" ht="13.25" customHeight="1">
      <c r="A41" s="4"/>
      <c r="B41"/>
      <c r="C41" s="2"/>
      <c r="D41" s="4"/>
      <c r="E41" s="4"/>
    </row>
    <row r="42" spans="1:38">
      <c r="A42" s="4"/>
      <c r="C42" s="2"/>
      <c r="D42" s="4"/>
      <c r="E42" s="4"/>
      <c r="F42" s="35" t="s">
        <v>687</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5" customHeight="1">
      <c r="A43" s="4"/>
      <c r="B43"/>
      <c r="C43" s="2"/>
      <c r="D43" s="4"/>
      <c r="E43" s="3" t="s">
        <v>347</v>
      </c>
      <c r="F43" s="1270" t="s">
        <v>1246</v>
      </c>
      <c r="G43" s="1270"/>
      <c r="H43" s="1270"/>
      <c r="I43" s="1270"/>
      <c r="J43" s="1270"/>
      <c r="K43" s="1270"/>
      <c r="L43" s="1270"/>
      <c r="M43" s="1270"/>
      <c r="N43" s="1270"/>
      <c r="O43" s="1270"/>
      <c r="P43" s="1270"/>
      <c r="Q43" s="1270"/>
      <c r="R43" s="1270"/>
      <c r="S43" s="1270"/>
      <c r="T43" s="1270"/>
      <c r="U43" s="1270"/>
      <c r="V43" s="1270"/>
      <c r="W43" s="1270"/>
      <c r="X43" s="1270"/>
      <c r="Y43" s="1270"/>
      <c r="Z43" s="1270"/>
      <c r="AA43" s="1270"/>
      <c r="AB43" s="1270"/>
      <c r="AC43" s="1270"/>
      <c r="AD43" s="1270"/>
      <c r="AE43" s="1270"/>
      <c r="AF43" s="1270"/>
      <c r="AG43" s="1270"/>
      <c r="AH43" s="1270"/>
      <c r="AI43" s="1270"/>
      <c r="AJ43" s="1270"/>
      <c r="AK43" s="1270"/>
      <c r="AL43" s="1270"/>
    </row>
    <row r="44" spans="1:38" s="118" customFormat="1">
      <c r="A44" s="4"/>
      <c r="B44"/>
      <c r="C44" s="2"/>
      <c r="D44" s="4"/>
      <c r="E44" s="4"/>
      <c r="F44" s="1270"/>
      <c r="G44" s="1270"/>
      <c r="H44" s="1270"/>
      <c r="I44" s="1270"/>
      <c r="J44" s="1270"/>
      <c r="K44" s="1270"/>
      <c r="L44" s="1270"/>
      <c r="M44" s="1270"/>
      <c r="N44" s="1270"/>
      <c r="O44" s="1270"/>
      <c r="P44" s="1270"/>
      <c r="Q44" s="1270"/>
      <c r="R44" s="1270"/>
      <c r="S44" s="1270"/>
      <c r="T44" s="1270"/>
      <c r="U44" s="1270"/>
      <c r="V44" s="1270"/>
      <c r="W44" s="1270"/>
      <c r="X44" s="1270"/>
      <c r="Y44" s="1270"/>
      <c r="Z44" s="1270"/>
      <c r="AA44" s="1270"/>
      <c r="AB44" s="1270"/>
      <c r="AC44" s="1270"/>
      <c r="AD44" s="1270"/>
      <c r="AE44" s="1270"/>
      <c r="AF44" s="1270"/>
      <c r="AG44" s="1270"/>
      <c r="AH44" s="1270"/>
      <c r="AI44" s="1270"/>
      <c r="AJ44" s="1270"/>
      <c r="AK44" s="1270"/>
      <c r="AL44" s="1270"/>
    </row>
    <row r="45" spans="1:38" s="118" customFormat="1" ht="13.25" customHeight="1">
      <c r="A45" s="4"/>
      <c r="B45"/>
      <c r="C45" s="2"/>
      <c r="D45" s="4"/>
      <c r="E45" s="4"/>
      <c r="F45" s="1270"/>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c r="A46" s="4"/>
      <c r="C46" s="2"/>
      <c r="D46" s="4"/>
      <c r="E46" s="4"/>
      <c r="F46" s="118" t="s">
        <v>687</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348</v>
      </c>
      <c r="F48" s="1264" t="s">
        <v>2039</v>
      </c>
      <c r="G48" s="1264"/>
      <c r="H48" s="1264"/>
      <c r="I48" s="1264"/>
      <c r="J48" s="1264"/>
      <c r="K48" s="1264"/>
      <c r="L48" s="1264"/>
      <c r="M48" s="1264"/>
      <c r="N48" s="1264"/>
      <c r="O48" s="1264"/>
      <c r="P48" s="1264"/>
      <c r="Q48" s="1264"/>
      <c r="R48" s="1264"/>
      <c r="S48" s="1264"/>
      <c r="T48" s="1264"/>
      <c r="U48" s="1264"/>
      <c r="V48" s="1264"/>
      <c r="W48" s="1264"/>
      <c r="X48" s="1264"/>
      <c r="Y48" s="1264"/>
      <c r="Z48" s="1264"/>
      <c r="AA48" s="1264"/>
      <c r="AB48" s="1264"/>
      <c r="AC48" s="1264"/>
      <c r="AD48" s="1264"/>
      <c r="AE48" s="1264"/>
      <c r="AF48" s="1264"/>
      <c r="AG48" s="1264"/>
      <c r="AH48" s="1264"/>
      <c r="AI48" s="1264"/>
      <c r="AJ48" s="1264"/>
      <c r="AK48" s="1264"/>
    </row>
    <row r="49" spans="1:38">
      <c r="A49" s="4"/>
      <c r="C49" s="2"/>
      <c r="D49" s="4"/>
      <c r="E49" s="4"/>
      <c r="F49" s="1264"/>
      <c r="G49" s="1264"/>
      <c r="H49" s="1264"/>
      <c r="I49" s="1264"/>
      <c r="J49" s="1264"/>
      <c r="K49" s="1264"/>
      <c r="L49" s="1264"/>
      <c r="M49" s="1264"/>
      <c r="N49" s="1264"/>
      <c r="O49" s="1264"/>
      <c r="P49" s="1264"/>
      <c r="Q49" s="1264"/>
      <c r="R49" s="1264"/>
      <c r="S49" s="1264"/>
      <c r="T49" s="1264"/>
      <c r="U49" s="1264"/>
      <c r="V49" s="1264"/>
      <c r="W49" s="1264"/>
      <c r="X49" s="1264"/>
      <c r="Y49" s="1264"/>
      <c r="Z49" s="1264"/>
      <c r="AA49" s="1264"/>
      <c r="AB49" s="1264"/>
      <c r="AC49" s="1264"/>
      <c r="AD49" s="1264"/>
      <c r="AE49" s="1264"/>
      <c r="AF49" s="1264"/>
      <c r="AG49" s="1264"/>
      <c r="AH49" s="1264"/>
      <c r="AI49" s="1264"/>
      <c r="AJ49" s="1264"/>
      <c r="AK49" s="1264"/>
    </row>
    <row r="50" spans="1:38">
      <c r="A50" s="4"/>
      <c r="C50" s="2"/>
      <c r="D50" s="4"/>
      <c r="F50" s="1264"/>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5" customHeight="1">
      <c r="A54" s="204"/>
      <c r="B54" s="204"/>
      <c r="C54" s="205"/>
      <c r="D54" s="205"/>
      <c r="E54" s="204"/>
      <c r="F54" s="206" t="s">
        <v>687</v>
      </c>
      <c r="G54" s="1269" t="s">
        <v>1191</v>
      </c>
      <c r="H54" s="1269"/>
      <c r="I54" s="1269"/>
      <c r="J54" s="1269"/>
      <c r="K54" s="1269"/>
      <c r="L54" s="1269"/>
      <c r="M54" s="1269"/>
      <c r="N54" s="1269"/>
      <c r="O54" s="1269"/>
      <c r="P54" s="1269"/>
      <c r="Q54" s="1269"/>
      <c r="R54" s="1269"/>
      <c r="S54" s="1269"/>
      <c r="T54" s="1269"/>
      <c r="U54" s="1269"/>
      <c r="V54" s="1269"/>
      <c r="W54" s="1269"/>
      <c r="X54" s="1269"/>
      <c r="Y54" s="1269"/>
      <c r="Z54" s="1269"/>
      <c r="AA54" s="1269"/>
      <c r="AB54" s="1269"/>
      <c r="AC54" s="1269"/>
      <c r="AD54" s="1269"/>
      <c r="AE54" s="1269"/>
      <c r="AF54" s="1269"/>
      <c r="AG54" s="1269"/>
      <c r="AH54" s="1269"/>
      <c r="AI54" s="1269"/>
      <c r="AJ54" s="1269"/>
      <c r="AK54" s="1269"/>
      <c r="AL54" s="204"/>
    </row>
    <row r="55" spans="1:38" ht="13.2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9" t="s">
        <v>575</v>
      </c>
      <c r="H56" s="1269"/>
      <c r="I56" s="1269"/>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5" customHeight="1">
      <c r="A57" s="204"/>
      <c r="B57" s="205"/>
      <c r="C57" s="205"/>
      <c r="D57" s="205"/>
      <c r="E57" s="204"/>
      <c r="F57" s="206" t="s">
        <v>509</v>
      </c>
      <c r="G57" s="1269" t="s">
        <v>2040</v>
      </c>
      <c r="H57" s="1269"/>
      <c r="I57" s="1269"/>
      <c r="J57" s="1269"/>
      <c r="K57" s="1269"/>
      <c r="L57" s="1269"/>
      <c r="M57" s="1269"/>
      <c r="N57" s="1269"/>
      <c r="O57" s="1269"/>
      <c r="P57" s="1269"/>
      <c r="Q57" s="1269"/>
      <c r="R57" s="1269"/>
      <c r="S57" s="1269"/>
      <c r="T57" s="1269"/>
      <c r="U57" s="1269"/>
      <c r="V57" s="1269"/>
      <c r="W57" s="1269"/>
      <c r="X57" s="1269"/>
      <c r="Y57" s="1269"/>
      <c r="Z57" s="1269"/>
      <c r="AA57" s="1269"/>
      <c r="AB57" s="1269"/>
      <c r="AC57" s="1269"/>
      <c r="AD57" s="1269"/>
      <c r="AE57" s="1269"/>
      <c r="AF57" s="1269"/>
      <c r="AG57" s="1269"/>
      <c r="AH57" s="1269"/>
      <c r="AI57" s="1269"/>
      <c r="AJ57" s="1269"/>
      <c r="AK57" s="1269"/>
      <c r="AL57" s="1269"/>
    </row>
    <row r="58" spans="1:38">
      <c r="A58" s="204"/>
      <c r="B58" s="204"/>
      <c r="C58" s="205"/>
      <c r="D58" s="205"/>
      <c r="E58" s="204"/>
      <c r="F58" s="206"/>
      <c r="G58" s="1269"/>
      <c r="H58" s="1269"/>
      <c r="I58" s="1269"/>
      <c r="J58" s="1269"/>
      <c r="K58" s="1269"/>
      <c r="L58" s="1269"/>
      <c r="M58" s="1269"/>
      <c r="N58" s="1269"/>
      <c r="O58" s="1269"/>
      <c r="P58" s="1269"/>
      <c r="Q58" s="1269"/>
      <c r="R58" s="1269"/>
      <c r="S58" s="1269"/>
      <c r="T58" s="1269"/>
      <c r="U58" s="1269"/>
      <c r="V58" s="1269"/>
      <c r="W58" s="1269"/>
      <c r="X58" s="1269"/>
      <c r="Y58" s="1269"/>
      <c r="Z58" s="1269"/>
      <c r="AA58" s="1269"/>
      <c r="AB58" s="1269"/>
      <c r="AC58" s="1269"/>
      <c r="AD58" s="1269"/>
      <c r="AE58" s="1269"/>
      <c r="AF58" s="1269"/>
      <c r="AG58" s="1269"/>
      <c r="AH58" s="1269"/>
      <c r="AI58" s="1269"/>
      <c r="AJ58" s="1269"/>
      <c r="AK58" s="1269"/>
      <c r="AL58" s="1269"/>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4" t="s">
        <v>1166</v>
      </c>
      <c r="H64" s="1264"/>
      <c r="I64" s="1264"/>
      <c r="J64" s="1264"/>
      <c r="K64" s="1264"/>
      <c r="L64" s="1264"/>
      <c r="M64" s="1264"/>
      <c r="N64" s="1264"/>
      <c r="O64" s="1264"/>
      <c r="P64" s="1264"/>
      <c r="Q64" s="1264"/>
      <c r="R64" s="1264"/>
      <c r="S64" s="1264"/>
      <c r="T64" s="1264"/>
      <c r="U64" s="1264"/>
      <c r="V64" s="1264"/>
      <c r="W64" s="1264"/>
      <c r="X64" s="1264"/>
      <c r="Y64" s="1264"/>
      <c r="Z64" s="1264"/>
      <c r="AA64" s="1264"/>
      <c r="AB64" s="1264"/>
      <c r="AC64" s="1264"/>
      <c r="AD64" s="1264"/>
      <c r="AE64" s="1264"/>
      <c r="AF64" s="1264"/>
      <c r="AG64" s="1264"/>
      <c r="AH64" s="1264"/>
      <c r="AI64" s="1264"/>
      <c r="AJ64" s="1264"/>
      <c r="AK64" s="1264"/>
    </row>
    <row r="65" spans="1:37">
      <c r="A65" s="4"/>
      <c r="C65" s="2"/>
      <c r="D65" s="4"/>
      <c r="E65" s="4"/>
      <c r="G65" s="1264"/>
      <c r="H65" s="1264"/>
      <c r="I65" s="1264"/>
      <c r="J65" s="1264"/>
      <c r="K65" s="1264"/>
      <c r="L65" s="1264"/>
      <c r="M65" s="1264"/>
      <c r="N65" s="1264"/>
      <c r="O65" s="1264"/>
      <c r="P65" s="1264"/>
      <c r="Q65" s="1264"/>
      <c r="R65" s="1264"/>
      <c r="S65" s="1264"/>
      <c r="T65" s="1264"/>
      <c r="U65" s="1264"/>
      <c r="V65" s="1264"/>
      <c r="W65" s="1264"/>
      <c r="X65" s="1264"/>
      <c r="Y65" s="1264"/>
      <c r="Z65" s="1264"/>
      <c r="AA65" s="1264"/>
      <c r="AB65" s="1264"/>
      <c r="AC65" s="1264"/>
      <c r="AD65" s="1264"/>
      <c r="AE65" s="1264"/>
      <c r="AF65" s="1264"/>
      <c r="AG65" s="1264"/>
      <c r="AH65" s="1264"/>
      <c r="AI65" s="1264"/>
      <c r="AJ65" s="1264"/>
      <c r="AK65" s="1264"/>
    </row>
    <row r="66" spans="1:37">
      <c r="A66" s="4"/>
      <c r="C66" s="2"/>
      <c r="D66" s="4"/>
      <c r="E66" s="4"/>
      <c r="G66" s="1264"/>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ht="13.25" customHeight="1">
      <c r="A67" s="4"/>
      <c r="C67" s="2"/>
      <c r="D67" s="4"/>
      <c r="E67" s="4"/>
      <c r="F67" t="s">
        <v>509</v>
      </c>
      <c r="G67" s="1264" t="s">
        <v>1167</v>
      </c>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c r="A68" s="4"/>
      <c r="C68" s="2"/>
      <c r="D68" s="4"/>
      <c r="E68" s="4"/>
      <c r="F68" s="27"/>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4" t="s">
        <v>1168</v>
      </c>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c r="A71" s="4"/>
      <c r="C71" s="2"/>
      <c r="D71" s="4"/>
      <c r="E71" s="4"/>
      <c r="F71" s="8"/>
      <c r="G71" s="1264"/>
      <c r="H71" s="1264"/>
      <c r="I71" s="1264"/>
      <c r="J71" s="1264"/>
      <c r="K71" s="1264"/>
      <c r="L71" s="1264"/>
      <c r="M71" s="1264"/>
      <c r="N71" s="1264"/>
      <c r="O71" s="1264"/>
      <c r="P71" s="1264"/>
      <c r="Q71" s="1264"/>
      <c r="R71" s="1264"/>
      <c r="S71" s="1264"/>
      <c r="T71" s="1264"/>
      <c r="U71" s="1264"/>
      <c r="V71" s="1264"/>
      <c r="W71" s="1264"/>
      <c r="X71" s="1264"/>
      <c r="Y71" s="1264"/>
      <c r="Z71" s="1264"/>
      <c r="AA71" s="1264"/>
      <c r="AB71" s="1264"/>
      <c r="AC71" s="1264"/>
      <c r="AD71" s="1264"/>
      <c r="AE71" s="1264"/>
      <c r="AF71" s="1264"/>
      <c r="AG71" s="1264"/>
      <c r="AH71" s="1264"/>
      <c r="AI71" s="1264"/>
      <c r="AJ71" s="1264"/>
      <c r="AK71" s="1264"/>
    </row>
    <row r="72" spans="1:37">
      <c r="A72" s="4"/>
      <c r="C72" s="2"/>
      <c r="D72" s="4"/>
      <c r="E72" s="4"/>
      <c r="F72" s="8" t="s">
        <v>509</v>
      </c>
      <c r="G72" s="1264" t="s">
        <v>1169</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277</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4" t="s">
        <v>1170</v>
      </c>
      <c r="H80" s="1264"/>
      <c r="I80" s="1264"/>
      <c r="J80" s="1264"/>
      <c r="K80" s="1264"/>
      <c r="L80" s="1264"/>
      <c r="M80" s="1264"/>
      <c r="N80" s="1264"/>
      <c r="O80" s="1264"/>
      <c r="P80" s="1264"/>
      <c r="Q80" s="1264"/>
      <c r="R80" s="1264"/>
      <c r="S80" s="1264"/>
      <c r="T80" s="1264"/>
      <c r="U80" s="1264"/>
      <c r="V80" s="1264"/>
      <c r="W80" s="1264"/>
      <c r="X80" s="1264"/>
      <c r="Y80" s="1264"/>
      <c r="Z80" s="1264"/>
      <c r="AA80" s="1264"/>
      <c r="AB80" s="1264"/>
      <c r="AC80" s="1264"/>
      <c r="AD80" s="1264"/>
      <c r="AE80" s="1264"/>
      <c r="AF80" s="1264"/>
      <c r="AG80" s="1264"/>
      <c r="AH80" s="1264"/>
      <c r="AI80" s="1264"/>
      <c r="AJ80" s="1264"/>
      <c r="AK80" s="1264"/>
    </row>
    <row r="81" spans="1:37">
      <c r="A81" s="4"/>
      <c r="C81" s="2"/>
      <c r="D81" s="4"/>
      <c r="E81" s="4"/>
      <c r="F81" s="4"/>
      <c r="G81" s="1264"/>
      <c r="H81" s="1264"/>
      <c r="I81" s="1264"/>
      <c r="J81" s="1264"/>
      <c r="K81" s="1264"/>
      <c r="L81" s="1264"/>
      <c r="M81" s="1264"/>
      <c r="N81" s="1264"/>
      <c r="O81" s="1264"/>
      <c r="P81" s="1264"/>
      <c r="Q81" s="1264"/>
      <c r="R81" s="1264"/>
      <c r="S81" s="1264"/>
      <c r="T81" s="1264"/>
      <c r="U81" s="1264"/>
      <c r="V81" s="1264"/>
      <c r="W81" s="1264"/>
      <c r="X81" s="1264"/>
      <c r="Y81" s="1264"/>
      <c r="Z81" s="1264"/>
      <c r="AA81" s="1264"/>
      <c r="AB81" s="1264"/>
      <c r="AC81" s="1264"/>
      <c r="AD81" s="1264"/>
      <c r="AE81" s="1264"/>
      <c r="AF81" s="1264"/>
      <c r="AG81" s="1264"/>
      <c r="AH81" s="1264"/>
      <c r="AI81" s="1264"/>
      <c r="AJ81" s="1264"/>
      <c r="AK81" s="1264"/>
    </row>
    <row r="82" spans="1:37">
      <c r="A82" s="4"/>
      <c r="C82" s="2"/>
      <c r="D82" s="4"/>
      <c r="E82" s="4"/>
      <c r="F82" s="4"/>
      <c r="G82" s="1264"/>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4" t="s">
        <v>1171</v>
      </c>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c r="A85" s="4"/>
      <c r="C85" s="2"/>
      <c r="D85" s="4"/>
      <c r="E85" s="4"/>
      <c r="F85" s="4"/>
      <c r="G85" s="1264"/>
      <c r="H85" s="1264"/>
      <c r="I85" s="1264"/>
      <c r="J85" s="1264"/>
      <c r="K85" s="1264"/>
      <c r="L85" s="1264"/>
      <c r="M85" s="1264"/>
      <c r="N85" s="1264"/>
      <c r="O85" s="1264"/>
      <c r="P85" s="1264"/>
      <c r="Q85" s="1264"/>
      <c r="R85" s="1264"/>
      <c r="S85" s="1264"/>
      <c r="T85" s="1264"/>
      <c r="U85" s="1264"/>
      <c r="V85" s="1264"/>
      <c r="W85" s="1264"/>
      <c r="X85" s="1264"/>
      <c r="Y85" s="1264"/>
      <c r="Z85" s="1264"/>
      <c r="AA85" s="1264"/>
      <c r="AB85" s="1264"/>
      <c r="AC85" s="1264"/>
      <c r="AD85" s="1264"/>
      <c r="AE85" s="1264"/>
      <c r="AF85" s="1264"/>
      <c r="AG85" s="1264"/>
      <c r="AH85" s="1264"/>
      <c r="AI85" s="1264"/>
      <c r="AJ85" s="1264"/>
      <c r="AK85" s="1264"/>
    </row>
    <row r="86" spans="1:37">
      <c r="A86" s="4"/>
      <c r="C86" s="2"/>
      <c r="D86" s="4"/>
      <c r="E86" s="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c r="A87" s="4"/>
      <c r="C87" s="2"/>
      <c r="D87" s="4"/>
      <c r="E87" s="4" t="s">
        <v>261</v>
      </c>
      <c r="F87" t="s">
        <v>866</v>
      </c>
      <c r="G87" s="4"/>
      <c r="L87" s="4"/>
      <c r="M87" s="4"/>
      <c r="P87" s="4"/>
      <c r="Q87" s="4"/>
      <c r="R87" s="4"/>
      <c r="S87" s="4"/>
      <c r="T87" s="4"/>
      <c r="U87" s="4"/>
      <c r="V87" s="4"/>
      <c r="W87" s="4"/>
      <c r="X87" s="4"/>
      <c r="Y87" s="4"/>
      <c r="Z87" s="4"/>
      <c r="AA87" s="4"/>
      <c r="AB87" s="4"/>
    </row>
    <row r="88" spans="1:37">
      <c r="A88" s="4"/>
      <c r="C88" s="2"/>
      <c r="D88" s="4"/>
      <c r="E88" s="4"/>
      <c r="G88" s="1267" t="s">
        <v>1172</v>
      </c>
      <c r="H88" s="1267"/>
      <c r="I88" s="1267"/>
      <c r="J88" s="1267"/>
      <c r="K88" s="1267"/>
      <c r="L88" s="1267"/>
      <c r="M88" s="1267"/>
      <c r="N88" s="1267"/>
      <c r="O88" s="1267"/>
      <c r="P88" s="1267"/>
      <c r="Q88" s="1267"/>
      <c r="R88" s="1267"/>
      <c r="S88" s="1267"/>
      <c r="T88" s="1267"/>
      <c r="U88" s="1267"/>
      <c r="V88" s="1267"/>
      <c r="W88" s="1267"/>
      <c r="X88" s="1267"/>
      <c r="Y88" s="1267"/>
      <c r="Z88" s="1267"/>
      <c r="AA88" s="1267"/>
      <c r="AB88" s="1267"/>
      <c r="AC88" s="1267"/>
      <c r="AD88" s="1267"/>
      <c r="AE88" s="1267"/>
      <c r="AF88" s="1267"/>
      <c r="AG88" s="1267"/>
      <c r="AH88" s="1267"/>
      <c r="AI88" s="1267"/>
      <c r="AJ88" s="1267"/>
      <c r="AK88" s="1267"/>
    </row>
    <row r="89" spans="1:37">
      <c r="A89" s="4"/>
      <c r="C89" s="2"/>
      <c r="D89" s="4"/>
      <c r="E89" s="4"/>
      <c r="G89" s="1267"/>
      <c r="H89" s="1267"/>
      <c r="I89" s="1267"/>
      <c r="J89" s="1267"/>
      <c r="K89" s="1267"/>
      <c r="L89" s="1267"/>
      <c r="M89" s="1267"/>
      <c r="N89" s="1267"/>
      <c r="O89" s="1267"/>
      <c r="P89" s="1267"/>
      <c r="Q89" s="1267"/>
      <c r="R89" s="1267"/>
      <c r="S89" s="1267"/>
      <c r="T89" s="1267"/>
      <c r="U89" s="1267"/>
      <c r="V89" s="1267"/>
      <c r="W89" s="1267"/>
      <c r="X89" s="1267"/>
      <c r="Y89" s="1267"/>
      <c r="Z89" s="1267"/>
      <c r="AA89" s="1267"/>
      <c r="AB89" s="1267"/>
      <c r="AC89" s="1267"/>
      <c r="AD89" s="1267"/>
      <c r="AE89" s="1267"/>
      <c r="AF89" s="1267"/>
      <c r="AG89" s="1267"/>
      <c r="AH89" s="1267"/>
      <c r="AI89" s="1267"/>
      <c r="AJ89" s="1267"/>
      <c r="AK89" s="1267"/>
    </row>
    <row r="90" spans="1:37">
      <c r="A90" s="4"/>
      <c r="C90" s="2"/>
      <c r="D90" s="4"/>
      <c r="E90" s="4"/>
      <c r="G90" s="1267"/>
      <c r="H90" s="1267"/>
      <c r="I90" s="1267"/>
      <c r="J90" s="1267"/>
      <c r="K90" s="1267"/>
      <c r="L90" s="1267"/>
      <c r="M90" s="1267"/>
      <c r="N90" s="1267"/>
      <c r="O90" s="1267"/>
      <c r="P90" s="1267"/>
      <c r="Q90" s="1267"/>
      <c r="R90" s="1267"/>
      <c r="S90" s="1267"/>
      <c r="T90" s="1267"/>
      <c r="U90" s="1267"/>
      <c r="V90" s="1267"/>
      <c r="W90" s="1267"/>
      <c r="X90" s="1267"/>
      <c r="Y90" s="1267"/>
      <c r="Z90" s="1267"/>
      <c r="AA90" s="1267"/>
      <c r="AB90" s="1267"/>
      <c r="AC90" s="1267"/>
      <c r="AD90" s="1267"/>
      <c r="AE90" s="1267"/>
      <c r="AF90" s="1267"/>
      <c r="AG90" s="1267"/>
      <c r="AH90" s="1267"/>
      <c r="AI90" s="1267"/>
      <c r="AJ90" s="1267"/>
      <c r="AK90" s="1267"/>
    </row>
    <row r="91" spans="1:37">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4" t="s">
        <v>1173</v>
      </c>
      <c r="H92" s="1264"/>
      <c r="I92" s="1264"/>
      <c r="J92" s="1264"/>
      <c r="K92" s="1264"/>
      <c r="L92" s="1264"/>
      <c r="M92" s="1264"/>
      <c r="N92" s="1264"/>
      <c r="O92" s="1264"/>
      <c r="P92" s="1264"/>
      <c r="Q92" s="1264"/>
      <c r="R92" s="1264"/>
      <c r="S92" s="1264"/>
      <c r="T92" s="1264"/>
      <c r="U92" s="1264"/>
      <c r="V92" s="1264"/>
      <c r="W92" s="1264"/>
      <c r="X92" s="1264"/>
      <c r="Y92" s="1264"/>
      <c r="Z92" s="1264"/>
      <c r="AA92" s="1264"/>
      <c r="AB92" s="1264"/>
      <c r="AC92" s="1264"/>
      <c r="AD92" s="1264"/>
      <c r="AE92" s="1264"/>
      <c r="AF92" s="1264"/>
      <c r="AG92" s="1264"/>
      <c r="AH92" s="1264"/>
      <c r="AI92" s="1264"/>
      <c r="AJ92" s="1264"/>
      <c r="AK92" s="1264"/>
    </row>
    <row r="93" spans="1:37">
      <c r="A93" s="4"/>
      <c r="C93" s="2"/>
      <c r="D93" s="4"/>
      <c r="E93" s="4"/>
      <c r="G93" s="1264"/>
      <c r="H93" s="1264"/>
      <c r="I93" s="1264"/>
      <c r="J93" s="1264"/>
      <c r="K93" s="1264"/>
      <c r="L93" s="1264"/>
      <c r="M93" s="1264"/>
      <c r="N93" s="1264"/>
      <c r="O93" s="1264"/>
      <c r="P93" s="1264"/>
      <c r="Q93" s="1264"/>
      <c r="R93" s="1264"/>
      <c r="S93" s="1264"/>
      <c r="T93" s="1264"/>
      <c r="U93" s="1264"/>
      <c r="V93" s="1264"/>
      <c r="W93" s="1264"/>
      <c r="X93" s="1264"/>
      <c r="Y93" s="1264"/>
      <c r="Z93" s="1264"/>
      <c r="AA93" s="1264"/>
      <c r="AB93" s="1264"/>
      <c r="AC93" s="1264"/>
      <c r="AD93" s="1264"/>
      <c r="AE93" s="1264"/>
      <c r="AF93" s="1264"/>
      <c r="AG93" s="1264"/>
      <c r="AH93" s="1264"/>
      <c r="AI93" s="1264"/>
      <c r="AJ93" s="1264"/>
      <c r="AK93" s="1264"/>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4" t="s">
        <v>1174</v>
      </c>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c r="A96" s="4"/>
      <c r="C96" s="2"/>
      <c r="D96" s="4"/>
      <c r="E96" s="4"/>
      <c r="G96" s="1264"/>
      <c r="H96" s="1264"/>
      <c r="I96" s="1264"/>
      <c r="J96" s="1264"/>
      <c r="K96" s="1264"/>
      <c r="L96" s="1264"/>
      <c r="M96" s="1264"/>
      <c r="N96" s="1264"/>
      <c r="O96" s="1264"/>
      <c r="P96" s="1264"/>
      <c r="Q96" s="1264"/>
      <c r="R96" s="1264"/>
      <c r="S96" s="1264"/>
      <c r="T96" s="1264"/>
      <c r="U96" s="1264"/>
      <c r="V96" s="1264"/>
      <c r="W96" s="1264"/>
      <c r="X96" s="1264"/>
      <c r="Y96" s="1264"/>
      <c r="Z96" s="1264"/>
      <c r="AA96" s="1264"/>
      <c r="AB96" s="1264"/>
      <c r="AC96" s="1264"/>
      <c r="AD96" s="1264"/>
      <c r="AE96" s="1264"/>
      <c r="AF96" s="1264"/>
      <c r="AG96" s="1264"/>
      <c r="AH96" s="1264"/>
      <c r="AI96" s="1264"/>
      <c r="AJ96" s="1264"/>
      <c r="AK96" s="1264"/>
    </row>
    <row r="97" spans="1:38">
      <c r="A97" s="4"/>
      <c r="C97" s="2"/>
      <c r="D97" s="4"/>
      <c r="E97" s="4"/>
      <c r="G97" s="1264"/>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c r="A98" s="4"/>
      <c r="D98" s="99"/>
      <c r="E98" s="1268" t="s">
        <v>1175</v>
      </c>
      <c r="F98" s="1268"/>
      <c r="G98" s="1268"/>
      <c r="H98" s="1268"/>
      <c r="I98" s="1268"/>
      <c r="J98" s="1268"/>
      <c r="K98" s="1268"/>
      <c r="L98" s="1268"/>
      <c r="M98" s="1268"/>
      <c r="N98" s="1268"/>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row>
    <row r="99" spans="1:38">
      <c r="A99" s="4"/>
      <c r="D99" s="99"/>
      <c r="E99" s="1268"/>
      <c r="F99" s="1268"/>
      <c r="G99" s="1268"/>
      <c r="H99" s="1268"/>
      <c r="I99" s="1268"/>
      <c r="J99" s="1268"/>
      <c r="K99" s="1268"/>
      <c r="L99" s="1268"/>
      <c r="M99" s="1268"/>
      <c r="N99" s="1268"/>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1186</v>
      </c>
      <c r="H103" s="2"/>
      <c r="I103" s="2"/>
      <c r="K103" s="2"/>
    </row>
    <row r="104" spans="1:38">
      <c r="B104" s="2"/>
      <c r="C104" s="2"/>
      <c r="D104" s="2" t="s">
        <v>206</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377</v>
      </c>
    </row>
    <row r="121" spans="2:10">
      <c r="E121" s="4"/>
      <c r="F121" s="4" t="s">
        <v>1007</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923</v>
      </c>
      <c r="F125" s="4"/>
    </row>
    <row r="126" spans="2:10"/>
    <row r="127" spans="2:10">
      <c r="D127" s="2" t="s">
        <v>340</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302</v>
      </c>
      <c r="E138" s="2" t="s">
        <v>2041</v>
      </c>
      <c r="F138" s="2"/>
      <c r="G138" s="2"/>
      <c r="H138" s="2"/>
    </row>
    <row r="139" spans="4:37">
      <c r="E139" t="s">
        <v>112</v>
      </c>
      <c r="F139" t="s">
        <v>52</v>
      </c>
    </row>
    <row r="140" spans="4:37">
      <c r="E140" t="s">
        <v>113</v>
      </c>
      <c r="F140" t="s">
        <v>466</v>
      </c>
    </row>
    <row r="141" spans="4:37"/>
    <row r="142" spans="4:37">
      <c r="D142" s="2" t="s">
        <v>428</v>
      </c>
      <c r="E142" s="2" t="s">
        <v>2042</v>
      </c>
    </row>
    <row r="143" spans="4:37">
      <c r="E143" s="204" t="s">
        <v>2043</v>
      </c>
      <c r="F143" s="204"/>
    </row>
    <row r="144" spans="4:37"/>
    <row r="145" spans="3:7">
      <c r="C145" s="2" t="s">
        <v>6</v>
      </c>
      <c r="G145" s="2" t="s">
        <v>379</v>
      </c>
    </row>
    <row r="146" spans="3:7">
      <c r="D146" s="2" t="s">
        <v>206</v>
      </c>
      <c r="E146" s="2" t="s">
        <v>135</v>
      </c>
    </row>
    <row r="147" spans="3:7">
      <c r="E147" t="s">
        <v>797</v>
      </c>
    </row>
    <row r="148" spans="3:7"/>
    <row r="149" spans="3:7">
      <c r="D149" s="2" t="s">
        <v>340</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302</v>
      </c>
      <c r="E161" s="2" t="s">
        <v>380</v>
      </c>
    </row>
    <row r="162" spans="3:20">
      <c r="E162" s="4" t="s">
        <v>929</v>
      </c>
      <c r="F162" s="4"/>
    </row>
    <row r="163" spans="3:20"/>
    <row r="164" spans="3:20">
      <c r="D164" s="2" t="s">
        <v>428</v>
      </c>
      <c r="E164" s="2" t="s">
        <v>171</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296</v>
      </c>
    </row>
    <row r="171" spans="3:20">
      <c r="F171" s="4"/>
    </row>
    <row r="172" spans="3:20">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206</v>
      </c>
      <c r="E176" s="2" t="s">
        <v>297</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340</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347</v>
      </c>
      <c r="G193" s="3" t="s">
        <v>1208</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4" t="s">
        <v>1176</v>
      </c>
      <c r="H205" s="1264"/>
      <c r="I205" s="1264"/>
      <c r="J205" s="1264"/>
      <c r="K205" s="1264"/>
      <c r="L205" s="1264"/>
      <c r="M205" s="1264"/>
      <c r="N205" s="1264"/>
      <c r="O205" s="1264"/>
      <c r="P205" s="1264"/>
      <c r="Q205" s="1264"/>
      <c r="R205" s="1264"/>
      <c r="S205" s="1264"/>
      <c r="T205" s="1264"/>
      <c r="U205" s="1264"/>
      <c r="V205" s="1264"/>
      <c r="W205" s="1264"/>
      <c r="X205" s="1264"/>
      <c r="Y205" s="1264"/>
      <c r="Z205" s="1264"/>
      <c r="AA205" s="1264"/>
      <c r="AB205" s="1264"/>
      <c r="AC205" s="1264"/>
      <c r="AD205" s="1264"/>
      <c r="AE205" s="1264"/>
      <c r="AF205" s="1264"/>
      <c r="AG205" s="1264"/>
      <c r="AH205" s="1264"/>
      <c r="AI205" s="1264"/>
      <c r="AJ205" s="1264"/>
      <c r="AK205" s="1264"/>
    </row>
    <row r="206" spans="2:37">
      <c r="B206" s="4"/>
      <c r="C206" s="4"/>
      <c r="D206" s="2"/>
      <c r="G206" s="1264"/>
      <c r="H206" s="1264"/>
      <c r="I206" s="1264"/>
      <c r="J206" s="1264"/>
      <c r="K206" s="1264"/>
      <c r="L206" s="1264"/>
      <c r="M206" s="1264"/>
      <c r="N206" s="1264"/>
      <c r="O206" s="1264"/>
      <c r="P206" s="1264"/>
      <c r="Q206" s="1264"/>
      <c r="R206" s="1264"/>
      <c r="S206" s="1264"/>
      <c r="T206" s="1264"/>
      <c r="U206" s="1264"/>
      <c r="V206" s="1264"/>
      <c r="W206" s="1264"/>
      <c r="X206" s="1264"/>
      <c r="Y206" s="1264"/>
      <c r="Z206" s="1264"/>
      <c r="AA206" s="1264"/>
      <c r="AB206" s="1264"/>
      <c r="AC206" s="1264"/>
      <c r="AD206" s="1264"/>
      <c r="AE206" s="1264"/>
      <c r="AF206" s="1264"/>
      <c r="AG206" s="1264"/>
      <c r="AH206" s="1264"/>
      <c r="AI206" s="1264"/>
      <c r="AJ206" s="1264"/>
      <c r="AK206" s="1264"/>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653</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347</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286</v>
      </c>
      <c r="G268" s="4"/>
    </row>
    <row r="269" spans="2:21">
      <c r="B269" s="2"/>
      <c r="C269" s="2"/>
      <c r="E269" s="4" t="s">
        <v>254</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653</v>
      </c>
      <c r="G291" s="4" t="s">
        <v>259</v>
      </c>
      <c r="K291" s="4"/>
      <c r="L291" s="4"/>
      <c r="M291" s="4"/>
      <c r="N291" s="4"/>
      <c r="O291" s="4"/>
      <c r="P291" s="4"/>
      <c r="Q291" s="4"/>
      <c r="R291" s="4"/>
      <c r="S291" s="4"/>
      <c r="T291" s="4"/>
      <c r="U291" s="4"/>
      <c r="V291" s="4"/>
      <c r="W291" s="4"/>
    </row>
    <row r="292" spans="2:23">
      <c r="B292" s="2"/>
      <c r="D292" s="4"/>
      <c r="E292" s="4"/>
      <c r="F292" s="4" t="s">
        <v>347</v>
      </c>
      <c r="G292" s="4" t="s">
        <v>940</v>
      </c>
      <c r="H292" s="4"/>
      <c r="K292" s="4"/>
      <c r="L292" s="4"/>
      <c r="M292" s="4"/>
      <c r="N292" s="4"/>
      <c r="O292" s="4"/>
      <c r="P292" s="4"/>
      <c r="Q292" s="4"/>
      <c r="R292" s="4"/>
      <c r="S292" s="4"/>
      <c r="T292" s="4"/>
      <c r="U292" s="4"/>
      <c r="V292" s="4"/>
      <c r="W292" s="4"/>
    </row>
    <row r="293" spans="2:23">
      <c r="B293" s="2"/>
      <c r="D293" s="4"/>
      <c r="E293" s="4"/>
      <c r="F293" s="4" t="s">
        <v>348</v>
      </c>
      <c r="G293" s="4" t="s">
        <v>561</v>
      </c>
      <c r="K293" s="4"/>
      <c r="L293" s="4"/>
      <c r="M293" s="4"/>
      <c r="N293" s="4"/>
      <c r="O293" s="4"/>
      <c r="P293" s="4"/>
      <c r="Q293" s="4"/>
      <c r="R293" s="4"/>
      <c r="S293" s="4"/>
      <c r="T293" s="4"/>
      <c r="U293" s="4"/>
      <c r="V293" s="4"/>
      <c r="W293" s="4"/>
    </row>
    <row r="294" spans="2:23">
      <c r="B294" s="2"/>
      <c r="D294" s="4"/>
      <c r="E294" s="4"/>
      <c r="F294" s="4" t="s">
        <v>444</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288</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340</v>
      </c>
      <c r="E314" s="2" t="s">
        <v>751</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4" t="s">
        <v>1155</v>
      </c>
      <c r="G336" s="1264"/>
      <c r="H336" s="1264"/>
      <c r="I336" s="1264"/>
      <c r="J336" s="1264"/>
      <c r="K336" s="1264"/>
      <c r="L336" s="1264"/>
      <c r="M336" s="1264"/>
      <c r="N336" s="1264"/>
      <c r="O336" s="1264"/>
      <c r="P336" s="1264"/>
      <c r="Q336" s="1264"/>
      <c r="R336" s="1264"/>
      <c r="S336" s="1264"/>
      <c r="T336" s="1264"/>
      <c r="U336" s="1264"/>
      <c r="V336" s="1264"/>
      <c r="W336" s="1264"/>
      <c r="X336" s="1264"/>
      <c r="Y336" s="1264"/>
      <c r="Z336" s="1264"/>
      <c r="AA336" s="1264"/>
      <c r="AB336" s="1264"/>
      <c r="AC336" s="1264"/>
      <c r="AD336" s="1264"/>
      <c r="AE336" s="1264"/>
      <c r="AF336" s="1264"/>
      <c r="AG336" s="1264"/>
      <c r="AH336" s="1264"/>
      <c r="AI336" s="1264"/>
      <c r="AJ336" s="1264"/>
      <c r="AK336" s="1264"/>
    </row>
    <row r="337" spans="2:37">
      <c r="B337" s="2"/>
      <c r="E337" s="4"/>
      <c r="F337" s="1264"/>
      <c r="G337" s="1264"/>
      <c r="H337" s="1264"/>
      <c r="I337" s="1264"/>
      <c r="J337" s="1264"/>
      <c r="K337" s="1264"/>
      <c r="L337" s="1264"/>
      <c r="M337" s="1264"/>
      <c r="N337" s="1264"/>
      <c r="O337" s="1264"/>
      <c r="P337" s="1264"/>
      <c r="Q337" s="1264"/>
      <c r="R337" s="1264"/>
      <c r="S337" s="1264"/>
      <c r="T337" s="1264"/>
      <c r="U337" s="1264"/>
      <c r="V337" s="1264"/>
      <c r="W337" s="1264"/>
      <c r="X337" s="1264"/>
      <c r="Y337" s="1264"/>
      <c r="Z337" s="1264"/>
      <c r="AA337" s="1264"/>
      <c r="AB337" s="1264"/>
      <c r="AC337" s="1264"/>
      <c r="AD337" s="1264"/>
      <c r="AE337" s="1264"/>
      <c r="AF337" s="1264"/>
      <c r="AG337" s="1264"/>
      <c r="AH337" s="1264"/>
      <c r="AI337" s="1264"/>
      <c r="AJ337" s="1264"/>
      <c r="AK337" s="1264"/>
    </row>
    <row r="338" spans="2:37">
      <c r="B338" s="2"/>
      <c r="E338" s="4"/>
      <c r="F338" s="1264"/>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c r="B339" s="2"/>
      <c r="F339" s="4"/>
      <c r="H339" s="4"/>
      <c r="I339" s="4"/>
      <c r="J339" s="4"/>
      <c r="K339" s="4"/>
      <c r="L339" s="4"/>
      <c r="M339" s="4"/>
      <c r="N339" s="4"/>
      <c r="O339" s="4"/>
      <c r="P339" s="4"/>
      <c r="Q339" s="4"/>
      <c r="R339" s="4"/>
      <c r="S339" s="4"/>
    </row>
    <row r="340" spans="2:37">
      <c r="B340" s="2"/>
      <c r="C340" s="2" t="s">
        <v>430</v>
      </c>
      <c r="G340" s="2" t="s">
        <v>1228</v>
      </c>
      <c r="I340" s="2"/>
      <c r="J340" s="4"/>
      <c r="K340" s="4"/>
      <c r="L340" s="4"/>
      <c r="M340" s="4"/>
      <c r="N340" s="4"/>
      <c r="O340" s="4"/>
      <c r="P340" s="4"/>
      <c r="Q340" s="4"/>
      <c r="R340" s="4"/>
      <c r="S340" s="4"/>
    </row>
    <row r="341" spans="2:37" ht="13.25" customHeight="1">
      <c r="B341" s="2"/>
      <c r="E341" s="1269" t="s">
        <v>1235</v>
      </c>
      <c r="F341" s="1269"/>
      <c r="G341" s="1269"/>
      <c r="H341" s="1269"/>
      <c r="I341" s="1269"/>
      <c r="J341" s="1269"/>
      <c r="K341" s="1269"/>
      <c r="L341" s="1269"/>
      <c r="M341" s="1269"/>
      <c r="N341" s="1269"/>
      <c r="O341" s="1269"/>
      <c r="P341" s="1269"/>
      <c r="Q341" s="1269"/>
      <c r="R341" s="1269"/>
      <c r="S341" s="1269"/>
      <c r="T341" s="1269"/>
      <c r="U341" s="1269"/>
      <c r="V341" s="1269"/>
      <c r="W341" s="1269"/>
      <c r="X341" s="1269"/>
      <c r="Y341" s="1269"/>
      <c r="Z341" s="1269"/>
      <c r="AA341" s="1269"/>
      <c r="AB341" s="1269"/>
      <c r="AC341" s="1269"/>
      <c r="AD341" s="1269"/>
      <c r="AE341" s="1269"/>
      <c r="AF341" s="1269"/>
      <c r="AG341" s="1269"/>
      <c r="AH341" s="1269"/>
      <c r="AI341" s="1269"/>
      <c r="AJ341" s="1269"/>
      <c r="AK341" s="1269"/>
    </row>
    <row r="342" spans="2:37">
      <c r="B342" s="2"/>
      <c r="E342" s="1269"/>
      <c r="F342" s="1269"/>
      <c r="G342" s="1269"/>
      <c r="H342" s="1269"/>
      <c r="I342" s="1269"/>
      <c r="J342" s="1269"/>
      <c r="K342" s="1269"/>
      <c r="L342" s="1269"/>
      <c r="M342" s="1269"/>
      <c r="N342" s="1269"/>
      <c r="O342" s="1269"/>
      <c r="P342" s="1269"/>
      <c r="Q342" s="1269"/>
      <c r="R342" s="1269"/>
      <c r="S342" s="1269"/>
      <c r="T342" s="1269"/>
      <c r="U342" s="1269"/>
      <c r="V342" s="1269"/>
      <c r="W342" s="1269"/>
      <c r="X342" s="1269"/>
      <c r="Y342" s="1269"/>
      <c r="Z342" s="1269"/>
      <c r="AA342" s="1269"/>
      <c r="AB342" s="1269"/>
      <c r="AC342" s="1269"/>
      <c r="AD342" s="1269"/>
      <c r="AE342" s="1269"/>
      <c r="AF342" s="1269"/>
      <c r="AG342" s="1269"/>
      <c r="AH342" s="1269"/>
      <c r="AI342" s="1269"/>
      <c r="AJ342" s="1269"/>
      <c r="AK342" s="1269"/>
    </row>
    <row r="343" spans="2:37">
      <c r="B343" s="2"/>
      <c r="E343" s="1269"/>
      <c r="F343" s="1269"/>
      <c r="G343" s="1269"/>
      <c r="H343" s="1269"/>
      <c r="I343" s="1269"/>
      <c r="J343" s="1269"/>
      <c r="K343" s="1269"/>
      <c r="L343" s="1269"/>
      <c r="M343" s="1269"/>
      <c r="N343" s="1269"/>
      <c r="O343" s="1269"/>
      <c r="P343" s="1269"/>
      <c r="Q343" s="1269"/>
      <c r="R343" s="1269"/>
      <c r="S343" s="1269"/>
      <c r="T343" s="1269"/>
      <c r="U343" s="1269"/>
      <c r="V343" s="1269"/>
      <c r="W343" s="1269"/>
      <c r="X343" s="1269"/>
      <c r="Y343" s="1269"/>
      <c r="Z343" s="1269"/>
      <c r="AA343" s="1269"/>
      <c r="AB343" s="1269"/>
      <c r="AC343" s="1269"/>
      <c r="AD343" s="1269"/>
      <c r="AE343" s="1269"/>
      <c r="AF343" s="1269"/>
      <c r="AG343" s="1269"/>
      <c r="AH343" s="1269"/>
      <c r="AI343" s="1269"/>
      <c r="AJ343" s="1269"/>
      <c r="AK343" s="1269"/>
    </row>
    <row r="344" spans="2:37">
      <c r="B344" s="2"/>
      <c r="E344" s="1269"/>
      <c r="F344" s="1269"/>
      <c r="G344" s="1269"/>
      <c r="H344" s="1269"/>
      <c r="I344" s="1269"/>
      <c r="J344" s="1269"/>
      <c r="K344" s="1269"/>
      <c r="L344" s="1269"/>
      <c r="M344" s="1269"/>
      <c r="N344" s="1269"/>
      <c r="O344" s="1269"/>
      <c r="P344" s="1269"/>
      <c r="Q344" s="1269"/>
      <c r="R344" s="1269"/>
      <c r="S344" s="1269"/>
      <c r="T344" s="1269"/>
      <c r="U344" s="1269"/>
      <c r="V344" s="1269"/>
      <c r="W344" s="1269"/>
      <c r="X344" s="1269"/>
      <c r="Y344" s="1269"/>
      <c r="Z344" s="1269"/>
      <c r="AA344" s="1269"/>
      <c r="AB344" s="1269"/>
      <c r="AC344" s="1269"/>
      <c r="AD344" s="1269"/>
      <c r="AE344" s="1269"/>
      <c r="AF344" s="1269"/>
      <c r="AG344" s="1269"/>
      <c r="AH344" s="1269"/>
      <c r="AI344" s="1269"/>
      <c r="AJ344" s="1269"/>
      <c r="AK344" s="1269"/>
    </row>
    <row r="345" spans="2:37">
      <c r="B345" s="2"/>
      <c r="E345" s="1269"/>
      <c r="F345" s="1269"/>
      <c r="G345" s="1269"/>
      <c r="H345" s="1269"/>
      <c r="I345" s="1269"/>
      <c r="J345" s="1269"/>
      <c r="K345" s="1269"/>
      <c r="L345" s="1269"/>
      <c r="M345" s="1269"/>
      <c r="N345" s="1269"/>
      <c r="O345" s="1269"/>
      <c r="P345" s="1269"/>
      <c r="Q345" s="1269"/>
      <c r="R345" s="1269"/>
      <c r="S345" s="1269"/>
      <c r="T345" s="1269"/>
      <c r="U345" s="1269"/>
      <c r="V345" s="1269"/>
      <c r="W345" s="1269"/>
      <c r="X345" s="1269"/>
      <c r="Y345" s="1269"/>
      <c r="Z345" s="1269"/>
      <c r="AA345" s="1269"/>
      <c r="AB345" s="1269"/>
      <c r="AC345" s="1269"/>
      <c r="AD345" s="1269"/>
      <c r="AE345" s="1269"/>
      <c r="AF345" s="1269"/>
      <c r="AG345" s="1269"/>
      <c r="AH345" s="1269"/>
      <c r="AI345" s="1269"/>
      <c r="AJ345" s="1269"/>
      <c r="AK345" s="1269"/>
    </row>
    <row r="346" spans="2:37">
      <c r="B346" s="2"/>
      <c r="E346" s="3" t="s">
        <v>112</v>
      </c>
      <c r="F346" s="1264" t="s">
        <v>1237</v>
      </c>
      <c r="G346" s="1264"/>
      <c r="H346" s="1264"/>
      <c r="I346" s="1264"/>
      <c r="J346" s="1264"/>
      <c r="K346" s="1264"/>
      <c r="L346" s="1264"/>
      <c r="M346" s="1264"/>
      <c r="N346" s="1264"/>
      <c r="O346" s="1264"/>
      <c r="P346" s="1264"/>
      <c r="Q346" s="1264"/>
      <c r="R346" s="1264"/>
      <c r="S346" s="1264"/>
      <c r="T346" s="1264"/>
      <c r="U346" s="1264"/>
      <c r="V346" s="1264"/>
      <c r="W346" s="1264"/>
      <c r="X346" s="1264"/>
      <c r="Y346" s="1264"/>
      <c r="Z346" s="1264"/>
      <c r="AA346" s="1264"/>
      <c r="AB346" s="1264"/>
      <c r="AC346" s="1264"/>
      <c r="AD346" s="1264"/>
      <c r="AE346" s="1264"/>
      <c r="AF346" s="1264"/>
      <c r="AG346" s="1264"/>
      <c r="AH346" s="1264"/>
      <c r="AI346" s="1264"/>
      <c r="AJ346" s="1264"/>
      <c r="AK346" s="1264"/>
    </row>
    <row r="347" spans="2:37">
      <c r="B347" s="2"/>
      <c r="E347" s="3"/>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row>
    <row r="348" spans="2:37">
      <c r="B348" s="2"/>
      <c r="E348" s="3"/>
      <c r="F348" s="1264"/>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c r="B350" s="2"/>
      <c r="E350" s="3" t="s">
        <v>113</v>
      </c>
      <c r="F350" s="1264" t="s">
        <v>1236</v>
      </c>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c r="B351" s="2"/>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c r="B352" s="2"/>
      <c r="F352" s="1264"/>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72" t="s">
        <v>1226</v>
      </c>
      <c r="F365" s="1272"/>
      <c r="G365" s="1272"/>
      <c r="H365" s="1272"/>
      <c r="I365" s="1272"/>
      <c r="J365" s="1272"/>
      <c r="K365" s="1272"/>
      <c r="L365" s="1272"/>
      <c r="M365" s="1272"/>
      <c r="N365" s="1272"/>
      <c r="O365" s="1272"/>
      <c r="P365" s="1272"/>
      <c r="Q365" s="1272"/>
      <c r="R365" s="1272"/>
      <c r="S365" s="1272"/>
      <c r="T365" s="1272"/>
      <c r="U365" s="1272"/>
      <c r="V365" s="1272"/>
      <c r="W365" s="1272"/>
      <c r="X365" s="1272"/>
      <c r="Y365" s="1272"/>
      <c r="Z365" s="1272"/>
      <c r="AA365" s="1272"/>
      <c r="AB365" s="1272"/>
      <c r="AC365" s="1272"/>
      <c r="AD365" s="1272"/>
      <c r="AE365" s="1272"/>
      <c r="AF365" s="1272"/>
      <c r="AG365" s="1272"/>
      <c r="AH365" s="1272"/>
      <c r="AI365" s="1272"/>
      <c r="AJ365" s="1272"/>
      <c r="AK365" s="1272"/>
      <c r="AL365" s="1272"/>
    </row>
    <row r="366" spans="1:38">
      <c r="B366" s="2"/>
      <c r="E366" s="1272"/>
      <c r="F366" s="1272"/>
      <c r="G366" s="1272"/>
      <c r="H366" s="1272"/>
      <c r="I366" s="1272"/>
      <c r="J366" s="1272"/>
      <c r="K366" s="1272"/>
      <c r="L366" s="1272"/>
      <c r="M366" s="1272"/>
      <c r="N366" s="1272"/>
      <c r="O366" s="1272"/>
      <c r="P366" s="1272"/>
      <c r="Q366" s="1272"/>
      <c r="R366" s="1272"/>
      <c r="S366" s="1272"/>
      <c r="T366" s="1272"/>
      <c r="U366" s="1272"/>
      <c r="V366" s="1272"/>
      <c r="W366" s="1272"/>
      <c r="X366" s="1272"/>
      <c r="Y366" s="1272"/>
      <c r="Z366" s="1272"/>
      <c r="AA366" s="1272"/>
      <c r="AB366" s="1272"/>
      <c r="AC366" s="1272"/>
      <c r="AD366" s="1272"/>
      <c r="AE366" s="1272"/>
      <c r="AF366" s="1272"/>
      <c r="AG366" s="1272"/>
      <c r="AH366" s="1272"/>
      <c r="AI366" s="1272"/>
      <c r="AJ366" s="1272"/>
      <c r="AK366" s="1272"/>
      <c r="AL366" s="1272"/>
    </row>
    <row r="367" spans="1:38" s="1273" customFormat="1">
      <c r="A367"/>
      <c r="B367" s="2"/>
      <c r="C367"/>
      <c r="D367"/>
      <c r="E367" s="1270" t="s">
        <v>1258</v>
      </c>
    </row>
    <row r="368" spans="1:38" s="1273"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4" t="s">
        <v>1269</v>
      </c>
      <c r="G386" s="1264"/>
      <c r="H386" s="1264"/>
      <c r="I386" s="1264"/>
      <c r="J386" s="1264"/>
      <c r="K386" s="1264"/>
      <c r="L386" s="1264"/>
      <c r="M386" s="1264"/>
      <c r="N386" s="1264"/>
      <c r="O386" s="1264"/>
      <c r="P386" s="1264"/>
      <c r="Q386" s="1264"/>
      <c r="R386" s="1264"/>
      <c r="S386" s="1264"/>
      <c r="T386" s="1264"/>
      <c r="U386" s="1264"/>
      <c r="V386" s="1264"/>
      <c r="W386" s="1264"/>
      <c r="X386" s="1264"/>
      <c r="Y386" s="1264"/>
      <c r="Z386" s="1264"/>
      <c r="AA386" s="1264"/>
      <c r="AB386" s="1264"/>
      <c r="AC386" s="1264"/>
      <c r="AD386" s="1264"/>
      <c r="AE386" s="1264"/>
      <c r="AF386" s="1264"/>
      <c r="AG386" s="1264"/>
      <c r="AH386" s="1264"/>
      <c r="AI386" s="1264"/>
      <c r="AJ386" s="1264"/>
      <c r="AK386" s="1264"/>
    </row>
    <row r="387" spans="1:38">
      <c r="B387" s="2"/>
      <c r="E387" s="3"/>
      <c r="F387" s="1264"/>
      <c r="G387" s="1264"/>
      <c r="H387" s="1264"/>
      <c r="I387" s="1264"/>
      <c r="J387" s="1264"/>
      <c r="K387" s="1264"/>
      <c r="L387" s="1264"/>
      <c r="M387" s="1264"/>
      <c r="N387" s="1264"/>
      <c r="O387" s="1264"/>
      <c r="P387" s="1264"/>
      <c r="Q387" s="1264"/>
      <c r="R387" s="1264"/>
      <c r="S387" s="1264"/>
      <c r="T387" s="1264"/>
      <c r="U387" s="1264"/>
      <c r="V387" s="1264"/>
      <c r="W387" s="1264"/>
      <c r="X387" s="1264"/>
      <c r="Y387" s="1264"/>
      <c r="Z387" s="1264"/>
      <c r="AA387" s="1264"/>
      <c r="AB387" s="1264"/>
      <c r="AC387" s="1264"/>
      <c r="AD387" s="1264"/>
      <c r="AE387" s="1264"/>
      <c r="AF387" s="1264"/>
      <c r="AG387" s="1264"/>
      <c r="AH387" s="1264"/>
      <c r="AI387" s="1264"/>
      <c r="AJ387" s="1264"/>
      <c r="AK387" s="1264"/>
    </row>
    <row r="388" spans="1:38">
      <c r="B388" s="2"/>
      <c r="E388" s="3"/>
      <c r="F388" s="1264"/>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1275</v>
      </c>
      <c r="F390" s="3"/>
      <c r="G390" s="2"/>
      <c r="I390" s="120"/>
      <c r="J390" s="3"/>
      <c r="K390" s="3"/>
      <c r="L390" s="3"/>
      <c r="M390" s="3"/>
      <c r="N390" s="3"/>
      <c r="O390" s="3"/>
      <c r="P390" s="3"/>
      <c r="Q390" s="3"/>
      <c r="R390" s="3"/>
      <c r="S390" s="3"/>
    </row>
    <row r="391" spans="1:38" ht="13.2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G141" sqref="G141"/>
    </sheetView>
  </sheetViews>
  <sheetFormatPr baseColWidth="10" defaultColWidth="9.1640625" defaultRowHeight="14"/>
  <cols>
    <col min="1" max="1" width="2.5" style="1044" customWidth="1"/>
    <col min="2" max="9" width="14.6640625" style="1044" customWidth="1"/>
    <col min="10" max="10" width="2.33203125" style="1044" customWidth="1"/>
    <col min="11" max="11" width="11.83203125" style="1045" customWidth="1"/>
    <col min="12" max="12" width="10.6640625" style="1044" customWidth="1"/>
    <col min="13" max="13" width="10.5" style="1044" customWidth="1"/>
    <col min="14" max="14" width="10.83203125" style="1044" customWidth="1"/>
    <col min="15" max="18" width="9.1640625" style="1044"/>
    <col min="19" max="19" width="9.5" style="1044" bestFit="1" customWidth="1"/>
    <col min="20" max="16384" width="9.1640625" style="1044"/>
  </cols>
  <sheetData>
    <row r="1" spans="1:13" ht="30" customHeight="1">
      <c r="A1" s="2672" t="s">
        <v>1585</v>
      </c>
      <c r="B1" s="2672"/>
      <c r="C1" s="2672"/>
      <c r="D1" s="2672"/>
      <c r="E1" s="2672"/>
      <c r="F1" s="2672"/>
      <c r="G1" s="2672"/>
      <c r="H1" s="2672"/>
      <c r="I1" s="2672"/>
      <c r="J1" s="2672"/>
    </row>
    <row r="2" spans="1:13" ht="15" customHeight="1" thickBot="1">
      <c r="A2" s="1046"/>
      <c r="B2" s="1046"/>
      <c r="I2" s="1047"/>
      <c r="K2" s="1048"/>
    </row>
    <row r="3" spans="1:13" s="1051" customFormat="1" ht="20" customHeight="1">
      <c r="A3" s="1100"/>
      <c r="B3" s="1101"/>
      <c r="C3" s="1102"/>
      <c r="D3" s="1107"/>
      <c r="E3" s="1102"/>
      <c r="F3" s="1103" t="s">
        <v>1989</v>
      </c>
      <c r="G3" s="1102"/>
      <c r="H3" s="1104">
        <f>E18</f>
        <v>41214562</v>
      </c>
      <c r="I3" s="1105"/>
    </row>
    <row r="4" spans="1:13" s="1051" customFormat="1" ht="20" customHeight="1">
      <c r="B4" s="1094"/>
      <c r="D4" s="1108"/>
      <c r="F4" s="1092" t="s">
        <v>1991</v>
      </c>
      <c r="G4" s="1091" t="s">
        <v>1990</v>
      </c>
      <c r="H4" s="1093">
        <f>I18</f>
        <v>17726009.803921569</v>
      </c>
      <c r="I4" s="1095"/>
      <c r="K4" s="1055"/>
    </row>
    <row r="5" spans="1:13" s="1051" customFormat="1" ht="20" customHeight="1" thickBot="1">
      <c r="B5" s="1096"/>
      <c r="C5" s="1097"/>
      <c r="D5" s="1109"/>
      <c r="E5" s="1098"/>
      <c r="F5" s="1109" t="s">
        <v>1941</v>
      </c>
      <c r="G5" s="1110"/>
      <c r="H5" s="1106">
        <f>IFERROR(H3/H4,0)</f>
        <v>2.32508965389842</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5" t="s">
        <v>1939</v>
      </c>
      <c r="C8" s="2676"/>
      <c r="D8" s="2676"/>
      <c r="E8" s="2677"/>
      <c r="G8" s="2652" t="s">
        <v>1940</v>
      </c>
      <c r="H8" s="2653"/>
      <c r="I8" s="2654"/>
      <c r="K8" s="1057"/>
    </row>
    <row r="9" spans="1:13" ht="15" customHeight="1">
      <c r="A9" s="1046"/>
      <c r="B9" s="2673" t="s">
        <v>1973</v>
      </c>
      <c r="C9" s="2673"/>
      <c r="D9" s="2673"/>
      <c r="E9" s="1059">
        <f>G33</f>
        <v>7587500</v>
      </c>
      <c r="G9" s="2665" t="s">
        <v>1971</v>
      </c>
      <c r="H9" s="2665"/>
      <c r="I9" s="1060">
        <f>SUMIF(Application!M554:M565,"Loan, Tax-Exempt",Application!AM554:AM565)</f>
        <v>18141000</v>
      </c>
      <c r="K9" s="1061"/>
      <c r="M9" s="1062"/>
    </row>
    <row r="10" spans="1:13" ht="15" customHeight="1" thickBot="1">
      <c r="A10" s="1046"/>
      <c r="B10" s="2673" t="s">
        <v>1974</v>
      </c>
      <c r="C10" s="2673"/>
      <c r="D10" s="2673"/>
      <c r="E10" s="1060">
        <f>G47</f>
        <v>19537812.000000004</v>
      </c>
      <c r="G10" s="2679" t="s">
        <v>1942</v>
      </c>
      <c r="H10" s="2679"/>
      <c r="I10" s="1140">
        <f>'Basis &amp; Credits'!AB78</f>
        <v>0</v>
      </c>
      <c r="M10" s="1062"/>
    </row>
    <row r="11" spans="1:13" ht="15" customHeight="1">
      <c r="A11" s="1046"/>
      <c r="B11" s="2666" t="s">
        <v>2262</v>
      </c>
      <c r="C11" s="2667"/>
      <c r="D11" s="2668"/>
      <c r="E11" s="1060">
        <f>SUM(E12,E13)</f>
        <v>280000</v>
      </c>
      <c r="G11" s="2664" t="s">
        <v>1982</v>
      </c>
      <c r="H11" s="2664"/>
      <c r="I11" s="1139">
        <f>I9+I10</f>
        <v>18141000</v>
      </c>
      <c r="M11" s="1062"/>
    </row>
    <row r="12" spans="1:13" ht="15" customHeight="1">
      <c r="A12" s="1063"/>
      <c r="B12" s="2674" t="s">
        <v>2264</v>
      </c>
      <c r="C12" s="2674"/>
      <c r="D12" s="2674"/>
      <c r="E12" s="1165">
        <f>G56</f>
        <v>0</v>
      </c>
      <c r="M12" s="1062"/>
    </row>
    <row r="13" spans="1:13" ht="15" customHeight="1">
      <c r="A13" s="1049"/>
      <c r="B13" s="2674" t="s">
        <v>2265</v>
      </c>
      <c r="C13" s="2674"/>
      <c r="D13" s="2674"/>
      <c r="E13" s="1165">
        <f>G65</f>
        <v>280000</v>
      </c>
      <c r="G13" s="2652" t="s">
        <v>2005</v>
      </c>
      <c r="H13" s="2653"/>
      <c r="I13" s="2654"/>
      <c r="M13" s="1062"/>
    </row>
    <row r="14" spans="1:13" ht="15" customHeight="1">
      <c r="A14" s="1049"/>
      <c r="B14" s="2666" t="s">
        <v>2263</v>
      </c>
      <c r="C14" s="2667"/>
      <c r="D14" s="2668"/>
      <c r="E14" s="1167">
        <f>MAX(E15,E16)+E17</f>
        <v>13809250</v>
      </c>
      <c r="G14" s="2665" t="s">
        <v>139</v>
      </c>
      <c r="H14" s="2665"/>
      <c r="I14" s="1064">
        <f>15%*(AND(G120="Yes",G122&lt;&gt;""))</f>
        <v>0</v>
      </c>
      <c r="M14" s="1062"/>
    </row>
    <row r="15" spans="1:13" ht="15" customHeight="1">
      <c r="A15" s="1049"/>
      <c r="B15" s="2649" t="s">
        <v>2269</v>
      </c>
      <c r="C15" s="2650"/>
      <c r="D15" s="2651"/>
      <c r="E15" s="1165">
        <f>G80</f>
        <v>4552500</v>
      </c>
      <c r="G15" s="1137" t="s">
        <v>1983</v>
      </c>
      <c r="H15" s="1137"/>
      <c r="I15" s="1064">
        <f>IF(Application!AJ1032&gt;0,10%,IF(Application!AJ1036&gt;0,5%,0))</f>
        <v>0</v>
      </c>
      <c r="M15" s="1062"/>
    </row>
    <row r="16" spans="1:13" ht="15" customHeight="1">
      <c r="A16" s="1049"/>
      <c r="B16" s="2649" t="s">
        <v>2268</v>
      </c>
      <c r="C16" s="2650"/>
      <c r="D16" s="2651"/>
      <c r="E16" s="1165">
        <f>G90</f>
        <v>0</v>
      </c>
      <c r="G16" s="2665" t="s">
        <v>1984</v>
      </c>
      <c r="H16" s="2665"/>
      <c r="I16" s="1064">
        <f>G132</f>
        <v>2.2875816993464051E-2</v>
      </c>
    </row>
    <row r="17" spans="1:21" ht="15" customHeight="1" thickBot="1">
      <c r="A17" s="1049"/>
      <c r="B17" s="2649" t="s">
        <v>2267</v>
      </c>
      <c r="C17" s="2650"/>
      <c r="D17" s="2651"/>
      <c r="E17" s="1165">
        <f>G115</f>
        <v>9256750</v>
      </c>
      <c r="G17" s="2665" t="s">
        <v>2277</v>
      </c>
      <c r="H17" s="2665"/>
      <c r="I17" s="1064">
        <f>IF(AND(G139="Yes",OR(G136,G137)),IF(G143&gt;15%,15%,G143),0)</f>
        <v>0</v>
      </c>
    </row>
    <row r="18" spans="1:21" ht="15" customHeight="1">
      <c r="A18" s="1046"/>
      <c r="B18" s="2678" t="s">
        <v>1938</v>
      </c>
      <c r="C18" s="2678"/>
      <c r="D18" s="2678"/>
      <c r="E18" s="1111">
        <f>SUM(E9:E11,E14)</f>
        <v>41214562</v>
      </c>
      <c r="G18" s="1138" t="s">
        <v>1972</v>
      </c>
      <c r="H18" s="1138"/>
      <c r="I18" s="1112">
        <f>I11-((I11*I14)+(I11*I15)+(I11*I16)+(I11*I17))</f>
        <v>17726009.803921569</v>
      </c>
      <c r="M18" s="1065">
        <f>SUM(Cdlac[Quantity])</f>
        <v>124</v>
      </c>
      <c r="O18" s="1084" t="s">
        <v>582</v>
      </c>
      <c r="P18" s="1044">
        <f>MATCH(Application!T189,Application!CB160:CB217,0)</f>
        <v>21</v>
      </c>
      <c r="T18" s="1065">
        <f>SUM(Cdlac[Population])</f>
        <v>0</v>
      </c>
    </row>
    <row r="19" spans="1:21" ht="15" customHeight="1">
      <c r="A19" s="1046"/>
      <c r="B19" s="1046"/>
      <c r="C19" s="1046"/>
      <c r="D19" s="1046"/>
      <c r="E19" s="1046"/>
      <c r="L19" s="1044" t="s">
        <v>1934</v>
      </c>
      <c r="M19" s="1044" t="s">
        <v>1933</v>
      </c>
      <c r="N19" s="1044" t="s">
        <v>1945</v>
      </c>
      <c r="O19" s="1044" t="s">
        <v>1946</v>
      </c>
      <c r="P19" s="1044" t="s">
        <v>1935</v>
      </c>
      <c r="Q19" s="1044" t="s">
        <v>2260</v>
      </c>
      <c r="R19" s="1044" t="s">
        <v>1936</v>
      </c>
      <c r="S19" s="1044" t="s">
        <v>1947</v>
      </c>
      <c r="T19" s="1044" t="s">
        <v>1953</v>
      </c>
      <c r="U19" s="1044" t="s">
        <v>384</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5</v>
      </c>
      <c r="N20" s="1071">
        <f>Application!AC718</f>
        <v>0.3</v>
      </c>
      <c r="O20" s="1071">
        <f>IF(Cdlac[[#This Row],[Quantity]]&gt;0,IF(Cdlac[[#This Row],[Federal]],30%,IF(AND(OR(NOT($G$38),$G$38=""),$G$43),40%,Cdlac[[#This Row],[iAMI]])),"")</f>
        <v>0.3</v>
      </c>
      <c r="P20" s="1065" cm="1">
        <f t="array" ref="P20">IF(Cdlac[[#This Row],[Quantity]]&gt;0,INDEX(TcacRents,$P$18,Cdlac[[#This Row],[Bedrooms]]+1)*Cdlac[[#This Row],[AMI]],"")</f>
        <v>1087.8</v>
      </c>
      <c r="Q20" s="1164"/>
      <c r="R20" s="1065" cm="1">
        <f t="array" ref="R20">IF(Cdlac[[#This Row],[Quantity]]&gt;0,INDEX(HudFmrs,$P$18,Cdlac[[#This Row],[Bedrooms]]+1),"")</f>
        <v>2780</v>
      </c>
      <c r="S20" s="1065">
        <f>IF(Cdlac[[#This Row],[Quantity]]&gt;0,MAX(0,Cdlac[[#This Row],[Fair Market Rent]]-IF(AND($G$37,$G$38,$G$38&lt;&gt;"",NOT(Cdlac[[#This Row],[Federal]]),Cdlac[[#This Row],[Preservation Rent]]&lt;&gt;""),Cdlac[[#This Row],[Preservation Rent]],Cdlac[[#This Row],[Restricted Rent]])),"")</f>
        <v>1692.2</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2</v>
      </c>
      <c r="M21" s="1065">
        <f>Application!G719</f>
        <v>6</v>
      </c>
      <c r="N21" s="1071">
        <f>Application!AC719</f>
        <v>0.3</v>
      </c>
      <c r="O21" s="1071">
        <f>IF(Cdlac[[#This Row],[Quantity]]&gt;0,IF(Cdlac[[#This Row],[Federal]],30%,IF(AND(OR(NOT($G$38),$G$38=""),$G$43),40%,Cdlac[[#This Row],[iAMI]])),"")</f>
        <v>0.3</v>
      </c>
      <c r="P21" s="1065" cm="1">
        <f t="array" ref="P21">IF(Cdlac[[#This Row],[Quantity]]&gt;0,INDEX(TcacRents,$P$18,Cdlac[[#This Row],[Bedrooms]]+1)*Cdlac[[#This Row],[AMI]],"")</f>
        <v>1305.5999999999999</v>
      </c>
      <c r="Q21" s="1164"/>
      <c r="R21" s="1065" cm="1">
        <f t="array" ref="R21">IF(Cdlac[[#This Row],[Quantity]]&gt;0,INDEX(HudFmrs,$P$18,Cdlac[[#This Row],[Bedrooms]]+1),"")</f>
        <v>3318</v>
      </c>
      <c r="S21" s="1065">
        <f>IF(Cdlac[[#This Row],[Quantity]]&gt;0,MAX(0,Cdlac[[#This Row],[Fair Market Rent]]-IF(AND($G$37,$G$38,$G$38&lt;&gt;"",NOT(Cdlac[[#This Row],[Federal]]),Cdlac[[#This Row],[Preservation Rent]]&lt;&gt;""),Cdlac[[#This Row],[Preservation Rent]],Cdlac[[#This Row],[Restricted Rent]])),"")</f>
        <v>2012.4</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56" t="s">
        <v>1986</v>
      </c>
      <c r="D22" s="2656" t="s">
        <v>1987</v>
      </c>
      <c r="E22" s="2656" t="s">
        <v>1988</v>
      </c>
      <c r="F22" s="2656" t="s">
        <v>2604</v>
      </c>
      <c r="G22" s="2656" t="s">
        <v>1985</v>
      </c>
      <c r="H22" s="1070"/>
      <c r="I22" s="1069"/>
      <c r="L22" s="1044">
        <f>IFERROR(MIN(4,MATCH(Application!B720,UnitSizes,0)-1),"")</f>
        <v>3</v>
      </c>
      <c r="M22" s="1065">
        <f>Application!G720</f>
        <v>3</v>
      </c>
      <c r="N22" s="1071">
        <f>Application!AC720</f>
        <v>0.3</v>
      </c>
      <c r="O22" s="1071">
        <f>IF(Cdlac[[#This Row],[Quantity]]&gt;0,IF(Cdlac[[#This Row],[Federal]],30%,IF(AND(OR(NOT($G$38),$G$38=""),$G$43),40%,Cdlac[[#This Row],[iAMI]])),"")</f>
        <v>0.3</v>
      </c>
      <c r="P22" s="1065" cm="1">
        <f t="array" ref="P22">IF(Cdlac[[#This Row],[Quantity]]&gt;0,INDEX(TcacRents,$P$18,Cdlac[[#This Row],[Bedrooms]]+1)*Cdlac[[#This Row],[AMI]],"")</f>
        <v>1508.3999999999999</v>
      </c>
      <c r="Q22" s="1164"/>
      <c r="R22" s="1065" cm="1">
        <f t="array" ref="R22">IF(Cdlac[[#This Row],[Quantity]]&gt;0,INDEX(HudFmrs,$P$18,Cdlac[[#This Row],[Bedrooms]]+1),"")</f>
        <v>4138</v>
      </c>
      <c r="S22" s="1065">
        <f>IF(Cdlac[[#This Row],[Quantity]]&gt;0,MAX(0,Cdlac[[#This Row],[Fair Market Rent]]-IF(AND($G$37,$G$38,$G$38&lt;&gt;"",NOT(Cdlac[[#This Row],[Federal]]),Cdlac[[#This Row],[Preservation Rent]]&lt;&gt;""),Cdlac[[#This Row],[Preservation Rent]],Cdlac[[#This Row],[Restricted Rent]])),"")</f>
        <v>2629.6000000000004</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57"/>
      <c r="D23" s="2657"/>
      <c r="E23" s="2657"/>
      <c r="F23" s="2657"/>
      <c r="G23" s="2657"/>
      <c r="H23" s="1070"/>
      <c r="I23" s="1069"/>
      <c r="L23" s="1044">
        <f>IFERROR(MIN(4,MATCH(Application!B721,UnitSizes,0)-1),"")</f>
        <v>1</v>
      </c>
      <c r="M23" s="1065">
        <f>Application!G721</f>
        <v>19</v>
      </c>
      <c r="N23" s="1071">
        <f>Application!AC721</f>
        <v>0.5</v>
      </c>
      <c r="O23" s="1071">
        <f>IF(Cdlac[[#This Row],[Quantity]]&gt;0,IF(Cdlac[[#This Row],[Federal]],30%,IF(AND(OR(NOT($G$38),$G$38=""),$G$43),40%,Cdlac[[#This Row],[iAMI]])),"")</f>
        <v>0.5</v>
      </c>
      <c r="P23" s="1065" cm="1">
        <f t="array" ref="P23">IF(Cdlac[[#This Row],[Quantity]]&gt;0,INDEX(TcacRents,$P$18,Cdlac[[#This Row],[Bedrooms]]+1)*Cdlac[[#This Row],[AMI]],"")</f>
        <v>1813</v>
      </c>
      <c r="Q23" s="1164"/>
      <c r="R23" s="1065" cm="1">
        <f t="array" ref="R23">IF(Cdlac[[#This Row],[Quantity]]&gt;0,INDEX(HudFmrs,$P$18,Cdlac[[#This Row],[Bedrooms]]+1),"")</f>
        <v>2780</v>
      </c>
      <c r="S23" s="1065">
        <f>IF(Cdlac[[#This Row],[Quantity]]&gt;0,MAX(0,Cdlac[[#This Row],[Fair Market Rent]]-IF(AND($G$37,$G$38,$G$38&lt;&gt;"",NOT(Cdlac[[#This Row],[Federal]]),Cdlac[[#This Row],[Preservation Rent]]&lt;&gt;""),Cdlac[[#This Row],[Preservation Rent]],Cdlac[[#This Row],[Restricted Rent]])),"")</f>
        <v>967</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19</v>
      </c>
      <c r="N24" s="1071">
        <f>Application!AC722</f>
        <v>0.5</v>
      </c>
      <c r="O24" s="1071">
        <f>IF(Cdlac[[#This Row],[Quantity]]&gt;0,IF(Cdlac[[#This Row],[Federal]],30%,IF(AND(OR(NOT($G$38),$G$38=""),$G$43),40%,Cdlac[[#This Row],[iAMI]])),"")</f>
        <v>0.5</v>
      </c>
      <c r="P24" s="1065" cm="1">
        <f t="array" ref="P24">IF(Cdlac[[#This Row],[Quantity]]&gt;0,INDEX(TcacRents,$P$18,Cdlac[[#This Row],[Bedrooms]]+1)*Cdlac[[#This Row],[AMI]],"")</f>
        <v>2176</v>
      </c>
      <c r="Q24" s="1164"/>
      <c r="R24" s="1065" cm="1">
        <f t="array" ref="R24">IF(Cdlac[[#This Row],[Quantity]]&gt;0,INDEX(HudFmrs,$P$18,Cdlac[[#This Row],[Bedrooms]]+1),"")</f>
        <v>3318</v>
      </c>
      <c r="S24" s="1065">
        <f>IF(Cdlac[[#This Row],[Quantity]]&gt;0,MAX(0,Cdlac[[#This Row],[Fair Market Rent]]-IF(AND($G$37,$G$38,$G$38&lt;&gt;"",NOT(Cdlac[[#This Row],[Federal]]),Cdlac[[#This Row],[Preservation Rent]]&lt;&gt;""),Cdlac[[#This Row],[Preservation Rent]],Cdlac[[#This Row],[Restricted Rent]])),"")</f>
        <v>1142</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45</v>
      </c>
      <c r="F25" s="1072">
        <f>E25</f>
        <v>45</v>
      </c>
      <c r="G25" s="1072">
        <f>D25*F25</f>
        <v>45</v>
      </c>
      <c r="L25" s="1044">
        <f>IFERROR(MIN(4,MATCH(Application!B723,UnitSizes,0)-1),"")</f>
        <v>3</v>
      </c>
      <c r="M25" s="1065">
        <f>Application!G723</f>
        <v>11</v>
      </c>
      <c r="N25" s="1071">
        <f>Application!AC723</f>
        <v>0.5</v>
      </c>
      <c r="O25" s="1071">
        <f>IF(Cdlac[[#This Row],[Quantity]]&gt;0,IF(Cdlac[[#This Row],[Federal]],30%,IF(AND(OR(NOT($G$38),$G$38=""),$G$43),40%,Cdlac[[#This Row],[iAMI]])),"")</f>
        <v>0.5</v>
      </c>
      <c r="P25" s="1065" cm="1">
        <f t="array" ref="P25">IF(Cdlac[[#This Row],[Quantity]]&gt;0,INDEX(TcacRents,$P$18,Cdlac[[#This Row],[Bedrooms]]+1)*Cdlac[[#This Row],[AMI]],"")</f>
        <v>2514</v>
      </c>
      <c r="Q25" s="1164"/>
      <c r="R25" s="1065" cm="1">
        <f t="array" ref="R25">IF(Cdlac[[#This Row],[Quantity]]&gt;0,INDEX(HudFmrs,$P$18,Cdlac[[#This Row],[Bedrooms]]+1),"")</f>
        <v>4138</v>
      </c>
      <c r="S25" s="1065">
        <f>IF(Cdlac[[#This Row],[Quantity]]&gt;0,MAX(0,Cdlac[[#This Row],[Fair Market Rent]]-IF(AND($G$37,$G$38,$G$38&lt;&gt;"",NOT(Cdlac[[#This Row],[Federal]]),Cdlac[[#This Row],[Preservation Rent]]&lt;&gt;""),Cdlac[[#This Row],[Preservation Rent]],Cdlac[[#This Row],[Restricted Rent]])),"")</f>
        <v>1624</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47</v>
      </c>
      <c r="F26" s="1075">
        <f>SUM(E26:E28)-SUM(F27:F28)</f>
        <v>47</v>
      </c>
      <c r="G26" s="1072">
        <f>D26*F26</f>
        <v>58.75</v>
      </c>
      <c r="H26" s="1074"/>
      <c r="I26" s="1074"/>
      <c r="L26" s="1044">
        <f>IFERROR(MIN(4,MATCH(Application!B724,UnitSizes,0)-1),"")</f>
        <v>1</v>
      </c>
      <c r="M26" s="1065">
        <f>Application!G724</f>
        <v>21</v>
      </c>
      <c r="N26" s="1071">
        <f>Application!AC724</f>
        <v>0.7</v>
      </c>
      <c r="O26" s="1071">
        <f>IF(Cdlac[[#This Row],[Quantity]]&gt;0,IF(Cdlac[[#This Row],[Federal]],30%,IF(AND(OR(NOT($G$38),$G$38=""),$G$43),40%,Cdlac[[#This Row],[iAMI]])),"")</f>
        <v>0.7</v>
      </c>
      <c r="P26" s="1065" cm="1">
        <f t="array" ref="P26">IF(Cdlac[[#This Row],[Quantity]]&gt;0,INDEX(TcacRents,$P$18,Cdlac[[#This Row],[Bedrooms]]+1)*Cdlac[[#This Row],[AMI]],"")</f>
        <v>2538.1999999999998</v>
      </c>
      <c r="Q26" s="1164"/>
      <c r="R26" s="1065" cm="1">
        <f t="array" ref="R26">IF(Cdlac[[#This Row],[Quantity]]&gt;0,INDEX(HudFmrs,$P$18,Cdlac[[#This Row],[Bedrooms]]+1),"")</f>
        <v>2780</v>
      </c>
      <c r="S26" s="1065">
        <f>IF(Cdlac[[#This Row],[Quantity]]&gt;0,MAX(0,Cdlac[[#This Row],[Fair Market Rent]]-IF(AND($G$37,$G$38,$G$38&lt;&gt;"",NOT(Cdlac[[#This Row],[Federal]]),Cdlac[[#This Row],[Preservation Rent]]&lt;&gt;""),Cdlac[[#This Row],[Preservation Rent]],Cdlac[[#This Row],[Restricted Rent]])),"")</f>
        <v>241.80000000000018</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32</v>
      </c>
      <c r="F27" s="1075">
        <f>MIN(E27,ROUNDDOWN(E29*30%,0))</f>
        <v>32</v>
      </c>
      <c r="G27" s="1072">
        <f>D27*F27</f>
        <v>48</v>
      </c>
      <c r="H27" s="1074"/>
      <c r="I27" s="1074"/>
      <c r="L27" s="1044">
        <f>IFERROR(MIN(4,MATCH(Application!B725,UnitSizes,0)-1),"")</f>
        <v>2</v>
      </c>
      <c r="M27" s="1065">
        <f>Application!G725</f>
        <v>22</v>
      </c>
      <c r="N27" s="1071">
        <f>Application!AC725</f>
        <v>0.7</v>
      </c>
      <c r="O27" s="1071">
        <f>IF(Cdlac[[#This Row],[Quantity]]&gt;0,IF(Cdlac[[#This Row],[Federal]],30%,IF(AND(OR(NOT($G$38),$G$38=""),$G$43),40%,Cdlac[[#This Row],[iAMI]])),"")</f>
        <v>0.7</v>
      </c>
      <c r="P27" s="1065" cm="1">
        <f t="array" ref="P27">IF(Cdlac[[#This Row],[Quantity]]&gt;0,INDEX(TcacRents,$P$18,Cdlac[[#This Row],[Bedrooms]]+1)*Cdlac[[#This Row],[AMI]],"")</f>
        <v>3046.3999999999996</v>
      </c>
      <c r="Q27" s="1164"/>
      <c r="R27" s="1065" cm="1">
        <f t="array" ref="R27">IF(Cdlac[[#This Row],[Quantity]]&gt;0,INDEX(HudFmrs,$P$18,Cdlac[[#This Row],[Bedrooms]]+1),"")</f>
        <v>3318</v>
      </c>
      <c r="S27" s="1065">
        <f>IF(Cdlac[[#This Row],[Quantity]]&gt;0,MAX(0,Cdlac[[#This Row],[Fair Market Rent]]-IF(AND($G$37,$G$38,$G$38&lt;&gt;"",NOT(Cdlac[[#This Row],[Federal]]),Cdlac[[#This Row],[Preservation Rent]]&lt;&gt;""),Cdlac[[#This Row],[Preservation Rent]],Cdlac[[#This Row],[Restricted Rent]])),"")</f>
        <v>271.60000000000036</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3</v>
      </c>
      <c r="M28" s="1065">
        <f>Application!G726</f>
        <v>18</v>
      </c>
      <c r="N28" s="1071">
        <f>Application!AC726</f>
        <v>0.7</v>
      </c>
      <c r="O28" s="1071">
        <f>IF(Cdlac[[#This Row],[Quantity]]&gt;0,IF(Cdlac[[#This Row],[Federal]],30%,IF(AND(OR(NOT($G$38),$G$38=""),$G$43),40%,Cdlac[[#This Row],[iAMI]])),"")</f>
        <v>0.7</v>
      </c>
      <c r="P28" s="1065" cm="1">
        <f t="array" ref="P28">IF(Cdlac[[#This Row],[Quantity]]&gt;0,INDEX(TcacRents,$P$18,Cdlac[[#This Row],[Bedrooms]]+1)*Cdlac[[#This Row],[AMI]],"")</f>
        <v>3519.6</v>
      </c>
      <c r="Q28" s="1164"/>
      <c r="R28" s="1065" cm="1">
        <f t="array" ref="R28">IF(Cdlac[[#This Row],[Quantity]]&gt;0,INDEX(HudFmrs,$P$18,Cdlac[[#This Row],[Bedrooms]]+1),"")</f>
        <v>4138</v>
      </c>
      <c r="S28" s="1065">
        <f>IF(Cdlac[[#This Row],[Quantity]]&gt;0,MAX(0,Cdlac[[#This Row],[Fair Market Rent]]-IF(AND($G$37,$G$38,$G$38&lt;&gt;"",NOT(Cdlac[[#This Row],[Federal]]),Cdlac[[#This Row],[Preservation Rent]]&lt;&gt;""),Cdlac[[#This Row],[Preservation Rent]],Cdlac[[#This Row],[Restricted Rent]])),"")</f>
        <v>618.40000000000009</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58" t="s">
        <v>1586</v>
      </c>
      <c r="D29" s="2659"/>
      <c r="E29" s="1089">
        <f>SUM(E24:E28)</f>
        <v>124</v>
      </c>
      <c r="F29" s="1089">
        <f>SUM(F24:F28)</f>
        <v>124</v>
      </c>
      <c r="G29" s="1090">
        <f>SUMPRODUCT(D24:D28,F24:F28)</f>
        <v>151.75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1985</v>
      </c>
      <c r="G31" s="1114">
        <f>G29</f>
        <v>151.75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1944</v>
      </c>
      <c r="F32" s="1113" t="s">
        <v>1992</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1978</v>
      </c>
      <c r="F33" s="1046"/>
      <c r="G33" s="1119">
        <f>G32*G31</f>
        <v>7587500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2258</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2259</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61" t="str">
        <f>IF(AND(G37,G38,G38&lt;&gt;""),"Enter the average rent charged for each unit type over the last three years, as documented with rent rolls or property audits, in cells Q20:Q44","")</f>
        <v/>
      </c>
      <c r="D39" s="2661"/>
      <c r="E39" s="2661"/>
      <c r="F39" s="2661"/>
      <c r="G39" s="2661"/>
      <c r="H39" s="2661"/>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61"/>
      <c r="D40" s="2661"/>
      <c r="E40" s="2661"/>
      <c r="F40" s="2661"/>
      <c r="G40" s="2661"/>
      <c r="H40" s="2661"/>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61"/>
      <c r="D41" s="2661"/>
      <c r="E41" s="2661"/>
      <c r="F41" s="2661"/>
      <c r="G41" s="2661"/>
      <c r="H41" s="2661"/>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2003</v>
      </c>
      <c r="G42" s="1120" cm="1">
        <f t="array" ref="G42">SUMPRODUCT(Cdlac[Quantity],Cdlac[iAMI],IF(Cdlac[Federal],0,1))/SUMIFS(Cdlac[Quantity],Cdlac[Federal],FALSE)</f>
        <v>0.57580645161290311</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1998</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1948</v>
      </c>
      <c r="G45" s="1078">
        <f>IFERROR(SUMPRODUCT(Cdlac[Quantity],Cdlac[Delta]),0)</f>
        <v>108543.40000000002</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2004</v>
      </c>
      <c r="F46" s="1113" t="s">
        <v>1992</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1943</v>
      </c>
      <c r="F47" s="1046"/>
      <c r="G47" s="1123">
        <f>G45*G46</f>
        <v>19537812.000000004</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1993</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1994</v>
      </c>
      <c r="G52" s="1114">
        <f>ROUNDDOWN(E29*50%,0)</f>
        <v>62</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1954</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1944</v>
      </c>
      <c r="F55" s="1113" t="s">
        <v>1992</v>
      </c>
      <c r="G55" s="1124">
        <v>10000</v>
      </c>
      <c r="M55" s="1065"/>
      <c r="N55" s="1071"/>
      <c r="O55" s="1071"/>
      <c r="P55" s="1065"/>
      <c r="Q55" s="1164"/>
      <c r="R55" s="1065"/>
      <c r="S55" s="1065"/>
    </row>
    <row r="56" spans="2:21" ht="15" customHeight="1">
      <c r="E56" s="1118" t="s">
        <v>1977</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1995</v>
      </c>
      <c r="G60" s="1079">
        <f>SUMIFS(Cdlac[Quantity],Cdlac[iAMI],"&lt;=30%")</f>
        <v>14</v>
      </c>
    </row>
    <row r="61" spans="2:21" ht="15" customHeight="1">
      <c r="E61" s="1117" t="s">
        <v>1994</v>
      </c>
      <c r="G61" s="1079">
        <f>ROUNDDOWN(E29*50%,0)</f>
        <v>62</v>
      </c>
    </row>
    <row r="62" spans="2:21" ht="15" customHeight="1">
      <c r="E62" s="1117"/>
      <c r="G62" s="1079"/>
    </row>
    <row r="63" spans="2:21" ht="15" customHeight="1">
      <c r="E63" s="1117" t="s">
        <v>1954</v>
      </c>
      <c r="G63" s="1114">
        <f>MIN(G60:G61)</f>
        <v>14</v>
      </c>
    </row>
    <row r="64" spans="2:21" ht="15" customHeight="1">
      <c r="E64" s="1117" t="s">
        <v>1944</v>
      </c>
      <c r="F64" s="1113" t="s">
        <v>1992</v>
      </c>
      <c r="G64" s="1124">
        <v>20000</v>
      </c>
    </row>
    <row r="65" spans="2:14" ht="15" customHeight="1">
      <c r="E65" s="1118" t="s">
        <v>1976</v>
      </c>
      <c r="F65" s="1046"/>
      <c r="G65" s="1123">
        <f>G63*G64</f>
        <v>280000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1980</v>
      </c>
      <c r="G69" s="1043" t="s">
        <v>545</v>
      </c>
    </row>
    <row r="70" spans="2:14" ht="15" customHeight="1">
      <c r="C70" s="1077" t="s">
        <v>1981</v>
      </c>
      <c r="G70" s="1081" t="str">
        <f>IF(Application!D211="Large Family","Yes","No")</f>
        <v>Yes</v>
      </c>
    </row>
    <row r="71" spans="2:14" ht="15" customHeight="1" thickBot="1">
      <c r="C71" s="1077" t="s">
        <v>1967</v>
      </c>
      <c r="G71" s="1043"/>
    </row>
    <row r="72" spans="2:14" ht="15" customHeight="1">
      <c r="C72" s="1077" t="s">
        <v>1968</v>
      </c>
      <c r="G72" s="1044" t="str">
        <f>Application!T193</f>
        <v>Highest Resource</v>
      </c>
      <c r="L72" s="2669" t="s">
        <v>1969</v>
      </c>
      <c r="M72" s="2670"/>
      <c r="N72" s="1131">
        <v>30000</v>
      </c>
    </row>
    <row r="73" spans="2:14" ht="15" customHeight="1">
      <c r="C73" s="2671" t="s">
        <v>2261</v>
      </c>
      <c r="D73" s="2671"/>
      <c r="E73" s="2671"/>
      <c r="F73" s="2671"/>
      <c r="G73" s="1043"/>
      <c r="L73" s="2680" t="s">
        <v>1937</v>
      </c>
      <c r="M73" s="2681"/>
      <c r="N73" s="1132">
        <v>20000</v>
      </c>
    </row>
    <row r="74" spans="2:14" ht="15" customHeight="1" thickBot="1">
      <c r="C74" s="2671"/>
      <c r="D74" s="2671"/>
      <c r="E74" s="2671"/>
      <c r="F74" s="2671"/>
      <c r="L74" s="2682" t="s">
        <v>1970</v>
      </c>
      <c r="M74" s="2683"/>
      <c r="N74" s="1133">
        <v>10000</v>
      </c>
    </row>
    <row r="75" spans="2:14" ht="15" customHeight="1">
      <c r="C75" s="1077"/>
    </row>
    <row r="76" spans="2:14" ht="15" customHeight="1">
      <c r="E76" s="1084" t="s">
        <v>1999</v>
      </c>
      <c r="G76" s="1079" t="b">
        <f>OR(AND(COUNTIFS(G70:G71,"Yes")&gt;=1,G69="Yes"),G73="Yes")</f>
        <v>1</v>
      </c>
    </row>
    <row r="77" spans="2:14" ht="15" customHeight="1">
      <c r="E77" s="1084"/>
      <c r="G77" s="1079"/>
    </row>
    <row r="78" spans="2:14" ht="15" customHeight="1">
      <c r="E78" s="1084" t="s">
        <v>1944</v>
      </c>
      <c r="G78" s="1078">
        <f>IFERROR(IF($G$73="Yes",30000,INDEX(N72:N74,MATCH(LEFT(G72,17),L72:L74,0))),0)</f>
        <v>30000</v>
      </c>
    </row>
    <row r="79" spans="2:14" ht="15" customHeight="1">
      <c r="E79" s="1084" t="str">
        <f>E96</f>
        <v>Bedroom-Adjusted Low-Income Units</v>
      </c>
      <c r="F79" s="1113" t="s">
        <v>1992</v>
      </c>
      <c r="G79" s="1114">
        <f>G29</f>
        <v>151.75</v>
      </c>
    </row>
    <row r="80" spans="2:14" ht="15" customHeight="1">
      <c r="D80" s="1046"/>
      <c r="E80" s="1118" t="s">
        <v>2266</v>
      </c>
      <c r="F80" s="1046"/>
      <c r="G80" s="1123">
        <f>G79*G78*G76</f>
        <v>4552500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1975</v>
      </c>
      <c r="G84" s="1043" t="s">
        <v>669</v>
      </c>
    </row>
    <row r="85" spans="2:9" ht="15" customHeight="1">
      <c r="F85" s="1116"/>
    </row>
    <row r="86" spans="2:9" ht="15" customHeight="1">
      <c r="E86" s="1084" t="s">
        <v>1999</v>
      </c>
      <c r="G86" s="1079" t="b">
        <f>G84="Yes"</f>
        <v>0</v>
      </c>
    </row>
    <row r="87" spans="2:9" ht="15" customHeight="1"/>
    <row r="88" spans="2:9" ht="15" customHeight="1">
      <c r="E88" s="1084" t="str">
        <f>E96</f>
        <v>Bedroom-Adjusted Low-Income Units</v>
      </c>
      <c r="G88" s="1114">
        <f>G29</f>
        <v>151.75</v>
      </c>
    </row>
    <row r="89" spans="2:9" ht="15" customHeight="1">
      <c r="E89" s="1084" t="s">
        <v>1944</v>
      </c>
      <c r="F89" s="1113" t="s">
        <v>1992</v>
      </c>
      <c r="G89" s="1050">
        <v>20000</v>
      </c>
    </row>
    <row r="90" spans="2:9" ht="15" customHeight="1">
      <c r="E90" s="1118" t="s">
        <v>2270</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1955</v>
      </c>
      <c r="G94" s="1114">
        <f>VLOOKUP('Points System'!$H$606,'Points System'!$AO$586:$AP$591,2,FALSE)</f>
        <v>7</v>
      </c>
    </row>
    <row r="95" spans="2:9" ht="15" customHeight="1">
      <c r="E95" s="1084" t="s">
        <v>1944</v>
      </c>
      <c r="F95" s="1113" t="s">
        <v>1992</v>
      </c>
      <c r="G95" s="1076">
        <v>4000</v>
      </c>
    </row>
    <row r="96" spans="2:9" ht="15" customHeight="1" thickBot="1">
      <c r="E96" s="1084" t="s">
        <v>1996</v>
      </c>
      <c r="F96" s="1113" t="s">
        <v>1992</v>
      </c>
      <c r="G96" s="1126">
        <f>G29</f>
        <v>151.75</v>
      </c>
    </row>
    <row r="97" spans="2:14" ht="15" customHeight="1">
      <c r="E97" s="1118" t="s">
        <v>1961</v>
      </c>
      <c r="F97" s="1046"/>
      <c r="G97" s="1123">
        <f>G94*G95*G96</f>
        <v>4249000</v>
      </c>
      <c r="L97" s="1127" t="str">
        <f>'Points System'!H638</f>
        <v>(i)</v>
      </c>
      <c r="M97" s="2688" t="s">
        <v>1405</v>
      </c>
      <c r="N97" s="2689"/>
    </row>
    <row r="98" spans="2:14" ht="15" customHeight="1">
      <c r="C98" s="1077"/>
      <c r="G98" s="1114"/>
      <c r="L98" s="1128" t="str">
        <f>'Points System'!H650</f>
        <v>N/A</v>
      </c>
      <c r="M98" s="2684" t="s">
        <v>1956</v>
      </c>
      <c r="N98" s="2685"/>
    </row>
    <row r="99" spans="2:14" ht="15" customHeight="1">
      <c r="E99" s="1084" t="s">
        <v>1997</v>
      </c>
      <c r="G99" s="1126">
        <f>COUNTIFS(L97:L104,"(i)")</f>
        <v>2</v>
      </c>
      <c r="L99" s="1128" t="str">
        <f>'Points System'!H685</f>
        <v>(iv)</v>
      </c>
      <c r="M99" s="2684" t="s">
        <v>1957</v>
      </c>
      <c r="N99" s="2685"/>
    </row>
    <row r="100" spans="2:14" ht="15" customHeight="1">
      <c r="E100" s="1084" t="s">
        <v>1944</v>
      </c>
      <c r="F100" s="1113" t="s">
        <v>1992</v>
      </c>
      <c r="G100" s="1124">
        <v>4000</v>
      </c>
      <c r="L100" s="1128" t="str">
        <f>IF(OR('Points System'!H709="(ii)",'Points System'!H709="(i)"),"(i)","N/A")</f>
        <v>(i)</v>
      </c>
      <c r="M100" s="2684" t="s">
        <v>1958</v>
      </c>
      <c r="N100" s="2685"/>
    </row>
    <row r="101" spans="2:14" ht="15" customHeight="1">
      <c r="E101" s="1118" t="s">
        <v>1962</v>
      </c>
      <c r="F101" s="1046"/>
      <c r="G101" s="1123">
        <f>G96*G99*G100</f>
        <v>1214000</v>
      </c>
      <c r="L101" s="1129" t="str">
        <f>'Points System'!H723</f>
        <v>N/A</v>
      </c>
      <c r="M101" s="2684" t="s">
        <v>1431</v>
      </c>
      <c r="N101" s="2685"/>
    </row>
    <row r="102" spans="2:14" ht="15" customHeight="1">
      <c r="L102" s="1128" t="str">
        <f>'Points System'!H735</f>
        <v>N/A</v>
      </c>
      <c r="M102" s="2684" t="s">
        <v>1959</v>
      </c>
      <c r="N102" s="2685"/>
    </row>
    <row r="103" spans="2:14" ht="15" customHeight="1">
      <c r="C103" s="1080" t="s">
        <v>1964</v>
      </c>
      <c r="L103" s="1128" t="str">
        <f>'Points System'!H751</f>
        <v>N/A</v>
      </c>
      <c r="M103" s="2684" t="s">
        <v>1960</v>
      </c>
      <c r="N103" s="2685"/>
    </row>
    <row r="104" spans="2:14" ht="15" customHeight="1" thickBot="1">
      <c r="C104" s="1077" t="s">
        <v>1965</v>
      </c>
      <c r="G104" s="1043"/>
      <c r="L104" s="1130" t="str">
        <f>'Points System'!H763</f>
        <v>(ii)</v>
      </c>
      <c r="M104" s="2686" t="s">
        <v>1434</v>
      </c>
      <c r="N104" s="2687"/>
    </row>
    <row r="105" spans="2:14" ht="15" customHeight="1">
      <c r="C105" s="1077" t="s">
        <v>1966</v>
      </c>
      <c r="G105" s="1043"/>
    </row>
    <row r="106" spans="2:14" ht="15" customHeight="1">
      <c r="C106" s="1077" t="s">
        <v>2139</v>
      </c>
      <c r="G106" s="1043" t="s">
        <v>545</v>
      </c>
    </row>
    <row r="107" spans="2:14" ht="15" customHeight="1">
      <c r="C107" s="1077" t="s">
        <v>2140</v>
      </c>
      <c r="G107" s="1043"/>
    </row>
    <row r="108" spans="2:14" ht="15" customHeight="1"/>
    <row r="109" spans="2:14" ht="15" customHeight="1">
      <c r="B109" s="1078"/>
      <c r="C109" s="1077"/>
      <c r="E109" s="1084" t="s">
        <v>1999</v>
      </c>
      <c r="G109" s="1079" t="b">
        <f>COUNTIFS(G104:G107,"Yes")&gt;=1</f>
        <v>1</v>
      </c>
    </row>
    <row r="110" spans="2:14" ht="15" customHeight="1">
      <c r="E110" s="1077"/>
    </row>
    <row r="111" spans="2:14" ht="15" customHeight="1">
      <c r="E111" s="1084" t="s">
        <v>1996</v>
      </c>
      <c r="F111" s="1113" t="s">
        <v>1992</v>
      </c>
      <c r="G111" s="1114">
        <f>G29</f>
        <v>151.75</v>
      </c>
    </row>
    <row r="112" spans="2:14" ht="15" customHeight="1">
      <c r="E112" s="1084" t="s">
        <v>1944</v>
      </c>
      <c r="F112" s="1113" t="s">
        <v>1992</v>
      </c>
      <c r="G112" s="1124">
        <v>25000</v>
      </c>
    </row>
    <row r="113" spans="2:9" ht="15" customHeight="1">
      <c r="E113" s="1118" t="s">
        <v>1963</v>
      </c>
      <c r="F113" s="1046"/>
      <c r="G113" s="1123">
        <f>G109*G112*G96</f>
        <v>3793750</v>
      </c>
    </row>
    <row r="114" spans="2:9" ht="15" customHeight="1">
      <c r="C114" s="1077"/>
      <c r="E114" s="1077"/>
    </row>
    <row r="115" spans="2:9" ht="15" customHeight="1">
      <c r="E115" s="1118" t="s">
        <v>2271</v>
      </c>
      <c r="G115" s="1123">
        <f>G113+G101+G97</f>
        <v>9256750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60" t="s">
        <v>2226</v>
      </c>
      <c r="D119" s="2660"/>
      <c r="E119" s="2660"/>
      <c r="F119" s="2660"/>
    </row>
    <row r="120" spans="2:9" ht="15" customHeight="1">
      <c r="C120" s="2660"/>
      <c r="D120" s="2660"/>
      <c r="E120" s="2660"/>
      <c r="F120" s="2660"/>
      <c r="G120" s="1043"/>
    </row>
    <row r="121" spans="2:9" ht="15" customHeight="1"/>
    <row r="122" spans="2:9" ht="15" customHeight="1">
      <c r="C122" s="1044" t="s">
        <v>2228</v>
      </c>
      <c r="G122" s="2662"/>
      <c r="H122" s="2662"/>
    </row>
    <row r="123" spans="2:9" ht="15" customHeight="1">
      <c r="G123" s="2662"/>
      <c r="H123" s="2662"/>
    </row>
    <row r="124" spans="2:9" ht="15" customHeight="1">
      <c r="G124" s="2663"/>
      <c r="H124" s="2663"/>
    </row>
    <row r="125" spans="2:9" ht="15" customHeight="1">
      <c r="G125" s="1160"/>
      <c r="H125" s="1160"/>
    </row>
    <row r="126" spans="2:9" ht="15" customHeight="1">
      <c r="B126" s="1066" t="s">
        <v>2001</v>
      </c>
      <c r="C126" s="1067"/>
      <c r="D126" s="1067"/>
      <c r="E126" s="1067"/>
      <c r="F126" s="1067"/>
      <c r="G126" s="1067"/>
      <c r="H126" s="1067"/>
      <c r="I126" s="1068"/>
    </row>
    <row r="128" spans="2:9">
      <c r="E128" s="1084" t="s">
        <v>582</v>
      </c>
      <c r="G128" s="1044" t="str">
        <f>IF(Application!T189="","",Application!T189)</f>
        <v>Marin</v>
      </c>
    </row>
    <row r="129" spans="2:9">
      <c r="E129" s="1084"/>
      <c r="G129" s="1078"/>
    </row>
    <row r="130" spans="2:9">
      <c r="E130" s="1084" t="str">
        <f>"2-Bedroom "&amp;G128&amp;" County Basis Limit"</f>
        <v>2-Bedroom Marin County Basis Limit</v>
      </c>
      <c r="G130" s="1078">
        <f>Application!R988</f>
        <v>534400</v>
      </c>
    </row>
    <row r="131" spans="2:9">
      <c r="E131" s="1084" t="s">
        <v>2000</v>
      </c>
      <c r="G131" s="1078">
        <f>MEDIAN((Application!CU160:CU217))</f>
        <v>489600</v>
      </c>
    </row>
    <row r="132" spans="2:9">
      <c r="D132" s="1046"/>
      <c r="E132" s="1118" t="s">
        <v>2002</v>
      </c>
      <c r="F132" s="1134"/>
      <c r="G132" s="1135">
        <f>((G130-G131)/G131)*0.25</f>
        <v>2.2875816993464051E-2</v>
      </c>
      <c r="H132" s="1042"/>
      <c r="I132" s="1042"/>
    </row>
    <row r="133" spans="2:9">
      <c r="D133" s="1045"/>
      <c r="E133" s="1045"/>
    </row>
    <row r="134" spans="2:9">
      <c r="B134" s="1066" t="s">
        <v>2272</v>
      </c>
      <c r="C134" s="1067"/>
      <c r="D134" s="1067"/>
      <c r="E134" s="1067"/>
      <c r="F134" s="1067"/>
      <c r="G134" s="1067"/>
      <c r="H134" s="1067"/>
      <c r="I134" s="1068"/>
    </row>
    <row r="136" spans="2:9">
      <c r="E136" s="1084" t="s">
        <v>2258</v>
      </c>
      <c r="G136" s="1044" t="b">
        <f>G37</f>
        <v>0</v>
      </c>
    </row>
    <row r="137" spans="2:9">
      <c r="E137" s="1084" t="s">
        <v>2273</v>
      </c>
      <c r="G137" s="1044" t="b">
        <f>OR('Points System'!B52="Yes", 'Points System'!B56="Yes",'Points System'!B58="Yes")</f>
        <v>0</v>
      </c>
    </row>
    <row r="138" spans="2:9">
      <c r="C138" s="2655" t="s">
        <v>2274</v>
      </c>
      <c r="D138" s="2655"/>
      <c r="E138" s="2655"/>
      <c r="F138" s="2655"/>
    </row>
    <row r="139" spans="2:9">
      <c r="B139" s="1045"/>
      <c r="C139" s="2655"/>
      <c r="D139" s="2655"/>
      <c r="E139" s="2655"/>
      <c r="F139" s="2655"/>
      <c r="G139" s="1043"/>
    </row>
    <row r="140" spans="2:9">
      <c r="B140" s="1045"/>
      <c r="C140" s="1045"/>
      <c r="D140" s="1045"/>
      <c r="E140" s="1045"/>
      <c r="F140" s="1045"/>
    </row>
    <row r="141" spans="2:9" ht="14.25" customHeight="1">
      <c r="E141" s="1084" t="s">
        <v>2276</v>
      </c>
      <c r="G141" s="1169"/>
    </row>
    <row r="143" spans="2:9">
      <c r="E143" s="1084" t="s">
        <v>2278</v>
      </c>
      <c r="G143" s="1168">
        <f>IF(I9=0,0,G141/I9)</f>
        <v>0</v>
      </c>
    </row>
    <row r="144" spans="2:9">
      <c r="E144" s="1084" t="s">
        <v>2275</v>
      </c>
      <c r="G144" s="1166">
        <f>I9*0.15</f>
        <v>2721150</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6"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B4" sqref="B4"/>
    </sheetView>
  </sheetViews>
  <sheetFormatPr baseColWidth="10" defaultColWidth="9.1640625" defaultRowHeight="14"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1640625" style="304"/>
  </cols>
  <sheetData>
    <row r="1" spans="1:12">
      <c r="A1" s="2690" t="s">
        <v>909</v>
      </c>
      <c r="B1" s="2690"/>
      <c r="C1" s="2690"/>
      <c r="D1" s="2690"/>
      <c r="E1" s="2690"/>
      <c r="F1" s="2690"/>
      <c r="G1" s="2690"/>
      <c r="H1" s="2690"/>
      <c r="I1" s="2690"/>
      <c r="J1" s="2690"/>
      <c r="K1" s="204"/>
      <c r="L1" s="204"/>
    </row>
    <row r="2" spans="1:12">
      <c r="A2" s="210"/>
      <c r="B2" s="210"/>
      <c r="C2" s="210"/>
      <c r="D2" s="210"/>
      <c r="E2" s="210"/>
      <c r="F2" s="210"/>
      <c r="G2" s="210"/>
      <c r="H2" s="210"/>
      <c r="I2" s="210"/>
      <c r="J2" s="210"/>
    </row>
    <row r="3" spans="1:12" ht="76">
      <c r="A3" s="426" t="s">
        <v>910</v>
      </c>
      <c r="B3" s="426" t="s">
        <v>2253</v>
      </c>
      <c r="C3" s="426" t="s">
        <v>2254</v>
      </c>
      <c r="D3" s="1146" t="s">
        <v>2255</v>
      </c>
      <c r="E3" s="204"/>
      <c r="F3" s="1146" t="s">
        <v>911</v>
      </c>
      <c r="G3" s="426" t="s">
        <v>912</v>
      </c>
      <c r="H3" s="427"/>
      <c r="I3" s="426" t="s">
        <v>913</v>
      </c>
      <c r="J3" s="426" t="s">
        <v>914</v>
      </c>
      <c r="K3" s="204"/>
      <c r="L3" s="305"/>
    </row>
    <row r="4" spans="1:12">
      <c r="A4" s="428" t="str">
        <f>Application!B718</f>
        <v>1 Bedroom</v>
      </c>
      <c r="B4" s="1082">
        <f>Application!G718</f>
        <v>5</v>
      </c>
      <c r="C4" s="1162"/>
      <c r="D4" s="428">
        <f>Application!O718</f>
        <v>1063</v>
      </c>
      <c r="E4" s="429"/>
      <c r="F4" s="1083"/>
      <c r="G4" s="428">
        <f>F4*B4</f>
        <v>0</v>
      </c>
      <c r="H4" s="429"/>
      <c r="I4" s="428" t="str">
        <f t="shared" ref="I4:I27" si="0">IF(F4=0,"",(F4-D4))</f>
        <v/>
      </c>
      <c r="J4" s="428" t="str">
        <f t="shared" ref="J4:J27" si="1">IF(F4=0,"",(I4*B4))</f>
        <v/>
      </c>
      <c r="K4" s="204"/>
      <c r="L4" s="305"/>
    </row>
    <row r="5" spans="1:12">
      <c r="A5" s="428" t="str">
        <f>Application!B719</f>
        <v>2 Bedrooms</v>
      </c>
      <c r="B5" s="1082">
        <f>Application!G719</f>
        <v>6</v>
      </c>
      <c r="C5" s="1162"/>
      <c r="D5" s="428">
        <f>Application!O719</f>
        <v>1225</v>
      </c>
      <c r="E5" s="429"/>
      <c r="F5" s="1083"/>
      <c r="G5" s="428">
        <f t="shared" ref="G5:G38" si="2">F5*B5</f>
        <v>0</v>
      </c>
      <c r="H5" s="429"/>
      <c r="I5" s="428" t="str">
        <f t="shared" si="0"/>
        <v/>
      </c>
      <c r="J5" s="428" t="str">
        <f t="shared" si="1"/>
        <v/>
      </c>
      <c r="K5" s="204"/>
      <c r="L5" s="305"/>
    </row>
    <row r="6" spans="1:12">
      <c r="A6" s="428" t="str">
        <f>Application!B720</f>
        <v>3 Bedrooms</v>
      </c>
      <c r="B6" s="1082">
        <f>Application!G720</f>
        <v>3</v>
      </c>
      <c r="C6" s="1162"/>
      <c r="D6" s="428">
        <f>Application!O720</f>
        <v>1465</v>
      </c>
      <c r="E6" s="429"/>
      <c r="F6" s="1083"/>
      <c r="G6" s="428">
        <f t="shared" si="2"/>
        <v>0</v>
      </c>
      <c r="H6" s="429"/>
      <c r="I6" s="428" t="str">
        <f t="shared" si="0"/>
        <v/>
      </c>
      <c r="J6" s="428" t="str">
        <f t="shared" si="1"/>
        <v/>
      </c>
      <c r="K6" s="204"/>
      <c r="L6" s="305"/>
    </row>
    <row r="7" spans="1:12">
      <c r="A7" s="428" t="str">
        <f>Application!B721</f>
        <v>1 Bedroom</v>
      </c>
      <c r="B7" s="1082">
        <f>Application!G721</f>
        <v>19</v>
      </c>
      <c r="C7" s="1162"/>
      <c r="D7" s="428">
        <f>Application!O721</f>
        <v>1788</v>
      </c>
      <c r="E7" s="429"/>
      <c r="F7" s="1083"/>
      <c r="G7" s="428">
        <f t="shared" si="2"/>
        <v>0</v>
      </c>
      <c r="H7" s="429"/>
      <c r="I7" s="428" t="str">
        <f t="shared" si="0"/>
        <v/>
      </c>
      <c r="J7" s="428" t="str">
        <f t="shared" si="1"/>
        <v/>
      </c>
      <c r="K7" s="204"/>
      <c r="L7" s="305"/>
    </row>
    <row r="8" spans="1:12">
      <c r="A8" s="428" t="str">
        <f>Application!B722</f>
        <v>2 Bedrooms</v>
      </c>
      <c r="B8" s="1082">
        <f>Application!G722</f>
        <v>19</v>
      </c>
      <c r="C8" s="1162"/>
      <c r="D8" s="428">
        <f>Application!O722</f>
        <v>2096</v>
      </c>
      <c r="E8" s="429"/>
      <c r="F8" s="1083"/>
      <c r="G8" s="428">
        <f t="shared" si="2"/>
        <v>0</v>
      </c>
      <c r="H8" s="429"/>
      <c r="I8" s="428" t="str">
        <f t="shared" si="0"/>
        <v/>
      </c>
      <c r="J8" s="428" t="str">
        <f t="shared" si="1"/>
        <v/>
      </c>
      <c r="K8" s="204"/>
      <c r="L8" s="305"/>
    </row>
    <row r="9" spans="1:12">
      <c r="A9" s="428" t="str">
        <f>Application!B723</f>
        <v>3 Bedrooms</v>
      </c>
      <c r="B9" s="1082">
        <f>Application!G723</f>
        <v>11</v>
      </c>
      <c r="C9" s="1162"/>
      <c r="D9" s="428">
        <f>Application!O723</f>
        <v>2471</v>
      </c>
      <c r="E9" s="429"/>
      <c r="F9" s="1083"/>
      <c r="G9" s="428">
        <f t="shared" si="2"/>
        <v>0</v>
      </c>
      <c r="H9" s="429"/>
      <c r="I9" s="428" t="str">
        <f t="shared" si="0"/>
        <v/>
      </c>
      <c r="J9" s="428" t="str">
        <f t="shared" si="1"/>
        <v/>
      </c>
      <c r="K9" s="204"/>
      <c r="L9" s="305"/>
    </row>
    <row r="10" spans="1:12">
      <c r="A10" s="428" t="str">
        <f>Application!B724</f>
        <v>1 Bedroom</v>
      </c>
      <c r="B10" s="1082">
        <f>Application!G724</f>
        <v>21</v>
      </c>
      <c r="C10" s="1162"/>
      <c r="D10" s="428">
        <f>Application!O724</f>
        <v>2514</v>
      </c>
      <c r="E10" s="429"/>
      <c r="F10" s="1083"/>
      <c r="G10" s="428">
        <f t="shared" si="2"/>
        <v>0</v>
      </c>
      <c r="H10" s="429"/>
      <c r="I10" s="428" t="str">
        <f t="shared" si="0"/>
        <v/>
      </c>
      <c r="J10" s="428" t="str">
        <f t="shared" si="1"/>
        <v/>
      </c>
      <c r="K10" s="204"/>
      <c r="L10" s="305"/>
    </row>
    <row r="11" spans="1:12">
      <c r="A11" s="428" t="str">
        <f>Application!B725</f>
        <v>2 Bedrooms</v>
      </c>
      <c r="B11" s="1082">
        <f>Application!G725</f>
        <v>22</v>
      </c>
      <c r="C11" s="1162"/>
      <c r="D11" s="428">
        <f>Application!O725</f>
        <v>2966</v>
      </c>
      <c r="E11" s="429"/>
      <c r="F11" s="1083"/>
      <c r="G11" s="428">
        <f t="shared" si="2"/>
        <v>0</v>
      </c>
      <c r="H11" s="429"/>
      <c r="I11" s="428" t="str">
        <f t="shared" si="0"/>
        <v/>
      </c>
      <c r="J11" s="428" t="str">
        <f t="shared" si="1"/>
        <v/>
      </c>
      <c r="K11" s="204"/>
      <c r="L11" s="305"/>
    </row>
    <row r="12" spans="1:12">
      <c r="A12" s="428" t="str">
        <f>Application!B726</f>
        <v>3 Bedrooms</v>
      </c>
      <c r="B12" s="1082">
        <f>Application!G726</f>
        <v>18</v>
      </c>
      <c r="C12" s="1162"/>
      <c r="D12" s="428">
        <f>Application!O726</f>
        <v>3477</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Application!O753</f>
        <v>298669</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2256</v>
      </c>
    </row>
    <row r="43" spans="1:12">
      <c r="A43" s="2691" t="s">
        <v>2491</v>
      </c>
      <c r="B43" s="2691"/>
      <c r="C43" s="2691"/>
      <c r="D43" s="2691"/>
      <c r="E43" s="2691"/>
      <c r="F43" s="2691"/>
      <c r="G43" s="2691"/>
      <c r="H43" s="2691"/>
      <c r="I43" s="2691"/>
      <c r="J43" s="2691"/>
    </row>
    <row r="44" spans="1:12">
      <c r="A44" s="2691"/>
      <c r="B44" s="2691"/>
      <c r="C44" s="2691"/>
      <c r="D44" s="2691"/>
      <c r="E44" s="2691"/>
      <c r="F44" s="2691"/>
      <c r="G44" s="2691"/>
      <c r="H44" s="2691"/>
      <c r="I44" s="2691"/>
      <c r="J44" s="2691"/>
    </row>
    <row r="45" spans="1:12">
      <c r="A45" s="2691" t="s">
        <v>2257</v>
      </c>
      <c r="B45" s="2691"/>
      <c r="C45" s="2691"/>
      <c r="D45" s="2691"/>
      <c r="E45" s="2691"/>
      <c r="F45" s="2691"/>
      <c r="G45" s="2691"/>
      <c r="H45" s="2691"/>
      <c r="I45" s="2691"/>
      <c r="J45" s="2691"/>
    </row>
    <row r="46" spans="1:12">
      <c r="A46" s="2691"/>
      <c r="B46" s="2691"/>
      <c r="C46" s="2691"/>
      <c r="D46" s="2691"/>
      <c r="E46" s="2691"/>
      <c r="F46" s="2691"/>
      <c r="G46" s="2691"/>
      <c r="H46" s="2691"/>
      <c r="I46" s="2691"/>
      <c r="J46" s="2691"/>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27" workbookViewId="0">
      <selection activeCell="G32" sqref="G32"/>
    </sheetView>
  </sheetViews>
  <sheetFormatPr baseColWidth="10" defaultColWidth="0" defaultRowHeight="13" zeroHeight="1"/>
  <cols>
    <col min="1" max="1" width="3.6640625" customWidth="1"/>
    <col min="2" max="2" width="30.5" customWidth="1"/>
    <col min="3" max="3" width="9.164062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211" t="s">
        <v>2093</v>
      </c>
      <c r="B1" s="211"/>
    </row>
    <row r="2" spans="1:34"/>
    <row r="3" spans="1:34" ht="16">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
      <c r="A4" s="219" t="s">
        <v>837</v>
      </c>
      <c r="C4" s="237">
        <v>1.0249999999999999</v>
      </c>
      <c r="E4" s="219">
        <f>Application!Y801</f>
        <v>3619728</v>
      </c>
      <c r="G4" s="219">
        <f>E4*$C$4</f>
        <v>3710221.1999999997</v>
      </c>
      <c r="I4" s="219">
        <f>G4*$C$4</f>
        <v>3802976.7299999995</v>
      </c>
      <c r="K4" s="219">
        <f>I4*$C$4</f>
        <v>3898051.1482499992</v>
      </c>
      <c r="M4" s="219">
        <f>K4*$C$4</f>
        <v>3995502.4269562489</v>
      </c>
      <c r="O4" s="219">
        <f>M4*$C$4</f>
        <v>4095389.9876301549</v>
      </c>
      <c r="Q4" s="219">
        <f>O4*$C$4</f>
        <v>4197774.7373209083</v>
      </c>
      <c r="S4" s="219">
        <f>Q4*$C$4</f>
        <v>4302719.1057539303</v>
      </c>
      <c r="U4" s="219">
        <f>S4*$C$4</f>
        <v>4410287.0833977778</v>
      </c>
      <c r="W4" s="219">
        <f>U4*$C$4</f>
        <v>4520544.260482722</v>
      </c>
      <c r="Y4" s="219">
        <f>W4*$C$4</f>
        <v>4633557.8669947898</v>
      </c>
      <c r="AA4" s="219">
        <f>Y4*$C$4</f>
        <v>4749396.8136696592</v>
      </c>
      <c r="AC4" s="219">
        <f>AA4*$C$4</f>
        <v>4868131.7340114005</v>
      </c>
      <c r="AE4" s="219">
        <f>AC4*$C$4</f>
        <v>4989835.0273616854</v>
      </c>
      <c r="AG4" s="219">
        <f>AE4*$C$4</f>
        <v>5114580.9030457269</v>
      </c>
    </row>
    <row r="5" spans="1:34" s="210" customFormat="1" ht="14">
      <c r="B5" s="210" t="s">
        <v>838</v>
      </c>
      <c r="C5" s="238">
        <f>IF(Application!$D$211="Special Needs",(((0.1*Application!$T$212)+(0.05*(1-Application!$T$212)))),0.05)</f>
        <v>0.05</v>
      </c>
      <c r="E5" s="221">
        <f>-E4*$C$5</f>
        <v>-180986.40000000002</v>
      </c>
      <c r="F5" s="221"/>
      <c r="G5" s="221">
        <f>-G4*$C$5</f>
        <v>-185511.06</v>
      </c>
      <c r="H5" s="221"/>
      <c r="I5" s="221">
        <f>-I4*$C$5</f>
        <v>-190148.83649999998</v>
      </c>
      <c r="J5" s="221"/>
      <c r="K5" s="221">
        <f>-K4*$C$5</f>
        <v>-194902.55741249997</v>
      </c>
      <c r="L5" s="221"/>
      <c r="M5" s="221">
        <f>-M4*$C$5</f>
        <v>-199775.12134781247</v>
      </c>
      <c r="N5" s="221"/>
      <c r="O5" s="221">
        <f>-O4*$C$5</f>
        <v>-204769.49938150775</v>
      </c>
      <c r="P5" s="221"/>
      <c r="Q5" s="221">
        <f>-Q4*$C$5</f>
        <v>-209888.73686604542</v>
      </c>
      <c r="R5" s="221"/>
      <c r="S5" s="221">
        <f>-S4*$C$5</f>
        <v>-215135.95528769653</v>
      </c>
      <c r="T5" s="221"/>
      <c r="U5" s="221">
        <f>-U4*$C$5</f>
        <v>-220514.35416988889</v>
      </c>
      <c r="V5" s="221"/>
      <c r="W5" s="221">
        <f>-W4*$C$5</f>
        <v>-226027.21302413612</v>
      </c>
      <c r="X5" s="221"/>
      <c r="Y5" s="221">
        <f>-Y4*$C$5</f>
        <v>-231677.89334973949</v>
      </c>
      <c r="Z5" s="221"/>
      <c r="AA5" s="221">
        <f>-AA4*$C$5</f>
        <v>-237469.84068348297</v>
      </c>
      <c r="AB5" s="221"/>
      <c r="AC5" s="221">
        <f>-AC4*$C$5</f>
        <v>-243406.58670057004</v>
      </c>
      <c r="AD5" s="221"/>
      <c r="AE5" s="221">
        <f>-AE4*$C$5</f>
        <v>-249491.75136808428</v>
      </c>
      <c r="AF5" s="221"/>
      <c r="AG5" s="221">
        <f>-AG4*$C$5</f>
        <v>-255729.04515228636</v>
      </c>
    </row>
    <row r="6" spans="1:34" s="210" customFormat="1" ht="14">
      <c r="A6" s="210" t="s">
        <v>836</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
      <c r="A8" s="210" t="s">
        <v>287</v>
      </c>
      <c r="C8" s="237">
        <v>1.0249999999999999</v>
      </c>
      <c r="E8" s="222">
        <f>Application!Z817</f>
        <v>24000</v>
      </c>
      <c r="F8" s="222"/>
      <c r="G8" s="222">
        <f>E8*$C$8</f>
        <v>24599.999999999996</v>
      </c>
      <c r="H8" s="222"/>
      <c r="I8" s="222">
        <f>G8*$C$8</f>
        <v>25214.999999999993</v>
      </c>
      <c r="J8" s="222"/>
      <c r="K8" s="222">
        <f>I8*$C$8</f>
        <v>25845.374999999989</v>
      </c>
      <c r="L8" s="222"/>
      <c r="M8" s="222">
        <f>K8*$C$8</f>
        <v>26491.509374999987</v>
      </c>
      <c r="N8" s="222"/>
      <c r="O8" s="222">
        <f>M8*$C$8</f>
        <v>27153.797109374984</v>
      </c>
      <c r="P8" s="222"/>
      <c r="Q8" s="222">
        <f>O8*$C$8</f>
        <v>27832.642037109355</v>
      </c>
      <c r="R8" s="222"/>
      <c r="S8" s="222">
        <f>Q8*$C$8</f>
        <v>28528.458088037089</v>
      </c>
      <c r="T8" s="222"/>
      <c r="U8" s="222">
        <f>S8*$C$8</f>
        <v>29241.669540238014</v>
      </c>
      <c r="V8" s="222"/>
      <c r="W8" s="222">
        <f>U8*$C$8</f>
        <v>29972.711278743962</v>
      </c>
      <c r="X8" s="222"/>
      <c r="Y8" s="222">
        <f>W8*$C$8</f>
        <v>30722.029060712557</v>
      </c>
      <c r="Z8" s="222"/>
      <c r="AA8" s="222">
        <f>Y8*$C$8</f>
        <v>31490.079787230366</v>
      </c>
      <c r="AB8" s="222"/>
      <c r="AC8" s="222">
        <f>AA8*$C$8</f>
        <v>32277.331781911122</v>
      </c>
      <c r="AD8" s="222"/>
      <c r="AE8" s="222">
        <f>AC8*$C$8</f>
        <v>33084.265076458898</v>
      </c>
      <c r="AF8" s="222"/>
      <c r="AG8" s="222">
        <f>AE8*$C$8</f>
        <v>33911.371703370365</v>
      </c>
    </row>
    <row r="9" spans="1:34" s="210" customFormat="1" ht="14">
      <c r="B9" s="210" t="s">
        <v>838</v>
      </c>
      <c r="C9" s="238">
        <f>IF(Application!$D$211="Special Needs",(((0.1*Application!$T$212)+(0.05*(1-Application!$T$212)))),0.05)</f>
        <v>0.05</v>
      </c>
      <c r="E9" s="221">
        <f>-E8*$C$9</f>
        <v>-1200</v>
      </c>
      <c r="F9" s="221"/>
      <c r="G9" s="221">
        <f>-G8*$C$9</f>
        <v>-1230</v>
      </c>
      <c r="H9" s="221"/>
      <c r="I9" s="221">
        <f>-I8*$C$9</f>
        <v>-1260.7499999999998</v>
      </c>
      <c r="J9" s="221"/>
      <c r="K9" s="221">
        <f>-K8*$C$9</f>
        <v>-1292.2687499999995</v>
      </c>
      <c r="L9" s="221"/>
      <c r="M9" s="221">
        <f>-M8*$C$9</f>
        <v>-1324.5754687499993</v>
      </c>
      <c r="N9" s="221"/>
      <c r="O9" s="221">
        <f>-O8*$C$9</f>
        <v>-1357.6898554687493</v>
      </c>
      <c r="P9" s="221"/>
      <c r="Q9" s="221">
        <f>-Q8*$C$9</f>
        <v>-1391.6321018554679</v>
      </c>
      <c r="R9" s="221"/>
      <c r="S9" s="221">
        <f>-S8*$C$9</f>
        <v>-1426.4229044018546</v>
      </c>
      <c r="T9" s="221"/>
      <c r="U9" s="221">
        <f>-U8*$C$9</f>
        <v>-1462.0834770119009</v>
      </c>
      <c r="V9" s="221"/>
      <c r="W9" s="221">
        <f>-W8*$C$9</f>
        <v>-1498.6355639371982</v>
      </c>
      <c r="X9" s="221"/>
      <c r="Y9" s="221">
        <f>-Y8*$C$9</f>
        <v>-1536.1014530356279</v>
      </c>
      <c r="Z9" s="221"/>
      <c r="AA9" s="221">
        <f>-AA8*$C$9</f>
        <v>-1574.5039893615185</v>
      </c>
      <c r="AB9" s="221"/>
      <c r="AC9" s="221">
        <f>-AC8*$C$9</f>
        <v>-1613.8665890955563</v>
      </c>
      <c r="AD9" s="221"/>
      <c r="AE9" s="221">
        <f>-AE8*$C$9</f>
        <v>-1654.213253822945</v>
      </c>
      <c r="AF9" s="221"/>
      <c r="AG9" s="221">
        <f>-AG8*$C$9</f>
        <v>-1695.5685851685184</v>
      </c>
    </row>
    <row r="10" spans="1:34" s="210" customFormat="1" ht="14">
      <c r="A10" s="1143" t="s">
        <v>2222</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4">
      <c r="A11" s="223" t="s">
        <v>859</v>
      </c>
      <c r="C11" s="216"/>
      <c r="E11" s="223">
        <f>SUM(E4:E10)</f>
        <v>3461541.6</v>
      </c>
      <c r="G11" s="223">
        <f>SUM(G4:G10)</f>
        <v>3548080.1399999997</v>
      </c>
      <c r="I11" s="223">
        <f>SUM(I4:I10)</f>
        <v>3636782.1434999993</v>
      </c>
      <c r="K11" s="223">
        <f>SUM(K4:K10)</f>
        <v>3727701.6970874993</v>
      </c>
      <c r="M11" s="223">
        <f>SUM(M4:M10)</f>
        <v>3820894.2395146862</v>
      </c>
      <c r="O11" s="223">
        <f>SUM(O4:O10)</f>
        <v>3916416.595502553</v>
      </c>
      <c r="Q11" s="223">
        <f>SUM(Q4:Q10)</f>
        <v>4014327.0103901173</v>
      </c>
      <c r="S11" s="223">
        <f>SUM(S4:S10)</f>
        <v>4114685.185649869</v>
      </c>
      <c r="U11" s="223">
        <f>SUM(U4:U10)</f>
        <v>4217552.3152911151</v>
      </c>
      <c r="W11" s="223">
        <f>SUM(W4:W10)</f>
        <v>4322991.1231733933</v>
      </c>
      <c r="Y11" s="223">
        <f>SUM(Y4:Y10)</f>
        <v>4431065.901252727</v>
      </c>
      <c r="AA11" s="223">
        <f>SUM(AA4:AA10)</f>
        <v>4541842.5487840455</v>
      </c>
      <c r="AC11" s="223">
        <f>SUM(AC4:AC10)</f>
        <v>4655388.6125036459</v>
      </c>
      <c r="AE11" s="223">
        <f>SUM(AE4:AE10)</f>
        <v>4771773.3278162368</v>
      </c>
      <c r="AG11" s="223">
        <f>SUM(AG4:AG10)</f>
        <v>4891067.6610116428</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6">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841</v>
      </c>
      <c r="C15" s="176"/>
      <c r="E15" s="219">
        <f>Application!W847</f>
        <v>63600</v>
      </c>
      <c r="G15" s="219">
        <f>E15*$C$14</f>
        <v>65826</v>
      </c>
      <c r="I15" s="219">
        <f>G15*$C$14</f>
        <v>68129.909999999989</v>
      </c>
      <c r="K15" s="219">
        <f>I15*$C$14</f>
        <v>70514.456849999988</v>
      </c>
      <c r="M15" s="219">
        <f>K15*$C$14</f>
        <v>72982.462839749976</v>
      </c>
      <c r="O15" s="219">
        <f>M15*$C$14</f>
        <v>75536.84903914122</v>
      </c>
      <c r="Q15" s="219">
        <f>O15*$C$14</f>
        <v>78180.638755511158</v>
      </c>
      <c r="S15" s="219">
        <f>Q15*$C$14</f>
        <v>80916.961111954035</v>
      </c>
      <c r="U15" s="219">
        <f>S15*$C$14</f>
        <v>83749.054750872427</v>
      </c>
      <c r="W15" s="219">
        <f>U15*$C$14</f>
        <v>86680.271667152949</v>
      </c>
      <c r="Y15" s="219">
        <f>W15*$C$14</f>
        <v>89714.081175503292</v>
      </c>
      <c r="AA15" s="219">
        <f>Y15*$C$14</f>
        <v>92854.0740166459</v>
      </c>
      <c r="AC15" s="219">
        <f>AA15*$C$14</f>
        <v>96103.966607228504</v>
      </c>
      <c r="AE15" s="219">
        <f>AC15*$C$14</f>
        <v>99467.605438481492</v>
      </c>
      <c r="AG15" s="219">
        <f>AE15*$C$14</f>
        <v>102948.97162882834</v>
      </c>
    </row>
    <row r="16" spans="1:34" s="210" customFormat="1" ht="14">
      <c r="A16" s="210" t="s">
        <v>343</v>
      </c>
      <c r="C16" s="233"/>
      <c r="E16" s="222">
        <f>Application!W849</f>
        <v>111398</v>
      </c>
      <c r="F16" s="222"/>
      <c r="G16" s="222">
        <f t="shared" ref="G16:AG21" si="0">E16*$C$14</f>
        <v>115296.93</v>
      </c>
      <c r="H16" s="222"/>
      <c r="I16" s="222">
        <f t="shared" si="0"/>
        <v>119332.32254999998</v>
      </c>
      <c r="J16" s="222"/>
      <c r="K16" s="222">
        <f t="shared" si="0"/>
        <v>123508.95383924997</v>
      </c>
      <c r="L16" s="222"/>
      <c r="M16" s="222">
        <f t="shared" si="0"/>
        <v>127831.76722362371</v>
      </c>
      <c r="N16" s="222"/>
      <c r="O16" s="222">
        <f t="shared" si="0"/>
        <v>132305.87907645054</v>
      </c>
      <c r="P16" s="222"/>
      <c r="Q16" s="222">
        <f t="shared" si="0"/>
        <v>136936.58484412631</v>
      </c>
      <c r="R16" s="222"/>
      <c r="S16" s="222">
        <f t="shared" si="0"/>
        <v>141729.36531367071</v>
      </c>
      <c r="T16" s="222"/>
      <c r="U16" s="222">
        <f t="shared" si="0"/>
        <v>146689.89309964917</v>
      </c>
      <c r="V16" s="222"/>
      <c r="W16" s="222">
        <f t="shared" si="0"/>
        <v>151824.03935813688</v>
      </c>
      <c r="X16" s="222"/>
      <c r="Y16" s="222">
        <f t="shared" si="0"/>
        <v>157137.88073567167</v>
      </c>
      <c r="Z16" s="222"/>
      <c r="AA16" s="222">
        <f t="shared" si="0"/>
        <v>162637.70656142017</v>
      </c>
      <c r="AB16" s="222"/>
      <c r="AC16" s="222">
        <f t="shared" si="0"/>
        <v>168330.02629106987</v>
      </c>
      <c r="AD16" s="222"/>
      <c r="AE16" s="222">
        <f t="shared" si="0"/>
        <v>174221.5772112573</v>
      </c>
      <c r="AF16" s="222"/>
      <c r="AG16" s="222">
        <f t="shared" si="0"/>
        <v>180319.33241365128</v>
      </c>
    </row>
    <row r="17" spans="1:33" s="210" customFormat="1" ht="14">
      <c r="A17" s="210" t="s">
        <v>561</v>
      </c>
      <c r="C17" s="233"/>
      <c r="E17" s="222">
        <f>Application!W855</f>
        <v>84500</v>
      </c>
      <c r="F17" s="222"/>
      <c r="G17" s="222">
        <f t="shared" si="0"/>
        <v>87457.5</v>
      </c>
      <c r="H17" s="222"/>
      <c r="I17" s="222">
        <f t="shared" si="0"/>
        <v>90518.512499999997</v>
      </c>
      <c r="J17" s="222"/>
      <c r="K17" s="222">
        <f t="shared" si="0"/>
        <v>93686.660437499988</v>
      </c>
      <c r="L17" s="222"/>
      <c r="M17" s="222">
        <f t="shared" si="0"/>
        <v>96965.693552812474</v>
      </c>
      <c r="N17" s="222"/>
      <c r="O17" s="222">
        <f t="shared" si="0"/>
        <v>100359.49282716091</v>
      </c>
      <c r="P17" s="222"/>
      <c r="Q17" s="222">
        <f t="shared" si="0"/>
        <v>103872.07507611153</v>
      </c>
      <c r="R17" s="222"/>
      <c r="S17" s="222">
        <f t="shared" si="0"/>
        <v>107507.59770377543</v>
      </c>
      <c r="T17" s="222"/>
      <c r="U17" s="222">
        <f t="shared" si="0"/>
        <v>111270.36362340757</v>
      </c>
      <c r="V17" s="222"/>
      <c r="W17" s="222">
        <f t="shared" si="0"/>
        <v>115164.82635022682</v>
      </c>
      <c r="X17" s="222"/>
      <c r="Y17" s="222">
        <f t="shared" si="0"/>
        <v>119195.59527248476</v>
      </c>
      <c r="Z17" s="222"/>
      <c r="AA17" s="222">
        <f t="shared" si="0"/>
        <v>123367.44110702172</v>
      </c>
      <c r="AB17" s="222"/>
      <c r="AC17" s="222">
        <f t="shared" si="0"/>
        <v>127685.30154576746</v>
      </c>
      <c r="AD17" s="222"/>
      <c r="AE17" s="222">
        <f t="shared" si="0"/>
        <v>132154.28709986931</v>
      </c>
      <c r="AF17" s="222"/>
      <c r="AG17" s="222">
        <f t="shared" si="0"/>
        <v>136779.68714836473</v>
      </c>
    </row>
    <row r="18" spans="1:33" s="210" customFormat="1" ht="14">
      <c r="A18" s="210" t="s">
        <v>842</v>
      </c>
      <c r="C18" s="233"/>
      <c r="E18" s="222">
        <f>Application!W862</f>
        <v>225025</v>
      </c>
      <c r="F18" s="222"/>
      <c r="G18" s="222">
        <f t="shared" si="0"/>
        <v>232900.87499999997</v>
      </c>
      <c r="H18" s="222"/>
      <c r="I18" s="222">
        <f t="shared" si="0"/>
        <v>241052.40562499996</v>
      </c>
      <c r="J18" s="222"/>
      <c r="K18" s="222">
        <f t="shared" si="0"/>
        <v>249489.23982187494</v>
      </c>
      <c r="L18" s="222"/>
      <c r="M18" s="222">
        <f t="shared" si="0"/>
        <v>258221.36321564054</v>
      </c>
      <c r="N18" s="222"/>
      <c r="O18" s="222">
        <f t="shared" si="0"/>
        <v>267259.11092818796</v>
      </c>
      <c r="P18" s="222"/>
      <c r="Q18" s="222">
        <f t="shared" si="0"/>
        <v>276613.17981067451</v>
      </c>
      <c r="R18" s="222"/>
      <c r="S18" s="222">
        <f t="shared" si="0"/>
        <v>286294.64110404812</v>
      </c>
      <c r="T18" s="222"/>
      <c r="U18" s="222">
        <f t="shared" si="0"/>
        <v>296314.95354268979</v>
      </c>
      <c r="V18" s="222"/>
      <c r="W18" s="222">
        <f t="shared" si="0"/>
        <v>306685.9769166839</v>
      </c>
      <c r="X18" s="222"/>
      <c r="Y18" s="222">
        <f t="shared" si="0"/>
        <v>317419.9861087678</v>
      </c>
      <c r="Z18" s="222"/>
      <c r="AA18" s="222">
        <f t="shared" si="0"/>
        <v>328529.68562257465</v>
      </c>
      <c r="AB18" s="222"/>
      <c r="AC18" s="222">
        <f t="shared" si="0"/>
        <v>340028.22461936472</v>
      </c>
      <c r="AD18" s="222"/>
      <c r="AE18" s="222">
        <f t="shared" si="0"/>
        <v>351929.21248104243</v>
      </c>
      <c r="AF18" s="222"/>
      <c r="AG18" s="222">
        <f t="shared" si="0"/>
        <v>364246.73491787887</v>
      </c>
    </row>
    <row r="19" spans="1:33" s="210" customFormat="1" ht="14">
      <c r="A19" s="210" t="s">
        <v>155</v>
      </c>
      <c r="C19" s="233"/>
      <c r="E19" s="222">
        <f>Application!W863</f>
        <v>107500</v>
      </c>
      <c r="F19" s="222"/>
      <c r="G19" s="222">
        <f t="shared" si="0"/>
        <v>111262.49999999999</v>
      </c>
      <c r="H19" s="222"/>
      <c r="I19" s="222">
        <f t="shared" si="0"/>
        <v>115156.68749999997</v>
      </c>
      <c r="J19" s="222"/>
      <c r="K19" s="222">
        <f t="shared" si="0"/>
        <v>119187.17156249996</v>
      </c>
      <c r="L19" s="222"/>
      <c r="M19" s="222">
        <f t="shared" si="0"/>
        <v>123358.72256718745</v>
      </c>
      <c r="N19" s="222"/>
      <c r="O19" s="222">
        <f t="shared" si="0"/>
        <v>127676.27785703899</v>
      </c>
      <c r="P19" s="222"/>
      <c r="Q19" s="222">
        <f t="shared" si="0"/>
        <v>132144.94758203535</v>
      </c>
      <c r="R19" s="222"/>
      <c r="S19" s="222">
        <f t="shared" si="0"/>
        <v>136770.02074740658</v>
      </c>
      <c r="T19" s="222"/>
      <c r="U19" s="222">
        <f t="shared" si="0"/>
        <v>141556.97147356579</v>
      </c>
      <c r="V19" s="222"/>
      <c r="W19" s="222">
        <f t="shared" si="0"/>
        <v>146511.46547514058</v>
      </c>
      <c r="X19" s="222"/>
      <c r="Y19" s="222">
        <f t="shared" si="0"/>
        <v>151639.36676677049</v>
      </c>
      <c r="Z19" s="222"/>
      <c r="AA19" s="222">
        <f t="shared" si="0"/>
        <v>156946.74460360745</v>
      </c>
      <c r="AB19" s="222"/>
      <c r="AC19" s="222">
        <f t="shared" si="0"/>
        <v>162439.8806647337</v>
      </c>
      <c r="AD19" s="222"/>
      <c r="AE19" s="222">
        <f t="shared" si="0"/>
        <v>168125.27648799936</v>
      </c>
      <c r="AF19" s="222"/>
      <c r="AG19" s="222">
        <f t="shared" si="0"/>
        <v>174009.66116507933</v>
      </c>
    </row>
    <row r="20" spans="1:33" s="210" customFormat="1" ht="14">
      <c r="A20" s="210" t="s">
        <v>389</v>
      </c>
      <c r="C20" s="233"/>
      <c r="E20" s="222">
        <f>Application!W872</f>
        <v>243625</v>
      </c>
      <c r="F20" s="222"/>
      <c r="G20" s="222">
        <f t="shared" si="0"/>
        <v>252151.87499999997</v>
      </c>
      <c r="H20" s="222"/>
      <c r="I20" s="222">
        <f t="shared" si="0"/>
        <v>260977.19062499996</v>
      </c>
      <c r="J20" s="222"/>
      <c r="K20" s="222">
        <f t="shared" si="0"/>
        <v>270111.39229687495</v>
      </c>
      <c r="L20" s="222"/>
      <c r="M20" s="222">
        <f t="shared" si="0"/>
        <v>279565.29102726554</v>
      </c>
      <c r="N20" s="222"/>
      <c r="O20" s="222">
        <f t="shared" si="0"/>
        <v>289350.07621321984</v>
      </c>
      <c r="P20" s="222"/>
      <c r="Q20" s="222">
        <f t="shared" si="0"/>
        <v>299477.32888068253</v>
      </c>
      <c r="R20" s="222"/>
      <c r="S20" s="222">
        <f t="shared" si="0"/>
        <v>309959.03539150639</v>
      </c>
      <c r="T20" s="222"/>
      <c r="U20" s="222">
        <f t="shared" si="0"/>
        <v>320807.60163020907</v>
      </c>
      <c r="V20" s="222"/>
      <c r="W20" s="222">
        <f t="shared" si="0"/>
        <v>332035.86768726638</v>
      </c>
      <c r="X20" s="222"/>
      <c r="Y20" s="222">
        <f t="shared" si="0"/>
        <v>343657.12305632065</v>
      </c>
      <c r="Z20" s="222"/>
      <c r="AA20" s="222">
        <f t="shared" si="0"/>
        <v>355685.12236329186</v>
      </c>
      <c r="AB20" s="222"/>
      <c r="AC20" s="222">
        <f t="shared" si="0"/>
        <v>368134.10164600704</v>
      </c>
      <c r="AD20" s="222"/>
      <c r="AE20" s="222">
        <f t="shared" si="0"/>
        <v>381018.79520361725</v>
      </c>
      <c r="AF20" s="222"/>
      <c r="AG20" s="222">
        <f t="shared" si="0"/>
        <v>394354.45303574385</v>
      </c>
    </row>
    <row r="21" spans="1:33" s="210" customFormat="1" ht="14">
      <c r="A21" s="226" t="s">
        <v>962</v>
      </c>
      <c r="B21" s="226"/>
      <c r="C21" s="233"/>
      <c r="E21" s="232">
        <f>Application!W879</f>
        <v>7500</v>
      </c>
      <c r="F21" s="222"/>
      <c r="G21" s="232">
        <f t="shared" si="0"/>
        <v>7762.4999999999991</v>
      </c>
      <c r="H21" s="222"/>
      <c r="I21" s="232">
        <f t="shared" si="0"/>
        <v>8034.1874999999982</v>
      </c>
      <c r="J21" s="222"/>
      <c r="K21" s="232">
        <f t="shared" si="0"/>
        <v>8315.3840624999975</v>
      </c>
      <c r="L21" s="222"/>
      <c r="M21" s="232">
        <f t="shared" si="0"/>
        <v>8606.4225046874963</v>
      </c>
      <c r="N21" s="222"/>
      <c r="O21" s="232">
        <f t="shared" si="0"/>
        <v>8907.6472923515576</v>
      </c>
      <c r="P21" s="222"/>
      <c r="Q21" s="232">
        <f t="shared" si="0"/>
        <v>9219.4149475838622</v>
      </c>
      <c r="R21" s="222"/>
      <c r="S21" s="232">
        <f t="shared" si="0"/>
        <v>9542.0944707492963</v>
      </c>
      <c r="T21" s="222"/>
      <c r="U21" s="232">
        <f t="shared" si="0"/>
        <v>9876.0677772255203</v>
      </c>
      <c r="V21" s="222"/>
      <c r="W21" s="232">
        <f t="shared" si="0"/>
        <v>10221.730149428413</v>
      </c>
      <c r="X21" s="222"/>
      <c r="Y21" s="232">
        <f t="shared" si="0"/>
        <v>10579.490704658407</v>
      </c>
      <c r="Z21" s="222"/>
      <c r="AA21" s="232">
        <f t="shared" si="0"/>
        <v>10949.77287932145</v>
      </c>
      <c r="AB21" s="222"/>
      <c r="AC21" s="232">
        <f t="shared" si="0"/>
        <v>11333.014930097699</v>
      </c>
      <c r="AD21" s="222"/>
      <c r="AE21" s="232">
        <f t="shared" si="0"/>
        <v>11729.670452651118</v>
      </c>
      <c r="AF21" s="222"/>
      <c r="AG21" s="232">
        <f t="shared" si="0"/>
        <v>12140.208918493907</v>
      </c>
    </row>
    <row r="22" spans="1:33" s="223" customFormat="1" ht="14">
      <c r="A22" s="223" t="s">
        <v>843</v>
      </c>
      <c r="C22" s="233"/>
      <c r="E22" s="223">
        <f>SUM(E15:E21)</f>
        <v>843148</v>
      </c>
      <c r="G22" s="223">
        <f>SUM(G15:G21)</f>
        <v>872658.17999999993</v>
      </c>
      <c r="I22" s="223">
        <f>SUM(I15:I21)</f>
        <v>903201.21629999985</v>
      </c>
      <c r="K22" s="223">
        <f>SUM(K15:K21)</f>
        <v>934813.25887049991</v>
      </c>
      <c r="M22" s="223">
        <f>SUM(M15:M21)</f>
        <v>967531.72293096711</v>
      </c>
      <c r="O22" s="223">
        <f>SUM(O15:O21)</f>
        <v>1001395.3332335511</v>
      </c>
      <c r="Q22" s="223">
        <f>SUM(Q15:Q21)</f>
        <v>1036444.1698967251</v>
      </c>
      <c r="S22" s="223">
        <f>SUM(S15:S21)</f>
        <v>1072719.7158431106</v>
      </c>
      <c r="U22" s="223">
        <f>SUM(U15:U21)</f>
        <v>1110264.9058976192</v>
      </c>
      <c r="W22" s="223">
        <f>SUM(W15:W21)</f>
        <v>1149124.1776040359</v>
      </c>
      <c r="Y22" s="223">
        <f>SUM(Y15:Y21)</f>
        <v>1189343.5238201772</v>
      </c>
      <c r="AA22" s="223">
        <f>SUM(AA15:AA21)</f>
        <v>1230970.5471538831</v>
      </c>
      <c r="AC22" s="223">
        <f>SUM(AC15:AC21)</f>
        <v>1274054.516304269</v>
      </c>
      <c r="AE22" s="223">
        <f>SUM(AE15:AE21)</f>
        <v>1318646.4243749182</v>
      </c>
      <c r="AG22" s="223">
        <f>SUM(AG15:AG21)</f>
        <v>1364799.0492280403</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1682</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845</v>
      </c>
      <c r="C27" s="237">
        <v>1.0349999999999999</v>
      </c>
      <c r="E27" s="222">
        <f>Application!AC888</f>
        <v>30000</v>
      </c>
      <c r="F27" s="222"/>
      <c r="G27" s="222">
        <f>E27*$C$27</f>
        <v>31049.999999999996</v>
      </c>
      <c r="H27" s="222"/>
      <c r="I27" s="222">
        <f>G27*$C$27</f>
        <v>32136.749999999993</v>
      </c>
      <c r="J27" s="222"/>
      <c r="K27" s="222">
        <f>I27*$C$27</f>
        <v>33261.53624999999</v>
      </c>
      <c r="L27" s="222"/>
      <c r="M27" s="222">
        <f>K27*$C$27</f>
        <v>34425.690018749985</v>
      </c>
      <c r="N27" s="222"/>
      <c r="O27" s="222">
        <f>M27*$C$27</f>
        <v>35630.58916940623</v>
      </c>
      <c r="P27" s="222"/>
      <c r="Q27" s="222">
        <f>O27*$C$27</f>
        <v>36877.659790335449</v>
      </c>
      <c r="R27" s="222"/>
      <c r="S27" s="222">
        <f>Q27*$C$27</f>
        <v>38168.377882997185</v>
      </c>
      <c r="T27" s="222"/>
      <c r="U27" s="222">
        <f>S27*$C$27</f>
        <v>39504.271108902081</v>
      </c>
      <c r="V27" s="222"/>
      <c r="W27" s="222">
        <f>U27*$C$27</f>
        <v>40886.920597713652</v>
      </c>
      <c r="X27" s="222"/>
      <c r="Y27" s="222">
        <f>W27*$C$27</f>
        <v>42317.962818633627</v>
      </c>
      <c r="Z27" s="222"/>
      <c r="AA27" s="222">
        <f>Y27*$C$27</f>
        <v>43799.0915172858</v>
      </c>
      <c r="AB27" s="222"/>
      <c r="AC27" s="222">
        <f>AA27*$C$27</f>
        <v>45332.059720390796</v>
      </c>
      <c r="AD27" s="222"/>
      <c r="AE27" s="222">
        <f>AC27*$C$27</f>
        <v>46918.681810604474</v>
      </c>
      <c r="AF27" s="222"/>
      <c r="AG27" s="222">
        <f>AE27*$C$27</f>
        <v>48560.835673975627</v>
      </c>
    </row>
    <row r="28" spans="1:33" s="210" customFormat="1" ht="14">
      <c r="A28" s="210" t="s">
        <v>846</v>
      </c>
      <c r="C28" s="237"/>
      <c r="E28" s="222">
        <f>Application!AC889</f>
        <v>31250</v>
      </c>
      <c r="F28" s="222"/>
      <c r="G28" s="222">
        <f>$E$28</f>
        <v>31250</v>
      </c>
      <c r="H28" s="222"/>
      <c r="I28" s="222">
        <f>$E$28</f>
        <v>31250</v>
      </c>
      <c r="J28" s="222"/>
      <c r="K28" s="222">
        <f>$E$28</f>
        <v>31250</v>
      </c>
      <c r="L28" s="222"/>
      <c r="M28" s="222">
        <f>$E$28</f>
        <v>31250</v>
      </c>
      <c r="N28" s="222"/>
      <c r="O28" s="222">
        <f>$E$28</f>
        <v>31250</v>
      </c>
      <c r="P28" s="222"/>
      <c r="Q28" s="222">
        <f>$E$28</f>
        <v>31250</v>
      </c>
      <c r="R28" s="222"/>
      <c r="S28" s="222">
        <f>$E$28</f>
        <v>31250</v>
      </c>
      <c r="T28" s="222"/>
      <c r="U28" s="222">
        <f>$E$28</f>
        <v>31250</v>
      </c>
      <c r="V28" s="222"/>
      <c r="W28" s="222">
        <f>$E$28</f>
        <v>31250</v>
      </c>
      <c r="X28" s="222"/>
      <c r="Y28" s="222">
        <f>$E$28</f>
        <v>31250</v>
      </c>
      <c r="Z28" s="222"/>
      <c r="AA28" s="222">
        <f>$E$28</f>
        <v>31250</v>
      </c>
      <c r="AB28" s="222"/>
      <c r="AC28" s="222">
        <f>$E$28</f>
        <v>31250</v>
      </c>
      <c r="AD28" s="222"/>
      <c r="AE28" s="222">
        <f>$E$28</f>
        <v>31250</v>
      </c>
      <c r="AF28" s="222"/>
      <c r="AG28" s="222">
        <f>$E$28</f>
        <v>31250</v>
      </c>
    </row>
    <row r="29" spans="1:33" s="210" customFormat="1" ht="14">
      <c r="A29" s="210" t="s">
        <v>1680</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
      <c r="A30" s="210" t="s">
        <v>844</v>
      </c>
      <c r="C30" s="237">
        <v>1.02</v>
      </c>
      <c r="E30" s="222">
        <f>Application!AC891</f>
        <v>24276</v>
      </c>
      <c r="F30" s="222"/>
      <c r="G30" s="222">
        <f>E30*$C$30</f>
        <v>24761.52</v>
      </c>
      <c r="H30" s="222"/>
      <c r="I30" s="222">
        <f>G30*$C$30</f>
        <v>25256.750400000001</v>
      </c>
      <c r="J30" s="222"/>
      <c r="K30" s="222">
        <f>I30*$C$30</f>
        <v>25761.885408000002</v>
      </c>
      <c r="L30" s="222"/>
      <c r="M30" s="222">
        <f>K30*$C$30</f>
        <v>26277.123116160001</v>
      </c>
      <c r="N30" s="222"/>
      <c r="O30" s="222">
        <f>M30*$C$30</f>
        <v>26802.6655784832</v>
      </c>
      <c r="P30" s="222"/>
      <c r="Q30" s="222">
        <f>O30*$C$30</f>
        <v>27338.718890052864</v>
      </c>
      <c r="R30" s="222"/>
      <c r="S30" s="222">
        <f>Q30*$C$30</f>
        <v>27885.493267853923</v>
      </c>
      <c r="T30" s="222"/>
      <c r="U30" s="222">
        <f>S30*$C$30</f>
        <v>28443.203133211002</v>
      </c>
      <c r="V30" s="222"/>
      <c r="W30" s="222">
        <f>U30*$C$30</f>
        <v>29012.067195875221</v>
      </c>
      <c r="X30" s="222"/>
      <c r="Y30" s="222">
        <f>W30*$C$30</f>
        <v>29592.308539792724</v>
      </c>
      <c r="Z30" s="222"/>
      <c r="AA30" s="222">
        <f>Y30*$C$30</f>
        <v>30184.15471058858</v>
      </c>
      <c r="AB30" s="222"/>
      <c r="AC30" s="222">
        <f>AA30*$C$30</f>
        <v>30787.837804800351</v>
      </c>
      <c r="AD30" s="222"/>
      <c r="AE30" s="222">
        <f>AC30*$C$30</f>
        <v>31403.594560896359</v>
      </c>
      <c r="AF30" s="222"/>
      <c r="AG30" s="222">
        <f>AE30*$C$30</f>
        <v>32031.666452114288</v>
      </c>
    </row>
    <row r="31" spans="1:33" s="210" customFormat="1" ht="14">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177</v>
      </c>
      <c r="C35" s="224"/>
      <c r="E35" s="223">
        <f>SUM(E22:E33)</f>
        <v>928674</v>
      </c>
      <c r="G35" s="223">
        <f>SUM(G22:G33)</f>
        <v>959719.7</v>
      </c>
      <c r="I35" s="223">
        <f>SUM(I22:I33)</f>
        <v>991844.71669999987</v>
      </c>
      <c r="K35" s="223">
        <f>SUM(K22:K33)</f>
        <v>1025086.6805284999</v>
      </c>
      <c r="M35" s="223">
        <f>SUM(M22:M33)</f>
        <v>1059484.5360658772</v>
      </c>
      <c r="O35" s="223">
        <f>SUM(O22:O33)</f>
        <v>1095078.5879814406</v>
      </c>
      <c r="Q35" s="223">
        <f>SUM(Q22:Q33)</f>
        <v>1131910.5485771133</v>
      </c>
      <c r="S35" s="223">
        <f>SUM(S22:S33)</f>
        <v>1170023.5869939618</v>
      </c>
      <c r="U35" s="223">
        <f>SUM(U22:U33)</f>
        <v>1209462.3801397323</v>
      </c>
      <c r="W35" s="223">
        <f>SUM(W22:W33)</f>
        <v>1250273.165397625</v>
      </c>
      <c r="Y35" s="223">
        <f>SUM(Y22:Y33)</f>
        <v>1292503.7951786034</v>
      </c>
      <c r="AA35" s="223">
        <f>SUM(AA22:AA33)</f>
        <v>1336203.7933817576</v>
      </c>
      <c r="AC35" s="223">
        <f>SUM(AC22:AC33)</f>
        <v>1381424.41382946</v>
      </c>
      <c r="AE35" s="223">
        <f>SUM(AE22:AE33)</f>
        <v>1428218.7007464189</v>
      </c>
      <c r="AG35" s="223">
        <f>SUM(AG22:AG33)</f>
        <v>1476641.55135413</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847</v>
      </c>
      <c r="C37" s="224"/>
      <c r="E37" s="223">
        <f>E11-E35</f>
        <v>2532867.6</v>
      </c>
      <c r="G37" s="223">
        <f>G11-G35</f>
        <v>2588360.4399999995</v>
      </c>
      <c r="I37" s="223">
        <f>I11-I35</f>
        <v>2644937.4267999995</v>
      </c>
      <c r="K37" s="223">
        <f>K11-K35</f>
        <v>2702615.0165589992</v>
      </c>
      <c r="M37" s="223">
        <f>M11-M35</f>
        <v>2761409.7034488088</v>
      </c>
      <c r="O37" s="223">
        <f>O11-O35</f>
        <v>2821338.0075211124</v>
      </c>
      <c r="Q37" s="223">
        <f>Q11-Q35</f>
        <v>2882416.4618130038</v>
      </c>
      <c r="S37" s="223">
        <f>S11-S35</f>
        <v>2944661.5986559074</v>
      </c>
      <c r="U37" s="223">
        <f>U11-U35</f>
        <v>3008089.9351513828</v>
      </c>
      <c r="W37" s="223">
        <f>W11-W35</f>
        <v>3072717.9577757684</v>
      </c>
      <c r="Y37" s="223">
        <f>Y11-Y35</f>
        <v>3138562.1060741236</v>
      </c>
      <c r="AA37" s="223">
        <f>AA11-AA35</f>
        <v>3205638.7554022879</v>
      </c>
      <c r="AC37" s="223">
        <f>AC11-AC35</f>
        <v>3273964.1986741861</v>
      </c>
      <c r="AE37" s="223">
        <f>AE11-AE35</f>
        <v>3343554.6270698179</v>
      </c>
      <c r="AG37" s="223">
        <f>AG11-AG35</f>
        <v>3414426.109657513</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Application!C627</f>
        <v xml:space="preserve">CalHFA - Tax Exempt </v>
      </c>
      <c r="B40" s="226"/>
      <c r="C40" s="220"/>
      <c r="E40" s="222">
        <f>Application!AF627</f>
        <v>1426128</v>
      </c>
      <c r="F40" s="222"/>
      <c r="G40" s="222">
        <f>$E$40</f>
        <v>1426128</v>
      </c>
      <c r="H40" s="222"/>
      <c r="I40" s="222">
        <f>$E$40</f>
        <v>1426128</v>
      </c>
      <c r="J40" s="222"/>
      <c r="K40" s="222">
        <f>$E$40</f>
        <v>1426128</v>
      </c>
      <c r="L40" s="222"/>
      <c r="M40" s="222">
        <f>$E$40</f>
        <v>1426128</v>
      </c>
      <c r="N40" s="222"/>
      <c r="O40" s="222">
        <f>$E$40</f>
        <v>1426128</v>
      </c>
      <c r="P40" s="222"/>
      <c r="Q40" s="222">
        <f>$E$40</f>
        <v>1426128</v>
      </c>
      <c r="R40" s="222"/>
      <c r="S40" s="222">
        <f>$E$40</f>
        <v>1426128</v>
      </c>
      <c r="T40" s="222"/>
      <c r="U40" s="222">
        <f>$E$40</f>
        <v>1426128</v>
      </c>
      <c r="V40" s="222"/>
      <c r="W40" s="222">
        <f>$E$40</f>
        <v>1426128</v>
      </c>
      <c r="X40" s="222"/>
      <c r="Y40" s="222">
        <f>$E$40</f>
        <v>1426128</v>
      </c>
      <c r="Z40" s="222"/>
      <c r="AA40" s="222">
        <f>$E$40</f>
        <v>1426128</v>
      </c>
      <c r="AB40" s="222"/>
      <c r="AC40" s="222">
        <f>$E$40</f>
        <v>1426128</v>
      </c>
      <c r="AD40" s="222"/>
      <c r="AE40" s="222">
        <f>$E$40</f>
        <v>1426128</v>
      </c>
      <c r="AF40" s="222"/>
      <c r="AG40" s="222">
        <f>$E$40</f>
        <v>1426128</v>
      </c>
    </row>
    <row r="41" spans="1:33" s="210" customFormat="1" ht="14">
      <c r="A41" s="225" t="str">
        <f>Application!C628</f>
        <v>CalHFA  -Taxable</v>
      </c>
      <c r="B41" s="226"/>
      <c r="C41" s="220"/>
      <c r="E41" s="222">
        <f>Application!AF628</f>
        <v>746844</v>
      </c>
      <c r="F41" s="222"/>
      <c r="G41" s="222">
        <f>$E$41</f>
        <v>746844</v>
      </c>
      <c r="H41" s="222"/>
      <c r="I41" s="222">
        <f>$E$41</f>
        <v>746844</v>
      </c>
      <c r="J41" s="222"/>
      <c r="K41" s="222">
        <f>$E$41</f>
        <v>746844</v>
      </c>
      <c r="L41" s="222"/>
      <c r="M41" s="222">
        <f>$E$41</f>
        <v>746844</v>
      </c>
      <c r="N41" s="222"/>
      <c r="O41" s="222">
        <f>$E$41</f>
        <v>746844</v>
      </c>
      <c r="P41" s="222"/>
      <c r="Q41" s="222">
        <f>$E$41</f>
        <v>746844</v>
      </c>
      <c r="R41" s="222"/>
      <c r="S41" s="222">
        <f>$E$41</f>
        <v>746844</v>
      </c>
      <c r="T41" s="222"/>
      <c r="U41" s="222">
        <f>$E$41</f>
        <v>746844</v>
      </c>
      <c r="V41" s="222"/>
      <c r="W41" s="222">
        <f>$E$41</f>
        <v>746844</v>
      </c>
      <c r="X41" s="222"/>
      <c r="Y41" s="222">
        <f>$E$41</f>
        <v>746844</v>
      </c>
      <c r="Z41" s="222"/>
      <c r="AA41" s="222">
        <f>$E$41</f>
        <v>746844</v>
      </c>
      <c r="AB41" s="222"/>
      <c r="AC41" s="222">
        <f>$E$41</f>
        <v>746844</v>
      </c>
      <c r="AD41" s="222"/>
      <c r="AE41" s="222">
        <f>$E$41</f>
        <v>746844</v>
      </c>
      <c r="AF41" s="222"/>
      <c r="AG41" s="222">
        <f>$E$41</f>
        <v>746844</v>
      </c>
    </row>
    <row r="42" spans="1:33" s="210" customFormat="1" ht="14">
      <c r="A42" s="225" t="s">
        <v>2415</v>
      </c>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848</v>
      </c>
      <c r="C43" s="224"/>
      <c r="E43" s="223">
        <f>SUM(E40:E42)</f>
        <v>2172972</v>
      </c>
      <c r="G43" s="223">
        <f>SUM(G40:G42)</f>
        <v>2172972</v>
      </c>
      <c r="I43" s="223">
        <f>SUM(I40:I42)</f>
        <v>2172972</v>
      </c>
      <c r="K43" s="223">
        <f>SUM(K40:K42)</f>
        <v>2172972</v>
      </c>
      <c r="M43" s="223">
        <f>SUM(M40:M42)</f>
        <v>2172972</v>
      </c>
      <c r="O43" s="223">
        <f>SUM(O40:O42)</f>
        <v>2172972</v>
      </c>
      <c r="Q43" s="223">
        <f>SUM(Q40:Q42)</f>
        <v>2172972</v>
      </c>
      <c r="S43" s="223">
        <f>SUM(S40:S42)</f>
        <v>2172972</v>
      </c>
      <c r="U43" s="223">
        <f>SUM(U40:U42)</f>
        <v>2172972</v>
      </c>
      <c r="W43" s="223">
        <f>SUM(W40:W42)</f>
        <v>2172972</v>
      </c>
      <c r="Y43" s="223">
        <f>SUM(Y40:Y42)</f>
        <v>2172972</v>
      </c>
      <c r="AA43" s="223">
        <f>SUM(AA40:AA42)</f>
        <v>2172972</v>
      </c>
      <c r="AC43" s="223">
        <f>SUM(AC40:AC42)</f>
        <v>2172972</v>
      </c>
      <c r="AE43" s="223">
        <f>SUM(AE40:AE42)</f>
        <v>2172972</v>
      </c>
      <c r="AG43" s="223">
        <f>SUM(AG40:AG42)</f>
        <v>2172972</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849</v>
      </c>
      <c r="C45" s="224"/>
      <c r="E45" s="223">
        <f>E37-E43</f>
        <v>359895.60000000009</v>
      </c>
      <c r="G45" s="223">
        <f>G37-G43</f>
        <v>415388.43999999948</v>
      </c>
      <c r="I45" s="223">
        <f>I37-I43</f>
        <v>471965.42679999955</v>
      </c>
      <c r="K45" s="223">
        <f>K37-K43</f>
        <v>529643.0165589992</v>
      </c>
      <c r="M45" s="223">
        <f>M37-M43</f>
        <v>588437.70344880875</v>
      </c>
      <c r="O45" s="223">
        <f>O37-O43</f>
        <v>648366.00752111245</v>
      </c>
      <c r="Q45" s="223">
        <f>Q37-Q43</f>
        <v>709444.46181300376</v>
      </c>
      <c r="S45" s="223">
        <f>S37-S43</f>
        <v>771689.59865590744</v>
      </c>
      <c r="U45" s="223">
        <f>U37-U43</f>
        <v>835117.93515138282</v>
      </c>
      <c r="W45" s="223">
        <f>W37-W43</f>
        <v>899745.95777576836</v>
      </c>
      <c r="Y45" s="223">
        <f>Y37-Y43</f>
        <v>965590.10607412364</v>
      </c>
      <c r="AA45" s="223">
        <f>AA37-AA43</f>
        <v>1032666.7554022879</v>
      </c>
      <c r="AC45" s="223">
        <f>AC37-AC43</f>
        <v>1100992.1986741861</v>
      </c>
      <c r="AE45" s="223">
        <f>AE37-AE43</f>
        <v>1170582.6270698179</v>
      </c>
      <c r="AG45" s="223">
        <f>AG37-AG43</f>
        <v>1241454.109657513</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851</v>
      </c>
      <c r="C47" s="220"/>
      <c r="E47" s="227">
        <f>E45/(E4+E6+E8)</f>
        <v>9.877125844739236E-2</v>
      </c>
      <c r="G47" s="227">
        <f>G45/(G4+G6+G8)</f>
        <v>0.11122043539862082</v>
      </c>
      <c r="I47" s="227">
        <f>I45/(I4+I6+I8)</f>
        <v>0.12328677874240108</v>
      </c>
      <c r="K47" s="227">
        <f>K45/(K4+K6+K8)</f>
        <v>0.13497884396816817</v>
      </c>
      <c r="M47" s="227">
        <f>M45/(M4+M6+M8)</f>
        <v>0.14630497031170694</v>
      </c>
      <c r="O47" s="227">
        <f>O45/(O4+O6+O8)</f>
        <v>0.157273285955428</v>
      </c>
      <c r="Q47" s="227">
        <f>Q45/(Q4+Q6+Q8)</f>
        <v>0.16789171310108494</v>
      </c>
      <c r="S47" s="227">
        <f>S45/(S4+S6+S8)</f>
        <v>0.17816797291803657</v>
      </c>
      <c r="U47" s="227">
        <f>U45/(U4+U6+U8)</f>
        <v>0.18810959037008465</v>
      </c>
      <c r="W47" s="227">
        <f>W45/(W4+W6+W8)</f>
        <v>0.19772389892383688</v>
      </c>
      <c r="Y47" s="227">
        <f>Y45/(Y4+Y6+Y8)</f>
        <v>0.2070180451414817</v>
      </c>
      <c r="AA47" s="227">
        <f>AA45/(AA4+AA6+AA8)</f>
        <v>0.21599899316078638</v>
      </c>
      <c r="AC47" s="227">
        <f>AC45/(AC4+AC6+AC8)</f>
        <v>0.22467352906505778</v>
      </c>
      <c r="AE47" s="227">
        <f>AE45/(AE4+AE6+AE8)</f>
        <v>0.23304826514574808</v>
      </c>
      <c r="AG47" s="227">
        <f>AG45/(AG4+AG6+AG8)</f>
        <v>0.24112964406031143</v>
      </c>
    </row>
    <row r="48" spans="1:33" s="227" customFormat="1" ht="14">
      <c r="A48" s="227" t="s">
        <v>852</v>
      </c>
      <c r="C48" s="220"/>
      <c r="E48" s="227">
        <f>E45/E43</f>
        <v>0.16562367117477819</v>
      </c>
      <c r="G48" s="227">
        <f>G45/G43</f>
        <v>0.19116143236084013</v>
      </c>
      <c r="I48" s="227">
        <f>I45/I43</f>
        <v>0.21719811704890793</v>
      </c>
      <c r="K48" s="227">
        <f>K45/K43</f>
        <v>0.24374129835036953</v>
      </c>
      <c r="M48" s="227">
        <f>M45/M43</f>
        <v>0.27079856687007875</v>
      </c>
      <c r="O48" s="227">
        <f>O45/O43</f>
        <v>0.29837752512278687</v>
      </c>
      <c r="Q48" s="227">
        <f>Q45/Q43</f>
        <v>0.32648578159912034</v>
      </c>
      <c r="S48" s="227">
        <f>S45/S43</f>
        <v>0.35513094446495741</v>
      </c>
      <c r="U48" s="227">
        <f>U45/U43</f>
        <v>0.38432061487740421</v>
      </c>
      <c r="W48" s="227">
        <f>W45/W43</f>
        <v>0.4140623798998645</v>
      </c>
      <c r="Y48" s="227">
        <f>Y45/Y43</f>
        <v>0.44436380499800443</v>
      </c>
      <c r="AA48" s="227">
        <f>AA45/AA43</f>
        <v>0.47523242609766159</v>
      </c>
      <c r="AC48" s="227">
        <f>AC45/AC43</f>
        <v>0.50667574118496972</v>
      </c>
      <c r="AE48" s="227">
        <f>AE45/AE43</f>
        <v>0.53870120142819045</v>
      </c>
      <c r="AG48" s="227">
        <f>AG45/AG43</f>
        <v>0.57131620179989107</v>
      </c>
    </row>
    <row r="49" spans="1:34" s="228" customFormat="1" ht="14">
      <c r="A49" s="228" t="s">
        <v>850</v>
      </c>
      <c r="C49" s="229"/>
      <c r="E49" s="228">
        <f>E37/E43</f>
        <v>1.1656236711747783</v>
      </c>
      <c r="G49" s="228">
        <f>G37/G43</f>
        <v>1.1911614323608402</v>
      </c>
      <c r="I49" s="228">
        <f>I37/I43</f>
        <v>1.2171981170489079</v>
      </c>
      <c r="K49" s="228">
        <f>K37/K43</f>
        <v>1.2437412983503695</v>
      </c>
      <c r="M49" s="228">
        <f>M37/M43</f>
        <v>1.2707985668700787</v>
      </c>
      <c r="O49" s="228">
        <f>O37/O43</f>
        <v>1.2983775251227869</v>
      </c>
      <c r="Q49" s="228">
        <f>Q37/Q43</f>
        <v>1.3264857815991205</v>
      </c>
      <c r="S49" s="228">
        <f>S37/S43</f>
        <v>1.3551309444649575</v>
      </c>
      <c r="U49" s="228">
        <f>U37/U43</f>
        <v>1.3843206148774043</v>
      </c>
      <c r="W49" s="228">
        <f>W37/W43</f>
        <v>1.4140623798998646</v>
      </c>
      <c r="Y49" s="228">
        <f>Y37/Y43</f>
        <v>1.4443638049980043</v>
      </c>
      <c r="AA49" s="228">
        <f>AA37/AA43</f>
        <v>1.4752324260976617</v>
      </c>
      <c r="AC49" s="228">
        <f>AC37/AC43</f>
        <v>1.5066757411849698</v>
      </c>
      <c r="AE49" s="228">
        <f>AE37/AE43</f>
        <v>1.5387012014281904</v>
      </c>
      <c r="AG49" s="228">
        <f>AG37/AG43</f>
        <v>1.5713162017998912</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4" t="s">
        <v>1184</v>
      </c>
      <c r="B52" s="2694"/>
      <c r="C52" s="2694"/>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855</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856</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359895.60000000009</v>
      </c>
      <c r="G60" s="962">
        <f>G45-G58</f>
        <v>415388.43999999948</v>
      </c>
      <c r="I60" s="962">
        <f>I45-I58</f>
        <v>471965.42679999955</v>
      </c>
      <c r="K60" s="962">
        <f>K45-K58</f>
        <v>529643.0165589992</v>
      </c>
      <c r="M60" s="962">
        <f>M45-M58</f>
        <v>588437.70344880875</v>
      </c>
      <c r="O60" s="962">
        <f>O45-O58</f>
        <v>648366.00752111245</v>
      </c>
      <c r="Q60" s="962">
        <f>Q45-Q58</f>
        <v>709444.46181300376</v>
      </c>
      <c r="S60" s="962">
        <f>S45-S58</f>
        <v>771689.59865590744</v>
      </c>
      <c r="U60" s="962">
        <f>(U45-U58)-(Application!AO631-SUM('15 Year Pro Forma'!E60:S60))</f>
        <v>933399.18994921399</v>
      </c>
      <c r="W60" s="962">
        <f>W45-W58</f>
        <v>899745.95777576836</v>
      </c>
      <c r="Y60" s="962">
        <f>Y45-Y58</f>
        <v>965590.10607412364</v>
      </c>
      <c r="AA60" s="962">
        <f>AA45-AA58</f>
        <v>1032666.7554022879</v>
      </c>
      <c r="AC60" s="962">
        <f>AC45-AC58</f>
        <v>1100992.1986741861</v>
      </c>
      <c r="AE60" s="962">
        <f>AE45-AE58</f>
        <v>1170582.6270698179</v>
      </c>
      <c r="AG60" s="962">
        <f>AG45-AG58</f>
        <v>1241454.109657513</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1</v>
      </c>
      <c r="E62" s="964">
        <f>E60*$C$62</f>
        <v>359895.60000000009</v>
      </c>
      <c r="G62" s="962">
        <f>G60*$C$62</f>
        <v>415388.43999999948</v>
      </c>
      <c r="I62" s="962">
        <f>I60*$C$62</f>
        <v>471965.42679999955</v>
      </c>
      <c r="K62" s="962">
        <f>K60*$C$62</f>
        <v>529643.0165589992</v>
      </c>
      <c r="M62" s="962">
        <f>M60*$C$62</f>
        <v>588437.70344880875</v>
      </c>
      <c r="O62" s="962">
        <f>O60*$C$62</f>
        <v>648366.00752111245</v>
      </c>
      <c r="Q62" s="962">
        <f>Q60*$C$62</f>
        <v>709444.46181300376</v>
      </c>
      <c r="S62" s="962">
        <f>S60*$C$62</f>
        <v>771689.59865590744</v>
      </c>
      <c r="U62" s="962">
        <f>U60*$C$62</f>
        <v>933399.18994921399</v>
      </c>
    </row>
    <row r="63" spans="1:34" s="962" customFormat="1">
      <c r="A63" s="2694" t="s">
        <v>2786</v>
      </c>
      <c r="B63" s="2694"/>
      <c r="C63" s="2694"/>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0.5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2787</v>
      </c>
      <c r="B66" s="964"/>
      <c r="C66" s="1263">
        <v>0.39</v>
      </c>
      <c r="E66" s="964"/>
      <c r="G66" s="960"/>
      <c r="I66" s="960"/>
      <c r="K66" s="960"/>
      <c r="M66" s="960"/>
      <c r="O66" s="960"/>
      <c r="Q66" s="960"/>
      <c r="S66" s="960"/>
      <c r="U66" s="960">
        <f>U60*$C$65</f>
        <v>466699.594974607</v>
      </c>
      <c r="W66" s="960">
        <f>W60*$C$65</f>
        <v>449872.97888788418</v>
      </c>
      <c r="Y66" s="960">
        <f>Y60*$C$65</f>
        <v>482795.05303706182</v>
      </c>
      <c r="AA66" s="960">
        <f>AA60*$C$65</f>
        <v>516333.37770114397</v>
      </c>
      <c r="AC66" s="960">
        <f>AC60*$C$65</f>
        <v>550496.09933709307</v>
      </c>
      <c r="AE66" s="960">
        <f>AE60*$C$65</f>
        <v>585291.31353490893</v>
      </c>
      <c r="AG66" s="960">
        <f>AG60*$C$65</f>
        <v>620727.05482875649</v>
      </c>
    </row>
    <row r="67" spans="1:34" s="960" customFormat="1">
      <c r="A67" s="965" t="s">
        <v>2788</v>
      </c>
      <c r="B67" s="965"/>
      <c r="C67" s="959">
        <v>0.61</v>
      </c>
      <c r="E67" s="964"/>
      <c r="U67" s="960">
        <f>U60*$C$65</f>
        <v>466699.594974607</v>
      </c>
      <c r="W67" s="960">
        <f>W60*$C$65</f>
        <v>449872.97888788418</v>
      </c>
      <c r="Y67" s="960">
        <f>Y60*$C$65</f>
        <v>482795.05303706182</v>
      </c>
      <c r="AA67" s="960">
        <f>AA60*$C$65</f>
        <v>516333.37770114397</v>
      </c>
      <c r="AC67" s="960">
        <f>AC60*$C$65</f>
        <v>550496.09933709307</v>
      </c>
      <c r="AE67" s="960">
        <f>AE60*$C$65</f>
        <v>585291.31353490893</v>
      </c>
      <c r="AG67" s="960">
        <f>AG60*$C$65</f>
        <v>620727.05482875649</v>
      </c>
    </row>
    <row r="68" spans="1:34" s="960" customFormat="1">
      <c r="A68" s="965" t="s">
        <v>2789</v>
      </c>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853</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933399.18994921399</v>
      </c>
      <c r="W70" s="960">
        <f>SUM(W66:W69)</f>
        <v>899745.95777576836</v>
      </c>
      <c r="Y70" s="960">
        <f>SUM(Y66:Y69)</f>
        <v>965590.10607412364</v>
      </c>
      <c r="AA70" s="960">
        <f>SUM(AA66:AA69)</f>
        <v>1032666.7554022879</v>
      </c>
      <c r="AC70" s="960">
        <f>SUM(AC66:AC69)</f>
        <v>1100992.1986741861</v>
      </c>
      <c r="AE70" s="960">
        <f>SUM(AE66:AE69)</f>
        <v>1170582.6270698179</v>
      </c>
      <c r="AG70" s="960">
        <f>SUM(AG66:AG69)</f>
        <v>1241454.109657513</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-933399.18994921399</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692" t="s">
        <v>1721</v>
      </c>
      <c r="B77" s="2693"/>
      <c r="C77" s="2693"/>
      <c r="D77" s="2693"/>
      <c r="E77" s="2693"/>
      <c r="F77" s="2693"/>
      <c r="G77" s="2693"/>
      <c r="H77" s="2693"/>
      <c r="I77" s="2693"/>
      <c r="J77" s="2693"/>
      <c r="K77" s="2693"/>
      <c r="L77" s="2693"/>
      <c r="M77" s="2693"/>
      <c r="N77" s="2693"/>
      <c r="O77" s="2693"/>
      <c r="P77" s="2693"/>
      <c r="Q77" s="2693"/>
      <c r="R77" s="2693"/>
      <c r="S77" s="2693"/>
      <c r="T77" s="2693"/>
      <c r="U77" s="2693"/>
      <c r="V77" s="2693"/>
      <c r="W77" s="2693"/>
      <c r="X77" s="2693"/>
      <c r="Y77" s="2693"/>
      <c r="Z77" s="2693"/>
      <c r="AA77" s="2693"/>
      <c r="AB77" s="2693"/>
      <c r="AC77" s="2693"/>
      <c r="AD77" s="2693"/>
      <c r="AE77" s="2693"/>
      <c r="AF77" s="2693"/>
      <c r="AG77" s="269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baseColWidth="10" defaultColWidth="0" defaultRowHeight="13" zeroHeight="1"/>
  <cols>
    <col min="1" max="1" width="161.6640625" customWidth="1"/>
    <col min="2" max="16384" width="8.83203125" hidden="1"/>
  </cols>
  <sheetData>
    <row r="1" spans="1:1" ht="34">
      <c r="A1" s="313" t="s">
        <v>971</v>
      </c>
    </row>
    <row r="2" spans="1:1" ht="16">
      <c r="A2" s="314"/>
    </row>
    <row r="3" spans="1:1" ht="16">
      <c r="A3" s="315" t="s">
        <v>966</v>
      </c>
    </row>
    <row r="4" spans="1:1" ht="16">
      <c r="A4" s="315" t="s">
        <v>967</v>
      </c>
    </row>
    <row r="5" spans="1:1" ht="16">
      <c r="A5" s="315" t="s">
        <v>968</v>
      </c>
    </row>
    <row r="6" spans="1:1" ht="16">
      <c r="A6" s="315" t="s">
        <v>970</v>
      </c>
    </row>
    <row r="7" spans="1:1" ht="16">
      <c r="A7" s="315" t="s">
        <v>969</v>
      </c>
    </row>
    <row r="8" spans="1:1" ht="16">
      <c r="A8" s="346" t="s">
        <v>1024</v>
      </c>
    </row>
    <row r="9" spans="1:1" ht="16">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topLeftCell="A66" workbookViewId="0">
      <selection activeCell="B107" sqref="B107"/>
    </sheetView>
  </sheetViews>
  <sheetFormatPr baseColWidth="10" defaultColWidth="9.1640625" defaultRowHeight="13" zeroHeight="1"/>
  <cols>
    <col min="1" max="1" width="35.6640625" style="204" customWidth="1"/>
    <col min="2" max="4" width="14.6640625" style="204" customWidth="1"/>
    <col min="5" max="5" width="50.6640625" style="204" customWidth="1"/>
    <col min="6" max="253" width="9.1640625" style="204" customWidth="1"/>
    <col min="254" max="16384" width="9.16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ht="14">
      <c r="A4" s="264" t="s">
        <v>26</v>
      </c>
      <c r="B4" s="264"/>
      <c r="C4" s="264"/>
      <c r="D4" s="264"/>
      <c r="E4" s="282"/>
      <c r="F4" s="264"/>
    </row>
    <row r="5" spans="1:6" s="352" customFormat="1">
      <c r="A5" s="364" t="s">
        <v>27</v>
      </c>
      <c r="B5" s="266">
        <f>'Sources and Uses Budget'!$C4</f>
        <v>8800000</v>
      </c>
      <c r="C5" s="266">
        <f>'Sources and Uses Budget'!$C4</f>
        <v>8800000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50000</v>
      </c>
      <c r="C7" s="266">
        <f>'Sources and Uses Budget'!$C6</f>
        <v>50000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8850000</v>
      </c>
      <c r="C9" s="270">
        <f>SUM(C5:C8)</f>
        <v>8850000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8850000</v>
      </c>
      <c r="C13" s="270">
        <f>SUM(C9+C12)</f>
        <v>8850000</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6">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ht="14">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 xml:space="preserve">Other: </v>
      </c>
      <c r="B26" s="266">
        <f>'Sources and Uses Budget'!$C25</f>
        <v>0</v>
      </c>
      <c r="C26" s="266">
        <f>'Sources and Uses Budget'!$C25</f>
        <v>0</v>
      </c>
      <c r="D26" s="270">
        <f t="shared" si="0"/>
        <v>0</v>
      </c>
      <c r="E26" s="268"/>
      <c r="F26" s="267"/>
    </row>
    <row r="27" spans="1:6" s="352" customFormat="1" ht="14">
      <c r="A27" s="1018" t="s">
        <v>133</v>
      </c>
      <c r="B27" s="270">
        <f>SUM(B18:B26)</f>
        <v>0</v>
      </c>
      <c r="C27" s="270">
        <f>SUM(C18:C26)</f>
        <v>0</v>
      </c>
      <c r="D27" s="270">
        <f>SUM(D18:D26)</f>
        <v>0</v>
      </c>
      <c r="E27" s="268"/>
      <c r="F27" s="267"/>
    </row>
    <row r="28" spans="1:6" s="352" customFormat="1" ht="14">
      <c r="A28" s="271" t="s">
        <v>141</v>
      </c>
      <c r="B28" s="266">
        <f>'Sources and Uses Budget'!$C$27</f>
        <v>0</v>
      </c>
      <c r="C28" s="266">
        <f>'Sources and Uses Budget'!$C$27</f>
        <v>0</v>
      </c>
      <c r="D28" s="270">
        <f t="shared" si="0"/>
        <v>0</v>
      </c>
      <c r="E28" s="268"/>
      <c r="F28" s="267"/>
    </row>
    <row r="29" spans="1:6" s="352" customFormat="1" ht="14">
      <c r="A29" s="264" t="s">
        <v>142</v>
      </c>
      <c r="B29" s="264"/>
      <c r="C29" s="264"/>
      <c r="D29" s="264"/>
      <c r="E29" s="282"/>
      <c r="F29" s="264"/>
    </row>
    <row r="30" spans="1:6" s="352" customFormat="1">
      <c r="A30" s="145" t="s">
        <v>598</v>
      </c>
      <c r="B30" s="266">
        <f>'Sources and Uses Budget'!$C29</f>
        <v>3471045</v>
      </c>
      <c r="C30" s="266">
        <f>'Sources and Uses Budget'!$C29</f>
        <v>3471045</v>
      </c>
      <c r="D30" s="270">
        <f t="shared" si="0"/>
        <v>0</v>
      </c>
      <c r="E30" s="268"/>
      <c r="F30" s="267"/>
    </row>
    <row r="31" spans="1:6" s="352" customFormat="1">
      <c r="A31" s="145" t="s">
        <v>599</v>
      </c>
      <c r="B31" s="266">
        <f>'Sources and Uses Budget'!$C30</f>
        <v>29092508</v>
      </c>
      <c r="C31" s="266">
        <f>'Sources and Uses Budget'!$C30</f>
        <v>29092508</v>
      </c>
      <c r="D31" s="270">
        <f t="shared" si="0"/>
        <v>0</v>
      </c>
      <c r="E31" s="268"/>
      <c r="F31" s="267"/>
    </row>
    <row r="32" spans="1:6" s="352" customFormat="1">
      <c r="A32" s="145" t="s">
        <v>600</v>
      </c>
      <c r="B32" s="266">
        <f>'Sources and Uses Budget'!$C31</f>
        <v>1953813</v>
      </c>
      <c r="C32" s="266">
        <f>'Sources and Uses Budget'!$C31</f>
        <v>1953813</v>
      </c>
      <c r="D32" s="270">
        <f t="shared" si="0"/>
        <v>0</v>
      </c>
      <c r="E32" s="268"/>
      <c r="F32" s="267"/>
    </row>
    <row r="33" spans="1:6" s="352" customFormat="1">
      <c r="A33" s="145" t="s">
        <v>137</v>
      </c>
      <c r="B33" s="266">
        <f>'Sources and Uses Budget'!$C32</f>
        <v>651271</v>
      </c>
      <c r="C33" s="266">
        <f>'Sources and Uses Budget'!$C32</f>
        <v>651271</v>
      </c>
      <c r="D33" s="270">
        <f t="shared" si="0"/>
        <v>0</v>
      </c>
      <c r="E33" s="268"/>
      <c r="F33" s="267"/>
    </row>
    <row r="34" spans="1:6" s="352" customFormat="1">
      <c r="A34" s="145" t="s">
        <v>138</v>
      </c>
      <c r="B34" s="266">
        <f>'Sources and Uses Budget'!$C33</f>
        <v>1611839</v>
      </c>
      <c r="C34" s="266">
        <f>'Sources and Uses Budget'!$C33</f>
        <v>1611839</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187152</v>
      </c>
      <c r="C36" s="266">
        <f>'Sources and Uses Budget'!$C35</f>
        <v>187152</v>
      </c>
      <c r="D36" s="270">
        <f t="shared" si="0"/>
        <v>0</v>
      </c>
      <c r="E36" s="268"/>
      <c r="F36" s="267"/>
    </row>
    <row r="37" spans="1:6" s="352" customFormat="1">
      <c r="A37" s="283" t="s">
        <v>1640</v>
      </c>
      <c r="B37" s="266">
        <f>'Sources and Uses Budget'!$C36</f>
        <v>0</v>
      </c>
      <c r="C37" s="266">
        <f>'Sources and Uses Budget'!$C36</f>
        <v>0</v>
      </c>
      <c r="D37" s="270"/>
      <c r="E37" s="268"/>
      <c r="F37" s="267"/>
    </row>
    <row r="38" spans="1:6" s="352" customFormat="1" ht="26">
      <c r="A38" s="155" t="str">
        <f>'Sources and Uses Budget'!A37</f>
        <v>Other: Payment &amp; Performance Bond &amp; builder's risk</v>
      </c>
      <c r="B38" s="266">
        <f>'Sources and Uses Budget'!$C37</f>
        <v>1039408</v>
      </c>
      <c r="C38" s="266">
        <f>'Sources and Uses Budget'!$C37</f>
        <v>1039408</v>
      </c>
      <c r="D38" s="270">
        <f t="shared" si="0"/>
        <v>0</v>
      </c>
      <c r="E38" s="268"/>
      <c r="F38" s="267"/>
    </row>
    <row r="39" spans="1:6" s="352" customFormat="1" ht="14">
      <c r="A39" s="271" t="s">
        <v>143</v>
      </c>
      <c r="B39" s="270">
        <f>SUM(B30:B38)</f>
        <v>38007036</v>
      </c>
      <c r="C39" s="270">
        <f>SUM(C30:C38)</f>
        <v>38007036</v>
      </c>
      <c r="D39" s="270">
        <f t="shared" si="0"/>
        <v>0</v>
      </c>
      <c r="E39" s="268"/>
      <c r="F39" s="267"/>
    </row>
    <row r="40" spans="1:6" s="352" customFormat="1" ht="14">
      <c r="A40" s="264" t="s">
        <v>144</v>
      </c>
      <c r="B40" s="264"/>
      <c r="C40" s="264"/>
      <c r="D40" s="264"/>
      <c r="E40" s="282"/>
      <c r="F40" s="264"/>
    </row>
    <row r="41" spans="1:6" s="352" customFormat="1" ht="14">
      <c r="A41" s="269" t="s">
        <v>145</v>
      </c>
      <c r="B41" s="266">
        <f>'Sources and Uses Budget'!$C40</f>
        <v>884631</v>
      </c>
      <c r="C41" s="266">
        <f>'Sources and Uses Budget'!$C40</f>
        <v>884631</v>
      </c>
      <c r="D41" s="270">
        <f t="shared" si="0"/>
        <v>0</v>
      </c>
      <c r="E41" s="268"/>
      <c r="F41" s="267"/>
    </row>
    <row r="42" spans="1:6" s="352" customFormat="1" ht="14">
      <c r="A42" s="269" t="s">
        <v>146</v>
      </c>
      <c r="B42" s="266">
        <f>'Sources and Uses Budget'!$C41</f>
        <v>326296</v>
      </c>
      <c r="C42" s="266">
        <f>'Sources and Uses Budget'!$C41</f>
        <v>326296</v>
      </c>
      <c r="D42" s="270">
        <f t="shared" si="0"/>
        <v>0</v>
      </c>
      <c r="E42" s="268"/>
      <c r="F42" s="267"/>
    </row>
    <row r="43" spans="1:6" s="352" customFormat="1" ht="14">
      <c r="A43" s="271" t="s">
        <v>147</v>
      </c>
      <c r="B43" s="270">
        <f>SUM(B41:B42)</f>
        <v>1210927</v>
      </c>
      <c r="C43" s="270">
        <f>SUM(C41:C42)</f>
        <v>1210927</v>
      </c>
      <c r="D43" s="270">
        <f t="shared" si="0"/>
        <v>0</v>
      </c>
      <c r="E43" s="268"/>
      <c r="F43" s="267"/>
    </row>
    <row r="44" spans="1:6" s="352" customFormat="1" ht="14">
      <c r="A44" s="271" t="s">
        <v>148</v>
      </c>
      <c r="B44" s="266">
        <f>'Sources and Uses Budget'!$C43</f>
        <v>879310</v>
      </c>
      <c r="C44" s="266">
        <f>'Sources and Uses Budget'!$C43</f>
        <v>879310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4530000</v>
      </c>
      <c r="C46" s="266">
        <f>'Sources and Uses Budget'!$C45</f>
        <v>4530000</v>
      </c>
      <c r="D46" s="270">
        <f t="shared" si="0"/>
        <v>0</v>
      </c>
      <c r="E46" s="268"/>
      <c r="F46" s="267"/>
    </row>
    <row r="47" spans="1:6" s="352" customFormat="1">
      <c r="A47" s="145" t="s">
        <v>151</v>
      </c>
      <c r="B47" s="266">
        <f>'Sources and Uses Budget'!$C46</f>
        <v>487000</v>
      </c>
      <c r="C47" s="266">
        <f>'Sources and Uses Budget'!$C46</f>
        <v>487000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45000</v>
      </c>
      <c r="C51" s="266">
        <f>'Sources and Uses Budget'!$C50</f>
        <v>45000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Other: loan fees, legal, and inspection costs</v>
      </c>
      <c r="B54" s="266">
        <f>'Sources and Uses Budget'!$C53</f>
        <v>745647</v>
      </c>
      <c r="C54" s="266">
        <f>'Sources and Uses Budget'!$C53</f>
        <v>745647</v>
      </c>
      <c r="D54" s="270">
        <f t="shared" si="0"/>
        <v>0</v>
      </c>
      <c r="E54" s="268"/>
      <c r="F54" s="267"/>
    </row>
    <row r="55" spans="1:6" s="353" customFormat="1" ht="14">
      <c r="A55" s="271" t="s">
        <v>157</v>
      </c>
      <c r="B55" s="273">
        <f>SUM(B46:B54)</f>
        <v>5807647</v>
      </c>
      <c r="C55" s="273">
        <f>SUM(C46:C54)</f>
        <v>5807647</v>
      </c>
      <c r="D55" s="270">
        <f t="shared" si="0"/>
        <v>0</v>
      </c>
      <c r="E55" s="268"/>
      <c r="F55" s="267"/>
    </row>
    <row r="56" spans="1:6" s="352" customFormat="1" ht="14">
      <c r="A56" s="264" t="s">
        <v>417</v>
      </c>
      <c r="B56" s="264"/>
      <c r="C56" s="264"/>
      <c r="D56" s="264"/>
      <c r="E56" s="282"/>
      <c r="F56" s="264"/>
    </row>
    <row r="57" spans="1:6" s="352" customFormat="1" ht="14">
      <c r="A57" s="269" t="s">
        <v>158</v>
      </c>
      <c r="B57" s="266">
        <f>'Sources and Uses Budget'!$C56</f>
        <v>409485</v>
      </c>
      <c r="C57" s="266">
        <f>'Sources and Uses Budget'!$C56</f>
        <v>409485</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ht="14">
      <c r="A59" s="269" t="s">
        <v>156</v>
      </c>
      <c r="B59" s="266">
        <f>'Sources and Uses Budget'!$C58</f>
        <v>80000</v>
      </c>
      <c r="C59" s="266">
        <f>'Sources and Uses Budget'!$C58</f>
        <v>80000</v>
      </c>
      <c r="D59" s="270">
        <f t="shared" si="0"/>
        <v>0</v>
      </c>
      <c r="E59" s="268"/>
      <c r="F59" s="267"/>
    </row>
    <row r="60" spans="1:6" s="352" customFormat="1" ht="14">
      <c r="A60" s="269" t="s">
        <v>154</v>
      </c>
      <c r="B60" s="266">
        <f>'Sources and Uses Budget'!$C59</f>
        <v>0</v>
      </c>
      <c r="C60" s="266">
        <f>'Sources and Uses Budget'!$C59</f>
        <v>0</v>
      </c>
      <c r="D60" s="270">
        <f t="shared" si="0"/>
        <v>0</v>
      </c>
      <c r="E60" s="268"/>
      <c r="F60" s="267"/>
    </row>
    <row r="61" spans="1:6" s="352" customFormat="1" ht="14">
      <c r="A61" s="269" t="s">
        <v>155</v>
      </c>
      <c r="B61" s="266">
        <f>'Sources and Uses Budget'!$C60</f>
        <v>0</v>
      </c>
      <c r="C61" s="266">
        <f>'Sources and Uses Budget'!$C60</f>
        <v>0</v>
      </c>
      <c r="D61" s="270">
        <f t="shared" si="0"/>
        <v>0</v>
      </c>
      <c r="E61" s="268"/>
      <c r="F61" s="267"/>
    </row>
    <row r="62" spans="1:6" s="352" customFormat="1" ht="28">
      <c r="A62" s="1019" t="str">
        <f>'Sources and Uses Budget'!A61</f>
        <v>Other: issuance, legal costs and partnership legal</v>
      </c>
      <c r="B62" s="266">
        <f>'Sources and Uses Budget'!$C61</f>
        <v>385353</v>
      </c>
      <c r="C62" s="266">
        <f>'Sources and Uses Budget'!$C61</f>
        <v>385353</v>
      </c>
      <c r="D62" s="270">
        <f t="shared" si="0"/>
        <v>0</v>
      </c>
      <c r="E62" s="268"/>
      <c r="F62" s="267"/>
    </row>
    <row r="63" spans="1:6" s="352" customFormat="1" ht="13.75" customHeight="1">
      <c r="A63" s="271" t="s">
        <v>300</v>
      </c>
      <c r="B63" s="270">
        <f>SUM(B57:B62)</f>
        <v>874838</v>
      </c>
      <c r="C63" s="270">
        <f>SUM(C57:C62)</f>
        <v>874838</v>
      </c>
      <c r="D63" s="270">
        <f t="shared" si="0"/>
        <v>0</v>
      </c>
      <c r="E63" s="268"/>
      <c r="F63" s="267"/>
    </row>
    <row r="64" spans="1:6" s="352" customFormat="1" ht="14">
      <c r="A64" s="274" t="s">
        <v>301</v>
      </c>
      <c r="B64" s="270">
        <f>SUM(B9+B12+B14+B15+B17+B26+B28+B39+B43+B44+B55+B63)</f>
        <v>55629758</v>
      </c>
      <c r="C64" s="270">
        <f>SUM(C9+C12+C14+C15+C17+C26+C28+C39+C43+C44+C55+C63)</f>
        <v>55629758</v>
      </c>
      <c r="D64" s="270">
        <f t="shared" si="0"/>
        <v>0</v>
      </c>
      <c r="E64" s="268"/>
      <c r="F64" s="267"/>
    </row>
    <row r="65" spans="1:6" s="352" customFormat="1" ht="26">
      <c r="A65" s="141" t="s">
        <v>1644</v>
      </c>
      <c r="B65" s="264"/>
      <c r="C65" s="264"/>
      <c r="D65" s="264"/>
      <c r="E65" s="282"/>
      <c r="F65" s="264"/>
    </row>
    <row r="66" spans="1:6" s="352" customFormat="1">
      <c r="A66" s="145" t="s">
        <v>170</v>
      </c>
      <c r="B66" s="266">
        <f>'Sources and Uses Budget'!$C65</f>
        <v>0</v>
      </c>
      <c r="C66" s="266">
        <f>'Sources and Uses Budget'!$C65</f>
        <v>0</v>
      </c>
      <c r="D66" s="270">
        <f t="shared" si="0"/>
        <v>0</v>
      </c>
      <c r="E66" s="268"/>
      <c r="F66" s="267"/>
    </row>
    <row r="67" spans="1:6" s="352" customFormat="1" ht="26">
      <c r="A67" s="283" t="s">
        <v>1641</v>
      </c>
      <c r="B67" s="266">
        <f>'Sources and Uses Budget'!$C66</f>
        <v>0</v>
      </c>
      <c r="C67" s="266">
        <f>'Sources and Uses Budget'!$C66</f>
        <v>0</v>
      </c>
      <c r="D67" s="270"/>
      <c r="E67" s="268"/>
      <c r="F67" s="267"/>
    </row>
    <row r="68" spans="1:6" s="352" customFormat="1">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1645</v>
      </c>
      <c r="B71" s="270">
        <f>SUM(B66:B70)</f>
        <v>0</v>
      </c>
      <c r="C71" s="270">
        <f>SUM(C66:C70)</f>
        <v>0</v>
      </c>
      <c r="D71" s="270">
        <f t="shared" si="0"/>
        <v>0</v>
      </c>
      <c r="E71" s="268"/>
      <c r="F71" s="267"/>
    </row>
    <row r="72" spans="1:6" s="352" customFormat="1" ht="14">
      <c r="A72" s="264" t="s">
        <v>602</v>
      </c>
      <c r="B72" s="264"/>
      <c r="C72" s="264"/>
      <c r="D72" s="264"/>
      <c r="E72" s="282"/>
      <c r="F72" s="264"/>
    </row>
    <row r="73" spans="1:6" s="352" customFormat="1" ht="14">
      <c r="A73" s="269" t="s">
        <v>603</v>
      </c>
      <c r="B73" s="266">
        <f>'Sources and Uses Budget'!$C72</f>
        <v>0</v>
      </c>
      <c r="C73" s="266">
        <f>'Sources and Uses Budget'!$C72</f>
        <v>0</v>
      </c>
      <c r="D73" s="270">
        <f t="shared" si="0"/>
        <v>0</v>
      </c>
      <c r="E73" s="268"/>
      <c r="F73" s="267"/>
    </row>
    <row r="74" spans="1:6" s="352" customFormat="1" ht="14">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ht="14">
      <c r="A76" s="269" t="s">
        <v>605</v>
      </c>
      <c r="B76" s="266">
        <f>'Sources and Uses Budget'!$C75</f>
        <v>1033881</v>
      </c>
      <c r="C76" s="266">
        <f>'Sources and Uses Budget'!$C75</f>
        <v>1033881</v>
      </c>
      <c r="D76" s="270">
        <f t="shared" si="0"/>
        <v>0</v>
      </c>
      <c r="E76" s="268"/>
      <c r="F76" s="267"/>
    </row>
    <row r="77" spans="1:6" s="352" customFormat="1" ht="14">
      <c r="A77" s="272" t="s">
        <v>34</v>
      </c>
      <c r="B77" s="266">
        <f>'Sources and Uses Budget'!$C76</f>
        <v>100000</v>
      </c>
      <c r="C77" s="266">
        <f>'Sources and Uses Budget'!$C76</f>
        <v>100000</v>
      </c>
      <c r="D77" s="270">
        <f t="shared" si="0"/>
        <v>0</v>
      </c>
      <c r="E77" s="268"/>
      <c r="F77" s="267"/>
    </row>
    <row r="78" spans="1:6" s="352" customFormat="1" ht="14">
      <c r="A78" s="271" t="s">
        <v>606</v>
      </c>
      <c r="B78" s="270">
        <f>SUM(B73:B77)</f>
        <v>1133881</v>
      </c>
      <c r="C78" s="270">
        <f>SUM(C73:C77)</f>
        <v>1133881</v>
      </c>
      <c r="D78" s="270">
        <f t="shared" ref="D78:D106" si="1">C78-B78</f>
        <v>0</v>
      </c>
      <c r="E78" s="268"/>
      <c r="F78" s="267"/>
    </row>
    <row r="79" spans="1:6" s="352" customFormat="1" ht="14">
      <c r="A79" s="264" t="s">
        <v>1210</v>
      </c>
      <c r="B79" s="264"/>
      <c r="C79" s="264"/>
      <c r="D79" s="264"/>
      <c r="E79" s="282"/>
      <c r="F79" s="264"/>
    </row>
    <row r="80" spans="1:6" s="352" customFormat="1" ht="14">
      <c r="A80" s="510" t="s">
        <v>1212</v>
      </c>
      <c r="B80" s="266">
        <f>'Sources and Uses Budget'!$C79</f>
        <v>1861570</v>
      </c>
      <c r="C80" s="266">
        <f>'Sources and Uses Budget'!$C79</f>
        <v>1861570</v>
      </c>
      <c r="D80" s="270">
        <f t="shared" si="1"/>
        <v>0</v>
      </c>
      <c r="E80" s="268"/>
      <c r="F80" s="267"/>
    </row>
    <row r="81" spans="1:6" s="352" customFormat="1" ht="14">
      <c r="A81" s="510" t="s">
        <v>58</v>
      </c>
      <c r="B81" s="266">
        <f>'Sources and Uses Budget'!$C80</f>
        <v>600000</v>
      </c>
      <c r="C81" s="266">
        <f>'Sources and Uses Budget'!$C80</f>
        <v>600000</v>
      </c>
      <c r="D81" s="270">
        <f>C81-B81</f>
        <v>0</v>
      </c>
      <c r="E81" s="268"/>
      <c r="F81" s="267"/>
    </row>
    <row r="82" spans="1:6" s="352" customFormat="1" ht="14">
      <c r="A82" s="271" t="s">
        <v>1209</v>
      </c>
      <c r="B82" s="270">
        <f>SUM(B80:B81)</f>
        <v>2461570</v>
      </c>
      <c r="C82" s="270">
        <f>SUM(C80:C81)</f>
        <v>2461570</v>
      </c>
      <c r="D82" s="270">
        <f t="shared" si="1"/>
        <v>0</v>
      </c>
      <c r="E82" s="268"/>
      <c r="F82" s="267"/>
    </row>
    <row r="83" spans="1:6" s="352" customFormat="1" ht="14">
      <c r="A83" s="264" t="s">
        <v>765</v>
      </c>
      <c r="B83" s="264"/>
      <c r="C83" s="264"/>
      <c r="D83" s="264"/>
      <c r="E83" s="282"/>
      <c r="F83" s="264"/>
    </row>
    <row r="84" spans="1:6" s="352" customFormat="1" ht="13.75" customHeight="1">
      <c r="A84" s="269" t="s">
        <v>766</v>
      </c>
      <c r="B84" s="266">
        <f>'Sources and Uses Budget'!$C83</f>
        <v>160255</v>
      </c>
      <c r="C84" s="266">
        <f>'Sources and Uses Budget'!$C83</f>
        <v>160255</v>
      </c>
      <c r="D84" s="270">
        <f t="shared" si="1"/>
        <v>0</v>
      </c>
      <c r="E84" s="268"/>
      <c r="F84" s="267"/>
    </row>
    <row r="85" spans="1:6" s="352" customFormat="1" ht="14">
      <c r="A85" s="269" t="s">
        <v>767</v>
      </c>
      <c r="B85" s="266">
        <f>'Sources and Uses Budget'!$C84</f>
        <v>0</v>
      </c>
      <c r="C85" s="266">
        <f>'Sources and Uses Budget'!$C84</f>
        <v>0</v>
      </c>
      <c r="D85" s="270">
        <f t="shared" si="1"/>
        <v>0</v>
      </c>
      <c r="E85" s="268"/>
      <c r="F85" s="267"/>
    </row>
    <row r="86" spans="1:6" s="352" customFormat="1" ht="14">
      <c r="A86" s="269" t="s">
        <v>768</v>
      </c>
      <c r="B86" s="266">
        <f>'Sources and Uses Budget'!$C85</f>
        <v>2109915</v>
      </c>
      <c r="C86" s="266">
        <f>'Sources and Uses Budget'!$C85</f>
        <v>2109915</v>
      </c>
      <c r="D86" s="270">
        <f t="shared" si="1"/>
        <v>0</v>
      </c>
      <c r="E86" s="268"/>
      <c r="F86" s="267"/>
    </row>
    <row r="87" spans="1:6" s="352" customFormat="1" ht="14">
      <c r="A87" s="269" t="s">
        <v>769</v>
      </c>
      <c r="B87" s="266">
        <f>'Sources and Uses Budget'!$C86</f>
        <v>25000</v>
      </c>
      <c r="C87" s="266">
        <f>'Sources and Uses Budget'!$C86</f>
        <v>25000</v>
      </c>
      <c r="D87" s="270">
        <f t="shared" si="1"/>
        <v>0</v>
      </c>
      <c r="E87" s="268"/>
      <c r="F87" s="267"/>
    </row>
    <row r="88" spans="1:6" s="352" customFormat="1" ht="14">
      <c r="A88" s="269" t="s">
        <v>770</v>
      </c>
      <c r="B88" s="266">
        <f>'Sources and Uses Budget'!$C87</f>
        <v>0</v>
      </c>
      <c r="C88" s="266">
        <f>'Sources and Uses Budget'!$C87</f>
        <v>0</v>
      </c>
      <c r="D88" s="270">
        <f t="shared" si="1"/>
        <v>0</v>
      </c>
      <c r="E88" s="268"/>
      <c r="F88" s="267"/>
    </row>
    <row r="89" spans="1:6" s="352" customFormat="1" ht="14">
      <c r="A89" s="269" t="s">
        <v>771</v>
      </c>
      <c r="B89" s="266">
        <f>'Sources and Uses Budget'!$C88</f>
        <v>0</v>
      </c>
      <c r="C89" s="266">
        <f>'Sources and Uses Budget'!$C88</f>
        <v>0</v>
      </c>
      <c r="D89" s="270">
        <f t="shared" si="1"/>
        <v>0</v>
      </c>
      <c r="E89" s="268"/>
      <c r="F89" s="267"/>
    </row>
    <row r="90" spans="1:6" s="352" customFormat="1" ht="14">
      <c r="A90" s="269" t="s">
        <v>772</v>
      </c>
      <c r="B90" s="266">
        <f>'Sources and Uses Budget'!$C89</f>
        <v>300000</v>
      </c>
      <c r="C90" s="266">
        <f>'Sources and Uses Budget'!$C89</f>
        <v>300000</v>
      </c>
      <c r="D90" s="270">
        <f t="shared" si="1"/>
        <v>0</v>
      </c>
      <c r="E90" s="268"/>
      <c r="F90" s="267"/>
    </row>
    <row r="91" spans="1:6" s="352" customFormat="1" ht="14">
      <c r="A91" s="269" t="s">
        <v>773</v>
      </c>
      <c r="B91" s="266">
        <f>'Sources and Uses Budget'!$C90</f>
        <v>0</v>
      </c>
      <c r="C91" s="266">
        <f>'Sources and Uses Budget'!$C90</f>
        <v>0</v>
      </c>
      <c r="D91" s="270">
        <f t="shared" si="1"/>
        <v>0</v>
      </c>
      <c r="E91" s="268"/>
      <c r="F91" s="267"/>
    </row>
    <row r="92" spans="1:6" s="352" customFormat="1" ht="14">
      <c r="A92" s="269" t="s">
        <v>371</v>
      </c>
      <c r="B92" s="266">
        <f>'Sources and Uses Budget'!$C91</f>
        <v>60000</v>
      </c>
      <c r="C92" s="266">
        <f>'Sources and Uses Budget'!$C91</f>
        <v>60000</v>
      </c>
      <c r="D92" s="270">
        <f t="shared" si="1"/>
        <v>0</v>
      </c>
      <c r="E92" s="268"/>
      <c r="F92" s="267"/>
    </row>
    <row r="93" spans="1:6" s="352" customFormat="1" ht="14">
      <c r="A93" s="510" t="s">
        <v>1211</v>
      </c>
      <c r="B93" s="266">
        <f>'Sources and Uses Budget'!$C92</f>
        <v>20000</v>
      </c>
      <c r="C93" s="266">
        <f>'Sources and Uses Budget'!$C92</f>
        <v>20000</v>
      </c>
      <c r="D93" s="270">
        <f t="shared" si="1"/>
        <v>0</v>
      </c>
      <c r="E93" s="268"/>
      <c r="F93" s="267"/>
    </row>
    <row r="94" spans="1:6" s="352" customFormat="1" ht="14">
      <c r="A94" s="272" t="s">
        <v>34</v>
      </c>
      <c r="B94" s="266">
        <f>'Sources and Uses Budget'!$C93</f>
        <v>635700</v>
      </c>
      <c r="C94" s="266">
        <f>'Sources and Uses Budget'!$C93</f>
        <v>635700</v>
      </c>
      <c r="D94" s="270">
        <f t="shared" si="1"/>
        <v>0</v>
      </c>
      <c r="E94" s="268"/>
      <c r="F94" s="267"/>
    </row>
    <row r="95" spans="1:6" s="352" customFormat="1" ht="14">
      <c r="A95" s="272" t="s">
        <v>34</v>
      </c>
      <c r="B95" s="266">
        <f>'Sources and Uses Budget'!$C94</f>
        <v>694301</v>
      </c>
      <c r="C95" s="266">
        <f>'Sources and Uses Budget'!$C94</f>
        <v>694301</v>
      </c>
      <c r="D95" s="270">
        <f t="shared" si="1"/>
        <v>0</v>
      </c>
      <c r="E95" s="268"/>
      <c r="F95" s="267"/>
    </row>
    <row r="96" spans="1:6" s="352" customFormat="1" ht="14">
      <c r="A96" s="272" t="s">
        <v>34</v>
      </c>
      <c r="B96" s="266">
        <f>'Sources and Uses Budget'!$C95</f>
        <v>340000</v>
      </c>
      <c r="C96" s="266">
        <f>'Sources and Uses Budget'!$C95</f>
        <v>340000</v>
      </c>
      <c r="D96" s="270">
        <f t="shared" si="1"/>
        <v>0</v>
      </c>
      <c r="E96" s="268"/>
      <c r="F96" s="267"/>
    </row>
    <row r="97" spans="1:6" s="352" customFormat="1" ht="14">
      <c r="A97" s="271" t="s">
        <v>774</v>
      </c>
      <c r="B97" s="270">
        <f>SUM(B84:B96)</f>
        <v>4345171</v>
      </c>
      <c r="C97" s="270">
        <f>SUM(C84:C96)</f>
        <v>4345171</v>
      </c>
      <c r="D97" s="270">
        <f t="shared" si="1"/>
        <v>0</v>
      </c>
      <c r="E97" s="268"/>
      <c r="F97" s="267"/>
    </row>
    <row r="98" spans="1:6" s="352" customFormat="1" ht="14">
      <c r="A98" s="271" t="s">
        <v>775</v>
      </c>
      <c r="B98" s="270">
        <f>SUM(B64+B71+B78+B82+B97)</f>
        <v>63570380</v>
      </c>
      <c r="C98" s="270">
        <f>SUM(C64+C71+C78+C82+C97)</f>
        <v>63570380</v>
      </c>
      <c r="D98" s="270">
        <f t="shared" si="1"/>
        <v>0</v>
      </c>
      <c r="E98" s="268"/>
      <c r="F98" s="267"/>
    </row>
    <row r="99" spans="1:6" s="352" customFormat="1" ht="14">
      <c r="A99" s="264" t="s">
        <v>776</v>
      </c>
      <c r="B99" s="264"/>
      <c r="C99" s="264"/>
      <c r="D99" s="264"/>
      <c r="E99" s="282"/>
      <c r="F99" s="264"/>
    </row>
    <row r="100" spans="1:6" s="352" customFormat="1">
      <c r="A100" s="145" t="s">
        <v>777</v>
      </c>
      <c r="B100" s="266">
        <f>'Sources and Uses Budget'!$C99</f>
        <v>7589096</v>
      </c>
      <c r="C100" s="266">
        <f>'Sources and Uses Budget'!$C99</f>
        <v>7589096</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ht="14">
      <c r="A104" s="1019" t="str">
        <f>'Sources and Uses Budget'!A103</f>
        <v>Other: (Specify)</v>
      </c>
      <c r="B104" s="266">
        <f>'Sources and Uses Budget'!$C103</f>
        <v>0</v>
      </c>
      <c r="C104" s="266">
        <f>'Sources and Uses Budget'!$C103</f>
        <v>0</v>
      </c>
      <c r="D104" s="270">
        <f t="shared" si="1"/>
        <v>0</v>
      </c>
      <c r="E104" s="268"/>
      <c r="F104" s="267"/>
    </row>
    <row r="105" spans="1:6" s="352" customFormat="1" ht="14">
      <c r="A105" s="271" t="s">
        <v>779</v>
      </c>
      <c r="B105" s="270">
        <f>SUM(B100:B104)</f>
        <v>7589096</v>
      </c>
      <c r="C105" s="270">
        <f>SUM(C100:C104)</f>
        <v>7589096</v>
      </c>
      <c r="D105" s="270">
        <f t="shared" si="1"/>
        <v>0</v>
      </c>
      <c r="E105" s="268"/>
      <c r="F105" s="267"/>
    </row>
    <row r="106" spans="1:6" s="352" customFormat="1" ht="14">
      <c r="A106" s="271" t="s">
        <v>780</v>
      </c>
      <c r="B106" s="273">
        <f>SUM(B98+B105)</f>
        <v>71159476</v>
      </c>
      <c r="C106" s="273">
        <f>SUM(C98+C105)</f>
        <v>71159476</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baseColWidth="10" defaultColWidth="0" defaultRowHeight="12.5" customHeight="1" zeroHeight="1"/>
  <cols>
    <col min="1" max="10" width="10.6640625" style="402" customWidth="1"/>
    <col min="11" max="16384" width="8.83203125" style="402" hidden="1"/>
  </cols>
  <sheetData>
    <row r="1" spans="1:10" ht="16">
      <c r="A1" s="1278" t="s">
        <v>1868</v>
      </c>
      <c r="B1" s="1279"/>
      <c r="C1" s="1279"/>
      <c r="D1" s="1279"/>
      <c r="E1" s="1279"/>
      <c r="F1" s="1279"/>
      <c r="G1" s="1279"/>
      <c r="H1" s="1279"/>
      <c r="I1" s="1279"/>
      <c r="J1" s="1279"/>
    </row>
    <row r="2" spans="1:10" ht="16">
      <c r="A2" s="1282" t="s">
        <v>1268</v>
      </c>
      <c r="B2" s="1283"/>
      <c r="C2" s="1283"/>
      <c r="D2" s="1283"/>
      <c r="E2" s="1283"/>
      <c r="F2" s="1283"/>
      <c r="G2" s="1283"/>
      <c r="H2" s="1283"/>
      <c r="I2" s="1283"/>
      <c r="J2" s="1283"/>
    </row>
    <row r="3" spans="1:10" ht="13"/>
    <row r="4" spans="1:10" ht="12.75" customHeight="1">
      <c r="A4" s="1280" t="s">
        <v>2046</v>
      </c>
      <c r="B4" s="1280"/>
      <c r="C4" s="1280"/>
      <c r="D4" s="1280"/>
      <c r="E4" s="1280"/>
      <c r="F4" s="1280"/>
      <c r="G4" s="1280"/>
      <c r="H4" s="1280"/>
      <c r="I4" s="1280"/>
      <c r="J4" s="1280"/>
    </row>
    <row r="5" spans="1:10" ht="13">
      <c r="A5" s="1280"/>
      <c r="B5" s="1280"/>
      <c r="C5" s="1280"/>
      <c r="D5" s="1280"/>
      <c r="E5" s="1280"/>
      <c r="F5" s="1280"/>
      <c r="G5" s="1280"/>
      <c r="H5" s="1280"/>
      <c r="I5" s="1280"/>
      <c r="J5" s="1280"/>
    </row>
    <row r="6" spans="1:10" ht="30" customHeight="1">
      <c r="A6" s="1280"/>
      <c r="B6" s="1280"/>
      <c r="C6" s="1280"/>
      <c r="D6" s="1280"/>
      <c r="E6" s="1280"/>
      <c r="F6" s="1280"/>
      <c r="G6" s="1280"/>
      <c r="H6" s="1280"/>
      <c r="I6" s="1280"/>
      <c r="J6" s="1280"/>
    </row>
    <row r="7" spans="1:10" ht="13">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ht="13"/>
    <row r="10" spans="1:10" ht="12.75" customHeight="1">
      <c r="A10" s="1284" t="s">
        <v>1873</v>
      </c>
      <c r="B10" s="1284"/>
      <c r="C10" s="1284"/>
      <c r="D10" s="1284"/>
      <c r="E10" s="1284"/>
      <c r="F10" s="1284"/>
      <c r="G10" s="1284"/>
      <c r="H10" s="1284"/>
      <c r="I10" s="1284"/>
      <c r="J10" s="1284"/>
    </row>
    <row r="11" spans="1:10" ht="13">
      <c r="A11" s="1284"/>
      <c r="B11" s="1284"/>
      <c r="C11" s="1284"/>
      <c r="D11" s="1284"/>
      <c r="E11" s="1284"/>
      <c r="F11" s="1284"/>
      <c r="G11" s="1284"/>
      <c r="H11" s="1284"/>
      <c r="I11" s="1284"/>
      <c r="J11" s="1284"/>
    </row>
    <row r="12" spans="1:10" ht="13">
      <c r="A12" s="1284"/>
      <c r="B12" s="1284"/>
      <c r="C12" s="1284"/>
      <c r="D12" s="1284"/>
      <c r="E12" s="1284"/>
      <c r="F12" s="1284"/>
      <c r="G12" s="1284"/>
      <c r="H12" s="1284"/>
      <c r="I12" s="1284"/>
      <c r="J12" s="1284"/>
    </row>
    <row r="13" spans="1:10" ht="13">
      <c r="A13" s="1284"/>
      <c r="B13" s="1284"/>
      <c r="C13" s="1284"/>
      <c r="D13" s="1284"/>
      <c r="E13" s="1284"/>
      <c r="F13" s="1284"/>
      <c r="G13" s="1284"/>
      <c r="H13" s="1284"/>
      <c r="I13" s="1284"/>
      <c r="J13" s="1284"/>
    </row>
    <row r="14" spans="1:10" ht="13">
      <c r="A14" s="1284"/>
      <c r="B14" s="1284"/>
      <c r="C14" s="1284"/>
      <c r="D14" s="1284"/>
      <c r="E14" s="1284"/>
      <c r="F14" s="1284"/>
      <c r="G14" s="1284"/>
      <c r="H14" s="1284"/>
      <c r="I14" s="1284"/>
      <c r="J14" s="1284"/>
    </row>
    <row r="15" spans="1:10" ht="13">
      <c r="A15" s="1284"/>
      <c r="B15" s="1284"/>
      <c r="C15" s="1284"/>
      <c r="D15" s="1284"/>
      <c r="E15" s="1284"/>
      <c r="F15" s="1284"/>
      <c r="G15" s="1284"/>
      <c r="H15" s="1284"/>
      <c r="I15" s="1284"/>
      <c r="J15" s="1284"/>
    </row>
    <row r="16" spans="1:10" ht="13">
      <c r="A16" s="524"/>
      <c r="B16" s="524"/>
      <c r="C16" s="524"/>
      <c r="D16" s="524"/>
      <c r="E16" s="524"/>
      <c r="F16" s="524"/>
      <c r="G16" s="524"/>
      <c r="H16" s="524"/>
      <c r="I16" s="524"/>
      <c r="J16" s="524"/>
    </row>
    <row r="17" spans="1:10" ht="13">
      <c r="A17" s="476" t="s">
        <v>1872</v>
      </c>
      <c r="B17" s="416"/>
      <c r="C17" s="416"/>
      <c r="D17" s="416"/>
      <c r="E17" s="416"/>
      <c r="F17" s="416"/>
      <c r="G17" s="416"/>
      <c r="H17" s="416"/>
      <c r="I17" s="416"/>
      <c r="J17" s="416"/>
    </row>
    <row r="18" spans="1:10" ht="14">
      <c r="A18" s="416" t="s">
        <v>249</v>
      </c>
      <c r="B18" s="416"/>
      <c r="C18" s="416"/>
      <c r="D18" s="416"/>
      <c r="E18" s="416"/>
      <c r="F18" s="416"/>
      <c r="G18" s="416"/>
      <c r="H18" s="416"/>
      <c r="I18" s="416"/>
      <c r="J18" s="416"/>
    </row>
    <row r="19" spans="1:10" ht="13">
      <c r="A19" s="1283" t="s">
        <v>1189</v>
      </c>
      <c r="B19" s="1283"/>
      <c r="C19" s="1283"/>
      <c r="D19" s="1283"/>
      <c r="E19" s="1283"/>
    </row>
    <row r="20" spans="1:10" ht="13"/>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c r="A56" s="1280" t="s">
        <v>1190</v>
      </c>
      <c r="B56" s="1280"/>
      <c r="C56" s="1280"/>
      <c r="D56" s="1280"/>
      <c r="E56" s="1280"/>
      <c r="F56" s="1280"/>
      <c r="G56" s="1280"/>
      <c r="H56" s="1280"/>
      <c r="I56" s="1280"/>
      <c r="J56" s="1280"/>
    </row>
    <row r="57" spans="1:10" ht="13">
      <c r="A57" s="1280"/>
      <c r="B57" s="1280"/>
      <c r="C57" s="1280"/>
      <c r="D57" s="1280"/>
      <c r="E57" s="1280"/>
      <c r="F57" s="1280"/>
      <c r="G57" s="1280"/>
      <c r="H57" s="1280"/>
      <c r="I57" s="1280"/>
      <c r="J57" s="1280"/>
    </row>
    <row r="58" spans="1:10" ht="13">
      <c r="A58" s="1280"/>
      <c r="B58" s="1280"/>
      <c r="C58" s="1280"/>
      <c r="D58" s="1280"/>
      <c r="E58" s="1280"/>
      <c r="F58" s="1280"/>
      <c r="G58" s="1280"/>
      <c r="H58" s="1280"/>
      <c r="I58" s="1280"/>
      <c r="J58" s="1280"/>
    </row>
    <row r="59" spans="1:10" ht="13"/>
    <row r="60" spans="1:10" ht="13">
      <c r="A60" s="402" t="s">
        <v>1189</v>
      </c>
    </row>
    <row r="61" spans="1:10" ht="13"/>
    <row r="62" spans="1:10" ht="13"/>
    <row r="63" spans="1:10" ht="13"/>
    <row r="64" spans="1:10" ht="13"/>
    <row r="65" spans="1:9" ht="13"/>
    <row r="66" spans="1:9" ht="13"/>
    <row r="67" spans="1:9" ht="13"/>
    <row r="68" spans="1:9" ht="13"/>
    <row r="69" spans="1:9" ht="13"/>
    <row r="70" spans="1:9" ht="13"/>
    <row r="71" spans="1:9" ht="13">
      <c r="A71" s="1281" t="s">
        <v>1869</v>
      </c>
      <c r="B71" s="1281"/>
      <c r="C71" s="1281"/>
      <c r="D71" s="1281"/>
      <c r="E71" s="1281"/>
      <c r="F71" s="1281"/>
      <c r="G71" s="1281"/>
      <c r="H71" s="1281"/>
      <c r="I71" s="1281"/>
    </row>
    <row r="72" spans="1:9" ht="13">
      <c r="A72" s="1271" t="s">
        <v>2044</v>
      </c>
      <c r="B72" s="1271"/>
      <c r="C72" s="1271"/>
      <c r="D72" s="1271"/>
      <c r="E72" s="1271"/>
    </row>
    <row r="73" spans="1:9" ht="13">
      <c r="A73" s="1271" t="s">
        <v>2045</v>
      </c>
      <c r="B73" s="1271"/>
      <c r="C73" s="1271"/>
      <c r="D73" s="1271"/>
      <c r="E73" s="1271"/>
    </row>
    <row r="74" spans="1:9" ht="13">
      <c r="A74" s="1271" t="s">
        <v>1870</v>
      </c>
      <c r="B74" s="1271"/>
      <c r="C74" s="1271"/>
      <c r="D74" s="1271"/>
      <c r="E74" s="1271"/>
    </row>
    <row r="75" spans="1:9" ht="13"/>
    <row r="76" spans="1:9" ht="13"/>
    <row r="77" spans="1:9" ht="13"/>
    <row r="78" spans="1:9" ht="12.5" customHeight="1"/>
    <row r="79" spans="1:9" ht="12.5" customHeight="1"/>
    <row r="80" spans="1:9" ht="12.5" customHeight="1"/>
    <row r="81" ht="12.5" customHeight="1"/>
    <row r="82" ht="12.5" customHeight="1"/>
    <row r="83" ht="12.5" customHeight="1"/>
    <row r="84" ht="12.5" customHeight="1"/>
    <row r="85" ht="12.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091" zoomScale="110" zoomScaleNormal="110" workbookViewId="0">
      <selection activeCell="B1123" sqref="B1123"/>
    </sheetView>
  </sheetViews>
  <sheetFormatPr baseColWidth="10" defaultColWidth="0" defaultRowHeight="13" zeroHeight="1"/>
  <cols>
    <col min="1" max="1" width="3.5" style="480" customWidth="1"/>
    <col min="2" max="2" width="13.5" style="480" customWidth="1"/>
    <col min="3" max="3" width="2.5" style="480" customWidth="1"/>
    <col min="4" max="5" width="3.5" style="402" customWidth="1"/>
    <col min="6" max="6" width="65.5" style="402" customWidth="1"/>
    <col min="7" max="7" width="1.5" style="402" customWidth="1"/>
    <col min="8" max="8" width="3.5" style="402" customWidth="1"/>
    <col min="9" max="9" width="9.1640625" style="404" customWidth="1"/>
    <col min="10" max="10" width="8.83203125" style="402" hidden="1" customWidth="1"/>
    <col min="11" max="16384" width="8.83203125" style="402" hidden="1"/>
  </cols>
  <sheetData>
    <row r="1" spans="1:13"/>
    <row r="2" spans="1:13">
      <c r="A2" s="1285" t="s">
        <v>2453</v>
      </c>
      <c r="B2" s="1285"/>
      <c r="C2" s="1285"/>
      <c r="D2" s="1285"/>
      <c r="E2" s="1285"/>
      <c r="F2" s="1285"/>
      <c r="G2" s="1285"/>
      <c r="H2" s="1285"/>
      <c r="I2" s="1285"/>
    </row>
    <row r="3" spans="1:13">
      <c r="A3" s="1286" t="s">
        <v>2218</v>
      </c>
      <c r="B3" s="1286"/>
      <c r="C3" s="1286"/>
      <c r="D3" s="1286"/>
      <c r="E3" s="1286"/>
      <c r="F3" s="1286"/>
      <c r="G3" s="1286"/>
      <c r="H3" s="1286"/>
      <c r="I3" s="1286"/>
    </row>
    <row r="4" spans="1:13">
      <c r="A4" s="1286"/>
      <c r="B4" s="1286"/>
      <c r="C4" s="1283"/>
      <c r="D4" s="1283"/>
      <c r="E4" s="1283"/>
      <c r="F4" s="1283"/>
      <c r="G4" s="1283"/>
    </row>
    <row r="5" spans="1:13">
      <c r="A5" s="1286"/>
      <c r="B5" s="1286"/>
      <c r="C5" s="1283"/>
      <c r="D5" s="1283"/>
      <c r="E5" s="1283"/>
      <c r="F5" s="1283"/>
      <c r="G5" s="1283"/>
    </row>
    <row r="6" spans="1:13" ht="12.75" customHeight="1">
      <c r="A6" s="1310" t="s">
        <v>2217</v>
      </c>
      <c r="B6" s="1310"/>
      <c r="C6" s="1310"/>
      <c r="D6" s="1310"/>
      <c r="E6" s="1310"/>
      <c r="F6" s="1310"/>
      <c r="G6" s="1310"/>
      <c r="I6" s="490"/>
    </row>
    <row r="7" spans="1:13">
      <c r="A7" s="1310"/>
      <c r="B7" s="1310"/>
      <c r="C7" s="1310"/>
      <c r="D7" s="1310"/>
      <c r="E7" s="1310"/>
      <c r="F7" s="1310"/>
      <c r="G7" s="1310"/>
      <c r="I7" s="490"/>
    </row>
    <row r="8" spans="1:13">
      <c r="A8" s="481"/>
      <c r="B8" s="481"/>
      <c r="C8" s="482"/>
      <c r="D8" s="482"/>
      <c r="E8" s="482"/>
      <c r="F8" s="482"/>
    </row>
    <row r="9" spans="1:13">
      <c r="A9" s="1290" t="s">
        <v>1101</v>
      </c>
      <c r="B9" s="1290"/>
      <c r="C9" s="1290"/>
      <c r="D9" s="1290"/>
      <c r="E9" s="1290"/>
      <c r="F9" s="1290"/>
      <c r="G9" s="1290"/>
      <c r="H9" s="1028"/>
      <c r="I9" s="1029"/>
    </row>
    <row r="10" spans="1:13">
      <c r="A10" s="482"/>
      <c r="B10" s="482"/>
      <c r="E10" s="404"/>
    </row>
    <row r="11" spans="1:13" ht="13.75" customHeight="1">
      <c r="C11" s="482"/>
      <c r="D11" s="1309" t="s">
        <v>1100</v>
      </c>
      <c r="E11" s="1309"/>
      <c r="F11" s="1309"/>
    </row>
    <row r="12" spans="1:13">
      <c r="C12" s="482"/>
      <c r="D12" s="1309"/>
      <c r="E12" s="1309"/>
      <c r="F12" s="1309"/>
    </row>
    <row r="13" spans="1:13">
      <c r="A13" s="483"/>
      <c r="B13" s="483"/>
      <c r="C13" s="483"/>
      <c r="D13" s="1288" t="s">
        <v>1090</v>
      </c>
      <c r="E13" s="1288"/>
      <c r="F13" s="1288"/>
      <c r="M13" s="96"/>
    </row>
    <row r="14" spans="1:13">
      <c r="A14" s="483"/>
      <c r="B14" s="483"/>
      <c r="C14" s="483"/>
      <c r="D14" s="476"/>
      <c r="L14" s="312"/>
    </row>
    <row r="15" spans="1:13">
      <c r="A15" s="484"/>
      <c r="B15" s="485" t="s">
        <v>2812</v>
      </c>
      <c r="C15" s="483"/>
      <c r="D15" s="1287" t="s">
        <v>1921</v>
      </c>
      <c r="E15" s="1287"/>
      <c r="F15" s="1287"/>
      <c r="I15" s="490"/>
    </row>
    <row r="16" spans="1:13">
      <c r="A16" s="483"/>
      <c r="B16" s="483"/>
      <c r="C16" s="483"/>
      <c r="D16" s="1287"/>
      <c r="E16" s="1287"/>
      <c r="F16" s="1287"/>
      <c r="I16" s="490"/>
    </row>
    <row r="17" spans="1:9">
      <c r="A17" s="483"/>
      <c r="B17" s="483"/>
      <c r="C17" s="483"/>
      <c r="D17" s="1287"/>
      <c r="E17" s="1287"/>
      <c r="F17" s="1287"/>
      <c r="I17" s="490"/>
    </row>
    <row r="18" spans="1:9">
      <c r="A18" s="483"/>
      <c r="B18" s="483"/>
      <c r="C18" s="483"/>
      <c r="D18" s="445"/>
      <c r="E18" s="312" t="s">
        <v>1919</v>
      </c>
      <c r="F18" s="445"/>
      <c r="I18" s="490"/>
    </row>
    <row r="19" spans="1:9">
      <c r="A19" s="483"/>
      <c r="B19" s="483"/>
      <c r="C19" s="483"/>
      <c r="I19" s="490"/>
    </row>
    <row r="20" spans="1:9">
      <c r="A20" s="484"/>
      <c r="B20" s="485" t="s">
        <v>2812</v>
      </c>
      <c r="D20" s="1287" t="s">
        <v>1922</v>
      </c>
      <c r="E20" s="1287"/>
      <c r="F20" s="1287"/>
      <c r="I20" s="490"/>
    </row>
    <row r="21" spans="1:9">
      <c r="A21" s="484"/>
      <c r="D21" s="1287"/>
      <c r="E21" s="1287"/>
      <c r="F21" s="1287"/>
      <c r="I21" s="490"/>
    </row>
    <row r="22" spans="1:9">
      <c r="A22" s="484"/>
      <c r="D22" s="392"/>
      <c r="E22" s="96" t="s">
        <v>1918</v>
      </c>
      <c r="F22" s="392"/>
      <c r="I22" s="490"/>
    </row>
    <row r="23" spans="1:9">
      <c r="A23" s="484"/>
      <c r="B23" s="484"/>
      <c r="D23" s="446"/>
      <c r="I23" s="490"/>
    </row>
    <row r="24" spans="1:9">
      <c r="A24" s="484"/>
      <c r="B24" s="485" t="s">
        <v>2813</v>
      </c>
      <c r="D24" s="1287" t="s">
        <v>1091</v>
      </c>
      <c r="E24" s="1287"/>
      <c r="F24" s="1287"/>
      <c r="I24" s="490"/>
    </row>
    <row r="25" spans="1:9">
      <c r="A25" s="484"/>
      <c r="B25" s="484"/>
      <c r="D25" s="1287"/>
      <c r="E25" s="1287"/>
      <c r="F25" s="1287"/>
      <c r="I25" s="490"/>
    </row>
    <row r="26" spans="1:9">
      <c r="I26" s="490"/>
    </row>
    <row r="27" spans="1:9">
      <c r="A27" s="484"/>
      <c r="B27" s="485" t="s">
        <v>2812</v>
      </c>
      <c r="D27" s="1287" t="s">
        <v>2047</v>
      </c>
      <c r="E27" s="1287"/>
      <c r="F27" s="1287"/>
      <c r="I27" s="490"/>
    </row>
    <row r="28" spans="1:9">
      <c r="D28" s="1287"/>
      <c r="E28" s="1287"/>
      <c r="F28" s="1287"/>
      <c r="I28" s="490"/>
    </row>
    <row r="29" spans="1:9">
      <c r="D29" s="1287"/>
      <c r="E29" s="1287"/>
      <c r="F29" s="1287"/>
      <c r="I29" s="490"/>
    </row>
    <row r="30" spans="1:9">
      <c r="D30" s="1287"/>
      <c r="E30" s="1287"/>
      <c r="F30" s="1287"/>
      <c r="I30" s="490"/>
    </row>
    <row r="31" spans="1:9">
      <c r="D31" s="1287"/>
      <c r="E31" s="1287"/>
      <c r="F31" s="1287"/>
      <c r="I31" s="490"/>
    </row>
    <row r="32" spans="1:9">
      <c r="D32" s="447"/>
      <c r="I32" s="490"/>
    </row>
    <row r="33" spans="1:9">
      <c r="B33" s="485" t="s">
        <v>2813</v>
      </c>
      <c r="D33" s="1287" t="s">
        <v>2048</v>
      </c>
      <c r="E33" s="1287"/>
      <c r="F33" s="1287"/>
      <c r="I33" s="490"/>
    </row>
    <row r="34" spans="1:9">
      <c r="D34" s="1287"/>
      <c r="E34" s="1287"/>
      <c r="F34" s="1287"/>
      <c r="I34" s="490"/>
    </row>
    <row r="35" spans="1:9">
      <c r="A35" s="484"/>
      <c r="B35" s="484"/>
      <c r="D35" s="447"/>
      <c r="I35" s="490"/>
    </row>
    <row r="36" spans="1:9" ht="14.5" customHeight="1">
      <c r="A36" s="484"/>
      <c r="B36" s="485" t="s">
        <v>2813</v>
      </c>
      <c r="D36" s="1287" t="s">
        <v>1214</v>
      </c>
      <c r="E36" s="1287"/>
      <c r="F36" s="1287"/>
      <c r="I36" s="490"/>
    </row>
    <row r="37" spans="1:9">
      <c r="A37" s="484"/>
      <c r="B37" s="484"/>
      <c r="D37" s="1287"/>
      <c r="E37" s="1287"/>
      <c r="F37" s="1287"/>
      <c r="I37" s="490"/>
    </row>
    <row r="38" spans="1:9">
      <c r="A38" s="484"/>
      <c r="B38" s="484"/>
      <c r="D38" s="1287"/>
      <c r="E38" s="1287"/>
      <c r="F38" s="1287"/>
      <c r="I38" s="490"/>
    </row>
    <row r="39" spans="1:9">
      <c r="A39" s="484"/>
      <c r="B39" s="484"/>
      <c r="D39" s="1287"/>
      <c r="E39" s="1287"/>
      <c r="F39" s="1287"/>
      <c r="I39" s="490"/>
    </row>
    <row r="40" spans="1:9">
      <c r="A40" s="484"/>
      <c r="B40" s="484"/>
      <c r="I40" s="490"/>
    </row>
    <row r="41" spans="1:9">
      <c r="A41" s="484"/>
      <c r="B41" s="485" t="s">
        <v>2813</v>
      </c>
      <c r="D41" s="1287" t="s">
        <v>1092</v>
      </c>
      <c r="E41" s="1287"/>
      <c r="F41" s="1287"/>
      <c r="I41" s="490"/>
    </row>
    <row r="42" spans="1:9">
      <c r="A42" s="484"/>
      <c r="B42" s="484"/>
      <c r="D42" s="1287"/>
      <c r="E42" s="1287"/>
      <c r="F42" s="1287"/>
      <c r="I42" s="490"/>
    </row>
    <row r="43" spans="1:9">
      <c r="A43" s="484"/>
      <c r="B43" s="484"/>
      <c r="D43" s="1287"/>
      <c r="E43" s="1287"/>
      <c r="F43" s="1287"/>
      <c r="I43" s="490"/>
    </row>
    <row r="44" spans="1:9">
      <c r="A44" s="484"/>
      <c r="B44" s="484"/>
      <c r="D44" s="1287"/>
      <c r="E44" s="1287"/>
      <c r="F44" s="1287"/>
      <c r="I44" s="490"/>
    </row>
    <row r="45" spans="1:9">
      <c r="A45" s="484"/>
      <c r="B45" s="484"/>
      <c r="D45" s="1287"/>
      <c r="E45" s="1287"/>
      <c r="F45" s="1287"/>
      <c r="I45" s="490"/>
    </row>
    <row r="46" spans="1:9">
      <c r="A46" s="484"/>
      <c r="B46" s="484"/>
      <c r="D46" s="445"/>
      <c r="E46" s="445"/>
      <c r="F46" s="445"/>
      <c r="I46" s="490"/>
    </row>
    <row r="47" spans="1:9">
      <c r="A47" s="484"/>
      <c r="B47" s="485" t="s">
        <v>2812</v>
      </c>
      <c r="D47" s="1287" t="s">
        <v>1093</v>
      </c>
      <c r="E47" s="1287"/>
      <c r="F47" s="1287"/>
      <c r="I47" s="490"/>
    </row>
    <row r="48" spans="1:9">
      <c r="A48" s="484"/>
      <c r="B48" s="484"/>
      <c r="D48" s="1287"/>
      <c r="E48" s="1287"/>
      <c r="F48" s="1287"/>
      <c r="I48" s="490"/>
    </row>
    <row r="49" spans="1:9">
      <c r="A49" s="484"/>
      <c r="B49" s="484"/>
      <c r="D49" s="1287"/>
      <c r="E49" s="1287"/>
      <c r="F49" s="1287"/>
      <c r="I49" s="490"/>
    </row>
    <row r="50" spans="1:9" ht="23.25" customHeight="1">
      <c r="A50" s="484"/>
      <c r="B50" s="484"/>
      <c r="D50" s="1287"/>
      <c r="E50" s="1287"/>
      <c r="F50" s="1287"/>
      <c r="I50" s="490"/>
    </row>
    <row r="51" spans="1:9">
      <c r="A51" s="484"/>
      <c r="B51" s="484"/>
      <c r="D51" s="446"/>
      <c r="I51" s="490"/>
    </row>
    <row r="52" spans="1:9" ht="14.5" customHeight="1">
      <c r="A52" s="484"/>
      <c r="B52" s="485" t="s">
        <v>306</v>
      </c>
      <c r="D52" s="1287" t="s">
        <v>1094</v>
      </c>
      <c r="E52" s="1287"/>
      <c r="F52" s="1287"/>
      <c r="I52" s="490"/>
    </row>
    <row r="53" spans="1:9">
      <c r="A53" s="484"/>
      <c r="B53" s="484"/>
      <c r="D53" s="1287"/>
      <c r="E53" s="1287"/>
      <c r="F53" s="1287"/>
      <c r="I53" s="490"/>
    </row>
    <row r="54" spans="1:9">
      <c r="A54" s="484"/>
      <c r="B54" s="484"/>
      <c r="D54" s="1287"/>
      <c r="E54" s="1287"/>
      <c r="F54" s="1287"/>
      <c r="I54" s="490"/>
    </row>
    <row r="55" spans="1:9">
      <c r="A55" s="484"/>
      <c r="B55" s="484"/>
      <c r="I55" s="490"/>
    </row>
    <row r="56" spans="1:9">
      <c r="A56" s="484"/>
      <c r="B56" s="485" t="s">
        <v>306</v>
      </c>
      <c r="D56" s="1311" t="s">
        <v>1095</v>
      </c>
      <c r="E56" s="1311"/>
      <c r="F56" s="1311"/>
      <c r="I56" s="490"/>
    </row>
    <row r="57" spans="1:9">
      <c r="A57" s="484"/>
      <c r="B57" s="484"/>
      <c r="D57" s="1311"/>
      <c r="E57" s="1311"/>
      <c r="F57" s="1311"/>
      <c r="I57" s="490"/>
    </row>
    <row r="58" spans="1:9">
      <c r="A58" s="484"/>
      <c r="B58" s="484"/>
      <c r="D58" s="392" t="s">
        <v>1920</v>
      </c>
      <c r="E58" s="445"/>
      <c r="F58" s="445"/>
      <c r="I58" s="490"/>
    </row>
    <row r="59" spans="1:9">
      <c r="A59" s="484"/>
      <c r="B59" s="484"/>
      <c r="D59" s="445"/>
      <c r="E59" s="312" t="s">
        <v>1919</v>
      </c>
      <c r="F59" s="445"/>
      <c r="I59" s="490"/>
    </row>
    <row r="60" spans="1:9">
      <c r="D60" s="447"/>
      <c r="I60" s="490"/>
    </row>
    <row r="61" spans="1:9">
      <c r="A61" s="484"/>
      <c r="B61" s="485" t="s">
        <v>2813</v>
      </c>
      <c r="D61" s="1287" t="s">
        <v>1096</v>
      </c>
      <c r="E61" s="1287"/>
      <c r="F61" s="1287"/>
      <c r="I61" s="490"/>
    </row>
    <row r="62" spans="1:9">
      <c r="D62" s="1287"/>
      <c r="E62" s="1287"/>
      <c r="F62" s="1287"/>
      <c r="I62" s="490"/>
    </row>
    <row r="63" spans="1:9">
      <c r="D63" s="1287"/>
      <c r="E63" s="1287"/>
      <c r="F63" s="1287"/>
      <c r="I63" s="490"/>
    </row>
    <row r="64" spans="1:9">
      <c r="I64" s="490"/>
    </row>
    <row r="65" spans="1:9">
      <c r="A65" s="484"/>
      <c r="B65" s="485" t="s">
        <v>2813</v>
      </c>
      <c r="D65" s="1287" t="s">
        <v>1097</v>
      </c>
      <c r="E65" s="1287"/>
      <c r="F65" s="1287"/>
      <c r="I65" s="490"/>
    </row>
    <row r="66" spans="1:9">
      <c r="D66" s="1287"/>
      <c r="E66" s="1287"/>
      <c r="F66" s="1287"/>
      <c r="I66" s="490"/>
    </row>
    <row r="67" spans="1:9">
      <c r="I67" s="490"/>
    </row>
    <row r="68" spans="1:9">
      <c r="A68" s="484"/>
      <c r="B68" s="485" t="s">
        <v>2812</v>
      </c>
      <c r="D68" s="1287" t="s">
        <v>1098</v>
      </c>
      <c r="E68" s="1287"/>
      <c r="F68" s="1287"/>
      <c r="I68" s="490"/>
    </row>
    <row r="69" spans="1:9">
      <c r="D69" s="1287"/>
      <c r="E69" s="1287"/>
      <c r="F69" s="1287"/>
      <c r="I69" s="490"/>
    </row>
    <row r="70" spans="1:9">
      <c r="D70" s="1287"/>
      <c r="E70" s="1287"/>
      <c r="F70" s="1287"/>
      <c r="I70" s="490"/>
    </row>
    <row r="71" spans="1:9">
      <c r="I71" s="490"/>
    </row>
    <row r="72" spans="1:9">
      <c r="A72" s="484"/>
      <c r="B72" s="485" t="s">
        <v>2812</v>
      </c>
      <c r="D72" s="1287" t="s">
        <v>1099</v>
      </c>
      <c r="E72" s="1287"/>
      <c r="F72" s="1287"/>
      <c r="I72" s="490"/>
    </row>
    <row r="73" spans="1:9">
      <c r="D73" s="1287"/>
      <c r="E73" s="1287"/>
      <c r="F73" s="1287"/>
      <c r="I73" s="490"/>
    </row>
    <row r="74" spans="1:9">
      <c r="A74" s="484"/>
      <c r="B74" s="484"/>
      <c r="D74" s="446"/>
      <c r="I74" s="490"/>
    </row>
    <row r="75" spans="1:9">
      <c r="A75" s="1290" t="s">
        <v>1044</v>
      </c>
      <c r="B75" s="1290"/>
      <c r="C75" s="1290"/>
      <c r="D75" s="1290"/>
      <c r="E75" s="1290"/>
      <c r="F75" s="1290"/>
      <c r="G75" s="1290"/>
      <c r="H75" s="1028"/>
      <c r="I75" s="1153"/>
    </row>
    <row r="76" spans="1:9">
      <c r="I76" s="490"/>
    </row>
    <row r="77" spans="1:9">
      <c r="C77" s="486"/>
      <c r="D77" s="1289" t="s">
        <v>1102</v>
      </c>
      <c r="E77" s="1289"/>
      <c r="F77" s="1289"/>
      <c r="I77" s="490"/>
    </row>
    <row r="78" spans="1:9">
      <c r="A78" s="446"/>
      <c r="B78" s="446"/>
      <c r="D78" s="1287" t="s">
        <v>1117</v>
      </c>
      <c r="E78" s="1287"/>
      <c r="F78" s="1287"/>
      <c r="I78" s="490"/>
    </row>
    <row r="79" spans="1:9">
      <c r="A79" s="446"/>
      <c r="B79" s="446"/>
      <c r="I79" s="490"/>
    </row>
    <row r="80" spans="1:9" ht="13.75" customHeight="1">
      <c r="A80" s="484"/>
      <c r="B80" s="485" t="s">
        <v>2812</v>
      </c>
      <c r="D80" s="1287" t="s">
        <v>1245</v>
      </c>
      <c r="E80" s="1287"/>
      <c r="F80" s="1287"/>
      <c r="I80" s="490"/>
    </row>
    <row r="81" spans="1:9">
      <c r="A81" s="484"/>
      <c r="B81" s="484"/>
      <c r="D81" s="1287"/>
      <c r="E81" s="1287"/>
      <c r="F81" s="1287"/>
      <c r="I81" s="490"/>
    </row>
    <row r="82" spans="1:9">
      <c r="A82" s="484"/>
      <c r="B82" s="484"/>
      <c r="D82" s="1287"/>
      <c r="E82" s="1287"/>
      <c r="F82" s="1287"/>
      <c r="I82" s="490"/>
    </row>
    <row r="83" spans="1:9">
      <c r="A83" s="484"/>
      <c r="B83" s="484"/>
      <c r="D83" s="1287"/>
      <c r="E83" s="1287"/>
      <c r="F83" s="1287"/>
      <c r="I83" s="490"/>
    </row>
    <row r="84" spans="1:9">
      <c r="A84" s="484"/>
      <c r="B84" s="484"/>
      <c r="D84" s="1287"/>
      <c r="E84" s="1287"/>
      <c r="F84" s="1287"/>
      <c r="I84" s="490"/>
    </row>
    <row r="85" spans="1:9">
      <c r="A85" s="484"/>
      <c r="B85" s="484"/>
      <c r="D85" s="1287"/>
      <c r="E85" s="1287"/>
      <c r="F85" s="1287"/>
      <c r="I85" s="490"/>
    </row>
    <row r="86" spans="1:9">
      <c r="A86" s="484"/>
      <c r="B86" s="484"/>
      <c r="D86" s="1287"/>
      <c r="E86" s="1287"/>
      <c r="F86" s="1287"/>
      <c r="I86" s="490"/>
    </row>
    <row r="87" spans="1:9">
      <c r="A87" s="484"/>
      <c r="B87" s="484"/>
      <c r="D87" s="1287"/>
      <c r="E87" s="1287"/>
      <c r="F87" s="1287"/>
      <c r="I87" s="490"/>
    </row>
    <row r="88" spans="1:9">
      <c r="A88" s="484"/>
      <c r="B88" s="484"/>
      <c r="D88" s="385"/>
      <c r="E88" s="385"/>
      <c r="F88" s="385"/>
      <c r="I88" s="490"/>
    </row>
    <row r="89" spans="1:9" ht="15" customHeight="1">
      <c r="A89" s="484"/>
      <c r="B89" s="485" t="s">
        <v>2812</v>
      </c>
      <c r="D89" s="1287" t="s">
        <v>1742</v>
      </c>
      <c r="E89" s="1287"/>
      <c r="F89" s="1287"/>
      <c r="I89" s="490"/>
    </row>
    <row r="90" spans="1:9">
      <c r="A90" s="484"/>
      <c r="B90" s="484"/>
      <c r="D90" s="1287"/>
      <c r="E90" s="1287"/>
      <c r="F90" s="1287"/>
      <c r="I90" s="490"/>
    </row>
    <row r="91" spans="1:9">
      <c r="A91" s="484"/>
      <c r="B91" s="484"/>
      <c r="D91" s="445"/>
      <c r="E91" s="445"/>
      <c r="F91" s="445"/>
      <c r="I91" s="490"/>
    </row>
    <row r="92" spans="1:9">
      <c r="A92" s="484"/>
      <c r="B92" s="485" t="s">
        <v>2812</v>
      </c>
      <c r="D92" s="1287" t="s">
        <v>1745</v>
      </c>
      <c r="E92" s="1287"/>
      <c r="F92" s="1287"/>
      <c r="I92" s="490"/>
    </row>
    <row r="93" spans="1:9">
      <c r="A93" s="484"/>
      <c r="B93" s="484"/>
      <c r="D93" s="1287"/>
      <c r="E93" s="1287"/>
      <c r="F93" s="1287"/>
      <c r="I93" s="490"/>
    </row>
    <row r="94" spans="1:9">
      <c r="A94" s="484"/>
      <c r="B94" s="484"/>
      <c r="D94" s="1287"/>
      <c r="E94" s="1287"/>
      <c r="F94" s="1287"/>
      <c r="I94" s="490"/>
    </row>
    <row r="95" spans="1:9">
      <c r="A95" s="484"/>
      <c r="B95" s="484"/>
      <c r="D95" s="445"/>
      <c r="E95" s="445"/>
      <c r="F95" s="445"/>
      <c r="I95" s="490"/>
    </row>
    <row r="96" spans="1:9">
      <c r="A96" s="484"/>
      <c r="B96" s="485" t="s">
        <v>2812</v>
      </c>
      <c r="D96" s="1287" t="s">
        <v>1744</v>
      </c>
      <c r="E96" s="1287"/>
      <c r="F96" s="1287"/>
      <c r="I96" s="490"/>
    </row>
    <row r="97" spans="1:9" s="987" customFormat="1">
      <c r="A97" s="985"/>
      <c r="B97" s="985"/>
      <c r="C97" s="986"/>
      <c r="D97" s="1287"/>
      <c r="E97" s="1287"/>
      <c r="F97" s="1287"/>
      <c r="I97" s="1154"/>
    </row>
    <row r="98" spans="1:9">
      <c r="A98" s="484"/>
      <c r="B98" s="484"/>
      <c r="D98" s="392"/>
      <c r="E98" s="312" t="s">
        <v>1923</v>
      </c>
      <c r="F98" s="445"/>
      <c r="I98" s="490"/>
    </row>
    <row r="99" spans="1:9">
      <c r="A99" s="484"/>
      <c r="B99" s="484"/>
      <c r="D99" s="385"/>
      <c r="E99" s="385"/>
      <c r="F99" s="385"/>
      <c r="I99" s="490"/>
    </row>
    <row r="100" spans="1:9">
      <c r="A100" s="484"/>
      <c r="B100" s="485" t="s">
        <v>2813</v>
      </c>
      <c r="D100" s="1287" t="s">
        <v>1743</v>
      </c>
      <c r="E100" s="1287"/>
      <c r="F100" s="1287"/>
      <c r="I100" s="490"/>
    </row>
    <row r="101" spans="1:9">
      <c r="A101" s="484"/>
      <c r="B101" s="484"/>
      <c r="D101" s="1287"/>
      <c r="E101" s="1287"/>
      <c r="F101" s="1287"/>
      <c r="I101" s="490"/>
    </row>
    <row r="102" spans="1:9">
      <c r="A102" s="484"/>
      <c r="B102" s="484"/>
      <c r="D102" s="445"/>
      <c r="E102" s="445"/>
      <c r="F102" s="445"/>
      <c r="I102" s="490"/>
    </row>
    <row r="103" spans="1:9" ht="14.5" customHeight="1">
      <c r="A103" s="484"/>
      <c r="B103" s="485" t="s">
        <v>2813</v>
      </c>
      <c r="D103" s="1287" t="s">
        <v>1194</v>
      </c>
      <c r="E103" s="1287"/>
      <c r="F103" s="1287"/>
      <c r="I103" s="490"/>
    </row>
    <row r="104" spans="1:9">
      <c r="A104" s="484"/>
      <c r="B104" s="484"/>
      <c r="D104" s="1287"/>
      <c r="E104" s="1287"/>
      <c r="F104" s="1287"/>
      <c r="I104" s="490"/>
    </row>
    <row r="105" spans="1:9">
      <c r="A105" s="484"/>
      <c r="B105" s="484"/>
      <c r="D105" s="1287"/>
      <c r="E105" s="1287"/>
      <c r="F105" s="1287"/>
      <c r="I105" s="490"/>
    </row>
    <row r="106" spans="1:9">
      <c r="A106" s="484"/>
      <c r="B106" s="484"/>
      <c r="D106" s="1287"/>
      <c r="E106" s="1287"/>
      <c r="F106" s="1287"/>
      <c r="I106" s="490"/>
    </row>
    <row r="107" spans="1:9">
      <c r="A107" s="484"/>
      <c r="B107" s="484"/>
      <c r="D107" s="1287"/>
      <c r="E107" s="1287"/>
      <c r="F107" s="1287"/>
      <c r="I107" s="490"/>
    </row>
    <row r="108" spans="1:9">
      <c r="A108" s="484"/>
      <c r="B108" s="484"/>
      <c r="D108" s="1287"/>
      <c r="E108" s="1287"/>
      <c r="F108" s="1287"/>
      <c r="I108" s="490"/>
    </row>
    <row r="109" spans="1:9">
      <c r="A109" s="484"/>
      <c r="B109" s="484"/>
      <c r="D109" s="1287"/>
      <c r="E109" s="1287"/>
      <c r="F109" s="1287"/>
      <c r="I109" s="490"/>
    </row>
    <row r="110" spans="1:9">
      <c r="A110" s="484"/>
      <c r="B110" s="484"/>
      <c r="D110" s="1287"/>
      <c r="E110" s="1287"/>
      <c r="F110" s="1287"/>
      <c r="I110" s="490"/>
    </row>
    <row r="111" spans="1:9">
      <c r="A111" s="484"/>
      <c r="B111" s="484"/>
      <c r="D111" s="1287"/>
      <c r="E111" s="1287"/>
      <c r="F111" s="1287"/>
      <c r="I111" s="490"/>
    </row>
    <row r="112" spans="1:9">
      <c r="A112" s="484"/>
      <c r="B112" s="484"/>
      <c r="D112" s="1287"/>
      <c r="E112" s="1287"/>
      <c r="F112" s="1287"/>
      <c r="I112" s="490"/>
    </row>
    <row r="113" spans="1:9">
      <c r="A113" s="484"/>
      <c r="B113" s="484"/>
      <c r="D113" s="1287"/>
      <c r="E113" s="1287"/>
      <c r="F113" s="1287"/>
      <c r="I113" s="490"/>
    </row>
    <row r="114" spans="1:9">
      <c r="A114" s="484"/>
      <c r="B114" s="484"/>
      <c r="D114" s="1287"/>
      <c r="E114" s="1287"/>
      <c r="F114" s="1287"/>
      <c r="I114" s="490"/>
    </row>
    <row r="115" spans="1:9">
      <c r="A115" s="484"/>
      <c r="B115" s="484"/>
      <c r="D115" s="1287"/>
      <c r="E115" s="1287"/>
      <c r="F115" s="1287"/>
      <c r="I115" s="490"/>
    </row>
    <row r="116" spans="1:9">
      <c r="A116" s="484"/>
      <c r="B116" s="484"/>
      <c r="D116" s="1287"/>
      <c r="E116" s="1287"/>
      <c r="F116" s="1287"/>
      <c r="I116" s="490"/>
    </row>
    <row r="117" spans="1:9">
      <c r="A117" s="484"/>
      <c r="B117" s="484"/>
      <c r="D117" s="1287"/>
      <c r="E117" s="1287"/>
      <c r="F117" s="1287"/>
      <c r="I117" s="490"/>
    </row>
    <row r="118" spans="1:9">
      <c r="A118" s="484"/>
      <c r="B118" s="484"/>
      <c r="D118" s="524"/>
      <c r="E118" s="524"/>
      <c r="F118" s="524"/>
      <c r="I118" s="490"/>
    </row>
    <row r="119" spans="1:9" ht="14.25" customHeight="1">
      <c r="A119" s="484"/>
      <c r="B119" s="485" t="s">
        <v>2813</v>
      </c>
      <c r="D119" s="1307" t="s">
        <v>1103</v>
      </c>
      <c r="E119" s="1307"/>
      <c r="F119" s="1307"/>
      <c r="I119" s="490"/>
    </row>
    <row r="120" spans="1:9">
      <c r="A120" s="484"/>
      <c r="B120" s="484"/>
      <c r="D120" s="1307"/>
      <c r="E120" s="1307"/>
      <c r="F120" s="1307"/>
      <c r="I120" s="490"/>
    </row>
    <row r="121" spans="1:9">
      <c r="A121" s="484"/>
      <c r="B121" s="484"/>
      <c r="D121" s="1307"/>
      <c r="E121" s="1307"/>
      <c r="F121" s="1307"/>
      <c r="I121" s="490"/>
    </row>
    <row r="122" spans="1:9">
      <c r="A122" s="484"/>
      <c r="B122" s="484"/>
      <c r="D122" s="1307"/>
      <c r="E122" s="1307"/>
      <c r="F122" s="1307"/>
      <c r="I122" s="490"/>
    </row>
    <row r="123" spans="1:9">
      <c r="A123" s="484"/>
      <c r="B123" s="484"/>
      <c r="D123" s="1307"/>
      <c r="E123" s="1307"/>
      <c r="F123" s="1307"/>
      <c r="I123" s="490"/>
    </row>
    <row r="124" spans="1:9">
      <c r="A124" s="484"/>
      <c r="B124" s="484"/>
      <c r="D124" s="1307"/>
      <c r="E124" s="1307"/>
      <c r="F124" s="1307"/>
      <c r="I124" s="490"/>
    </row>
    <row r="125" spans="1:9">
      <c r="A125" s="484"/>
      <c r="B125" s="484"/>
      <c r="D125" s="1307"/>
      <c r="E125" s="1307"/>
      <c r="F125" s="1307"/>
      <c r="I125" s="490"/>
    </row>
    <row r="126" spans="1:9">
      <c r="A126" s="484"/>
      <c r="B126" s="484"/>
      <c r="D126" s="1307"/>
      <c r="E126" s="1307"/>
      <c r="F126" s="1307"/>
      <c r="I126" s="490"/>
    </row>
    <row r="127" spans="1:9">
      <c r="C127" s="402"/>
      <c r="D127" s="525"/>
      <c r="E127" s="525"/>
      <c r="F127" s="525"/>
      <c r="I127" s="490"/>
    </row>
    <row r="128" spans="1:9">
      <c r="A128" s="484"/>
      <c r="B128" s="485" t="s">
        <v>2812</v>
      </c>
      <c r="C128" s="402"/>
      <c r="D128" s="1307" t="s">
        <v>2049</v>
      </c>
      <c r="E128" s="1307"/>
      <c r="F128" s="1307"/>
      <c r="I128" s="490"/>
    </row>
    <row r="129" spans="1:9">
      <c r="A129" s="484"/>
      <c r="B129" s="484"/>
      <c r="C129" s="402"/>
      <c r="D129" s="1307"/>
      <c r="E129" s="1307"/>
      <c r="F129" s="1307"/>
      <c r="I129" s="490"/>
    </row>
    <row r="130" spans="1:9">
      <c r="I130" s="490"/>
    </row>
    <row r="131" spans="1:9">
      <c r="A131" s="484"/>
      <c r="B131" s="485" t="s">
        <v>2813</v>
      </c>
      <c r="D131" s="1287" t="s">
        <v>1104</v>
      </c>
      <c r="E131" s="1287"/>
      <c r="F131" s="1287"/>
      <c r="I131" s="490"/>
    </row>
    <row r="132" spans="1:9">
      <c r="D132" s="1287"/>
      <c r="E132" s="1287"/>
      <c r="F132" s="1287"/>
      <c r="I132" s="490"/>
    </row>
    <row r="133" spans="1:9">
      <c r="D133" s="1287"/>
      <c r="E133" s="1287"/>
      <c r="F133" s="1287"/>
      <c r="I133" s="490"/>
    </row>
    <row r="134" spans="1:9">
      <c r="D134" s="1287"/>
      <c r="E134" s="1287"/>
      <c r="F134" s="1287"/>
      <c r="I134" s="490"/>
    </row>
    <row r="135" spans="1:9">
      <c r="D135" s="1287"/>
      <c r="E135" s="1287"/>
      <c r="F135" s="1287"/>
      <c r="I135" s="490"/>
    </row>
    <row r="136" spans="1:9">
      <c r="I136" s="490"/>
    </row>
    <row r="137" spans="1:9">
      <c r="A137" s="484"/>
      <c r="B137" s="485" t="s">
        <v>2812</v>
      </c>
      <c r="D137" s="1287" t="s">
        <v>1105</v>
      </c>
      <c r="E137" s="1287"/>
      <c r="F137" s="1287"/>
      <c r="I137" s="490"/>
    </row>
    <row r="138" spans="1:9" s="417" customFormat="1" ht="13.75" customHeight="1">
      <c r="A138" s="488"/>
      <c r="B138" s="488"/>
      <c r="C138" s="488"/>
      <c r="D138" s="1287"/>
      <c r="E138" s="1287"/>
      <c r="F138" s="1287"/>
      <c r="I138" s="1155"/>
    </row>
    <row r="139" spans="1:9" ht="13.75" customHeight="1">
      <c r="D139" s="1287"/>
      <c r="E139" s="1287"/>
      <c r="F139" s="1287"/>
      <c r="I139" s="490"/>
    </row>
    <row r="140" spans="1:9" ht="13.75" customHeight="1">
      <c r="D140" s="1287"/>
      <c r="E140" s="1287"/>
      <c r="F140" s="1287"/>
      <c r="I140" s="490"/>
    </row>
    <row r="141" spans="1:9" ht="13.75" customHeight="1">
      <c r="D141" s="1287"/>
      <c r="E141" s="1287"/>
      <c r="F141" s="1287"/>
      <c r="I141" s="490"/>
    </row>
    <row r="142" spans="1:9" ht="13.75" customHeight="1">
      <c r="A142" s="489"/>
      <c r="B142" s="489"/>
      <c r="D142" s="1287"/>
      <c r="E142" s="1287"/>
      <c r="F142" s="1287"/>
      <c r="I142" s="490"/>
    </row>
    <row r="143" spans="1:9" ht="13.75" customHeight="1">
      <c r="D143" s="1287"/>
      <c r="E143" s="1287"/>
      <c r="F143" s="1287"/>
      <c r="I143" s="490"/>
    </row>
    <row r="144" spans="1:9" ht="13.75" customHeight="1">
      <c r="D144" s="1287"/>
      <c r="E144" s="1287"/>
      <c r="F144" s="1287"/>
      <c r="I144" s="490"/>
    </row>
    <row r="145" spans="2:9" ht="13.75" customHeight="1">
      <c r="D145" s="1287"/>
      <c r="E145" s="1287"/>
      <c r="F145" s="1287"/>
      <c r="I145" s="490"/>
    </row>
    <row r="146" spans="2:9" ht="13.75" customHeight="1">
      <c r="D146" s="1287"/>
      <c r="E146" s="1287"/>
      <c r="F146" s="1287"/>
      <c r="I146" s="490"/>
    </row>
    <row r="147" spans="2:9" ht="13.75" customHeight="1">
      <c r="D147" s="1287"/>
      <c r="E147" s="1287"/>
      <c r="F147" s="1287"/>
      <c r="I147" s="490"/>
    </row>
    <row r="148" spans="2:9" ht="13.75" customHeight="1">
      <c r="D148" s="1287"/>
      <c r="E148" s="1287"/>
      <c r="F148" s="1287"/>
      <c r="I148" s="490"/>
    </row>
    <row r="149" spans="2:9" ht="13.75" customHeight="1">
      <c r="D149" s="1287"/>
      <c r="E149" s="1287"/>
      <c r="F149" s="1287"/>
      <c r="I149" s="490"/>
    </row>
    <row r="150" spans="2:9" ht="13.75" customHeight="1">
      <c r="D150" s="476"/>
      <c r="E150" s="446"/>
      <c r="F150" s="446"/>
      <c r="I150" s="490"/>
    </row>
    <row r="151" spans="2:9" ht="13.75" customHeight="1">
      <c r="B151" s="485" t="s">
        <v>2812</v>
      </c>
      <c r="D151" s="1287" t="s">
        <v>1177</v>
      </c>
      <c r="E151" s="1287"/>
      <c r="F151" s="1287"/>
      <c r="I151" s="490"/>
    </row>
    <row r="152" spans="2:9" ht="13.75" customHeight="1">
      <c r="D152" s="1287"/>
      <c r="E152" s="1287"/>
      <c r="F152" s="1287"/>
      <c r="I152" s="490"/>
    </row>
    <row r="153" spans="2:9" ht="13.75" customHeight="1">
      <c r="D153" s="1287"/>
      <c r="E153" s="1287"/>
      <c r="F153" s="1287"/>
      <c r="I153" s="490"/>
    </row>
    <row r="154" spans="2:9" ht="13.75" customHeight="1">
      <c r="D154" s="1287"/>
      <c r="E154" s="1287"/>
      <c r="F154" s="1287"/>
      <c r="I154" s="490"/>
    </row>
    <row r="155" spans="2:9" ht="13.75" customHeight="1">
      <c r="D155" s="1287"/>
      <c r="E155" s="1287"/>
      <c r="F155" s="1287"/>
      <c r="I155" s="490"/>
    </row>
    <row r="156" spans="2:9" ht="13.75" customHeight="1">
      <c r="D156" s="1287"/>
      <c r="E156" s="1287"/>
      <c r="F156" s="1287"/>
      <c r="I156" s="490"/>
    </row>
    <row r="157" spans="2:9" ht="13.75" customHeight="1">
      <c r="D157" s="1287"/>
      <c r="E157" s="1287"/>
      <c r="F157" s="1287"/>
      <c r="I157" s="490"/>
    </row>
    <row r="158" spans="2:9" ht="13.75" customHeight="1">
      <c r="D158" s="1287"/>
      <c r="E158" s="1287"/>
      <c r="F158" s="1287"/>
      <c r="I158" s="490"/>
    </row>
    <row r="159" spans="2:9" ht="13.75" customHeight="1">
      <c r="D159" s="1287"/>
      <c r="E159" s="1287"/>
      <c r="F159" s="1287"/>
      <c r="I159" s="490"/>
    </row>
    <row r="160" spans="2:9" ht="13.75" customHeight="1">
      <c r="D160" s="1287"/>
      <c r="E160" s="1287"/>
      <c r="F160" s="1287"/>
      <c r="I160" s="490"/>
    </row>
    <row r="161" spans="1:9" ht="13.75" customHeight="1">
      <c r="D161" s="1287"/>
      <c r="E161" s="1287"/>
      <c r="F161" s="1287"/>
      <c r="I161" s="490"/>
    </row>
    <row r="162" spans="1:9" ht="13.75" customHeight="1">
      <c r="D162" s="1287"/>
      <c r="E162" s="1287"/>
      <c r="F162" s="1287"/>
      <c r="I162" s="490"/>
    </row>
    <row r="163" spans="1:9" ht="13.75" customHeight="1">
      <c r="D163" s="1287"/>
      <c r="E163" s="1287"/>
      <c r="F163" s="1287"/>
      <c r="I163" s="490"/>
    </row>
    <row r="164" spans="1:9" ht="13.75" customHeight="1">
      <c r="D164" s="1287"/>
      <c r="E164" s="1287"/>
      <c r="F164" s="1287"/>
      <c r="I164" s="490"/>
    </row>
    <row r="165" spans="1:9" ht="13.75" customHeight="1">
      <c r="D165" s="1287"/>
      <c r="E165" s="1287"/>
      <c r="F165" s="1287"/>
      <c r="I165" s="490"/>
    </row>
    <row r="166" spans="1:9" ht="13.75" customHeight="1">
      <c r="D166" s="1287"/>
      <c r="E166" s="1287"/>
      <c r="F166" s="1287"/>
      <c r="I166" s="490"/>
    </row>
    <row r="167" spans="1:9" ht="13.75" customHeight="1">
      <c r="D167" s="1287"/>
      <c r="E167" s="1287"/>
      <c r="F167" s="1287"/>
      <c r="I167" s="490"/>
    </row>
    <row r="168" spans="1:9" ht="13.75" customHeight="1">
      <c r="D168" s="1287"/>
      <c r="E168" s="1287"/>
      <c r="F168" s="1287"/>
      <c r="I168" s="490"/>
    </row>
    <row r="169" spans="1:9" ht="13.75" customHeight="1">
      <c r="D169" s="1308" t="s">
        <v>2072</v>
      </c>
      <c r="E169" s="1308"/>
      <c r="F169" s="1308"/>
      <c r="G169" s="507"/>
      <c r="I169" s="490"/>
    </row>
    <row r="170" spans="1:9" ht="13.75" customHeight="1">
      <c r="D170" s="1299"/>
      <c r="E170" s="1299"/>
      <c r="F170" s="1299"/>
      <c r="G170" s="1299"/>
      <c r="I170" s="490"/>
    </row>
    <row r="171" spans="1:9" ht="14.5" customHeight="1">
      <c r="A171" s="489"/>
      <c r="B171" s="485" t="s">
        <v>2813</v>
      </c>
      <c r="C171" s="476"/>
      <c r="D171" s="1267" t="s">
        <v>2212</v>
      </c>
      <c r="E171" s="1267"/>
      <c r="F171" s="1267"/>
      <c r="G171" s="476"/>
      <c r="I171" s="490"/>
    </row>
    <row r="172" spans="1:9" ht="14.5" customHeight="1">
      <c r="A172" s="489"/>
      <c r="B172" s="489"/>
      <c r="C172" s="476"/>
      <c r="D172" s="1267"/>
      <c r="E172" s="1267"/>
      <c r="F172" s="1267"/>
      <c r="G172" s="476"/>
      <c r="I172" s="490"/>
    </row>
    <row r="173" spans="1:9" ht="14.5" customHeight="1">
      <c r="A173" s="489"/>
      <c r="B173" s="489"/>
      <c r="C173" s="476"/>
      <c r="D173" s="1267"/>
      <c r="E173" s="1267"/>
      <c r="F173" s="1267"/>
      <c r="G173" s="476"/>
      <c r="I173" s="490"/>
    </row>
    <row r="174" spans="1:9" ht="14.5" customHeight="1">
      <c r="A174" s="489"/>
      <c r="B174" s="489"/>
      <c r="C174" s="476"/>
      <c r="D174" s="1267"/>
      <c r="E174" s="1267"/>
      <c r="F174" s="1267"/>
      <c r="G174" s="476"/>
      <c r="I174" s="490"/>
    </row>
    <row r="175" spans="1:9" ht="13.75" customHeight="1">
      <c r="A175" s="489"/>
      <c r="B175" s="489"/>
      <c r="C175" s="476"/>
      <c r="D175" s="1267"/>
      <c r="E175" s="1267"/>
      <c r="F175" s="1267"/>
      <c r="G175" s="476"/>
      <c r="I175" s="490"/>
    </row>
    <row r="176" spans="1:9" ht="13.75" customHeight="1">
      <c r="A176" s="489"/>
      <c r="B176" s="489"/>
      <c r="C176" s="476"/>
      <c r="D176" s="476"/>
      <c r="E176" s="476"/>
      <c r="F176" s="476"/>
      <c r="G176" s="476"/>
      <c r="I176" s="490"/>
    </row>
    <row r="177" spans="1:9" ht="13.75" customHeight="1">
      <c r="A177" s="489"/>
      <c r="B177" s="485" t="s">
        <v>2812</v>
      </c>
      <c r="C177" s="476"/>
      <c r="D177" s="1267" t="s">
        <v>1106</v>
      </c>
      <c r="E177" s="1267"/>
      <c r="F177" s="1267"/>
      <c r="G177" s="476"/>
      <c r="I177" s="490"/>
    </row>
    <row r="178" spans="1:9" ht="13.75" customHeight="1">
      <c r="A178" s="489"/>
      <c r="B178" s="489"/>
      <c r="C178" s="476"/>
      <c r="D178" s="1267"/>
      <c r="E178" s="1267"/>
      <c r="F178" s="1267"/>
      <c r="G178" s="476"/>
      <c r="I178" s="490"/>
    </row>
    <row r="179" spans="1:9" ht="13.75" customHeight="1">
      <c r="A179" s="489"/>
      <c r="B179" s="489"/>
      <c r="C179" s="476"/>
      <c r="D179" s="1267"/>
      <c r="E179" s="1267"/>
      <c r="F179" s="1267"/>
      <c r="G179" s="476"/>
      <c r="I179" s="490"/>
    </row>
    <row r="180" spans="1:9" ht="13.75" customHeight="1">
      <c r="A180" s="489"/>
      <c r="B180" s="489"/>
      <c r="C180" s="476"/>
      <c r="D180" s="1267"/>
      <c r="E180" s="1267"/>
      <c r="F180" s="1267"/>
      <c r="G180" s="476"/>
      <c r="I180" s="490"/>
    </row>
    <row r="181" spans="1:9" ht="13.75" customHeight="1">
      <c r="D181" s="446"/>
      <c r="E181" s="446"/>
      <c r="F181" s="446"/>
      <c r="I181" s="490"/>
    </row>
    <row r="182" spans="1:9" ht="13.75" customHeight="1">
      <c r="B182" s="485" t="s">
        <v>2813</v>
      </c>
      <c r="D182" s="1291" t="s">
        <v>2050</v>
      </c>
      <c r="E182" s="1291"/>
      <c r="F182" s="1291"/>
      <c r="I182" s="490"/>
    </row>
    <row r="183" spans="1:9" ht="13.75" customHeight="1">
      <c r="D183" s="1291"/>
      <c r="E183" s="1291"/>
      <c r="F183" s="1291"/>
      <c r="I183" s="490"/>
    </row>
    <row r="184" spans="1:9" ht="13.75" customHeight="1">
      <c r="D184" s="1291"/>
      <c r="E184" s="1291"/>
      <c r="F184" s="1291"/>
      <c r="I184" s="490"/>
    </row>
    <row r="185" spans="1:9" ht="13.75" customHeight="1">
      <c r="A185" s="490"/>
      <c r="B185" s="490"/>
      <c r="E185" s="446"/>
      <c r="F185" s="446"/>
      <c r="I185" s="490"/>
    </row>
    <row r="186" spans="1:9">
      <c r="A186" s="1290" t="s">
        <v>2051</v>
      </c>
      <c r="B186" s="1290"/>
      <c r="C186" s="1290"/>
      <c r="D186" s="1290"/>
      <c r="E186" s="1290"/>
      <c r="F186" s="1290"/>
      <c r="G186" s="1290"/>
      <c r="H186" s="1028"/>
      <c r="I186" s="1153"/>
    </row>
    <row r="187" spans="1:9" ht="12" customHeight="1">
      <c r="D187" s="446"/>
      <c r="E187" s="446"/>
      <c r="F187" s="446"/>
      <c r="I187" s="490"/>
    </row>
    <row r="188" spans="1:9">
      <c r="B188" s="1293" t="s">
        <v>446</v>
      </c>
      <c r="C188" s="1293"/>
      <c r="D188" s="1293"/>
      <c r="E188" s="1293"/>
      <c r="F188" s="1293"/>
      <c r="I188" s="490"/>
    </row>
    <row r="189" spans="1:9">
      <c r="B189" s="392" t="s">
        <v>1874</v>
      </c>
      <c r="C189" s="392"/>
      <c r="D189" s="392"/>
      <c r="E189" s="392"/>
      <c r="F189" s="392"/>
      <c r="I189" s="490"/>
    </row>
    <row r="190" spans="1:9" ht="12" customHeight="1">
      <c r="A190" s="482"/>
      <c r="B190" s="482"/>
      <c r="C190" s="482"/>
      <c r="I190" s="490"/>
    </row>
    <row r="191" spans="1:9">
      <c r="A191" s="1290" t="s">
        <v>1045</v>
      </c>
      <c r="B191" s="1290"/>
      <c r="C191" s="1290"/>
      <c r="D191" s="1290"/>
      <c r="E191" s="1290"/>
      <c r="F191" s="1290"/>
      <c r="G191" s="1290"/>
      <c r="H191" s="1028"/>
      <c r="I191" s="1153"/>
    </row>
    <row r="192" spans="1:9" ht="12" customHeight="1">
      <c r="A192" s="404"/>
      <c r="B192" s="404"/>
      <c r="E192" s="404"/>
      <c r="I192" s="490"/>
    </row>
    <row r="193" spans="1:9" ht="13.75" customHeight="1">
      <c r="A193" s="404"/>
      <c r="B193" s="404"/>
      <c r="D193" s="1289" t="s">
        <v>1746</v>
      </c>
      <c r="E193" s="1289"/>
      <c r="F193" s="1289"/>
      <c r="I193" s="490"/>
    </row>
    <row r="194" spans="1:9">
      <c r="A194" s="404"/>
      <c r="B194" s="404"/>
      <c r="D194" s="1289"/>
      <c r="E194" s="1289"/>
      <c r="F194" s="1289"/>
      <c r="I194" s="490"/>
    </row>
    <row r="195" spans="1:9">
      <c r="A195" s="404"/>
      <c r="B195" s="404"/>
      <c r="D195" s="1293" t="s">
        <v>1195</v>
      </c>
      <c r="E195" s="1293"/>
      <c r="F195" s="1293"/>
      <c r="I195" s="490"/>
    </row>
    <row r="196" spans="1:9">
      <c r="A196" s="404"/>
      <c r="B196" s="404"/>
      <c r="D196" s="392"/>
      <c r="E196" s="392"/>
      <c r="F196" s="392"/>
      <c r="I196" s="490"/>
    </row>
    <row r="197" spans="1:9">
      <c r="A197" s="404"/>
      <c r="B197" s="485" t="s">
        <v>2812</v>
      </c>
      <c r="D197" s="1304" t="s">
        <v>1747</v>
      </c>
      <c r="E197" s="1304"/>
      <c r="F197" s="1304"/>
      <c r="I197" s="490"/>
    </row>
    <row r="198" spans="1:9">
      <c r="A198" s="404"/>
      <c r="B198" s="404"/>
      <c r="D198" s="1305" t="s">
        <v>1901</v>
      </c>
      <c r="E198" s="1305"/>
      <c r="F198" s="1305"/>
      <c r="I198" s="490"/>
    </row>
    <row r="199" spans="1:9">
      <c r="A199" s="404"/>
      <c r="B199" s="404"/>
      <c r="D199" s="96" t="s">
        <v>1748</v>
      </c>
      <c r="E199" s="1306" t="s">
        <v>1924</v>
      </c>
      <c r="F199" s="1306"/>
      <c r="I199" s="490"/>
    </row>
    <row r="200" spans="1:9">
      <c r="A200" s="404"/>
      <c r="B200" s="404"/>
      <c r="D200" s="3"/>
      <c r="E200" s="3"/>
      <c r="F200" s="3"/>
      <c r="I200" s="490"/>
    </row>
    <row r="201" spans="1:9">
      <c r="A201" s="404"/>
      <c r="B201" s="485" t="s">
        <v>2813</v>
      </c>
      <c r="D201" s="1305" t="s">
        <v>1749</v>
      </c>
      <c r="E201" s="1305"/>
      <c r="F201" s="1305"/>
      <c r="I201" s="490"/>
    </row>
    <row r="202" spans="1:9">
      <c r="A202" s="404"/>
      <c r="B202" s="404"/>
      <c r="D202" s="1304" t="s">
        <v>1901</v>
      </c>
      <c r="E202" s="1304"/>
      <c r="F202" s="1304"/>
      <c r="I202" s="490"/>
    </row>
    <row r="203" spans="1:9">
      <c r="A203" s="404"/>
      <c r="B203" s="404"/>
      <c r="D203" s="57" t="s">
        <v>1750</v>
      </c>
      <c r="E203" s="1306" t="s">
        <v>1925</v>
      </c>
      <c r="F203" s="1306"/>
      <c r="I203" s="490"/>
    </row>
    <row r="204" spans="1:9">
      <c r="A204" s="404"/>
      <c r="B204" s="404"/>
      <c r="D204" s="3"/>
      <c r="E204" s="3"/>
      <c r="F204" s="3"/>
      <c r="I204" s="490"/>
    </row>
    <row r="205" spans="1:9">
      <c r="A205" s="404"/>
      <c r="B205" s="485" t="s">
        <v>2813</v>
      </c>
      <c r="D205" s="1305" t="s">
        <v>1751</v>
      </c>
      <c r="E205" s="1305"/>
      <c r="F205" s="1305"/>
      <c r="I205" s="490"/>
    </row>
    <row r="206" spans="1:9">
      <c r="A206" s="404"/>
      <c r="B206" s="404"/>
      <c r="D206" s="1304" t="s">
        <v>1901</v>
      </c>
      <c r="E206" s="1304"/>
      <c r="F206" s="1304"/>
      <c r="I206" s="490"/>
    </row>
    <row r="207" spans="1:9">
      <c r="A207" s="404"/>
      <c r="B207" s="404"/>
      <c r="D207" s="57" t="s">
        <v>1748</v>
      </c>
      <c r="E207" s="1306" t="s">
        <v>1926</v>
      </c>
      <c r="F207" s="1306"/>
      <c r="I207" s="490"/>
    </row>
    <row r="208" spans="1:9">
      <c r="A208" s="404"/>
      <c r="B208" s="404"/>
      <c r="D208" s="392"/>
      <c r="E208" s="392"/>
      <c r="F208" s="392"/>
      <c r="I208" s="490"/>
    </row>
    <row r="209" spans="1:9" ht="14.25" customHeight="1">
      <c r="A209" s="484"/>
      <c r="B209" s="485" t="s">
        <v>2813</v>
      </c>
      <c r="D209" s="386" t="s">
        <v>1894</v>
      </c>
      <c r="E209" s="385"/>
      <c r="F209" s="385"/>
      <c r="I209" s="490"/>
    </row>
    <row r="210" spans="1:9">
      <c r="A210" s="484"/>
      <c r="B210" s="484"/>
      <c r="D210" s="1304" t="s">
        <v>1901</v>
      </c>
      <c r="E210" s="1304"/>
      <c r="F210" s="1304"/>
      <c r="I210" s="490"/>
    </row>
    <row r="211" spans="1:9">
      <c r="D211" s="385"/>
      <c r="E211" s="1306" t="s">
        <v>1927</v>
      </c>
      <c r="F211" s="1306"/>
      <c r="I211" s="490"/>
    </row>
    <row r="212" spans="1:9">
      <c r="D212" s="447"/>
      <c r="I212" s="490"/>
    </row>
    <row r="213" spans="1:9">
      <c r="B213" s="485" t="s">
        <v>2813</v>
      </c>
      <c r="D213" s="1305" t="s">
        <v>1752</v>
      </c>
      <c r="E213" s="1305"/>
      <c r="F213" s="1305"/>
      <c r="I213" s="490"/>
    </row>
    <row r="214" spans="1:9">
      <c r="D214" s="1304" t="s">
        <v>1901</v>
      </c>
      <c r="E214" s="1304"/>
      <c r="F214" s="1304"/>
      <c r="I214" s="490"/>
    </row>
    <row r="215" spans="1:9">
      <c r="D215" s="57" t="s">
        <v>1748</v>
      </c>
      <c r="E215" s="1306" t="s">
        <v>1928</v>
      </c>
      <c r="F215" s="1306"/>
      <c r="I215" s="490"/>
    </row>
    <row r="216" spans="1:9">
      <c r="D216" s="451"/>
      <c r="E216" s="451"/>
      <c r="F216" s="451"/>
      <c r="I216" s="490"/>
    </row>
    <row r="217" spans="1:9">
      <c r="A217" s="484"/>
      <c r="B217" s="485" t="s">
        <v>2813</v>
      </c>
      <c r="D217" s="1287" t="s">
        <v>1216</v>
      </c>
      <c r="E217" s="1287"/>
      <c r="F217" s="1287"/>
      <c r="I217" s="490"/>
    </row>
    <row r="218" spans="1:9" ht="14.5" customHeight="1">
      <c r="A218" s="484"/>
      <c r="B218" s="402"/>
      <c r="D218" s="1287"/>
      <c r="E218" s="1287"/>
      <c r="F218" s="1287"/>
      <c r="I218" s="490"/>
    </row>
    <row r="219" spans="1:9">
      <c r="A219" s="484"/>
      <c r="D219" s="1287"/>
      <c r="E219" s="1287"/>
      <c r="F219" s="1287"/>
      <c r="I219" s="490"/>
    </row>
    <row r="220" spans="1:9">
      <c r="A220" s="484"/>
      <c r="D220" s="1287"/>
      <c r="E220" s="1287"/>
      <c r="F220" s="1287"/>
      <c r="I220" s="490"/>
    </row>
    <row r="221" spans="1:9">
      <c r="D221" s="451"/>
      <c r="E221" s="451"/>
      <c r="F221" s="451"/>
      <c r="I221" s="490"/>
    </row>
    <row r="222" spans="1:9">
      <c r="A222" s="1290" t="s">
        <v>1046</v>
      </c>
      <c r="B222" s="1290"/>
      <c r="C222" s="1290"/>
      <c r="D222" s="1290"/>
      <c r="E222" s="1290"/>
      <c r="F222" s="1290"/>
      <c r="G222" s="1290"/>
      <c r="H222" s="1028"/>
      <c r="I222" s="1153"/>
    </row>
    <row r="223" spans="1:9" ht="12" customHeight="1">
      <c r="D223" s="446"/>
      <c r="E223" s="446"/>
      <c r="F223" s="446"/>
      <c r="I223" s="490"/>
    </row>
    <row r="224" spans="1:9">
      <c r="C224" s="486"/>
      <c r="D224" s="1295" t="s">
        <v>207</v>
      </c>
      <c r="E224" s="1295"/>
      <c r="F224" s="1295"/>
      <c r="I224" s="490"/>
    </row>
    <row r="225" spans="1:9">
      <c r="A225" s="482"/>
      <c r="B225" s="482"/>
      <c r="C225" s="482"/>
      <c r="D225" s="1288" t="s">
        <v>1120</v>
      </c>
      <c r="E225" s="1288"/>
      <c r="F225" s="1288"/>
      <c r="I225" s="490"/>
    </row>
    <row r="226" spans="1:9" ht="12" customHeight="1">
      <c r="A226" s="490"/>
      <c r="B226" s="490"/>
      <c r="C226" s="490"/>
      <c r="I226" s="490"/>
    </row>
    <row r="227" spans="1:9" ht="13.75" customHeight="1">
      <c r="A227" s="490"/>
      <c r="C227" s="490"/>
      <c r="D227" s="1295" t="s">
        <v>546</v>
      </c>
      <c r="E227" s="1295"/>
      <c r="F227" s="1295"/>
      <c r="I227" s="490"/>
    </row>
    <row r="228" spans="1:9">
      <c r="A228" s="484"/>
      <c r="B228" s="485" t="s">
        <v>2812</v>
      </c>
      <c r="D228" s="1287" t="s">
        <v>1753</v>
      </c>
      <c r="E228" s="1287"/>
      <c r="F228" s="1287"/>
      <c r="I228" s="490"/>
    </row>
    <row r="229" spans="1:9" ht="14.25" customHeight="1">
      <c r="A229" s="484"/>
      <c r="B229" s="484"/>
      <c r="D229" s="1287"/>
      <c r="E229" s="1287"/>
      <c r="F229" s="1287"/>
      <c r="I229" s="490"/>
    </row>
    <row r="230" spans="1:9" ht="14.25" customHeight="1">
      <c r="A230" s="484"/>
      <c r="B230" s="484"/>
      <c r="D230" s="1287"/>
      <c r="E230" s="1287"/>
      <c r="F230" s="1287"/>
      <c r="I230" s="490"/>
    </row>
    <row r="231" spans="1:9">
      <c r="A231" s="484"/>
      <c r="B231" s="484"/>
      <c r="D231" s="1287"/>
      <c r="E231" s="1287"/>
      <c r="F231" s="1287"/>
      <c r="I231" s="490"/>
    </row>
    <row r="232" spans="1:9">
      <c r="A232" s="484"/>
      <c r="B232" s="484"/>
      <c r="D232" s="445"/>
      <c r="E232" s="445"/>
      <c r="F232" s="445"/>
      <c r="I232" s="490"/>
    </row>
    <row r="233" spans="1:9">
      <c r="A233" s="484"/>
      <c r="B233" s="485" t="s">
        <v>2812</v>
      </c>
      <c r="D233" s="1287" t="s">
        <v>1754</v>
      </c>
      <c r="E233" s="1287"/>
      <c r="F233" s="1287"/>
      <c r="I233" s="490"/>
    </row>
    <row r="234" spans="1:9">
      <c r="A234" s="484"/>
      <c r="B234" s="484"/>
      <c r="D234" s="1287"/>
      <c r="E234" s="1287"/>
      <c r="F234" s="1287"/>
      <c r="I234" s="490"/>
    </row>
    <row r="235" spans="1:9">
      <c r="A235" s="484"/>
      <c r="B235" s="484"/>
      <c r="D235" s="1287"/>
      <c r="E235" s="1287"/>
      <c r="F235" s="1287"/>
      <c r="I235" s="490"/>
    </row>
    <row r="236" spans="1:9">
      <c r="A236" s="484"/>
      <c r="B236" s="484"/>
      <c r="D236" s="1287"/>
      <c r="E236" s="1287"/>
      <c r="F236" s="1287"/>
      <c r="I236" s="490"/>
    </row>
    <row r="237" spans="1:9" ht="14.25" customHeight="1">
      <c r="A237" s="484"/>
      <c r="B237" s="484"/>
      <c r="D237" s="1287"/>
      <c r="E237" s="1287"/>
      <c r="F237" s="1287"/>
      <c r="I237" s="490"/>
    </row>
    <row r="238" spans="1:9" ht="14.25" customHeight="1">
      <c r="A238" s="484"/>
      <c r="B238" s="484"/>
      <c r="D238" s="445"/>
      <c r="E238" s="445"/>
      <c r="F238" s="445"/>
      <c r="I238" s="490"/>
    </row>
    <row r="239" spans="1:9">
      <c r="A239" s="484"/>
      <c r="B239" s="484"/>
      <c r="D239" s="1287" t="s">
        <v>1118</v>
      </c>
      <c r="E239" s="1287"/>
      <c r="F239" s="1287"/>
      <c r="I239" s="490"/>
    </row>
    <row r="240" spans="1:9">
      <c r="A240" s="484"/>
      <c r="B240" s="484"/>
      <c r="D240" s="1287"/>
      <c r="E240" s="1287"/>
      <c r="F240" s="1287"/>
      <c r="I240" s="490"/>
    </row>
    <row r="241" spans="1:9">
      <c r="A241" s="484"/>
      <c r="B241" s="484"/>
      <c r="D241" s="1287"/>
      <c r="E241" s="1287"/>
      <c r="F241" s="1287"/>
      <c r="I241" s="490"/>
    </row>
    <row r="242" spans="1:9">
      <c r="A242" s="484"/>
      <c r="B242" s="484"/>
      <c r="D242" s="1287"/>
      <c r="E242" s="1287"/>
      <c r="F242" s="1287"/>
      <c r="I242" s="490"/>
    </row>
    <row r="243" spans="1:9">
      <c r="A243" s="484"/>
      <c r="B243" s="484"/>
      <c r="D243" s="1287"/>
      <c r="E243" s="1287"/>
      <c r="F243" s="1287"/>
      <c r="I243" s="490"/>
    </row>
    <row r="244" spans="1:9">
      <c r="A244" s="484"/>
      <c r="B244" s="484"/>
      <c r="D244" s="446"/>
      <c r="E244" s="446"/>
      <c r="F244" s="446"/>
      <c r="I244" s="490"/>
    </row>
    <row r="245" spans="1:9">
      <c r="A245" s="484"/>
      <c r="B245" s="485" t="s">
        <v>2812</v>
      </c>
      <c r="D245" s="1287" t="s">
        <v>2052</v>
      </c>
      <c r="E245" s="1287"/>
      <c r="F245" s="1287"/>
      <c r="I245" s="490"/>
    </row>
    <row r="246" spans="1:9">
      <c r="A246" s="484"/>
      <c r="B246" s="484"/>
      <c r="D246" s="1287"/>
      <c r="E246" s="1287"/>
      <c r="F246" s="1287"/>
      <c r="I246" s="490"/>
    </row>
    <row r="247" spans="1:9">
      <c r="A247" s="484"/>
      <c r="B247" s="484"/>
      <c r="D247" s="1287"/>
      <c r="E247" s="1287"/>
      <c r="F247" s="1287"/>
      <c r="I247" s="490"/>
    </row>
    <row r="248" spans="1:9">
      <c r="A248" s="484"/>
      <c r="B248" s="484"/>
      <c r="E248" s="1036" t="s">
        <v>1895</v>
      </c>
      <c r="I248" s="490"/>
    </row>
    <row r="249" spans="1:9">
      <c r="A249" s="484"/>
      <c r="B249" s="484"/>
      <c r="D249" s="446"/>
      <c r="E249" s="446"/>
      <c r="F249" s="446"/>
      <c r="I249" s="490"/>
    </row>
    <row r="250" spans="1:9" ht="14.5" customHeight="1">
      <c r="A250" s="484"/>
      <c r="B250" s="485" t="s">
        <v>2813</v>
      </c>
      <c r="D250" s="1287" t="s">
        <v>2053</v>
      </c>
      <c r="E250" s="1287"/>
      <c r="F250" s="1287"/>
      <c r="I250" s="490"/>
    </row>
    <row r="251" spans="1:9">
      <c r="A251" s="484"/>
      <c r="B251" s="484"/>
      <c r="D251" s="1287"/>
      <c r="E251" s="1287"/>
      <c r="F251" s="1287"/>
      <c r="I251" s="490"/>
    </row>
    <row r="252" spans="1:9">
      <c r="A252" s="484"/>
      <c r="B252" s="484"/>
      <c r="D252" s="1287"/>
      <c r="E252" s="1287"/>
      <c r="F252" s="1287"/>
      <c r="I252" s="490"/>
    </row>
    <row r="253" spans="1:9">
      <c r="A253" s="484"/>
      <c r="B253" s="484"/>
      <c r="D253" s="1287"/>
      <c r="E253" s="1287"/>
      <c r="F253" s="1287"/>
      <c r="I253" s="490"/>
    </row>
    <row r="254" spans="1:9">
      <c r="A254" s="484"/>
      <c r="B254" s="484"/>
      <c r="D254" s="1287"/>
      <c r="E254" s="1287"/>
      <c r="F254" s="1287"/>
      <c r="I254" s="490"/>
    </row>
    <row r="255" spans="1:9">
      <c r="A255" s="484"/>
      <c r="B255" s="484"/>
      <c r="D255" s="445"/>
      <c r="E255" s="445"/>
      <c r="F255" s="445"/>
      <c r="I255" s="490"/>
    </row>
    <row r="256" spans="1:9">
      <c r="A256" s="484"/>
      <c r="B256" s="485" t="s">
        <v>2812</v>
      </c>
      <c r="D256" s="392" t="s">
        <v>2054</v>
      </c>
      <c r="E256" s="445"/>
      <c r="F256" s="445"/>
      <c r="I256" s="490"/>
    </row>
    <row r="257" spans="1:9">
      <c r="A257" s="484"/>
      <c r="B257" s="484"/>
      <c r="E257" s="1036" t="s">
        <v>1896</v>
      </c>
      <c r="I257" s="490"/>
    </row>
    <row r="258" spans="1:9">
      <c r="D258" s="446"/>
      <c r="E258" s="446"/>
      <c r="F258" s="446"/>
      <c r="I258" s="490"/>
    </row>
    <row r="259" spans="1:9">
      <c r="A259" s="484"/>
      <c r="B259" s="485" t="s">
        <v>2812</v>
      </c>
      <c r="D259" s="1287" t="s">
        <v>1119</v>
      </c>
      <c r="E259" s="1287"/>
      <c r="F259" s="1287"/>
      <c r="I259" s="490"/>
    </row>
    <row r="260" spans="1:9">
      <c r="A260" s="484"/>
      <c r="B260" s="484"/>
      <c r="D260" s="1287"/>
      <c r="E260" s="1287"/>
      <c r="F260" s="1287"/>
      <c r="I260" s="490"/>
    </row>
    <row r="261" spans="1:9">
      <c r="D261" s="491"/>
      <c r="I261" s="490"/>
    </row>
    <row r="262" spans="1:9">
      <c r="A262" s="1290" t="s">
        <v>1047</v>
      </c>
      <c r="B262" s="1290"/>
      <c r="C262" s="1290"/>
      <c r="D262" s="1290"/>
      <c r="E262" s="1290"/>
      <c r="F262" s="1290"/>
      <c r="G262" s="1290"/>
      <c r="H262" s="1028"/>
      <c r="I262" s="1153"/>
    </row>
    <row r="263" spans="1:9">
      <c r="D263" s="491"/>
      <c r="I263" s="490"/>
    </row>
    <row r="264" spans="1:9">
      <c r="C264" s="486"/>
      <c r="D264" s="1295" t="s">
        <v>1121</v>
      </c>
      <c r="E264" s="1295"/>
      <c r="F264" s="1295"/>
      <c r="I264" s="490"/>
    </row>
    <row r="265" spans="1:9">
      <c r="A265" s="482"/>
      <c r="B265" s="482"/>
      <c r="C265" s="482"/>
      <c r="D265" s="446"/>
      <c r="E265" s="446"/>
      <c r="F265" s="446"/>
      <c r="I265" s="490"/>
    </row>
    <row r="266" spans="1:9">
      <c r="A266" s="483"/>
      <c r="B266" s="483"/>
      <c r="C266" s="483"/>
      <c r="D266" s="1295" t="s">
        <v>268</v>
      </c>
      <c r="E266" s="1295"/>
      <c r="F266" s="1295"/>
      <c r="I266" s="490"/>
    </row>
    <row r="267" spans="1:9" ht="14.5" customHeight="1">
      <c r="A267" s="484"/>
      <c r="B267" s="485" t="s">
        <v>2812</v>
      </c>
      <c r="D267" s="1287" t="s">
        <v>1196</v>
      </c>
      <c r="E267" s="1287"/>
      <c r="F267" s="1287"/>
      <c r="I267" s="490"/>
    </row>
    <row r="268" spans="1:9">
      <c r="D268" s="1287"/>
      <c r="E268" s="1287"/>
      <c r="F268" s="1287"/>
      <c r="I268" s="490"/>
    </row>
    <row r="269" spans="1:9">
      <c r="E269" s="1036" t="s">
        <v>1897</v>
      </c>
      <c r="I269" s="490"/>
    </row>
    <row r="270" spans="1:9">
      <c r="D270" s="446"/>
      <c r="E270" s="446"/>
      <c r="F270" s="446"/>
      <c r="I270" s="490"/>
    </row>
    <row r="271" spans="1:9" ht="14.5" customHeight="1">
      <c r="A271" s="484"/>
      <c r="B271" s="485" t="s">
        <v>2813</v>
      </c>
      <c r="D271" s="1287" t="s">
        <v>2055</v>
      </c>
      <c r="E271" s="1287"/>
      <c r="F271" s="1287"/>
      <c r="I271" s="490"/>
    </row>
    <row r="272" spans="1:9">
      <c r="D272" s="1287"/>
      <c r="E272" s="1287"/>
      <c r="F272" s="1287"/>
      <c r="I272" s="490"/>
    </row>
    <row r="273" spans="1:9">
      <c r="D273" s="1287"/>
      <c r="E273" s="1287"/>
      <c r="F273" s="1287"/>
      <c r="I273" s="490"/>
    </row>
    <row r="274" spans="1:9">
      <c r="D274" s="1287"/>
      <c r="E274" s="1287"/>
      <c r="F274" s="1287"/>
      <c r="I274" s="490"/>
    </row>
    <row r="275" spans="1:9">
      <c r="D275" s="1287"/>
      <c r="E275" s="1287"/>
      <c r="F275" s="1287"/>
      <c r="I275" s="490"/>
    </row>
    <row r="276" spans="1:9">
      <c r="D276" s="1287"/>
      <c r="E276" s="1287"/>
      <c r="F276" s="1287"/>
      <c r="I276" s="490"/>
    </row>
    <row r="277" spans="1:9">
      <c r="D277" s="446"/>
      <c r="E277" s="446"/>
      <c r="F277" s="446"/>
      <c r="I277" s="490"/>
    </row>
    <row r="278" spans="1:9">
      <c r="A278" s="484"/>
      <c r="B278" s="485" t="s">
        <v>2813</v>
      </c>
      <c r="D278" s="1287" t="s">
        <v>1122</v>
      </c>
      <c r="E278" s="1287"/>
      <c r="F278" s="1287"/>
      <c r="I278" s="490"/>
    </row>
    <row r="279" spans="1:9">
      <c r="D279" s="1287"/>
      <c r="E279" s="1287"/>
      <c r="F279" s="1287"/>
      <c r="I279" s="490"/>
    </row>
    <row r="280" spans="1:9">
      <c r="D280" s="1287"/>
      <c r="E280" s="1287"/>
      <c r="F280" s="1287"/>
      <c r="I280" s="490"/>
    </row>
    <row r="281" spans="1:9">
      <c r="D281" s="492"/>
      <c r="E281" s="446"/>
      <c r="F281" s="446"/>
      <c r="I281" s="490"/>
    </row>
    <row r="282" spans="1:9">
      <c r="A282" s="1290" t="s">
        <v>1048</v>
      </c>
      <c r="B282" s="1290"/>
      <c r="C282" s="1290"/>
      <c r="D282" s="1290"/>
      <c r="E282" s="1290"/>
      <c r="F282" s="1290"/>
      <c r="G282" s="1290"/>
      <c r="H282" s="1028"/>
      <c r="I282" s="1153"/>
    </row>
    <row r="283" spans="1:9">
      <c r="D283" s="492"/>
      <c r="E283" s="446"/>
      <c r="F283" s="446"/>
      <c r="I283" s="490"/>
    </row>
    <row r="284" spans="1:9">
      <c r="C284" s="482"/>
      <c r="D284" s="1289" t="s">
        <v>1123</v>
      </c>
      <c r="E284" s="1289"/>
      <c r="F284" s="1289"/>
      <c r="I284" s="490"/>
    </row>
    <row r="285" spans="1:9">
      <c r="C285" s="482"/>
      <c r="D285" s="1289"/>
      <c r="E285" s="1289"/>
      <c r="F285" s="1289"/>
      <c r="I285" s="490"/>
    </row>
    <row r="286" spans="1:9">
      <c r="A286" s="483"/>
      <c r="B286" s="483"/>
      <c r="C286" s="483"/>
      <c r="D286" s="404"/>
      <c r="I286" s="490"/>
    </row>
    <row r="287" spans="1:9">
      <c r="C287" s="483"/>
      <c r="D287" s="1295" t="s">
        <v>208</v>
      </c>
      <c r="E287" s="1295"/>
      <c r="F287" s="1295"/>
      <c r="I287" s="490"/>
    </row>
    <row r="288" spans="1:9" ht="15.75" customHeight="1">
      <c r="A288" s="484"/>
      <c r="B288" s="484"/>
      <c r="D288" s="1302" t="s">
        <v>1124</v>
      </c>
      <c r="E288" s="1302"/>
      <c r="F288" s="1302"/>
      <c r="I288" s="490"/>
    </row>
    <row r="289" spans="1:9">
      <c r="E289" s="446"/>
      <c r="F289" s="446"/>
      <c r="I289" s="490"/>
    </row>
    <row r="290" spans="1:9">
      <c r="A290" s="484"/>
      <c r="B290" s="485" t="s">
        <v>306</v>
      </c>
      <c r="D290" s="1287" t="s">
        <v>1125</v>
      </c>
      <c r="E290" s="1287"/>
      <c r="F290" s="1287"/>
      <c r="I290" s="490"/>
    </row>
    <row r="291" spans="1:9">
      <c r="A291" s="484"/>
      <c r="B291" s="484"/>
      <c r="D291" s="1287"/>
      <c r="E291" s="1287"/>
      <c r="F291" s="1287"/>
      <c r="I291" s="490"/>
    </row>
    <row r="292" spans="1:9">
      <c r="D292" s="446"/>
      <c r="E292" s="446"/>
      <c r="F292" s="446"/>
      <c r="I292" s="490"/>
    </row>
    <row r="293" spans="1:9">
      <c r="A293" s="484"/>
      <c r="B293" s="485" t="s">
        <v>306</v>
      </c>
      <c r="D293" s="1287" t="s">
        <v>1126</v>
      </c>
      <c r="E293" s="1287"/>
      <c r="F293" s="1287"/>
      <c r="I293" s="490"/>
    </row>
    <row r="294" spans="1:9">
      <c r="A294" s="484"/>
      <c r="B294" s="484"/>
      <c r="D294" s="1287"/>
      <c r="E294" s="1287"/>
      <c r="F294" s="1287"/>
      <c r="I294" s="490"/>
    </row>
    <row r="295" spans="1:9">
      <c r="A295" s="484"/>
      <c r="B295" s="484"/>
      <c r="D295" s="1287"/>
      <c r="E295" s="1287"/>
      <c r="F295" s="1287"/>
      <c r="I295" s="490"/>
    </row>
    <row r="296" spans="1:9">
      <c r="D296" s="446"/>
      <c r="E296" s="446"/>
      <c r="F296" s="446"/>
      <c r="I296" s="490"/>
    </row>
    <row r="297" spans="1:9">
      <c r="A297" s="484"/>
      <c r="B297" s="485" t="s">
        <v>306</v>
      </c>
      <c r="D297" s="1287" t="s">
        <v>1127</v>
      </c>
      <c r="E297" s="1287"/>
      <c r="F297" s="1287"/>
      <c r="I297" s="490"/>
    </row>
    <row r="298" spans="1:9">
      <c r="A298" s="484"/>
      <c r="B298" s="484"/>
      <c r="D298" s="1287"/>
      <c r="E298" s="1287"/>
      <c r="F298" s="1287"/>
      <c r="I298" s="490"/>
    </row>
    <row r="299" spans="1:9">
      <c r="A299" s="490"/>
      <c r="B299" s="490"/>
      <c r="E299" s="446"/>
      <c r="F299" s="446"/>
      <c r="I299" s="490"/>
    </row>
    <row r="300" spans="1:9">
      <c r="A300" s="1290" t="s">
        <v>1049</v>
      </c>
      <c r="B300" s="1290"/>
      <c r="C300" s="1290"/>
      <c r="D300" s="1290"/>
      <c r="E300" s="1290"/>
      <c r="F300" s="1290"/>
      <c r="G300" s="1290"/>
      <c r="H300" s="1028"/>
      <c r="I300" s="1153"/>
    </row>
    <row r="301" spans="1:9">
      <c r="A301" s="490"/>
      <c r="B301" s="490"/>
      <c r="D301" s="446"/>
      <c r="E301" s="446"/>
      <c r="F301" s="446"/>
      <c r="I301" s="490"/>
    </row>
    <row r="302" spans="1:9">
      <c r="C302" s="490"/>
      <c r="D302" s="1295" t="s">
        <v>682</v>
      </c>
      <c r="E302" s="1295"/>
      <c r="F302" s="1295"/>
      <c r="I302" s="490"/>
    </row>
    <row r="303" spans="1:9">
      <c r="C303" s="490"/>
      <c r="D303" s="1288" t="s">
        <v>1128</v>
      </c>
      <c r="E303" s="1288"/>
      <c r="F303" s="1288"/>
      <c r="I303" s="490"/>
    </row>
    <row r="304" spans="1:9">
      <c r="C304" s="490"/>
      <c r="D304" s="493"/>
      <c r="I304" s="490"/>
    </row>
    <row r="305" spans="1:9">
      <c r="B305" s="485" t="s">
        <v>2813</v>
      </c>
      <c r="D305" s="1288" t="s">
        <v>1129</v>
      </c>
      <c r="E305" s="1288"/>
      <c r="F305" s="1288"/>
      <c r="I305" s="490"/>
    </row>
    <row r="306" spans="1:9">
      <c r="A306" s="484"/>
      <c r="B306" s="484"/>
      <c r="D306" s="494"/>
      <c r="E306" s="495"/>
      <c r="F306" s="495"/>
      <c r="I306" s="490"/>
    </row>
    <row r="307" spans="1:9" ht="13.75" customHeight="1">
      <c r="B307" s="485" t="s">
        <v>2813</v>
      </c>
      <c r="D307" s="1297" t="s">
        <v>1219</v>
      </c>
      <c r="E307" s="1297"/>
      <c r="F307" s="1297"/>
      <c r="I307" s="490"/>
    </row>
    <row r="308" spans="1:9">
      <c r="A308" s="484"/>
      <c r="B308" s="484"/>
      <c r="D308" s="1297"/>
      <c r="E308" s="1297"/>
      <c r="F308" s="1297"/>
      <c r="I308" s="490"/>
    </row>
    <row r="309" spans="1:9">
      <c r="A309" s="484"/>
      <c r="B309" s="484"/>
      <c r="D309" s="1297"/>
      <c r="E309" s="1297"/>
      <c r="F309" s="1297"/>
      <c r="I309" s="490"/>
    </row>
    <row r="310" spans="1:9">
      <c r="A310" s="484"/>
      <c r="B310" s="484"/>
      <c r="D310" s="1297"/>
      <c r="E310" s="1297"/>
      <c r="F310" s="1297"/>
      <c r="I310" s="490"/>
    </row>
    <row r="311" spans="1:9">
      <c r="A311" s="484"/>
      <c r="B311" s="484"/>
      <c r="D311" s="1297"/>
      <c r="E311" s="1297"/>
      <c r="F311" s="1297"/>
      <c r="I311" s="490"/>
    </row>
    <row r="312" spans="1:9">
      <c r="A312" s="484"/>
      <c r="B312" s="484"/>
      <c r="D312" s="494"/>
      <c r="E312" s="495"/>
      <c r="F312" s="495"/>
      <c r="I312" s="490"/>
    </row>
    <row r="313" spans="1:9" ht="13.75" customHeight="1">
      <c r="B313" s="485" t="s">
        <v>2813</v>
      </c>
      <c r="D313" s="1297" t="s">
        <v>1130</v>
      </c>
      <c r="E313" s="1297"/>
      <c r="F313" s="1297"/>
      <c r="I313" s="490"/>
    </row>
    <row r="314" spans="1:9">
      <c r="D314" s="1297"/>
      <c r="E314" s="1297"/>
      <c r="F314" s="1297"/>
      <c r="I314" s="490"/>
    </row>
    <row r="315" spans="1:9">
      <c r="A315" s="484"/>
      <c r="B315" s="484"/>
      <c r="D315" s="494"/>
      <c r="E315" s="495"/>
      <c r="F315" s="495"/>
      <c r="I315" s="490"/>
    </row>
    <row r="316" spans="1:9">
      <c r="B316" s="485" t="s">
        <v>2813</v>
      </c>
      <c r="D316" s="1288" t="s">
        <v>1131</v>
      </c>
      <c r="E316" s="1288"/>
      <c r="F316" s="1288"/>
      <c r="I316" s="490"/>
    </row>
    <row r="317" spans="1:9">
      <c r="E317" s="446"/>
      <c r="F317" s="446"/>
      <c r="I317" s="490"/>
    </row>
    <row r="318" spans="1:9">
      <c r="A318" s="484"/>
      <c r="B318" s="485" t="s">
        <v>2813</v>
      </c>
      <c r="D318" s="1287" t="s">
        <v>2244</v>
      </c>
      <c r="E318" s="1287"/>
      <c r="F318" s="1287"/>
      <c r="I318" s="490"/>
    </row>
    <row r="319" spans="1:9">
      <c r="A319" s="484"/>
      <c r="B319" s="484"/>
      <c r="D319" s="1287"/>
      <c r="E319" s="1287"/>
      <c r="F319" s="1287"/>
      <c r="I319" s="490"/>
    </row>
    <row r="320" spans="1:9">
      <c r="A320" s="484"/>
      <c r="B320" s="484"/>
      <c r="D320" s="1287"/>
      <c r="E320" s="1287"/>
      <c r="F320" s="1287"/>
      <c r="I320" s="490"/>
    </row>
    <row r="321" spans="1:9">
      <c r="A321" s="484"/>
      <c r="B321" s="484"/>
      <c r="D321" s="1287"/>
      <c r="E321" s="1287"/>
      <c r="F321" s="1287"/>
      <c r="I321" s="490"/>
    </row>
    <row r="322" spans="1:9">
      <c r="A322" s="484"/>
      <c r="B322" s="484"/>
      <c r="D322" s="1287"/>
      <c r="E322" s="1287"/>
      <c r="F322" s="1287"/>
      <c r="I322" s="490"/>
    </row>
    <row r="323" spans="1:9">
      <c r="A323" s="484"/>
      <c r="B323" s="484"/>
      <c r="D323" s="1287"/>
      <c r="E323" s="1287"/>
      <c r="F323" s="1287"/>
      <c r="I323" s="490"/>
    </row>
    <row r="324" spans="1:9">
      <c r="A324" s="484"/>
      <c r="B324" s="484"/>
      <c r="D324" s="1287"/>
      <c r="E324" s="1287"/>
      <c r="F324" s="1287"/>
      <c r="I324" s="490"/>
    </row>
    <row r="325" spans="1:9">
      <c r="A325" s="484"/>
      <c r="B325" s="484"/>
      <c r="D325" s="1287"/>
      <c r="E325" s="1287"/>
      <c r="F325" s="1287"/>
      <c r="I325" s="490"/>
    </row>
    <row r="326" spans="1:9">
      <c r="A326" s="484"/>
      <c r="B326" s="484"/>
      <c r="D326" s="1287"/>
      <c r="E326" s="1287"/>
      <c r="F326" s="1287"/>
      <c r="I326" s="490"/>
    </row>
    <row r="327" spans="1:9">
      <c r="A327" s="484"/>
      <c r="B327" s="484"/>
      <c r="D327" s="1287"/>
      <c r="E327" s="1287"/>
      <c r="F327" s="1287"/>
      <c r="I327" s="490"/>
    </row>
    <row r="328" spans="1:9">
      <c r="A328" s="484"/>
      <c r="B328" s="484"/>
      <c r="D328" s="1287"/>
      <c r="E328" s="1287"/>
      <c r="F328" s="1287"/>
      <c r="I328" s="490"/>
    </row>
    <row r="329" spans="1:9">
      <c r="A329" s="484"/>
      <c r="B329" s="484"/>
      <c r="D329" s="1287"/>
      <c r="E329" s="1287"/>
      <c r="F329" s="1287"/>
      <c r="I329" s="490"/>
    </row>
    <row r="330" spans="1:9">
      <c r="A330" s="484"/>
      <c r="B330" s="484"/>
      <c r="D330" s="1287"/>
      <c r="E330" s="1287"/>
      <c r="F330" s="1287"/>
      <c r="I330" s="490"/>
    </row>
    <row r="331" spans="1:9">
      <c r="A331" s="484"/>
      <c r="B331" s="484"/>
      <c r="D331" s="1287"/>
      <c r="E331" s="1287"/>
      <c r="F331" s="1287"/>
      <c r="I331" s="490"/>
    </row>
    <row r="332" spans="1:9">
      <c r="A332" s="484"/>
      <c r="B332" s="484"/>
      <c r="D332" s="1287"/>
      <c r="E332" s="1287"/>
      <c r="F332" s="1287"/>
      <c r="I332" s="490"/>
    </row>
    <row r="333" spans="1:9">
      <c r="D333" s="446"/>
      <c r="E333" s="446"/>
      <c r="F333" s="446"/>
      <c r="I333" s="490"/>
    </row>
    <row r="334" spans="1:9">
      <c r="A334" s="484"/>
      <c r="B334" s="485" t="s">
        <v>2813</v>
      </c>
      <c r="D334" s="1287" t="s">
        <v>1132</v>
      </c>
      <c r="E334" s="1287"/>
      <c r="F334" s="1287"/>
      <c r="I334" s="490"/>
    </row>
    <row r="335" spans="1:9">
      <c r="D335" s="1287"/>
      <c r="E335" s="1287"/>
      <c r="F335" s="1287"/>
      <c r="I335" s="490"/>
    </row>
    <row r="336" spans="1:9">
      <c r="D336" s="1287"/>
      <c r="E336" s="1287"/>
      <c r="F336" s="1287"/>
      <c r="I336" s="490"/>
    </row>
    <row r="337" spans="1:9">
      <c r="D337" s="1287"/>
      <c r="E337" s="1287"/>
      <c r="F337" s="1287"/>
      <c r="I337" s="490"/>
    </row>
    <row r="338" spans="1:9">
      <c r="D338" s="1287"/>
      <c r="E338" s="1287"/>
      <c r="F338" s="1287"/>
      <c r="I338" s="490"/>
    </row>
    <row r="339" spans="1:9">
      <c r="D339" s="1287"/>
      <c r="E339" s="1287"/>
      <c r="F339" s="1287"/>
      <c r="I339" s="490"/>
    </row>
    <row r="340" spans="1:9">
      <c r="D340" s="1287"/>
      <c r="E340" s="1287"/>
      <c r="F340" s="1287"/>
      <c r="I340" s="490"/>
    </row>
    <row r="341" spans="1:9">
      <c r="D341" s="1287"/>
      <c r="E341" s="1287"/>
      <c r="F341" s="1287"/>
      <c r="I341" s="490"/>
    </row>
    <row r="342" spans="1:9">
      <c r="D342" s="1287"/>
      <c r="E342" s="1287"/>
      <c r="F342" s="1287"/>
      <c r="I342" s="490"/>
    </row>
    <row r="343" spans="1:9">
      <c r="D343" s="446"/>
      <c r="E343" s="446"/>
      <c r="F343" s="446"/>
      <c r="I343" s="490"/>
    </row>
    <row r="344" spans="1:9" ht="14.25" customHeight="1">
      <c r="A344" s="484"/>
      <c r="B344" s="485" t="s">
        <v>2813</v>
      </c>
      <c r="D344" s="1287" t="s">
        <v>1902</v>
      </c>
      <c r="E344" s="1287"/>
      <c r="F344" s="1287"/>
      <c r="I344" s="490"/>
    </row>
    <row r="345" spans="1:9">
      <c r="D345" s="1287"/>
      <c r="E345" s="1287"/>
      <c r="F345" s="1287"/>
      <c r="I345" s="490"/>
    </row>
    <row r="346" spans="1:9">
      <c r="D346" s="1287"/>
      <c r="E346" s="1287"/>
      <c r="F346" s="1287"/>
      <c r="I346" s="490"/>
    </row>
    <row r="347" spans="1:9">
      <c r="D347" s="1287"/>
      <c r="E347" s="1287"/>
      <c r="F347" s="1287"/>
      <c r="I347" s="490"/>
    </row>
    <row r="348" spans="1:9">
      <c r="D348" s="386" t="s">
        <v>1901</v>
      </c>
      <c r="E348" s="385"/>
      <c r="F348" s="385"/>
      <c r="I348" s="490"/>
    </row>
    <row r="349" spans="1:9">
      <c r="D349" s="385"/>
      <c r="E349" s="96" t="s">
        <v>1898</v>
      </c>
      <c r="G349" s="96"/>
      <c r="I349" s="490"/>
    </row>
    <row r="350" spans="1:9">
      <c r="D350" s="445"/>
      <c r="E350" s="445"/>
      <c r="F350" s="445"/>
      <c r="I350" s="490"/>
    </row>
    <row r="351" spans="1:9" ht="14" thickBot="1">
      <c r="A351" s="1022"/>
      <c r="B351" s="1022"/>
      <c r="C351" s="1022"/>
      <c r="D351" s="1300" t="s">
        <v>979</v>
      </c>
      <c r="E351" s="1300"/>
      <c r="F351" s="1300"/>
      <c r="G351" s="1027"/>
      <c r="H351" s="1027"/>
      <c r="I351" s="1156"/>
    </row>
    <row r="352" spans="1:9" ht="14" thickTop="1">
      <c r="D352" s="1298" t="s">
        <v>2245</v>
      </c>
      <c r="E352" s="1298"/>
      <c r="F352" s="1298"/>
      <c r="I352" s="490"/>
    </row>
    <row r="353" spans="1:9">
      <c r="D353" s="446"/>
      <c r="E353" s="446"/>
      <c r="F353" s="446"/>
      <c r="I353" s="490"/>
    </row>
    <row r="354" spans="1:9">
      <c r="A354" s="476"/>
      <c r="B354" s="476"/>
      <c r="C354" s="476"/>
      <c r="D354" s="447"/>
      <c r="E354" s="447"/>
      <c r="F354" s="446"/>
      <c r="I354" s="490"/>
    </row>
    <row r="355" spans="1:9">
      <c r="A355" s="484"/>
      <c r="B355" s="485" t="s">
        <v>2813</v>
      </c>
      <c r="C355" s="487"/>
      <c r="D355" s="1288" t="s">
        <v>1900</v>
      </c>
      <c r="E355" s="1288"/>
      <c r="F355" s="1288"/>
      <c r="I355" s="490"/>
    </row>
    <row r="356" spans="1:9" ht="12.75" customHeight="1">
      <c r="D356" s="1037"/>
      <c r="E356" s="96" t="s">
        <v>1899</v>
      </c>
      <c r="F356" s="1037"/>
      <c r="I356" s="490"/>
    </row>
    <row r="357" spans="1:9">
      <c r="D357" s="1287" t="s">
        <v>1239</v>
      </c>
      <c r="E357" s="1287"/>
      <c r="F357" s="1287"/>
      <c r="I357" s="490"/>
    </row>
    <row r="358" spans="1:9">
      <c r="D358" s="1287"/>
      <c r="E358" s="1287"/>
      <c r="F358" s="1287"/>
      <c r="I358" s="490"/>
    </row>
    <row r="359" spans="1:9">
      <c r="D359" s="1287"/>
      <c r="E359" s="1287"/>
      <c r="F359" s="1287"/>
      <c r="I359" s="490"/>
    </row>
    <row r="360" spans="1:9">
      <c r="A360" s="484"/>
      <c r="B360" s="485" t="s">
        <v>2813</v>
      </c>
      <c r="C360" s="476"/>
      <c r="D360" s="1299" t="s">
        <v>2056</v>
      </c>
      <c r="E360" s="1299"/>
      <c r="F360" s="1299"/>
      <c r="I360" s="480"/>
    </row>
    <row r="361" spans="1:9">
      <c r="A361" s="476"/>
      <c r="B361" s="476"/>
      <c r="C361" s="476"/>
      <c r="D361" s="447"/>
      <c r="E361" s="447"/>
      <c r="F361" s="446"/>
      <c r="I361" s="490"/>
    </row>
    <row r="362" spans="1:9">
      <c r="A362" s="476"/>
      <c r="B362" s="485" t="s">
        <v>2813</v>
      </c>
      <c r="C362" s="476"/>
      <c r="D362" s="1267" t="s">
        <v>2057</v>
      </c>
      <c r="E362" s="1267"/>
      <c r="F362" s="1267"/>
      <c r="I362" s="490"/>
    </row>
    <row r="363" spans="1:9">
      <c r="A363" s="476"/>
      <c r="B363" s="476"/>
      <c r="C363" s="476"/>
      <c r="D363" s="1267"/>
      <c r="E363" s="1267"/>
      <c r="F363" s="1267"/>
      <c r="I363" s="490"/>
    </row>
    <row r="364" spans="1:9">
      <c r="A364" s="476"/>
      <c r="B364" s="476"/>
      <c r="C364" s="476"/>
      <c r="D364" s="1267"/>
      <c r="E364" s="1267"/>
      <c r="F364" s="1267"/>
      <c r="I364" s="490"/>
    </row>
    <row r="365" spans="1:9">
      <c r="A365" s="476"/>
      <c r="B365" s="476"/>
      <c r="C365" s="476"/>
      <c r="D365" s="1267"/>
      <c r="E365" s="1267"/>
      <c r="F365" s="1267"/>
      <c r="I365" s="490"/>
    </row>
    <row r="366" spans="1:9">
      <c r="A366" s="476"/>
      <c r="B366" s="476"/>
      <c r="C366" s="476"/>
      <c r="D366" s="1267"/>
      <c r="E366" s="1267"/>
      <c r="F366" s="1267"/>
      <c r="I366" s="490"/>
    </row>
    <row r="367" spans="1:9">
      <c r="A367" s="476"/>
      <c r="B367" s="476"/>
      <c r="C367" s="476"/>
      <c r="D367" s="1267"/>
      <c r="E367" s="1267"/>
      <c r="F367" s="1267"/>
      <c r="I367" s="490"/>
    </row>
    <row r="368" spans="1:9">
      <c r="A368" s="476"/>
      <c r="B368" s="476"/>
      <c r="C368" s="476"/>
      <c r="D368" s="1267"/>
      <c r="E368" s="1267"/>
      <c r="F368" s="1267"/>
      <c r="I368" s="490"/>
    </row>
    <row r="369" spans="1:9">
      <c r="A369" s="476"/>
      <c r="B369" s="476"/>
      <c r="C369" s="476"/>
      <c r="D369" s="1267"/>
      <c r="E369" s="1267"/>
      <c r="F369" s="1267"/>
      <c r="I369" s="490"/>
    </row>
    <row r="370" spans="1:9">
      <c r="A370" s="476"/>
      <c r="B370" s="476"/>
      <c r="C370" s="476"/>
      <c r="D370" s="1267"/>
      <c r="E370" s="1267"/>
      <c r="F370" s="1267"/>
      <c r="I370" s="490"/>
    </row>
    <row r="371" spans="1:9">
      <c r="A371" s="476"/>
      <c r="B371" s="476"/>
      <c r="C371" s="476"/>
      <c r="D371" s="1267"/>
      <c r="E371" s="1267"/>
      <c r="F371" s="1267"/>
      <c r="I371" s="490"/>
    </row>
    <row r="372" spans="1:9">
      <c r="A372" s="476"/>
      <c r="B372" s="476"/>
      <c r="C372" s="476"/>
      <c r="D372" s="1267"/>
      <c r="E372" s="1267"/>
      <c r="F372" s="1267"/>
      <c r="I372" s="490"/>
    </row>
    <row r="373" spans="1:9">
      <c r="A373" s="476"/>
      <c r="B373" s="476"/>
      <c r="C373" s="476"/>
      <c r="D373" s="1267"/>
      <c r="E373" s="1267"/>
      <c r="F373" s="1267"/>
      <c r="I373" s="490"/>
    </row>
    <row r="374" spans="1:9">
      <c r="A374" s="476"/>
      <c r="B374" s="476"/>
      <c r="C374" s="476"/>
      <c r="D374" s="451"/>
      <c r="E374" s="451"/>
      <c r="F374" s="451"/>
      <c r="I374" s="490"/>
    </row>
    <row r="375" spans="1:9" ht="12.5" customHeight="1">
      <c r="A375" s="476"/>
      <c r="B375" s="485" t="s">
        <v>2813</v>
      </c>
      <c r="C375" s="476"/>
      <c r="D375" s="1284" t="s">
        <v>1221</v>
      </c>
      <c r="E375" s="1284"/>
      <c r="F375" s="1284"/>
      <c r="I375" s="490"/>
    </row>
    <row r="376" spans="1:9">
      <c r="A376" s="476"/>
      <c r="B376" s="476"/>
      <c r="C376" s="476"/>
      <c r="D376" s="1284"/>
      <c r="E376" s="1284"/>
      <c r="F376" s="1284"/>
      <c r="I376" s="490"/>
    </row>
    <row r="377" spans="1:9">
      <c r="A377" s="476"/>
      <c r="B377" s="476"/>
      <c r="C377" s="476"/>
      <c r="D377" s="1284"/>
      <c r="E377" s="1284"/>
      <c r="F377" s="1284"/>
      <c r="I377" s="490"/>
    </row>
    <row r="378" spans="1:9">
      <c r="A378" s="476"/>
      <c r="B378" s="476"/>
      <c r="C378" s="476"/>
      <c r="D378" s="1284"/>
      <c r="E378" s="1284"/>
      <c r="F378" s="1284"/>
      <c r="I378" s="490"/>
    </row>
    <row r="379" spans="1:9">
      <c r="A379" s="476"/>
      <c r="B379" s="476"/>
      <c r="C379" s="476"/>
      <c r="D379" s="524"/>
      <c r="E379" s="524"/>
      <c r="F379" s="524"/>
      <c r="I379" s="490"/>
    </row>
    <row r="380" spans="1:9">
      <c r="A380" s="476"/>
      <c r="B380" s="485" t="s">
        <v>2813</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c r="A387" s="484"/>
      <c r="B387" s="485" t="s">
        <v>2813</v>
      </c>
      <c r="C387" s="476"/>
      <c r="D387" s="1267" t="s">
        <v>1133</v>
      </c>
      <c r="E387" s="1267"/>
      <c r="F387" s="1267"/>
      <c r="I387" s="490"/>
    </row>
    <row r="388" spans="1:9">
      <c r="A388" s="476"/>
      <c r="B388" s="476"/>
      <c r="C388" s="476"/>
      <c r="D388" s="1267"/>
      <c r="E388" s="1267"/>
      <c r="F388" s="1267"/>
      <c r="I388" s="490"/>
    </row>
    <row r="389" spans="1:9">
      <c r="A389" s="476"/>
      <c r="B389" s="476"/>
      <c r="C389" s="476"/>
      <c r="D389" s="1267"/>
      <c r="E389" s="1267"/>
      <c r="F389" s="1267"/>
      <c r="I389" s="490"/>
    </row>
    <row r="390" spans="1:9">
      <c r="A390" s="476"/>
      <c r="B390" s="476"/>
      <c r="C390" s="476"/>
      <c r="D390" s="1267"/>
      <c r="E390" s="1267"/>
      <c r="F390" s="1267"/>
      <c r="I390" s="490"/>
    </row>
    <row r="391" spans="1:9">
      <c r="A391" s="476"/>
      <c r="B391" s="476"/>
      <c r="C391" s="476"/>
      <c r="D391" s="447"/>
      <c r="E391" s="447"/>
      <c r="F391" s="446"/>
      <c r="I391" s="490"/>
    </row>
    <row r="392" spans="1:9">
      <c r="A392" s="476"/>
      <c r="B392" s="476"/>
      <c r="C392" s="476"/>
      <c r="D392" s="1267" t="s">
        <v>1134</v>
      </c>
      <c r="E392" s="1267"/>
      <c r="F392" s="1267"/>
      <c r="I392" s="490"/>
    </row>
    <row r="393" spans="1:9">
      <c r="A393" s="476"/>
      <c r="B393" s="476"/>
      <c r="C393" s="476"/>
      <c r="D393" s="1267"/>
      <c r="E393" s="1267"/>
      <c r="F393" s="1267"/>
      <c r="I393" s="490"/>
    </row>
    <row r="394" spans="1:9">
      <c r="A394" s="476"/>
      <c r="B394" s="476"/>
      <c r="C394" s="476"/>
      <c r="D394" s="1267"/>
      <c r="E394" s="1267"/>
      <c r="F394" s="1267"/>
      <c r="I394" s="490"/>
    </row>
    <row r="395" spans="1:9">
      <c r="A395" s="476"/>
      <c r="B395" s="476"/>
      <c r="C395" s="476"/>
      <c r="D395" s="1267"/>
      <c r="E395" s="1267"/>
      <c r="F395" s="1267"/>
      <c r="I395" s="490"/>
    </row>
    <row r="396" spans="1:9" ht="18" customHeight="1">
      <c r="A396" s="476"/>
      <c r="B396" s="476"/>
      <c r="C396" s="476"/>
      <c r="D396" s="1267"/>
      <c r="E396" s="1267"/>
      <c r="F396" s="1267"/>
      <c r="I396" s="490"/>
    </row>
    <row r="397" spans="1:9">
      <c r="A397" s="476"/>
      <c r="B397" s="476"/>
      <c r="C397" s="476"/>
      <c r="D397" s="1267"/>
      <c r="E397" s="1267"/>
      <c r="F397" s="1267"/>
      <c r="I397" s="490"/>
    </row>
    <row r="398" spans="1:9">
      <c r="A398" s="476"/>
      <c r="B398" s="476"/>
      <c r="C398" s="476"/>
      <c r="D398" s="1267"/>
      <c r="E398" s="1267"/>
      <c r="F398" s="1267"/>
      <c r="I398" s="490"/>
    </row>
    <row r="399" spans="1:9">
      <c r="A399" s="476"/>
      <c r="B399" s="476"/>
      <c r="C399" s="476"/>
      <c r="D399" s="1267"/>
      <c r="E399" s="1267"/>
      <c r="F399" s="1267"/>
      <c r="I399" s="490"/>
    </row>
    <row r="400" spans="1:9" ht="8.25" customHeight="1">
      <c r="A400" s="476"/>
      <c r="B400" s="476"/>
      <c r="C400" s="476"/>
      <c r="D400" s="1267"/>
      <c r="E400" s="1267"/>
      <c r="F400" s="1267"/>
      <c r="I400" s="490"/>
    </row>
    <row r="401" spans="1:9" ht="13.75" customHeight="1">
      <c r="A401" s="476"/>
      <c r="B401" s="476"/>
      <c r="C401" s="476"/>
      <c r="D401" s="1267" t="s">
        <v>1135</v>
      </c>
      <c r="E401" s="1267"/>
      <c r="F401" s="1267"/>
      <c r="I401" s="490"/>
    </row>
    <row r="402" spans="1:9">
      <c r="A402" s="476"/>
      <c r="B402" s="476"/>
      <c r="C402" s="476"/>
      <c r="D402" s="1267"/>
      <c r="E402" s="1267"/>
      <c r="F402" s="1267"/>
      <c r="I402" s="490"/>
    </row>
    <row r="403" spans="1:9">
      <c r="A403" s="476"/>
      <c r="B403" s="476"/>
      <c r="C403" s="476"/>
      <c r="D403" s="1267"/>
      <c r="E403" s="1267"/>
      <c r="F403" s="1267"/>
      <c r="I403" s="490"/>
    </row>
    <row r="404" spans="1:9">
      <c r="A404" s="476"/>
      <c r="B404" s="476"/>
      <c r="C404" s="476"/>
      <c r="D404" s="1267"/>
      <c r="E404" s="1267"/>
      <c r="F404" s="1267"/>
      <c r="I404" s="490"/>
    </row>
    <row r="405" spans="1:9">
      <c r="A405" s="476"/>
      <c r="B405" s="476"/>
      <c r="C405" s="476"/>
      <c r="D405" s="1267"/>
      <c r="E405" s="1267"/>
      <c r="F405" s="1267"/>
      <c r="I405" s="490"/>
    </row>
    <row r="406" spans="1:9">
      <c r="A406" s="476"/>
      <c r="B406" s="476"/>
      <c r="C406" s="476"/>
      <c r="D406" s="1267"/>
      <c r="E406" s="1267"/>
      <c r="F406" s="1267"/>
      <c r="I406" s="490"/>
    </row>
    <row r="407" spans="1:9">
      <c r="A407" s="476"/>
      <c r="B407" s="476"/>
      <c r="C407" s="476"/>
      <c r="D407" s="1267"/>
      <c r="E407" s="1267"/>
      <c r="F407" s="1267"/>
      <c r="I407" s="490"/>
    </row>
    <row r="408" spans="1:9">
      <c r="A408" s="476"/>
      <c r="B408" s="476"/>
      <c r="C408" s="476"/>
      <c r="D408" s="1267"/>
      <c r="E408" s="1267"/>
      <c r="F408" s="1267"/>
      <c r="I408" s="490"/>
    </row>
    <row r="409" spans="1:9">
      <c r="A409" s="476"/>
      <c r="B409" s="476"/>
      <c r="C409" s="476"/>
      <c r="D409" s="1267"/>
      <c r="E409" s="1267"/>
      <c r="F409" s="1267"/>
      <c r="I409" s="490"/>
    </row>
    <row r="410" spans="1:9">
      <c r="A410" s="476"/>
      <c r="B410" s="476"/>
      <c r="C410" s="476"/>
      <c r="D410" s="1267"/>
      <c r="E410" s="1267"/>
      <c r="F410" s="1267"/>
      <c r="I410" s="490"/>
    </row>
    <row r="411" spans="1:9">
      <c r="A411" s="476"/>
      <c r="B411" s="476"/>
      <c r="C411" s="476"/>
      <c r="D411" s="1267"/>
      <c r="E411" s="1267"/>
      <c r="F411" s="1267"/>
      <c r="I411" s="490"/>
    </row>
    <row r="412" spans="1:9">
      <c r="A412" s="476"/>
      <c r="B412" s="476"/>
      <c r="C412" s="476"/>
      <c r="D412" s="1267"/>
      <c r="E412" s="1267"/>
      <c r="F412" s="1267"/>
      <c r="I412" s="490"/>
    </row>
    <row r="413" spans="1:9">
      <c r="A413" s="476"/>
      <c r="B413" s="476"/>
      <c r="C413" s="496"/>
      <c r="D413" s="1267"/>
      <c r="E413" s="1267"/>
      <c r="F413" s="1267"/>
      <c r="I413" s="490"/>
    </row>
    <row r="414" spans="1:9">
      <c r="A414" s="476"/>
      <c r="B414" s="476"/>
      <c r="C414" s="496"/>
      <c r="D414" s="1267"/>
      <c r="E414" s="1267"/>
      <c r="F414" s="1267"/>
      <c r="I414" s="490"/>
    </row>
    <row r="415" spans="1:9">
      <c r="A415" s="476"/>
      <c r="B415" s="476"/>
      <c r="C415" s="476"/>
      <c r="D415" s="1267"/>
      <c r="E415" s="1267"/>
      <c r="F415" s="1267"/>
      <c r="I415" s="490"/>
    </row>
    <row r="416" spans="1:9">
      <c r="A416" s="476"/>
      <c r="B416" s="476"/>
      <c r="C416" s="496"/>
      <c r="D416" s="1267"/>
      <c r="E416" s="1267"/>
      <c r="F416" s="1267"/>
      <c r="I416" s="490"/>
    </row>
    <row r="417" spans="1:9">
      <c r="A417" s="476"/>
      <c r="B417" s="476"/>
      <c r="C417" s="496"/>
      <c r="D417" s="1267"/>
      <c r="E417" s="1267"/>
      <c r="F417" s="1267"/>
      <c r="I417" s="490"/>
    </row>
    <row r="418" spans="1:9">
      <c r="A418" s="476"/>
      <c r="B418" s="476"/>
      <c r="C418" s="496"/>
      <c r="D418" s="1267"/>
      <c r="E418" s="1267"/>
      <c r="F418" s="1267"/>
      <c r="I418" s="490"/>
    </row>
    <row r="419" spans="1:9">
      <c r="A419" s="476"/>
      <c r="B419" s="476"/>
      <c r="C419" s="476"/>
      <c r="D419" s="447"/>
      <c r="E419" s="447"/>
      <c r="F419" s="446"/>
      <c r="I419" s="490"/>
    </row>
    <row r="420" spans="1:9">
      <c r="A420" s="476"/>
      <c r="B420" s="485" t="s">
        <v>2813</v>
      </c>
      <c r="C420" s="476"/>
      <c r="D420" s="1267" t="s">
        <v>1136</v>
      </c>
      <c r="E420" s="1267"/>
      <c r="F420" s="1267"/>
      <c r="I420" s="490"/>
    </row>
    <row r="421" spans="1:9">
      <c r="A421" s="476"/>
      <c r="B421" s="476"/>
      <c r="C421" s="476"/>
      <c r="D421" s="1267"/>
      <c r="E421" s="1267"/>
      <c r="F421" s="1267"/>
      <c r="I421" s="490"/>
    </row>
    <row r="422" spans="1:9">
      <c r="A422" s="476"/>
      <c r="B422" s="476"/>
      <c r="C422" s="476"/>
      <c r="D422" s="451"/>
      <c r="E422" s="451"/>
      <c r="F422" s="451"/>
      <c r="I422" s="490"/>
    </row>
    <row r="423" spans="1:9" ht="14.5" customHeight="1">
      <c r="A423" s="484"/>
      <c r="B423" s="485" t="s">
        <v>2813</v>
      </c>
      <c r="D423" s="1267" t="s">
        <v>1881</v>
      </c>
      <c r="E423" s="1267"/>
      <c r="F423" s="1267"/>
      <c r="I423" s="490"/>
    </row>
    <row r="424" spans="1:9" ht="14.5" customHeight="1">
      <c r="A424" s="484"/>
      <c r="D424" s="1267"/>
      <c r="E424" s="1267"/>
      <c r="F424" s="1267"/>
      <c r="I424" s="490"/>
    </row>
    <row r="425" spans="1:9" ht="14.5" customHeight="1">
      <c r="A425" s="484"/>
      <c r="D425" s="1267"/>
      <c r="E425" s="1267"/>
      <c r="F425" s="1267"/>
      <c r="I425" s="490"/>
    </row>
    <row r="426" spans="1:9" ht="14.5" customHeight="1">
      <c r="A426" s="484"/>
      <c r="D426" s="1267"/>
      <c r="E426" s="1267"/>
      <c r="F426" s="1267"/>
      <c r="I426" s="490"/>
    </row>
    <row r="427" spans="1:9" ht="14.5" customHeight="1">
      <c r="A427" s="484"/>
      <c r="D427" s="1267"/>
      <c r="E427" s="1267"/>
      <c r="F427" s="1267"/>
      <c r="I427" s="490"/>
    </row>
    <row r="428" spans="1:9" ht="14.5" customHeight="1">
      <c r="A428" s="484"/>
      <c r="D428" s="385"/>
      <c r="E428" s="385"/>
      <c r="F428" s="385"/>
      <c r="I428" s="490"/>
    </row>
    <row r="429" spans="1:9" ht="13.75" customHeight="1">
      <c r="A429" s="484"/>
      <c r="B429" s="485" t="s">
        <v>2813</v>
      </c>
      <c r="C429" s="476"/>
      <c r="D429" s="1267" t="s">
        <v>1240</v>
      </c>
      <c r="E429" s="1267"/>
      <c r="F429" s="1267"/>
      <c r="I429" s="490"/>
    </row>
    <row r="430" spans="1:9">
      <c r="A430" s="497"/>
      <c r="B430" s="497"/>
      <c r="C430" s="476"/>
      <c r="D430" s="1267"/>
      <c r="E430" s="1267"/>
      <c r="F430" s="1267"/>
      <c r="I430" s="490"/>
    </row>
    <row r="431" spans="1:9">
      <c r="A431" s="497"/>
      <c r="B431" s="497"/>
      <c r="C431" s="476"/>
      <c r="D431" s="1267"/>
      <c r="E431" s="1267"/>
      <c r="F431" s="1267"/>
      <c r="I431" s="490"/>
    </row>
    <row r="432" spans="1:9">
      <c r="A432" s="497"/>
      <c r="B432" s="497"/>
      <c r="C432" s="476"/>
      <c r="D432" s="1267"/>
      <c r="E432" s="1267"/>
      <c r="F432" s="1267"/>
      <c r="I432" s="490"/>
    </row>
    <row r="433" spans="1:9" ht="15.75" customHeight="1">
      <c r="A433" s="497"/>
      <c r="B433" s="497"/>
      <c r="C433" s="476"/>
      <c r="D433" s="1301" t="s">
        <v>2073</v>
      </c>
      <c r="E433" s="1267"/>
      <c r="F433" s="1267"/>
      <c r="I433" s="490"/>
    </row>
    <row r="434" spans="1:9">
      <c r="D434" s="446"/>
      <c r="E434" s="446"/>
      <c r="F434" s="446"/>
      <c r="I434" s="490"/>
    </row>
    <row r="435" spans="1:9">
      <c r="A435" s="484"/>
      <c r="B435" s="485" t="s">
        <v>2813</v>
      </c>
      <c r="C435" s="487"/>
      <c r="D435" s="1287" t="s">
        <v>2058</v>
      </c>
      <c r="E435" s="1287"/>
      <c r="F435" s="1287"/>
      <c r="I435" s="490"/>
    </row>
    <row r="436" spans="1:9">
      <c r="A436" s="484"/>
      <c r="B436" s="484"/>
      <c r="D436" s="1287"/>
      <c r="E436" s="1287"/>
      <c r="F436" s="1287"/>
      <c r="I436" s="490"/>
    </row>
    <row r="437" spans="1:9">
      <c r="D437" s="1287"/>
      <c r="E437" s="1287"/>
      <c r="F437" s="1287"/>
      <c r="I437" s="490"/>
    </row>
    <row r="438" spans="1:9">
      <c r="D438" s="1287"/>
      <c r="E438" s="1287"/>
      <c r="F438" s="1287"/>
      <c r="I438" s="490"/>
    </row>
    <row r="439" spans="1:9">
      <c r="D439" s="1287"/>
      <c r="E439" s="1287"/>
      <c r="F439" s="1287"/>
      <c r="I439" s="490"/>
    </row>
    <row r="440" spans="1:9">
      <c r="D440" s="1287"/>
      <c r="E440" s="1287"/>
      <c r="F440" s="1287"/>
      <c r="I440" s="490"/>
    </row>
    <row r="441" spans="1:9">
      <c r="D441" s="1287"/>
      <c r="E441" s="1287"/>
      <c r="F441" s="1287"/>
      <c r="I441" s="490"/>
    </row>
    <row r="442" spans="1:9">
      <c r="D442" s="1287"/>
      <c r="E442" s="1287"/>
      <c r="F442" s="1287"/>
      <c r="I442" s="490"/>
    </row>
    <row r="443" spans="1:9">
      <c r="D443" s="1287"/>
      <c r="E443" s="1287"/>
      <c r="F443" s="1287"/>
      <c r="I443" s="490"/>
    </row>
    <row r="444" spans="1:9">
      <c r="D444" s="1287"/>
      <c r="E444" s="1287"/>
      <c r="F444" s="1287"/>
      <c r="I444" s="490"/>
    </row>
    <row r="445" spans="1:9">
      <c r="D445" s="1287"/>
      <c r="E445" s="1287"/>
      <c r="F445" s="1287"/>
      <c r="I445" s="490"/>
    </row>
    <row r="446" spans="1:9">
      <c r="D446" s="1287"/>
      <c r="E446" s="1287"/>
      <c r="F446" s="1287"/>
      <c r="I446" s="490"/>
    </row>
    <row r="447" spans="1:9">
      <c r="D447" s="1287"/>
      <c r="E447" s="1287"/>
      <c r="F447" s="1287"/>
      <c r="I447" s="490"/>
    </row>
    <row r="448" spans="1:9">
      <c r="A448" s="402"/>
      <c r="B448" s="402"/>
      <c r="C448" s="402"/>
      <c r="D448" s="1287"/>
      <c r="E448" s="1287"/>
      <c r="F448" s="1287"/>
      <c r="I448" s="490"/>
    </row>
    <row r="449" spans="1:9">
      <c r="A449" s="402"/>
      <c r="B449" s="402"/>
      <c r="C449" s="402"/>
      <c r="D449" s="1287"/>
      <c r="E449" s="1287"/>
      <c r="F449" s="1287"/>
      <c r="I449" s="490"/>
    </row>
    <row r="450" spans="1:9">
      <c r="A450" s="402"/>
      <c r="B450" s="402"/>
      <c r="C450" s="402"/>
      <c r="D450" s="1287"/>
      <c r="E450" s="1287"/>
      <c r="F450" s="1287"/>
      <c r="I450" s="490"/>
    </row>
    <row r="451" spans="1:9">
      <c r="A451" s="402"/>
      <c r="B451" s="402"/>
      <c r="C451" s="402"/>
      <c r="D451" s="1287"/>
      <c r="E451" s="1287"/>
      <c r="F451" s="1287"/>
      <c r="I451" s="490"/>
    </row>
    <row r="452" spans="1:9">
      <c r="A452" s="402"/>
      <c r="B452" s="402"/>
      <c r="C452" s="402"/>
      <c r="D452" s="1287"/>
      <c r="E452" s="1287"/>
      <c r="F452" s="1287"/>
      <c r="I452" s="490"/>
    </row>
    <row r="453" spans="1:9">
      <c r="A453" s="402"/>
      <c r="B453" s="402"/>
      <c r="C453" s="402"/>
      <c r="D453" s="1287"/>
      <c r="E453" s="1287"/>
      <c r="F453" s="1287"/>
      <c r="I453" s="490"/>
    </row>
    <row r="454" spans="1:9">
      <c r="A454" s="402"/>
      <c r="B454" s="402"/>
      <c r="C454" s="402"/>
      <c r="D454" s="1287"/>
      <c r="E454" s="1287"/>
      <c r="F454" s="1287"/>
      <c r="I454" s="490"/>
    </row>
    <row r="455" spans="1:9">
      <c r="A455" s="402"/>
      <c r="B455" s="402"/>
      <c r="C455" s="402"/>
      <c r="D455" s="1287"/>
      <c r="E455" s="1287"/>
      <c r="F455" s="1287"/>
      <c r="I455" s="490"/>
    </row>
    <row r="456" spans="1:9">
      <c r="A456" s="402"/>
      <c r="B456" s="402"/>
      <c r="C456" s="402"/>
      <c r="D456" s="1287"/>
      <c r="E456" s="1287"/>
      <c r="F456" s="1287"/>
      <c r="I456" s="490"/>
    </row>
    <row r="457" spans="1:9">
      <c r="A457" s="402"/>
      <c r="B457" s="402"/>
      <c r="C457" s="402"/>
      <c r="D457" s="1287"/>
      <c r="E457" s="1287"/>
      <c r="F457" s="1287"/>
      <c r="I457" s="490"/>
    </row>
    <row r="458" spans="1:9">
      <c r="A458" s="402"/>
      <c r="B458" s="402"/>
      <c r="C458" s="402"/>
      <c r="D458" s="1287"/>
      <c r="E458" s="1287"/>
      <c r="F458" s="1287"/>
      <c r="I458" s="490"/>
    </row>
    <row r="459" spans="1:9">
      <c r="A459" s="402"/>
      <c r="B459" s="402"/>
      <c r="C459" s="402"/>
      <c r="D459" s="1287"/>
      <c r="E459" s="1287"/>
      <c r="F459" s="1287"/>
      <c r="I459" s="490"/>
    </row>
    <row r="460" spans="1:9">
      <c r="A460" s="402"/>
      <c r="B460" s="402"/>
      <c r="C460" s="402"/>
      <c r="D460" s="1287"/>
      <c r="E460" s="1287"/>
      <c r="F460" s="1287"/>
      <c r="I460" s="490"/>
    </row>
    <row r="461" spans="1:9">
      <c r="A461" s="402"/>
      <c r="B461" s="402"/>
      <c r="C461" s="402"/>
      <c r="D461" s="1287"/>
      <c r="E461" s="1287"/>
      <c r="F461" s="1287"/>
      <c r="I461" s="490"/>
    </row>
    <row r="462" spans="1:9">
      <c r="A462" s="402"/>
      <c r="B462" s="402"/>
      <c r="C462" s="402"/>
      <c r="D462" s="1287"/>
      <c r="E462" s="1287"/>
      <c r="F462" s="1287"/>
      <c r="I462" s="490"/>
    </row>
    <row r="463" spans="1:9">
      <c r="A463" s="402"/>
      <c r="B463" s="402"/>
      <c r="C463" s="402"/>
      <c r="D463" s="1287"/>
      <c r="E463" s="1287"/>
      <c r="F463" s="1287"/>
      <c r="I463" s="490"/>
    </row>
    <row r="464" spans="1:9">
      <c r="D464" s="1287"/>
      <c r="E464" s="1287"/>
      <c r="F464" s="1287"/>
      <c r="I464" s="490"/>
    </row>
    <row r="465" spans="1:9" ht="40.75" customHeight="1">
      <c r="D465" s="1287"/>
      <c r="E465" s="1287"/>
      <c r="F465" s="1287"/>
      <c r="I465" s="490"/>
    </row>
    <row r="466" spans="1:9">
      <c r="D466" s="446"/>
      <c r="E466" s="446"/>
      <c r="F466" s="446"/>
      <c r="I466" s="490"/>
    </row>
    <row r="467" spans="1:9">
      <c r="A467" s="484"/>
      <c r="B467" s="485" t="s">
        <v>2813</v>
      </c>
      <c r="C467" s="487"/>
      <c r="D467" s="1287" t="s">
        <v>1137</v>
      </c>
      <c r="E467" s="1287"/>
      <c r="F467" s="1287"/>
      <c r="I467" s="490"/>
    </row>
    <row r="468" spans="1:9">
      <c r="D468" s="1287"/>
      <c r="E468" s="1287"/>
      <c r="F468" s="1287"/>
      <c r="I468" s="490"/>
    </row>
    <row r="469" spans="1:9">
      <c r="D469" s="1287"/>
      <c r="E469" s="1287"/>
      <c r="F469" s="1287"/>
      <c r="I469" s="490"/>
    </row>
    <row r="470" spans="1:9">
      <c r="D470" s="445"/>
      <c r="E470" s="445"/>
      <c r="F470" s="445"/>
      <c r="I470" s="490"/>
    </row>
    <row r="471" spans="1:9">
      <c r="B471" s="485" t="s">
        <v>2813</v>
      </c>
      <c r="C471" s="484"/>
      <c r="D471" s="1287" t="s">
        <v>1197</v>
      </c>
      <c r="E471" s="1287"/>
      <c r="F471" s="1287"/>
      <c r="I471" s="490"/>
    </row>
    <row r="472" spans="1:9">
      <c r="D472" s="1287"/>
      <c r="E472" s="1287"/>
      <c r="F472" s="1287"/>
      <c r="I472" s="490"/>
    </row>
    <row r="473" spans="1:9">
      <c r="D473" s="446"/>
      <c r="E473" s="446"/>
      <c r="F473" s="446"/>
      <c r="I473" s="490"/>
    </row>
    <row r="474" spans="1:9">
      <c r="B474" s="485" t="s">
        <v>2813</v>
      </c>
      <c r="C474" s="484"/>
      <c r="D474" s="1287" t="s">
        <v>1138</v>
      </c>
      <c r="E474" s="1287"/>
      <c r="F474" s="1287"/>
      <c r="I474" s="490"/>
    </row>
    <row r="475" spans="1:9">
      <c r="D475" s="1287"/>
      <c r="E475" s="1287"/>
      <c r="F475" s="1287"/>
      <c r="I475" s="490"/>
    </row>
    <row r="476" spans="1:9">
      <c r="D476" s="1287"/>
      <c r="E476" s="1287"/>
      <c r="F476" s="1287"/>
      <c r="I476" s="490"/>
    </row>
    <row r="477" spans="1:9">
      <c r="D477" s="1287"/>
      <c r="E477" s="1287"/>
      <c r="F477" s="1287"/>
      <c r="I477" s="490"/>
    </row>
    <row r="478" spans="1:9">
      <c r="B478" s="485" t="s">
        <v>2813</v>
      </c>
      <c r="D478" s="1287"/>
      <c r="E478" s="1287"/>
      <c r="F478" s="1287"/>
      <c r="I478" s="490"/>
    </row>
    <row r="479" spans="1:9">
      <c r="A479" s="402"/>
      <c r="B479" s="402"/>
      <c r="C479" s="402"/>
      <c r="D479" s="1287"/>
      <c r="E479" s="1287"/>
      <c r="F479" s="1287"/>
      <c r="I479" s="490"/>
    </row>
    <row r="480" spans="1:9">
      <c r="A480" s="402"/>
      <c r="C480" s="402"/>
      <c r="D480" s="1287"/>
      <c r="E480" s="1287"/>
      <c r="F480" s="1287"/>
      <c r="I480" s="490"/>
    </row>
    <row r="481" spans="1:9">
      <c r="A481" s="402"/>
      <c r="B481" s="485" t="s">
        <v>2813</v>
      </c>
      <c r="C481" s="402"/>
      <c r="D481" s="1287"/>
      <c r="E481" s="1287"/>
      <c r="F481" s="1287"/>
      <c r="I481" s="490"/>
    </row>
    <row r="482" spans="1:9">
      <c r="A482" s="402"/>
      <c r="B482" s="402"/>
      <c r="C482" s="402"/>
      <c r="D482" s="1287"/>
      <c r="E482" s="1287"/>
      <c r="F482" s="1287"/>
      <c r="I482" s="490"/>
    </row>
    <row r="483" spans="1:9">
      <c r="A483" s="402"/>
      <c r="C483" s="402"/>
      <c r="D483" s="1287"/>
      <c r="E483" s="1287"/>
      <c r="F483" s="1287"/>
      <c r="I483" s="490"/>
    </row>
    <row r="484" spans="1:9">
      <c r="A484" s="402"/>
      <c r="C484" s="402"/>
      <c r="D484" s="1287"/>
      <c r="E484" s="1287"/>
      <c r="F484" s="1287"/>
      <c r="I484" s="490"/>
    </row>
    <row r="485" spans="1:9">
      <c r="A485" s="402"/>
      <c r="C485" s="402"/>
      <c r="D485" s="1287"/>
      <c r="E485" s="1287"/>
      <c r="F485" s="1287"/>
      <c r="I485" s="490"/>
    </row>
    <row r="486" spans="1:9">
      <c r="A486" s="402"/>
      <c r="B486" s="485" t="s">
        <v>2813</v>
      </c>
      <c r="C486" s="402"/>
      <c r="D486" s="1287"/>
      <c r="E486" s="1287"/>
      <c r="F486" s="1287"/>
      <c r="I486" s="490"/>
    </row>
    <row r="487" spans="1:9">
      <c r="A487" s="402"/>
      <c r="C487" s="402"/>
      <c r="D487" s="1287"/>
      <c r="E487" s="1287"/>
      <c r="F487" s="1287"/>
      <c r="I487" s="490"/>
    </row>
    <row r="488" spans="1:9">
      <c r="A488" s="402"/>
      <c r="B488" s="485" t="s">
        <v>2813</v>
      </c>
      <c r="C488" s="402"/>
      <c r="D488" s="1287" t="s">
        <v>1139</v>
      </c>
      <c r="E488" s="1287"/>
      <c r="F488" s="1287"/>
      <c r="I488" s="490"/>
    </row>
    <row r="489" spans="1:9">
      <c r="A489" s="402"/>
      <c r="B489" s="402"/>
      <c r="C489" s="402"/>
      <c r="D489" s="1287"/>
      <c r="E489" s="1287"/>
      <c r="F489" s="1287"/>
      <c r="I489" s="490"/>
    </row>
    <row r="490" spans="1:9">
      <c r="A490" s="402"/>
      <c r="B490" s="402"/>
      <c r="C490" s="402"/>
      <c r="D490" s="1287"/>
      <c r="E490" s="1287"/>
      <c r="F490" s="1287"/>
      <c r="I490" s="490"/>
    </row>
    <row r="491" spans="1:9">
      <c r="A491" s="402"/>
      <c r="B491" s="402"/>
      <c r="C491" s="402"/>
      <c r="D491" s="1287"/>
      <c r="E491" s="1287"/>
      <c r="F491" s="1287"/>
      <c r="I491" s="490"/>
    </row>
    <row r="492" spans="1:9">
      <c r="D492" s="1287"/>
      <c r="E492" s="1287"/>
      <c r="F492" s="1287"/>
      <c r="I492" s="490"/>
    </row>
    <row r="493" spans="1:9">
      <c r="D493" s="446"/>
      <c r="E493" s="446"/>
      <c r="F493" s="446"/>
      <c r="I493" s="490"/>
    </row>
    <row r="494" spans="1:9">
      <c r="B494" s="485" t="s">
        <v>2813</v>
      </c>
      <c r="D494" s="1288" t="s">
        <v>1140</v>
      </c>
      <c r="E494" s="1288"/>
      <c r="F494" s="1288"/>
      <c r="I494" s="490"/>
    </row>
    <row r="495" spans="1:9">
      <c r="A495" s="446"/>
      <c r="B495" s="446"/>
      <c r="I495" s="490"/>
    </row>
    <row r="496" spans="1:9">
      <c r="A496" s="1290" t="s">
        <v>1050</v>
      </c>
      <c r="B496" s="1290"/>
      <c r="C496" s="1290"/>
      <c r="D496" s="1290"/>
      <c r="E496" s="1290"/>
      <c r="F496" s="1290"/>
      <c r="G496" s="1290"/>
      <c r="H496" s="1028"/>
      <c r="I496" s="1153"/>
    </row>
    <row r="497" spans="1:9">
      <c r="A497" s="446"/>
      <c r="B497" s="446"/>
      <c r="I497" s="490"/>
    </row>
    <row r="498" spans="1:9">
      <c r="D498" s="1303" t="s">
        <v>883</v>
      </c>
      <c r="E498" s="1303"/>
      <c r="F498" s="1303"/>
      <c r="I498" s="490"/>
    </row>
    <row r="499" spans="1:9">
      <c r="A499" s="484"/>
      <c r="B499" s="484"/>
      <c r="D499" s="1299" t="s">
        <v>1141</v>
      </c>
      <c r="E499" s="1299"/>
      <c r="F499" s="1299"/>
      <c r="I499" s="490"/>
    </row>
    <row r="500" spans="1:9">
      <c r="A500" s="484"/>
      <c r="B500" s="484"/>
      <c r="D500" s="447"/>
      <c r="I500" s="490"/>
    </row>
    <row r="501" spans="1:9">
      <c r="A501" s="484"/>
      <c r="B501" s="485" t="s">
        <v>2813</v>
      </c>
      <c r="D501" s="1267" t="s">
        <v>1142</v>
      </c>
      <c r="E501" s="1267"/>
      <c r="F501" s="1267"/>
      <c r="I501" s="490"/>
    </row>
    <row r="502" spans="1:9">
      <c r="A502" s="484"/>
      <c r="B502" s="484"/>
      <c r="D502" s="1267"/>
      <c r="E502" s="1267"/>
      <c r="F502" s="1267"/>
      <c r="I502" s="490"/>
    </row>
    <row r="503" spans="1:9">
      <c r="A503" s="484"/>
      <c r="B503" s="484"/>
      <c r="D503" s="446"/>
      <c r="I503" s="490"/>
    </row>
    <row r="504" spans="1:9" ht="12.75" customHeight="1">
      <c r="B504" s="485" t="s">
        <v>2813</v>
      </c>
      <c r="D504" s="1291" t="s">
        <v>1273</v>
      </c>
      <c r="E504" s="1291"/>
      <c r="F504" s="1291"/>
      <c r="I504" s="490"/>
    </row>
    <row r="505" spans="1:9">
      <c r="A505" s="484"/>
      <c r="D505" s="1291"/>
      <c r="E505" s="1291"/>
      <c r="F505" s="1291"/>
      <c r="I505" s="490"/>
    </row>
    <row r="506" spans="1:9">
      <c r="A506" s="484"/>
      <c r="B506" s="484"/>
      <c r="D506" s="1291"/>
      <c r="E506" s="1291"/>
      <c r="F506" s="1291"/>
      <c r="I506" s="490"/>
    </row>
    <row r="507" spans="1:9">
      <c r="A507" s="484"/>
      <c r="B507" s="484"/>
      <c r="D507" s="1291"/>
      <c r="E507" s="1291"/>
      <c r="F507" s="1291"/>
      <c r="I507" s="490"/>
    </row>
    <row r="508" spans="1:9">
      <c r="A508" s="484"/>
      <c r="D508" s="520"/>
      <c r="E508" s="520"/>
      <c r="F508" s="520"/>
      <c r="I508" s="490"/>
    </row>
    <row r="509" spans="1:9">
      <c r="A509" s="484"/>
      <c r="B509" s="485" t="s">
        <v>2813</v>
      </c>
      <c r="D509" s="1288" t="s">
        <v>1143</v>
      </c>
      <c r="E509" s="1288"/>
      <c r="F509" s="1288"/>
      <c r="I509" s="490"/>
    </row>
    <row r="510" spans="1:9">
      <c r="A510" s="484"/>
      <c r="B510" s="484"/>
      <c r="D510" s="446"/>
      <c r="I510" s="490"/>
    </row>
    <row r="511" spans="1:9">
      <c r="A511" s="484"/>
      <c r="B511" s="485" t="s">
        <v>2813</v>
      </c>
      <c r="D511" s="1287" t="s">
        <v>1144</v>
      </c>
      <c r="E511" s="1287"/>
      <c r="F511" s="1287"/>
      <c r="I511" s="490"/>
    </row>
    <row r="512" spans="1:9">
      <c r="A512" s="484"/>
      <c r="D512" s="1287"/>
      <c r="E512" s="1287"/>
      <c r="F512" s="1287"/>
      <c r="I512" s="490"/>
    </row>
    <row r="513" spans="1:9">
      <c r="A513" s="490"/>
      <c r="B513" s="490"/>
      <c r="D513" s="447"/>
      <c r="I513" s="490"/>
    </row>
    <row r="514" spans="1:9">
      <c r="A514" s="490"/>
      <c r="B514" s="485" t="s">
        <v>2813</v>
      </c>
      <c r="D514" s="1288" t="s">
        <v>1145</v>
      </c>
      <c r="E514" s="1288"/>
      <c r="F514" s="1288"/>
      <c r="I514" s="490"/>
    </row>
    <row r="515" spans="1:9">
      <c r="D515" s="446"/>
      <c r="E515" s="446"/>
      <c r="F515" s="446"/>
      <c r="I515" s="490"/>
    </row>
    <row r="516" spans="1:9">
      <c r="B516" s="485" t="s">
        <v>2813</v>
      </c>
      <c r="D516" s="1287" t="s">
        <v>2279</v>
      </c>
      <c r="E516" s="1287"/>
      <c r="F516" s="1287"/>
      <c r="I516" s="490"/>
    </row>
    <row r="517" spans="1:9">
      <c r="D517" s="1287"/>
      <c r="E517" s="1287"/>
      <c r="F517" s="1287"/>
      <c r="I517" s="490"/>
    </row>
    <row r="518" spans="1:9">
      <c r="D518" s="1287"/>
      <c r="E518" s="1287"/>
      <c r="F518" s="1287"/>
      <c r="I518" s="490"/>
    </row>
    <row r="519" spans="1:9">
      <c r="D519" s="446"/>
      <c r="E519" s="446"/>
      <c r="F519" s="446"/>
      <c r="I519" s="490"/>
    </row>
    <row r="520" spans="1:9">
      <c r="A520" s="484"/>
      <c r="B520" s="484"/>
      <c r="D520" s="446"/>
      <c r="I520" s="490"/>
    </row>
    <row r="521" spans="1:9">
      <c r="A521" s="1290" t="s">
        <v>1051</v>
      </c>
      <c r="B521" s="1290"/>
      <c r="C521" s="1290"/>
      <c r="D521" s="1290"/>
      <c r="E521" s="1290"/>
      <c r="F521" s="1290"/>
      <c r="G521" s="1290"/>
      <c r="H521" s="1028"/>
      <c r="I521" s="1153"/>
    </row>
    <row r="522" spans="1:9" ht="12" customHeight="1">
      <c r="A522" s="484"/>
      <c r="B522" s="484"/>
      <c r="D522" s="446"/>
      <c r="I522" s="490"/>
    </row>
    <row r="523" spans="1:9">
      <c r="C523" s="482"/>
      <c r="D523" s="1295" t="s">
        <v>793</v>
      </c>
      <c r="E523" s="1295"/>
      <c r="F523" s="1295"/>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5" customHeight="1">
      <c r="A527" s="483"/>
      <c r="B527" s="485" t="s">
        <v>2812</v>
      </c>
      <c r="C527" s="483"/>
      <c r="D527" s="1267" t="s">
        <v>2059</v>
      </c>
      <c r="E527" s="1267"/>
      <c r="F527" s="1267"/>
      <c r="I527" s="490"/>
    </row>
    <row r="528" spans="1:9">
      <c r="A528" s="483"/>
      <c r="B528" s="483"/>
      <c r="C528" s="483"/>
      <c r="D528" s="1267"/>
      <c r="E528" s="1267"/>
      <c r="F528" s="1267"/>
      <c r="I528" s="490"/>
    </row>
    <row r="529" spans="1:9">
      <c r="A529" s="483"/>
      <c r="B529" s="483"/>
      <c r="C529" s="483"/>
      <c r="D529" s="451"/>
      <c r="E529" s="451"/>
      <c r="F529" s="451"/>
      <c r="I529" s="480"/>
    </row>
    <row r="530" spans="1:9" ht="12.75" customHeight="1">
      <c r="A530" s="483"/>
      <c r="B530" s="485" t="s">
        <v>2812</v>
      </c>
      <c r="D530" s="386" t="s">
        <v>1903</v>
      </c>
      <c r="E530" s="385"/>
      <c r="F530" s="385"/>
      <c r="I530" s="490"/>
    </row>
    <row r="531" spans="1:9">
      <c r="A531" s="483"/>
      <c r="B531" s="483"/>
      <c r="C531" s="483"/>
      <c r="D531" s="385"/>
      <c r="E531" s="96" t="s">
        <v>1904</v>
      </c>
      <c r="I531" s="490"/>
    </row>
    <row r="532" spans="1:9">
      <c r="A532" s="483"/>
      <c r="B532" s="483"/>
      <c r="D532" s="1284" t="s">
        <v>2060</v>
      </c>
      <c r="E532" s="1284"/>
      <c r="F532" s="1284"/>
      <c r="I532" s="490"/>
    </row>
    <row r="533" spans="1:9">
      <c r="A533" s="483"/>
      <c r="B533" s="483"/>
      <c r="D533" s="1284"/>
      <c r="E533" s="1284"/>
      <c r="F533" s="1284"/>
      <c r="I533" s="490"/>
    </row>
    <row r="534" spans="1:9">
      <c r="A534" s="483"/>
      <c r="B534" s="483"/>
      <c r="C534" s="483"/>
      <c r="D534" s="1284"/>
      <c r="E534" s="1284"/>
      <c r="F534" s="1284"/>
      <c r="I534" s="490"/>
    </row>
    <row r="535" spans="1:9">
      <c r="A535" s="483"/>
      <c r="B535" s="483"/>
      <c r="C535" s="483"/>
      <c r="D535" s="498"/>
      <c r="F535" s="446"/>
      <c r="I535" s="490"/>
    </row>
    <row r="536" spans="1:9" ht="13.25" customHeight="1">
      <c r="A536" s="483"/>
      <c r="B536" s="485" t="s">
        <v>2813</v>
      </c>
      <c r="C536" s="483"/>
      <c r="D536" s="1287" t="s">
        <v>2061</v>
      </c>
      <c r="E536" s="1287"/>
      <c r="F536" s="1287"/>
      <c r="I536" s="490"/>
    </row>
    <row r="537" spans="1:9">
      <c r="A537" s="483"/>
      <c r="B537" s="483"/>
      <c r="C537" s="483"/>
      <c r="D537" s="1287"/>
      <c r="E537" s="1287"/>
      <c r="F537" s="1287"/>
      <c r="I537" s="490"/>
    </row>
    <row r="538" spans="1:9" ht="12" customHeight="1">
      <c r="A538" s="446"/>
      <c r="B538" s="446"/>
      <c r="C538" s="487"/>
      <c r="D538" s="446"/>
      <c r="F538" s="448"/>
      <c r="I538" s="490"/>
    </row>
    <row r="539" spans="1:9">
      <c r="A539" s="1290" t="s">
        <v>1052</v>
      </c>
      <c r="B539" s="1290"/>
      <c r="C539" s="1290"/>
      <c r="D539" s="1290"/>
      <c r="E539" s="1290"/>
      <c r="F539" s="1290"/>
      <c r="G539" s="1290"/>
      <c r="H539" s="1028"/>
      <c r="I539" s="1153"/>
    </row>
    <row r="540" spans="1:9">
      <c r="A540" s="446"/>
      <c r="B540" s="446"/>
      <c r="C540" s="487"/>
      <c r="F540" s="448"/>
      <c r="I540" s="490"/>
    </row>
    <row r="541" spans="1:9">
      <c r="B541" s="1293" t="s">
        <v>446</v>
      </c>
      <c r="C541" s="1293"/>
      <c r="D541" s="1293"/>
      <c r="E541" s="1293"/>
      <c r="F541" s="1293"/>
      <c r="I541" s="490"/>
    </row>
    <row r="542" spans="1:9">
      <c r="A542" s="446"/>
      <c r="B542" s="446"/>
      <c r="C542" s="487"/>
      <c r="D542" s="446"/>
      <c r="F542" s="446"/>
      <c r="I542" s="490"/>
    </row>
    <row r="543" spans="1:9">
      <c r="A543" s="1294" t="s">
        <v>1053</v>
      </c>
      <c r="B543" s="1294"/>
      <c r="C543" s="1294"/>
      <c r="D543" s="1294"/>
      <c r="E543" s="1294"/>
      <c r="F543" s="1294"/>
      <c r="G543" s="1294"/>
      <c r="H543" s="1028"/>
      <c r="I543" s="1153"/>
    </row>
    <row r="544" spans="1:9">
      <c r="A544" s="446"/>
      <c r="B544" s="446"/>
      <c r="C544" s="487"/>
      <c r="D544" s="446"/>
      <c r="F544" s="446"/>
      <c r="I544" s="490"/>
    </row>
    <row r="545" spans="1:9">
      <c r="C545" s="487"/>
      <c r="D545" s="1295" t="s">
        <v>683</v>
      </c>
      <c r="E545" s="1295"/>
      <c r="F545" s="1295"/>
      <c r="I545" s="490"/>
    </row>
    <row r="546" spans="1:9">
      <c r="C546" s="487"/>
      <c r="D546" s="1288" t="s">
        <v>1081</v>
      </c>
      <c r="E546" s="1288"/>
      <c r="F546" s="1288"/>
      <c r="I546" s="490"/>
    </row>
    <row r="547" spans="1:9">
      <c r="C547" s="487"/>
      <c r="D547" s="446"/>
      <c r="E547" s="446"/>
      <c r="F547" s="446"/>
      <c r="I547" s="490"/>
    </row>
    <row r="548" spans="1:9" ht="13.75" customHeight="1">
      <c r="A548" s="484"/>
      <c r="B548" s="485" t="s">
        <v>2812</v>
      </c>
      <c r="C548" s="487"/>
      <c r="D548" s="1288" t="s">
        <v>884</v>
      </c>
      <c r="E548" s="1288"/>
      <c r="F548" s="1288"/>
      <c r="I548" s="490"/>
    </row>
    <row r="549" spans="1:9" ht="13.75" customHeight="1">
      <c r="A549" s="487"/>
      <c r="B549" s="487"/>
      <c r="C549" s="487"/>
      <c r="D549" s="446"/>
      <c r="I549" s="490"/>
    </row>
    <row r="550" spans="1:9">
      <c r="A550" s="484"/>
      <c r="B550" s="485" t="s">
        <v>2812</v>
      </c>
      <c r="C550" s="487"/>
      <c r="D550" s="1287" t="s">
        <v>1082</v>
      </c>
      <c r="E550" s="1287"/>
      <c r="F550" s="1287"/>
      <c r="I550" s="490"/>
    </row>
    <row r="551" spans="1:9">
      <c r="A551" s="487"/>
      <c r="B551" s="487"/>
      <c r="C551" s="487"/>
      <c r="D551" s="1287"/>
      <c r="E551" s="1287"/>
      <c r="F551" s="1287"/>
      <c r="I551" s="490"/>
    </row>
    <row r="552" spans="1:9">
      <c r="A552" s="487"/>
      <c r="B552" s="487"/>
      <c r="C552" s="487"/>
      <c r="D552" s="446"/>
      <c r="E552" s="446"/>
      <c r="F552" s="446"/>
      <c r="I552" s="490"/>
    </row>
    <row r="553" spans="1:9">
      <c r="A553" s="484"/>
      <c r="B553" s="485" t="s">
        <v>2812</v>
      </c>
      <c r="C553" s="487"/>
      <c r="D553" s="1287" t="s">
        <v>1083</v>
      </c>
      <c r="E553" s="1287"/>
      <c r="F553" s="1287"/>
      <c r="I553" s="490"/>
    </row>
    <row r="554" spans="1:9">
      <c r="A554" s="487"/>
      <c r="B554" s="487"/>
      <c r="C554" s="487"/>
      <c r="D554" s="1287"/>
      <c r="E554" s="1287"/>
      <c r="F554" s="1287"/>
      <c r="I554" s="490"/>
    </row>
    <row r="555" spans="1:9">
      <c r="A555" s="487"/>
      <c r="B555" s="487"/>
      <c r="C555" s="487"/>
      <c r="D555" s="446"/>
      <c r="E555" s="446"/>
      <c r="F555" s="446"/>
      <c r="I555" s="490"/>
    </row>
    <row r="556" spans="1:9">
      <c r="A556" s="484"/>
      <c r="B556" s="485" t="s">
        <v>2812</v>
      </c>
      <c r="C556" s="487"/>
      <c r="D556" s="1287" t="s">
        <v>1084</v>
      </c>
      <c r="E556" s="1287"/>
      <c r="F556" s="1287"/>
      <c r="I556" s="490"/>
    </row>
    <row r="557" spans="1:9">
      <c r="A557" s="487"/>
      <c r="B557" s="487"/>
      <c r="C557" s="487"/>
      <c r="D557" s="1287"/>
      <c r="E557" s="1287"/>
      <c r="F557" s="1287"/>
      <c r="I557" s="490"/>
    </row>
    <row r="558" spans="1:9">
      <c r="A558" s="487"/>
      <c r="B558" s="487"/>
      <c r="C558" s="487"/>
      <c r="D558" s="446"/>
      <c r="E558" s="446"/>
      <c r="F558" s="446"/>
      <c r="I558" s="490"/>
    </row>
    <row r="559" spans="1:9">
      <c r="A559" s="484"/>
      <c r="B559" s="485" t="s">
        <v>2812</v>
      </c>
      <c r="C559" s="487"/>
      <c r="D559" s="1287" t="s">
        <v>1085</v>
      </c>
      <c r="E559" s="1287"/>
      <c r="F559" s="1287"/>
      <c r="I559" s="490"/>
    </row>
    <row r="560" spans="1:9">
      <c r="A560" s="487"/>
      <c r="B560" s="487"/>
      <c r="C560" s="487"/>
      <c r="D560" s="1287"/>
      <c r="E560" s="1287"/>
      <c r="F560" s="1287"/>
      <c r="I560" s="490"/>
    </row>
    <row r="561" spans="1:9">
      <c r="A561" s="487"/>
      <c r="B561" s="487"/>
      <c r="C561" s="487"/>
      <c r="D561" s="1287"/>
      <c r="E561" s="1287"/>
      <c r="F561" s="1287"/>
      <c r="I561" s="490"/>
    </row>
    <row r="562" spans="1:9">
      <c r="A562" s="487"/>
      <c r="B562" s="487"/>
      <c r="C562" s="487"/>
      <c r="D562" s="446"/>
      <c r="E562" s="446"/>
      <c r="F562" s="446"/>
      <c r="I562" s="490"/>
    </row>
    <row r="563" spans="1:9">
      <c r="A563" s="484"/>
      <c r="B563" s="485" t="s">
        <v>2813</v>
      </c>
      <c r="C563" s="487"/>
      <c r="D563" s="1287" t="s">
        <v>2246</v>
      </c>
      <c r="E563" s="1287"/>
      <c r="F563" s="1287"/>
      <c r="I563" s="490"/>
    </row>
    <row r="564" spans="1:9">
      <c r="A564" s="487"/>
      <c r="B564" s="487"/>
      <c r="C564" s="487"/>
      <c r="D564" s="1287"/>
      <c r="E564" s="1287"/>
      <c r="F564" s="1287"/>
      <c r="I564" s="490"/>
    </row>
    <row r="565" spans="1:9">
      <c r="A565" s="487"/>
      <c r="B565" s="487"/>
      <c r="C565" s="487"/>
      <c r="D565" s="446"/>
      <c r="E565" s="446"/>
      <c r="F565" s="446"/>
      <c r="I565" s="490"/>
    </row>
    <row r="566" spans="1:9">
      <c r="A566" s="484"/>
      <c r="B566" s="485" t="s">
        <v>2812</v>
      </c>
      <c r="C566" s="487"/>
      <c r="D566" s="1287" t="s">
        <v>1086</v>
      </c>
      <c r="E566" s="1287"/>
      <c r="F566" s="1287"/>
      <c r="I566" s="490"/>
    </row>
    <row r="567" spans="1:9">
      <c r="A567" s="487"/>
      <c r="B567" s="487"/>
      <c r="C567" s="487"/>
      <c r="D567" s="1287"/>
      <c r="E567" s="1287"/>
      <c r="F567" s="1287"/>
      <c r="I567" s="490"/>
    </row>
    <row r="568" spans="1:9">
      <c r="A568" s="487"/>
      <c r="B568" s="487"/>
      <c r="C568" s="487"/>
      <c r="D568" s="446"/>
      <c r="E568" s="446"/>
      <c r="F568" s="446"/>
      <c r="I568" s="490"/>
    </row>
    <row r="569" spans="1:9">
      <c r="A569" s="484"/>
      <c r="B569" s="485" t="s">
        <v>2812</v>
      </c>
      <c r="C569" s="487"/>
      <c r="D569" s="1288" t="s">
        <v>1087</v>
      </c>
      <c r="E569" s="1288"/>
      <c r="F569" s="1288"/>
      <c r="I569" s="490"/>
    </row>
    <row r="570" spans="1:9">
      <c r="A570" s="490"/>
      <c r="B570" s="490"/>
      <c r="C570" s="487"/>
      <c r="D570" s="1288" t="s">
        <v>1906</v>
      </c>
      <c r="E570" s="1288"/>
      <c r="F570" s="1288"/>
      <c r="I570" s="490"/>
    </row>
    <row r="571" spans="1:9">
      <c r="A571" s="490"/>
      <c r="B571" s="490"/>
      <c r="C571" s="487"/>
      <c r="E571" s="96" t="s">
        <v>1905</v>
      </c>
      <c r="F571" s="404"/>
      <c r="I571" s="490"/>
    </row>
    <row r="572" spans="1:9">
      <c r="A572" s="484"/>
      <c r="B572" s="484"/>
      <c r="C572" s="487"/>
      <c r="E572" s="446"/>
      <c r="F572" s="446"/>
      <c r="I572" s="490"/>
    </row>
    <row r="573" spans="1:9">
      <c r="A573" s="484"/>
      <c r="B573" s="485" t="s">
        <v>2812</v>
      </c>
      <c r="C573" s="487"/>
      <c r="D573" s="1288" t="s">
        <v>1088</v>
      </c>
      <c r="E573" s="1288"/>
      <c r="F573" s="1288"/>
      <c r="I573" s="490"/>
    </row>
    <row r="574" spans="1:9">
      <c r="C574" s="487"/>
      <c r="D574" s="1287" t="s">
        <v>1089</v>
      </c>
      <c r="E574" s="1287"/>
      <c r="F574" s="1287"/>
      <c r="I574" s="490"/>
    </row>
    <row r="575" spans="1:9">
      <c r="A575" s="487"/>
      <c r="B575" s="487"/>
      <c r="C575" s="487"/>
      <c r="D575" s="1287"/>
      <c r="E575" s="1287"/>
      <c r="F575" s="1287"/>
      <c r="I575" s="490"/>
    </row>
    <row r="576" spans="1:9">
      <c r="A576" s="487"/>
      <c r="B576" s="487"/>
      <c r="C576" s="487"/>
      <c r="D576" s="1287"/>
      <c r="E576" s="1287"/>
      <c r="F576" s="1287"/>
      <c r="I576" s="490"/>
    </row>
    <row r="577" spans="1:9">
      <c r="A577" s="487"/>
      <c r="B577" s="487"/>
      <c r="C577" s="487"/>
      <c r="D577" s="446"/>
      <c r="E577" s="446"/>
      <c r="F577" s="446"/>
      <c r="I577" s="490"/>
    </row>
    <row r="578" spans="1:9">
      <c r="A578" s="484"/>
      <c r="B578" s="485" t="s">
        <v>2812</v>
      </c>
      <c r="C578" s="487"/>
      <c r="D578" s="1287" t="s">
        <v>2062</v>
      </c>
      <c r="E578" s="1287"/>
      <c r="F578" s="1287"/>
      <c r="I578" s="490"/>
    </row>
    <row r="579" spans="1:9">
      <c r="A579" s="484"/>
      <c r="B579" s="484"/>
      <c r="C579" s="487"/>
      <c r="D579" s="1287"/>
      <c r="E579" s="1287"/>
      <c r="F579" s="1287"/>
      <c r="I579" s="490"/>
    </row>
    <row r="580" spans="1:9">
      <c r="A580" s="484"/>
      <c r="B580" s="484"/>
      <c r="C580" s="487"/>
      <c r="D580" s="1287"/>
      <c r="E580" s="1287"/>
      <c r="F580" s="1287"/>
      <c r="I580" s="490"/>
    </row>
    <row r="581" spans="1:9">
      <c r="A581" s="484"/>
      <c r="B581" s="484"/>
      <c r="C581" s="487"/>
      <c r="D581" s="1287"/>
      <c r="E581" s="1287"/>
      <c r="F581" s="1287"/>
      <c r="I581" s="490"/>
    </row>
    <row r="582" spans="1:9">
      <c r="A582" s="484"/>
      <c r="B582" s="484"/>
      <c r="C582" s="487"/>
      <c r="D582" s="446"/>
      <c r="E582" s="446"/>
      <c r="F582" s="446"/>
      <c r="I582" s="490"/>
    </row>
    <row r="583" spans="1:9">
      <c r="A583" s="1290" t="s">
        <v>1054</v>
      </c>
      <c r="B583" s="1290"/>
      <c r="C583" s="1290"/>
      <c r="D583" s="1290"/>
      <c r="E583" s="1290"/>
      <c r="F583" s="1290"/>
      <c r="G583" s="1290"/>
      <c r="H583" s="1028"/>
      <c r="I583" s="1153"/>
    </row>
    <row r="584" spans="1:9">
      <c r="A584" s="487"/>
      <c r="B584" s="487"/>
      <c r="C584" s="487"/>
      <c r="E584" s="446"/>
      <c r="F584" s="446"/>
      <c r="I584" s="490"/>
    </row>
    <row r="585" spans="1:9" ht="12.75" customHeight="1">
      <c r="C585" s="482"/>
      <c r="D585" s="1289" t="s">
        <v>209</v>
      </c>
      <c r="E585" s="1289"/>
      <c r="F585" s="1289"/>
      <c r="I585" s="490"/>
    </row>
    <row r="586" spans="1:9">
      <c r="A586" s="483"/>
      <c r="B586" s="483"/>
      <c r="C586" s="483"/>
      <c r="D586" s="1291" t="s">
        <v>1067</v>
      </c>
      <c r="E586" s="1291"/>
      <c r="F586" s="1291"/>
      <c r="I586" s="490"/>
    </row>
    <row r="587" spans="1:9">
      <c r="A587" s="402"/>
      <c r="B587" s="402"/>
      <c r="C587" s="483"/>
      <c r="D587" s="499"/>
      <c r="I587" s="490"/>
    </row>
    <row r="588" spans="1:9">
      <c r="A588" s="483"/>
      <c r="B588" s="485" t="s">
        <v>2812</v>
      </c>
      <c r="D588" s="1291" t="s">
        <v>888</v>
      </c>
      <c r="E588" s="1291"/>
      <c r="F588" s="1291"/>
      <c r="I588" s="490"/>
    </row>
    <row r="589" spans="1:9">
      <c r="A589" s="490"/>
      <c r="B589" s="490"/>
      <c r="D589" s="476"/>
      <c r="I589" s="490"/>
    </row>
    <row r="590" spans="1:9">
      <c r="A590" s="490"/>
      <c r="B590" s="485" t="s">
        <v>2812</v>
      </c>
      <c r="D590" s="1291" t="s">
        <v>2063</v>
      </c>
      <c r="E590" s="1291"/>
      <c r="F590" s="1291"/>
      <c r="I590" s="490"/>
    </row>
    <row r="591" spans="1:9">
      <c r="A591" s="490"/>
      <c r="B591" s="490"/>
      <c r="D591" s="1291"/>
      <c r="E591" s="1291"/>
      <c r="F591" s="1291"/>
      <c r="I591" s="490"/>
    </row>
    <row r="592" spans="1:9">
      <c r="A592" s="490"/>
      <c r="B592" s="490"/>
      <c r="D592" s="1291"/>
      <c r="E592" s="1291"/>
      <c r="F592" s="1291"/>
      <c r="I592" s="490"/>
    </row>
    <row r="593" spans="1:9">
      <c r="A593" s="490"/>
      <c r="B593" s="490"/>
      <c r="D593" s="1291"/>
      <c r="E593" s="1291"/>
      <c r="F593" s="1291"/>
      <c r="I593" s="490"/>
    </row>
    <row r="594" spans="1:9">
      <c r="A594" s="490"/>
      <c r="B594" s="485" t="s">
        <v>2813</v>
      </c>
      <c r="D594" s="1291" t="s">
        <v>1068</v>
      </c>
      <c r="E594" s="1291"/>
      <c r="F594" s="1291"/>
      <c r="I594" s="490"/>
    </row>
    <row r="595" spans="1:9">
      <c r="A595" s="490"/>
      <c r="B595" s="490"/>
      <c r="D595" s="1291"/>
      <c r="E595" s="1291"/>
      <c r="F595" s="1291"/>
      <c r="I595" s="490"/>
    </row>
    <row r="596" spans="1:9">
      <c r="A596" s="490"/>
      <c r="B596" s="490"/>
      <c r="D596" s="1291"/>
      <c r="E596" s="1291"/>
      <c r="F596" s="1291"/>
      <c r="I596" s="490"/>
    </row>
    <row r="597" spans="1:9">
      <c r="A597" s="490"/>
      <c r="B597" s="490"/>
      <c r="D597" s="1291"/>
      <c r="E597" s="1291"/>
      <c r="F597" s="1291"/>
      <c r="I597" s="490"/>
    </row>
    <row r="598" spans="1:9">
      <c r="A598" s="490"/>
      <c r="B598" s="490"/>
      <c r="D598" s="440"/>
      <c r="E598" s="440"/>
      <c r="F598" s="440"/>
      <c r="I598" s="490"/>
    </row>
    <row r="599" spans="1:9">
      <c r="A599" s="490"/>
      <c r="B599" s="485" t="s">
        <v>2812</v>
      </c>
      <c r="D599" s="1291" t="s">
        <v>2064</v>
      </c>
      <c r="E599" s="1291"/>
      <c r="F599" s="1291"/>
      <c r="I599" s="490"/>
    </row>
    <row r="600" spans="1:9">
      <c r="A600" s="490"/>
      <c r="B600" s="490"/>
      <c r="D600" s="1291"/>
      <c r="E600" s="1291"/>
      <c r="F600" s="1291"/>
      <c r="I600" s="490"/>
    </row>
    <row r="601" spans="1:9">
      <c r="A601" s="490"/>
      <c r="B601" s="490"/>
      <c r="D601" s="499"/>
      <c r="I601" s="490"/>
    </row>
    <row r="602" spans="1:9">
      <c r="A602" s="490"/>
      <c r="B602" s="485" t="s">
        <v>2813</v>
      </c>
      <c r="D602" s="1291" t="s">
        <v>1069</v>
      </c>
      <c r="E602" s="1291"/>
      <c r="F602" s="1291"/>
      <c r="I602" s="490"/>
    </row>
    <row r="603" spans="1:9">
      <c r="A603" s="490"/>
      <c r="B603" s="490"/>
      <c r="D603" s="1291"/>
      <c r="E603" s="1291"/>
      <c r="F603" s="1291"/>
      <c r="I603" s="490"/>
    </row>
    <row r="604" spans="1:9">
      <c r="A604" s="484"/>
      <c r="B604" s="484"/>
      <c r="D604" s="499"/>
      <c r="I604" s="490"/>
    </row>
    <row r="605" spans="1:9">
      <c r="A605" s="1290" t="s">
        <v>1055</v>
      </c>
      <c r="B605" s="1290"/>
      <c r="C605" s="1290"/>
      <c r="D605" s="1290"/>
      <c r="E605" s="1290"/>
      <c r="F605" s="1290"/>
      <c r="G605" s="1290"/>
      <c r="H605" s="1028"/>
      <c r="I605" s="1153"/>
    </row>
    <row r="606" spans="1:9">
      <c r="I606" s="490"/>
    </row>
    <row r="607" spans="1:9">
      <c r="D607" s="1295" t="s">
        <v>1107</v>
      </c>
      <c r="E607" s="1295"/>
      <c r="F607" s="1295"/>
      <c r="I607" s="490"/>
    </row>
    <row r="608" spans="1:9">
      <c r="D608" s="1296" t="s">
        <v>1108</v>
      </c>
      <c r="E608" s="1296"/>
      <c r="F608" s="1296"/>
      <c r="I608" s="490"/>
    </row>
    <row r="609" spans="1:9">
      <c r="D609" s="444"/>
      <c r="I609" s="490"/>
    </row>
    <row r="610" spans="1:9" ht="14.25" customHeight="1">
      <c r="A610" s="484"/>
      <c r="B610" s="485" t="s">
        <v>2812</v>
      </c>
      <c r="D610" s="1316" t="s">
        <v>1907</v>
      </c>
      <c r="E610" s="1316"/>
      <c r="F610" s="1316"/>
      <c r="I610" s="490"/>
    </row>
    <row r="611" spans="1:9">
      <c r="D611" s="1316"/>
      <c r="E611" s="1316"/>
      <c r="F611" s="1316"/>
      <c r="I611" s="490"/>
    </row>
    <row r="612" spans="1:9">
      <c r="D612" s="385"/>
      <c r="E612" s="1036" t="s">
        <v>1908</v>
      </c>
      <c r="F612" s="385"/>
      <c r="I612" s="490"/>
    </row>
    <row r="613" spans="1:9">
      <c r="I613" s="490"/>
    </row>
    <row r="614" spans="1:9">
      <c r="A614" s="1290" t="s">
        <v>1056</v>
      </c>
      <c r="B614" s="1290"/>
      <c r="C614" s="1290"/>
      <c r="D614" s="1290"/>
      <c r="E614" s="1290"/>
      <c r="F614" s="1290"/>
      <c r="G614" s="1290"/>
      <c r="H614" s="1028"/>
      <c r="I614" s="1153"/>
    </row>
    <row r="615" spans="1:9">
      <c r="A615" s="446"/>
      <c r="B615" s="446"/>
      <c r="I615" s="490"/>
    </row>
    <row r="616" spans="1:9">
      <c r="A616" s="482"/>
      <c r="B616" s="482"/>
      <c r="C616" s="482"/>
      <c r="D616" s="1324" t="s">
        <v>1109</v>
      </c>
      <c r="E616" s="1324"/>
      <c r="F616" s="1324"/>
      <c r="I616" s="490"/>
    </row>
    <row r="617" spans="1:9">
      <c r="A617" s="482"/>
      <c r="B617" s="482"/>
      <c r="C617" s="482"/>
      <c r="D617" s="1324"/>
      <c r="E617" s="1324"/>
      <c r="F617" s="1324"/>
      <c r="I617" s="490"/>
    </row>
    <row r="618" spans="1:9">
      <c r="C618" s="483"/>
      <c r="D618" s="1296" t="s">
        <v>1110</v>
      </c>
      <c r="E618" s="1296"/>
      <c r="F618" s="1296"/>
      <c r="I618" s="490"/>
    </row>
    <row r="619" spans="1:9">
      <c r="C619" s="483"/>
      <c r="D619" s="444"/>
      <c r="E619" s="444"/>
      <c r="F619" s="444"/>
      <c r="I619" s="490"/>
    </row>
    <row r="620" spans="1:9" ht="12.75" customHeight="1">
      <c r="A620" s="490"/>
      <c r="B620" s="485" t="s">
        <v>2812</v>
      </c>
      <c r="D620" s="1312" t="s">
        <v>1111</v>
      </c>
      <c r="E620" s="1312"/>
      <c r="F620" s="1312"/>
      <c r="I620" s="490"/>
    </row>
    <row r="621" spans="1:9">
      <c r="D621" s="1312"/>
      <c r="E621" s="1312"/>
      <c r="F621" s="1312"/>
      <c r="I621" s="490"/>
    </row>
    <row r="622" spans="1:9">
      <c r="I622" s="490"/>
    </row>
    <row r="623" spans="1:9">
      <c r="B623" s="485" t="s">
        <v>2812</v>
      </c>
      <c r="D623" s="1312" t="s">
        <v>1112</v>
      </c>
      <c r="E623" s="1312"/>
      <c r="F623" s="1312"/>
      <c r="I623" s="490"/>
    </row>
    <row r="624" spans="1:9">
      <c r="C624" s="500"/>
      <c r="D624" s="1312"/>
      <c r="E624" s="1312"/>
      <c r="F624" s="1312"/>
      <c r="I624" s="490"/>
    </row>
    <row r="625" spans="1:9">
      <c r="C625" s="500"/>
      <c r="I625" s="490"/>
    </row>
    <row r="626" spans="1:9">
      <c r="B626" s="485" t="s">
        <v>2813</v>
      </c>
      <c r="C626" s="500"/>
      <c r="D626" s="1312" t="s">
        <v>1113</v>
      </c>
      <c r="E626" s="1312"/>
      <c r="F626" s="1312"/>
      <c r="I626" s="490"/>
    </row>
    <row r="627" spans="1:9">
      <c r="C627" s="500"/>
      <c r="D627" s="1312"/>
      <c r="E627" s="1312"/>
      <c r="F627" s="1312"/>
      <c r="I627" s="500"/>
    </row>
    <row r="628" spans="1:9">
      <c r="C628" s="500"/>
      <c r="I628" s="490"/>
    </row>
    <row r="629" spans="1:9">
      <c r="A629" s="1290" t="s">
        <v>1057</v>
      </c>
      <c r="B629" s="1290"/>
      <c r="C629" s="1290"/>
      <c r="D629" s="1290"/>
      <c r="E629" s="1290"/>
      <c r="F629" s="1290"/>
      <c r="G629" s="1290"/>
      <c r="H629" s="1028"/>
      <c r="I629" s="1153"/>
    </row>
    <row r="630" spans="1:9">
      <c r="A630" s="482"/>
      <c r="B630" s="482"/>
      <c r="C630" s="482"/>
      <c r="I630" s="490"/>
    </row>
    <row r="631" spans="1:9">
      <c r="C631" s="490"/>
      <c r="D631" s="1295" t="s">
        <v>1114</v>
      </c>
      <c r="E631" s="1295"/>
      <c r="F631" s="1295"/>
      <c r="I631" s="490"/>
    </row>
    <row r="632" spans="1:9">
      <c r="A632" s="490"/>
      <c r="B632" s="490"/>
      <c r="D632" s="404"/>
      <c r="I632" s="490"/>
    </row>
    <row r="633" spans="1:9" ht="14.25" customHeight="1">
      <c r="A633" s="484"/>
      <c r="B633" s="485" t="s">
        <v>2812</v>
      </c>
      <c r="D633" s="1316" t="s">
        <v>2065</v>
      </c>
      <c r="E633" s="1316"/>
      <c r="F633" s="1316"/>
      <c r="I633" s="490"/>
    </row>
    <row r="634" spans="1:9">
      <c r="D634" s="1316"/>
      <c r="E634" s="1316"/>
      <c r="F634" s="1316"/>
      <c r="I634" s="490"/>
    </row>
    <row r="635" spans="1:9">
      <c r="D635" s="385"/>
      <c r="E635" s="1036" t="s">
        <v>1910</v>
      </c>
      <c r="F635" s="385"/>
      <c r="I635" s="490"/>
    </row>
    <row r="636" spans="1:9">
      <c r="D636" s="1287" t="s">
        <v>1909</v>
      </c>
      <c r="E636" s="1287"/>
      <c r="F636" s="1287"/>
      <c r="I636" s="490"/>
    </row>
    <row r="637" spans="1:9">
      <c r="D637" s="1287"/>
      <c r="E637" s="1287"/>
      <c r="F637" s="1287"/>
      <c r="I637" s="490"/>
    </row>
    <row r="638" spans="1:9">
      <c r="D638" s="1287"/>
      <c r="E638" s="1287"/>
      <c r="F638" s="1287"/>
      <c r="I638" s="490"/>
    </row>
    <row r="639" spans="1:9">
      <c r="D639" s="445"/>
      <c r="E639" s="445"/>
      <c r="F639" s="445"/>
      <c r="I639" s="490"/>
    </row>
    <row r="640" spans="1:9">
      <c r="A640" s="484"/>
      <c r="B640" s="485" t="s">
        <v>2813</v>
      </c>
      <c r="D640" s="1287" t="s">
        <v>1115</v>
      </c>
      <c r="E640" s="1287"/>
      <c r="F640" s="1287"/>
      <c r="I640" s="490"/>
    </row>
    <row r="641" spans="1:9">
      <c r="A641" s="487"/>
      <c r="B641" s="487"/>
      <c r="C641" s="487"/>
      <c r="D641" s="1287"/>
      <c r="E641" s="1287"/>
      <c r="F641" s="1287"/>
      <c r="I641" s="490"/>
    </row>
    <row r="642" spans="1:9">
      <c r="A642" s="487"/>
      <c r="B642" s="487"/>
      <c r="C642" s="487"/>
      <c r="D642" s="446"/>
      <c r="E642" s="446"/>
      <c r="F642" s="446"/>
      <c r="I642" s="490"/>
    </row>
    <row r="643" spans="1:9">
      <c r="A643" s="484"/>
      <c r="B643" s="485" t="s">
        <v>2813</v>
      </c>
      <c r="C643" s="487"/>
      <c r="D643" s="1287" t="s">
        <v>1225</v>
      </c>
      <c r="E643" s="1287"/>
      <c r="F643" s="1287"/>
      <c r="I643" s="490"/>
    </row>
    <row r="644" spans="1:9">
      <c r="A644" s="484"/>
      <c r="B644" s="484"/>
      <c r="C644" s="487"/>
      <c r="D644" s="1287"/>
      <c r="E644" s="1287"/>
      <c r="F644" s="1287"/>
      <c r="I644" s="490"/>
    </row>
    <row r="645" spans="1:9">
      <c r="A645" s="484"/>
      <c r="B645" s="484"/>
      <c r="C645" s="487"/>
      <c r="D645" s="1287"/>
      <c r="E645" s="1287"/>
      <c r="F645" s="1287"/>
      <c r="I645" s="490"/>
    </row>
    <row r="646" spans="1:9">
      <c r="A646" s="487"/>
      <c r="B646" s="485" t="s">
        <v>2812</v>
      </c>
      <c r="C646" s="487"/>
      <c r="D646" s="1288" t="s">
        <v>1116</v>
      </c>
      <c r="E646" s="1288"/>
      <c r="F646" s="1288"/>
      <c r="I646" s="490"/>
    </row>
    <row r="647" spans="1:9">
      <c r="A647" s="487"/>
      <c r="B647" s="487"/>
      <c r="C647" s="487"/>
      <c r="D647" s="446"/>
      <c r="E647" s="446"/>
      <c r="F647" s="446"/>
      <c r="I647" s="490"/>
    </row>
    <row r="648" spans="1:9">
      <c r="A648" s="1290" t="s">
        <v>1058</v>
      </c>
      <c r="B648" s="1290"/>
      <c r="C648" s="1290"/>
      <c r="D648" s="1290"/>
      <c r="E648" s="1290"/>
      <c r="F648" s="1290"/>
      <c r="G648" s="1290"/>
      <c r="H648" s="1028"/>
      <c r="I648" s="1153"/>
    </row>
    <row r="649" spans="1:9">
      <c r="A649" s="446"/>
      <c r="B649" s="446"/>
      <c r="C649" s="487"/>
      <c r="D649" s="446"/>
      <c r="E649" s="446"/>
      <c r="F649" s="446"/>
      <c r="I649" s="490"/>
    </row>
    <row r="650" spans="1:9">
      <c r="C650" s="482"/>
      <c r="D650" s="1295" t="s">
        <v>1146</v>
      </c>
      <c r="E650" s="1295"/>
      <c r="F650" s="1295"/>
      <c r="I650" s="490"/>
    </row>
    <row r="651" spans="1:9">
      <c r="A651" s="483"/>
      <c r="B651" s="483"/>
      <c r="C651" s="483"/>
      <c r="D651" s="1288" t="s">
        <v>1147</v>
      </c>
      <c r="E651" s="1288"/>
      <c r="F651" s="1288"/>
      <c r="I651" s="490"/>
    </row>
    <row r="652" spans="1:9">
      <c r="A652" s="483"/>
      <c r="B652" s="483"/>
      <c r="C652" s="483"/>
      <c r="D652" s="446"/>
      <c r="E652" s="446"/>
      <c r="F652" s="446"/>
      <c r="I652" s="490"/>
    </row>
    <row r="653" spans="1:9" ht="12.75" customHeight="1">
      <c r="B653" s="485" t="s">
        <v>2813</v>
      </c>
      <c r="C653" s="487"/>
      <c r="D653" s="1287" t="s">
        <v>1281</v>
      </c>
      <c r="E653" s="1287"/>
      <c r="F653" s="1287"/>
      <c r="I653" s="490"/>
    </row>
    <row r="654" spans="1:9">
      <c r="D654" s="1287"/>
      <c r="E654" s="1287"/>
      <c r="F654" s="1287"/>
      <c r="I654" s="490"/>
    </row>
    <row r="655" spans="1:9">
      <c r="D655" s="1287"/>
      <c r="E655" s="1287"/>
      <c r="F655" s="1287"/>
      <c r="I655" s="490"/>
    </row>
    <row r="656" spans="1:9">
      <c r="D656" s="1287"/>
      <c r="E656" s="1287"/>
      <c r="F656" s="1287"/>
      <c r="I656" s="490"/>
    </row>
    <row r="657" spans="1:9" ht="14.5" customHeight="1">
      <c r="A657" s="484"/>
      <c r="B657" s="484"/>
      <c r="C657" s="487"/>
      <c r="D657" s="385"/>
      <c r="E657" s="385"/>
      <c r="F657" s="385"/>
      <c r="I657" s="490"/>
    </row>
    <row r="658" spans="1:9" ht="12.75" customHeight="1">
      <c r="A658" s="483"/>
      <c r="B658" s="485" t="s">
        <v>2813</v>
      </c>
      <c r="C658" s="487"/>
      <c r="D658" s="1287" t="s">
        <v>1283</v>
      </c>
      <c r="E658" s="1287"/>
      <c r="F658" s="1287"/>
      <c r="I658" s="490"/>
    </row>
    <row r="659" spans="1:9">
      <c r="A659" s="483"/>
      <c r="B659" s="484"/>
      <c r="C659" s="487"/>
      <c r="D659" s="1287"/>
      <c r="E659" s="1287"/>
      <c r="F659" s="1287"/>
      <c r="I659" s="490"/>
    </row>
    <row r="660" spans="1:9">
      <c r="A660" s="483"/>
      <c r="B660" s="484"/>
      <c r="C660" s="487"/>
      <c r="D660" s="1287"/>
      <c r="E660" s="1287"/>
      <c r="F660" s="1287"/>
      <c r="I660" s="490"/>
    </row>
    <row r="661" spans="1:9">
      <c r="A661" s="483"/>
      <c r="B661" s="484"/>
      <c r="C661" s="487"/>
      <c r="D661" s="1287"/>
      <c r="E661" s="1287"/>
      <c r="F661" s="1287"/>
      <c r="I661" s="490"/>
    </row>
    <row r="662" spans="1:9">
      <c r="A662" s="483"/>
      <c r="B662" s="484"/>
      <c r="C662" s="487"/>
      <c r="D662" s="1287"/>
      <c r="E662" s="1287"/>
      <c r="F662" s="1287"/>
      <c r="I662" s="490"/>
    </row>
    <row r="663" spans="1:9" ht="14.25" customHeight="1">
      <c r="A663" s="483"/>
      <c r="B663" s="484"/>
      <c r="C663" s="487"/>
      <c r="F663" s="386"/>
      <c r="I663" s="490"/>
    </row>
    <row r="664" spans="1:9" ht="12.75" customHeight="1">
      <c r="A664" s="483"/>
      <c r="B664" s="485" t="s">
        <v>2813</v>
      </c>
      <c r="C664" s="487"/>
      <c r="D664" s="1287" t="s">
        <v>1282</v>
      </c>
      <c r="E664" s="1287"/>
      <c r="F664" s="1287"/>
      <c r="I664" s="490"/>
    </row>
    <row r="665" spans="1:9">
      <c r="A665" s="483"/>
      <c r="B665" s="484"/>
      <c r="C665" s="487"/>
      <c r="D665" s="1287"/>
      <c r="E665" s="1287"/>
      <c r="F665" s="1287"/>
      <c r="I665" s="490"/>
    </row>
    <row r="666" spans="1:9">
      <c r="A666" s="484"/>
      <c r="B666" s="484"/>
      <c r="C666" s="487"/>
      <c r="D666" s="1287"/>
      <c r="E666" s="1287"/>
      <c r="F666" s="1287"/>
      <c r="I666" s="490"/>
    </row>
    <row r="667" spans="1:9">
      <c r="A667" s="484"/>
      <c r="B667" s="484"/>
      <c r="C667" s="487"/>
      <c r="D667" s="1287"/>
      <c r="E667" s="1287"/>
      <c r="F667" s="1287"/>
      <c r="I667" s="490"/>
    </row>
    <row r="668" spans="1:9">
      <c r="A668" s="484"/>
      <c r="B668" s="484"/>
      <c r="C668" s="487"/>
      <c r="D668" s="445"/>
      <c r="E668" s="445"/>
      <c r="F668" s="445"/>
      <c r="I668" s="490"/>
    </row>
    <row r="669" spans="1:9" ht="12.75" customHeight="1">
      <c r="A669" s="483"/>
      <c r="B669" s="485" t="s">
        <v>2813</v>
      </c>
      <c r="C669" s="487"/>
      <c r="D669" s="1287" t="s">
        <v>2066</v>
      </c>
      <c r="E669" s="1287"/>
      <c r="F669" s="1287"/>
      <c r="I669" s="490"/>
    </row>
    <row r="670" spans="1:9" ht="12.75" customHeight="1">
      <c r="A670" s="483"/>
      <c r="B670" s="484"/>
      <c r="C670" s="487"/>
      <c r="D670" s="1287"/>
      <c r="E670" s="1287"/>
      <c r="F670" s="1287"/>
      <c r="I670" s="490"/>
    </row>
    <row r="671" spans="1:9" ht="12.75" customHeight="1">
      <c r="A671" s="483"/>
      <c r="B671" s="484"/>
      <c r="C671" s="487"/>
      <c r="D671" s="1287"/>
      <c r="E671" s="1287"/>
      <c r="F671" s="1287"/>
      <c r="I671" s="490"/>
    </row>
    <row r="672" spans="1:9" ht="12.75" customHeight="1">
      <c r="A672" s="483"/>
      <c r="B672" s="484"/>
      <c r="C672" s="487"/>
      <c r="D672" s="1287"/>
      <c r="E672" s="1287"/>
      <c r="F672" s="1287"/>
      <c r="I672" s="490"/>
    </row>
    <row r="673" spans="1:11" ht="12.75" customHeight="1">
      <c r="A673" s="483"/>
      <c r="B673" s="484"/>
      <c r="C673" s="487"/>
      <c r="D673" s="1287"/>
      <c r="E673" s="1287"/>
      <c r="F673" s="1287"/>
      <c r="I673" s="490"/>
    </row>
    <row r="674" spans="1:11" ht="12.75" customHeight="1">
      <c r="A674" s="483"/>
      <c r="B674" s="484"/>
      <c r="C674" s="487"/>
      <c r="D674" s="1287"/>
      <c r="E674" s="1287"/>
      <c r="F674" s="1287"/>
      <c r="I674" s="490"/>
    </row>
    <row r="675" spans="1:11" ht="12.75" customHeight="1">
      <c r="A675" s="483"/>
      <c r="B675" s="484"/>
      <c r="C675" s="487"/>
      <c r="D675" s="1287"/>
      <c r="E675" s="1287"/>
      <c r="F675" s="1287"/>
      <c r="I675" s="490"/>
    </row>
    <row r="676" spans="1:11" ht="12.75" customHeight="1">
      <c r="A676" s="483"/>
      <c r="B676" s="484"/>
      <c r="C676" s="487"/>
      <c r="D676" s="1287"/>
      <c r="E676" s="1287"/>
      <c r="F676" s="1287"/>
      <c r="I676" s="490"/>
    </row>
    <row r="677" spans="1:11" ht="12.75" customHeight="1">
      <c r="A677" s="483"/>
      <c r="B677" s="484"/>
      <c r="C677" s="487"/>
      <c r="D677" s="1287"/>
      <c r="E677" s="1287"/>
      <c r="F677" s="1287"/>
      <c r="I677" s="490"/>
    </row>
    <row r="678" spans="1:11">
      <c r="A678" s="487"/>
      <c r="B678" s="487"/>
      <c r="C678" s="487"/>
      <c r="D678" s="446"/>
      <c r="E678" s="446"/>
      <c r="F678" s="446"/>
      <c r="I678" s="490"/>
    </row>
    <row r="679" spans="1:11">
      <c r="A679" s="1290" t="s">
        <v>1059</v>
      </c>
      <c r="B679" s="1290"/>
      <c r="C679" s="1290"/>
      <c r="D679" s="1290"/>
      <c r="E679" s="1290"/>
      <c r="F679" s="1290"/>
      <c r="G679" s="1290"/>
      <c r="H679" s="1030"/>
      <c r="I679" s="1157"/>
      <c r="J679" s="501"/>
      <c r="K679" s="501"/>
    </row>
    <row r="680" spans="1:11">
      <c r="A680" s="448"/>
      <c r="B680" s="448"/>
      <c r="C680" s="448"/>
      <c r="D680" s="448"/>
      <c r="E680" s="448"/>
      <c r="F680" s="448"/>
      <c r="G680" s="448"/>
      <c r="H680" s="501"/>
      <c r="I680" s="483"/>
      <c r="J680" s="501"/>
      <c r="K680" s="501"/>
    </row>
    <row r="681" spans="1:11">
      <c r="C681" s="482"/>
      <c r="D681" s="1295" t="s">
        <v>99</v>
      </c>
      <c r="E681" s="1295"/>
      <c r="F681" s="1295"/>
      <c r="H681" s="501"/>
      <c r="I681" s="483"/>
      <c r="J681" s="501"/>
      <c r="K681" s="501"/>
    </row>
    <row r="682" spans="1:11">
      <c r="A682" s="482"/>
      <c r="B682" s="482"/>
      <c r="C682" s="482"/>
      <c r="D682" s="1295" t="s">
        <v>123</v>
      </c>
      <c r="E682" s="1295"/>
      <c r="F682" s="1295"/>
      <c r="H682" s="501"/>
      <c r="I682" s="483"/>
      <c r="J682" s="501"/>
      <c r="K682" s="501"/>
    </row>
    <row r="683" spans="1:11">
      <c r="A683" s="483"/>
      <c r="B683" s="483"/>
      <c r="C683" s="483"/>
      <c r="D683" s="1288" t="s">
        <v>1076</v>
      </c>
      <c r="E683" s="1288"/>
      <c r="F683" s="1288"/>
      <c r="H683" s="501"/>
      <c r="I683" s="483"/>
      <c r="J683" s="501"/>
      <c r="K683" s="501"/>
    </row>
    <row r="684" spans="1:11">
      <c r="A684" s="483"/>
      <c r="B684" s="483"/>
      <c r="C684" s="483"/>
      <c r="H684" s="501"/>
      <c r="I684" s="483"/>
      <c r="J684" s="501"/>
      <c r="K684" s="501"/>
    </row>
    <row r="685" spans="1:11">
      <c r="A685" s="484"/>
      <c r="B685" s="485" t="s">
        <v>2812</v>
      </c>
      <c r="C685" s="483"/>
      <c r="D685" s="1288" t="s">
        <v>885</v>
      </c>
      <c r="E685" s="1288"/>
      <c r="F685" s="1288"/>
      <c r="H685" s="501"/>
      <c r="I685" s="483"/>
      <c r="J685" s="501"/>
      <c r="K685" s="501"/>
    </row>
    <row r="686" spans="1:11">
      <c r="A686" s="483"/>
      <c r="B686" s="483"/>
      <c r="C686" s="483"/>
      <c r="D686" s="1288" t="s">
        <v>894</v>
      </c>
      <c r="E686" s="1288"/>
      <c r="F686" s="1288"/>
      <c r="H686" s="501"/>
      <c r="I686" s="483"/>
      <c r="J686" s="501"/>
      <c r="K686" s="501"/>
    </row>
    <row r="687" spans="1:11" ht="12.75" customHeight="1">
      <c r="A687" s="483"/>
      <c r="B687" s="483"/>
      <c r="C687" s="483"/>
      <c r="E687" s="1036"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c r="A690" s="484"/>
      <c r="B690" s="485" t="s">
        <v>2813</v>
      </c>
      <c r="C690" s="483"/>
      <c r="D690" s="1287" t="s">
        <v>2067</v>
      </c>
      <c r="E690" s="1287"/>
      <c r="F690" s="1287"/>
      <c r="H690" s="501"/>
      <c r="I690" s="483"/>
      <c r="J690" s="501"/>
      <c r="K690" s="501"/>
    </row>
    <row r="691" spans="1:11">
      <c r="A691" s="490"/>
      <c r="B691" s="490"/>
      <c r="C691" s="483"/>
      <c r="D691" s="1287"/>
      <c r="E691" s="1287"/>
      <c r="F691" s="1287"/>
      <c r="H691" s="501"/>
      <c r="I691" s="483"/>
      <c r="J691" s="501"/>
      <c r="K691" s="501"/>
    </row>
    <row r="692" spans="1:11">
      <c r="A692" s="483"/>
      <c r="B692" s="483"/>
      <c r="C692" s="483"/>
      <c r="D692" s="1287"/>
      <c r="E692" s="1287"/>
      <c r="F692" s="1287"/>
      <c r="H692" s="501"/>
      <c r="I692" s="483"/>
      <c r="J692" s="501"/>
      <c r="K692" s="501"/>
    </row>
    <row r="693" spans="1:11">
      <c r="A693" s="483"/>
      <c r="B693" s="483"/>
      <c r="C693" s="483"/>
      <c r="H693" s="501"/>
      <c r="J693" s="501"/>
      <c r="K693" s="501"/>
    </row>
    <row r="694" spans="1:11">
      <c r="A694" s="484"/>
      <c r="B694" s="485" t="s">
        <v>2812</v>
      </c>
      <c r="C694" s="483"/>
      <c r="D694" s="1288" t="s">
        <v>917</v>
      </c>
      <c r="E694" s="1288"/>
      <c r="F694" s="1288"/>
      <c r="H694" s="501"/>
      <c r="I694" s="483"/>
      <c r="J694" s="501"/>
      <c r="K694" s="501"/>
    </row>
    <row r="695" spans="1:11">
      <c r="A695" s="484"/>
      <c r="B695" s="484"/>
      <c r="C695" s="483"/>
      <c r="D695" s="1288" t="s">
        <v>894</v>
      </c>
      <c r="E695" s="1288"/>
      <c r="F695" s="1288"/>
      <c r="H695" s="501"/>
      <c r="I695" s="483"/>
      <c r="J695" s="501"/>
      <c r="K695" s="501"/>
    </row>
    <row r="696" spans="1:11">
      <c r="A696" s="483"/>
      <c r="B696" s="483"/>
      <c r="C696" s="483"/>
      <c r="E696" s="1036" t="s">
        <v>1913</v>
      </c>
      <c r="F696" s="404"/>
      <c r="H696" s="501"/>
      <c r="I696" s="483"/>
      <c r="J696" s="501"/>
      <c r="K696" s="501"/>
    </row>
    <row r="697" spans="1:11">
      <c r="A697" s="483"/>
      <c r="B697" s="483"/>
      <c r="C697" s="483"/>
      <c r="D697" s="404"/>
      <c r="H697" s="501"/>
      <c r="I697" s="483"/>
      <c r="J697" s="501"/>
      <c r="K697" s="501"/>
    </row>
    <row r="698" spans="1:11">
      <c r="A698" s="484"/>
      <c r="B698" s="485" t="s">
        <v>2812</v>
      </c>
      <c r="C698" s="483"/>
      <c r="D698" s="1288" t="s">
        <v>2464</v>
      </c>
      <c r="E698" s="1288"/>
      <c r="F698" s="1288"/>
      <c r="H698" s="501"/>
      <c r="I698" s="483"/>
      <c r="J698" s="501"/>
      <c r="K698" s="501"/>
    </row>
    <row r="699" spans="1:11">
      <c r="A699" s="484"/>
      <c r="B699" s="484"/>
      <c r="C699" s="483"/>
      <c r="D699" s="1288" t="s">
        <v>894</v>
      </c>
      <c r="E699" s="1288"/>
      <c r="F699" s="1288"/>
      <c r="H699" s="501"/>
      <c r="I699" s="483"/>
      <c r="J699" s="501"/>
      <c r="K699" s="501"/>
    </row>
    <row r="700" spans="1:11">
      <c r="A700" s="483"/>
      <c r="B700" s="483"/>
      <c r="C700" s="483"/>
      <c r="E700" s="1036" t="s">
        <v>2465</v>
      </c>
      <c r="F700" s="404"/>
      <c r="H700" s="501"/>
      <c r="I700" s="483"/>
      <c r="J700" s="501"/>
      <c r="K700" s="501"/>
    </row>
    <row r="701" spans="1:11">
      <c r="A701" s="483"/>
      <c r="B701" s="483"/>
      <c r="C701" s="483"/>
      <c r="D701" s="404"/>
      <c r="H701" s="501"/>
      <c r="I701" s="483"/>
      <c r="J701" s="501"/>
      <c r="K701" s="501"/>
    </row>
    <row r="702" spans="1:11">
      <c r="A702" s="484"/>
      <c r="B702" s="485" t="s">
        <v>2813</v>
      </c>
      <c r="C702" s="483"/>
      <c r="D702" s="1287" t="s">
        <v>2243</v>
      </c>
      <c r="E702" s="1287"/>
      <c r="F702" s="1287"/>
      <c r="H702" s="501"/>
      <c r="I702" s="483"/>
      <c r="J702" s="501"/>
      <c r="K702" s="501"/>
    </row>
    <row r="703" spans="1:11">
      <c r="A703" s="483"/>
      <c r="B703" s="483"/>
      <c r="C703" s="483"/>
      <c r="D703" s="1287"/>
      <c r="E703" s="1287"/>
      <c r="F703" s="1287"/>
      <c r="H703" s="501"/>
      <c r="I703" s="483"/>
      <c r="J703" s="501"/>
      <c r="K703" s="501"/>
    </row>
    <row r="704" spans="1:11">
      <c r="A704" s="483"/>
      <c r="B704" s="483"/>
      <c r="C704" s="483"/>
      <c r="D704" s="1287"/>
      <c r="E704" s="1287"/>
      <c r="F704" s="1287"/>
      <c r="H704" s="501"/>
      <c r="I704" s="483"/>
      <c r="J704" s="501"/>
      <c r="K704" s="501"/>
    </row>
    <row r="705" spans="1:11">
      <c r="A705" s="483"/>
      <c r="B705" s="483"/>
      <c r="C705" s="483"/>
      <c r="D705" s="1287"/>
      <c r="E705" s="1287"/>
      <c r="F705" s="1287"/>
      <c r="H705" s="501"/>
      <c r="I705" s="483"/>
      <c r="J705" s="501"/>
      <c r="K705" s="501"/>
    </row>
    <row r="706" spans="1:11">
      <c r="A706" s="483"/>
      <c r="B706" s="483"/>
      <c r="C706" s="483"/>
      <c r="D706" s="1287"/>
      <c r="E706" s="1287"/>
      <c r="F706" s="1287"/>
      <c r="H706" s="501"/>
      <c r="I706" s="483"/>
      <c r="J706" s="501"/>
      <c r="K706" s="501"/>
    </row>
    <row r="707" spans="1:11">
      <c r="A707" s="483"/>
      <c r="B707" s="483"/>
      <c r="C707" s="483"/>
      <c r="D707" s="1287"/>
      <c r="E707" s="1287"/>
      <c r="F707" s="1287"/>
      <c r="H707" s="501"/>
      <c r="I707" s="483"/>
      <c r="J707" s="501"/>
      <c r="K707" s="501"/>
    </row>
    <row r="708" spans="1:11">
      <c r="A708" s="483"/>
      <c r="B708" s="483"/>
      <c r="C708" s="483"/>
      <c r="D708" s="445"/>
      <c r="E708" s="445"/>
      <c r="F708" s="445"/>
      <c r="H708" s="501"/>
      <c r="I708" s="483"/>
      <c r="J708" s="501"/>
      <c r="K708" s="501"/>
    </row>
    <row r="709" spans="1:11">
      <c r="A709" s="483"/>
      <c r="B709" s="485" t="s">
        <v>2813</v>
      </c>
      <c r="C709" s="483"/>
      <c r="D709" s="1287" t="s">
        <v>1201</v>
      </c>
      <c r="E709" s="1287"/>
      <c r="F709" s="1287"/>
      <c r="H709" s="501"/>
      <c r="I709" s="483"/>
      <c r="J709" s="501"/>
      <c r="K709" s="501"/>
    </row>
    <row r="710" spans="1:11">
      <c r="A710" s="483"/>
      <c r="B710" s="483"/>
      <c r="C710" s="483"/>
      <c r="D710" s="1287"/>
      <c r="E710" s="1287"/>
      <c r="F710" s="1287"/>
      <c r="H710" s="501"/>
      <c r="I710" s="483"/>
      <c r="J710" s="501"/>
      <c r="K710" s="501"/>
    </row>
    <row r="711" spans="1:11">
      <c r="A711" s="483"/>
      <c r="B711" s="483"/>
      <c r="C711" s="483"/>
      <c r="D711" s="445"/>
      <c r="E711" s="445"/>
      <c r="F711" s="445"/>
      <c r="H711" s="501"/>
      <c r="I711" s="483"/>
      <c r="J711" s="501"/>
      <c r="K711" s="501"/>
    </row>
    <row r="712" spans="1:11">
      <c r="A712" s="484"/>
      <c r="B712" s="485" t="s">
        <v>2813</v>
      </c>
      <c r="C712" s="483"/>
      <c r="D712" s="1287" t="s">
        <v>1077</v>
      </c>
      <c r="E712" s="1287"/>
      <c r="F712" s="1287"/>
      <c r="H712" s="501"/>
      <c r="I712" s="483"/>
      <c r="J712" s="501"/>
      <c r="K712" s="501"/>
    </row>
    <row r="713" spans="1:11">
      <c r="A713" s="483"/>
      <c r="B713" s="483"/>
      <c r="C713" s="483"/>
      <c r="D713" s="1287"/>
      <c r="E713" s="1287"/>
      <c r="F713" s="1287"/>
      <c r="H713" s="501"/>
      <c r="I713" s="483"/>
      <c r="J713" s="501"/>
      <c r="K713" s="501"/>
    </row>
    <row r="714" spans="1:11">
      <c r="A714" s="483"/>
      <c r="B714" s="483"/>
      <c r="C714" s="483"/>
      <c r="D714" s="1287"/>
      <c r="E714" s="1287"/>
      <c r="F714" s="1287"/>
      <c r="H714" s="501"/>
      <c r="I714" s="483"/>
      <c r="J714" s="501"/>
      <c r="K714" s="501"/>
    </row>
    <row r="715" spans="1:11" ht="15" customHeight="1">
      <c r="A715" s="483"/>
      <c r="B715" s="483"/>
      <c r="C715" s="483"/>
      <c r="D715" s="1287"/>
      <c r="E715" s="1287"/>
      <c r="F715" s="1287"/>
      <c r="H715" s="501"/>
      <c r="I715" s="483"/>
      <c r="J715" s="501"/>
      <c r="K715" s="501"/>
    </row>
    <row r="716" spans="1:11" ht="15" customHeight="1">
      <c r="A716" s="483"/>
      <c r="B716" s="483"/>
      <c r="C716" s="483"/>
      <c r="D716" s="1287"/>
      <c r="E716" s="1287"/>
      <c r="F716" s="1287"/>
      <c r="H716" s="501"/>
      <c r="I716" s="483"/>
      <c r="J716" s="501"/>
      <c r="K716" s="501"/>
    </row>
    <row r="717" spans="1:11">
      <c r="A717" s="483"/>
      <c r="B717" s="483"/>
      <c r="C717" s="483"/>
      <c r="D717" s="1287"/>
      <c r="E717" s="1287"/>
      <c r="F717" s="1287"/>
      <c r="H717" s="501"/>
      <c r="I717" s="483"/>
      <c r="J717" s="501"/>
      <c r="K717" s="501"/>
    </row>
    <row r="718" spans="1:11">
      <c r="A718" s="483"/>
      <c r="B718" s="483"/>
      <c r="C718" s="483"/>
      <c r="D718" s="1287"/>
      <c r="E718" s="1287"/>
      <c r="F718" s="1287"/>
      <c r="H718" s="501"/>
      <c r="I718" s="483"/>
      <c r="J718" s="501"/>
      <c r="K718" s="501"/>
    </row>
    <row r="719" spans="1:11">
      <c r="A719" s="483"/>
      <c r="B719" s="483"/>
      <c r="C719" s="483"/>
      <c r="D719" s="1287"/>
      <c r="E719" s="1287"/>
      <c r="F719" s="1287"/>
      <c r="H719" s="501"/>
      <c r="I719" s="483"/>
      <c r="J719" s="501"/>
      <c r="K719" s="501"/>
    </row>
    <row r="720" spans="1:11" ht="15" customHeight="1">
      <c r="A720" s="483"/>
      <c r="B720" s="483"/>
      <c r="C720" s="483"/>
      <c r="D720" s="1287"/>
      <c r="E720" s="1287"/>
      <c r="F720" s="1287"/>
      <c r="H720" s="501"/>
      <c r="I720" s="483"/>
      <c r="J720" s="501"/>
      <c r="K720" s="501"/>
    </row>
    <row r="721" spans="1:11">
      <c r="A721" s="483"/>
      <c r="B721" s="483"/>
      <c r="C721" s="483"/>
      <c r="D721" s="1287"/>
      <c r="E721" s="1287"/>
      <c r="F721" s="1287"/>
      <c r="H721" s="501"/>
      <c r="I721" s="483"/>
      <c r="J721" s="501"/>
      <c r="K721" s="501"/>
    </row>
    <row r="722" spans="1:11">
      <c r="A722" s="483"/>
      <c r="B722" s="483"/>
      <c r="C722" s="483"/>
      <c r="D722" s="1287"/>
      <c r="E722" s="1287"/>
      <c r="F722" s="1287"/>
      <c r="H722" s="501"/>
      <c r="I722" s="483"/>
      <c r="J722" s="501"/>
      <c r="K722" s="501"/>
    </row>
    <row r="723" spans="1:11">
      <c r="A723" s="483"/>
      <c r="B723" s="483"/>
      <c r="C723" s="483"/>
      <c r="D723" s="1287"/>
      <c r="E723" s="1287"/>
      <c r="F723" s="1287"/>
      <c r="H723" s="501"/>
      <c r="I723" s="483"/>
      <c r="J723" s="501"/>
      <c r="K723" s="501"/>
    </row>
    <row r="724" spans="1:11">
      <c r="A724" s="483"/>
      <c r="B724" s="483"/>
      <c r="C724" s="483"/>
      <c r="D724" s="1287"/>
      <c r="E724" s="1287"/>
      <c r="F724" s="1287"/>
      <c r="H724" s="501"/>
      <c r="I724" s="483"/>
      <c r="J724" s="501"/>
      <c r="K724" s="501"/>
    </row>
    <row r="725" spans="1:11">
      <c r="A725" s="483"/>
      <c r="B725" s="485" t="s">
        <v>2813</v>
      </c>
      <c r="C725" s="483"/>
      <c r="D725" s="1287" t="s">
        <v>2457</v>
      </c>
      <c r="E725" s="1287"/>
      <c r="F725" s="1287"/>
      <c r="H725" s="501"/>
      <c r="I725" s="483"/>
      <c r="J725" s="501"/>
      <c r="K725" s="501"/>
    </row>
    <row r="726" spans="1:11">
      <c r="A726" s="483"/>
      <c r="B726" s="483"/>
      <c r="C726" s="483"/>
      <c r="D726" s="1287"/>
      <c r="E726" s="1287"/>
      <c r="F726" s="1287"/>
      <c r="H726" s="501"/>
      <c r="I726" s="483"/>
      <c r="J726" s="501"/>
      <c r="K726" s="501"/>
    </row>
    <row r="727" spans="1:11">
      <c r="A727" s="483"/>
      <c r="B727" s="483"/>
      <c r="C727" s="483"/>
      <c r="D727" s="1287"/>
      <c r="E727" s="1287"/>
      <c r="F727" s="1287"/>
      <c r="H727" s="501"/>
      <c r="I727" s="483"/>
      <c r="J727" s="501"/>
      <c r="K727" s="501"/>
    </row>
    <row r="728" spans="1:11">
      <c r="A728" s="483"/>
      <c r="B728" s="483"/>
      <c r="C728" s="483"/>
      <c r="D728" s="445"/>
      <c r="E728" s="445"/>
      <c r="F728" s="445"/>
      <c r="H728" s="501"/>
      <c r="I728" s="483"/>
      <c r="J728" s="501"/>
      <c r="K728" s="501"/>
    </row>
    <row r="729" spans="1:11">
      <c r="A729" s="483"/>
      <c r="B729" s="485" t="s">
        <v>2813</v>
      </c>
      <c r="C729" s="483"/>
      <c r="D729" s="1287" t="s">
        <v>2456</v>
      </c>
      <c r="E729" s="1287"/>
      <c r="F729" s="1287"/>
      <c r="H729" s="501"/>
      <c r="I729" s="483"/>
      <c r="J729" s="501"/>
      <c r="K729" s="501"/>
    </row>
    <row r="730" spans="1:11">
      <c r="A730" s="483"/>
      <c r="B730" s="483"/>
      <c r="C730" s="483"/>
      <c r="D730" s="1287"/>
      <c r="E730" s="1287"/>
      <c r="F730" s="1287"/>
      <c r="H730" s="501"/>
      <c r="I730" s="483"/>
      <c r="J730" s="501"/>
      <c r="K730" s="501"/>
    </row>
    <row r="731" spans="1:11">
      <c r="A731" s="483"/>
      <c r="B731" s="483"/>
      <c r="C731" s="483"/>
      <c r="D731" s="1287"/>
      <c r="E731" s="1287"/>
      <c r="F731" s="1287"/>
      <c r="H731" s="501"/>
      <c r="I731" s="483"/>
      <c r="J731" s="501"/>
      <c r="K731" s="501"/>
    </row>
    <row r="732" spans="1:11">
      <c r="A732" s="483"/>
      <c r="B732" s="483"/>
      <c r="C732" s="483"/>
      <c r="H732" s="501"/>
      <c r="I732" s="483"/>
      <c r="J732" s="501"/>
      <c r="K732" s="501"/>
    </row>
    <row r="733" spans="1:11">
      <c r="A733" s="483"/>
      <c r="B733" s="485" t="s">
        <v>2813</v>
      </c>
      <c r="C733" s="483"/>
      <c r="D733" s="1287" t="s">
        <v>2455</v>
      </c>
      <c r="E733" s="1287"/>
      <c r="F733" s="1287"/>
      <c r="H733" s="501"/>
      <c r="I733" s="483"/>
      <c r="J733" s="501"/>
      <c r="K733" s="501"/>
    </row>
    <row r="734" spans="1:11">
      <c r="A734" s="483"/>
      <c r="B734" s="483"/>
      <c r="C734" s="483"/>
      <c r="D734" s="1287"/>
      <c r="E734" s="1287"/>
      <c r="F734" s="1287"/>
      <c r="H734" s="501"/>
      <c r="I734" s="483"/>
      <c r="J734" s="501"/>
      <c r="K734" s="501"/>
    </row>
    <row r="735" spans="1:11">
      <c r="A735" s="483"/>
      <c r="B735" s="483"/>
      <c r="C735" s="483"/>
      <c r="D735" s="1287"/>
      <c r="E735" s="1287"/>
      <c r="F735" s="1287"/>
      <c r="H735" s="501"/>
      <c r="I735" s="483"/>
      <c r="J735" s="501"/>
      <c r="K735" s="501"/>
    </row>
    <row r="736" spans="1:11">
      <c r="A736" s="483"/>
      <c r="B736" s="483"/>
      <c r="C736" s="483"/>
      <c r="D736" s="1287"/>
      <c r="E736" s="1287"/>
      <c r="F736" s="1287"/>
      <c r="H736" s="501"/>
      <c r="I736" s="483"/>
      <c r="J736" s="501"/>
      <c r="K736" s="501"/>
    </row>
    <row r="737" spans="1:11">
      <c r="A737" s="483"/>
      <c r="B737" s="483"/>
      <c r="C737" s="483"/>
      <c r="H737" s="501"/>
      <c r="I737" s="483"/>
      <c r="J737" s="501"/>
      <c r="K737" s="501"/>
    </row>
    <row r="738" spans="1:11">
      <c r="A738" s="484"/>
      <c r="B738" s="485" t="s">
        <v>2813</v>
      </c>
      <c r="C738" s="483"/>
      <c r="D738" s="1287" t="s">
        <v>1078</v>
      </c>
      <c r="E738" s="1287"/>
      <c r="F738" s="1287"/>
      <c r="H738" s="501"/>
      <c r="I738" s="483"/>
      <c r="J738" s="501"/>
      <c r="K738" s="501"/>
    </row>
    <row r="739" spans="1:11">
      <c r="A739" s="483"/>
      <c r="B739" s="483"/>
      <c r="C739" s="483"/>
      <c r="D739" s="1287"/>
      <c r="E739" s="1287"/>
      <c r="F739" s="1287"/>
      <c r="H739" s="501"/>
      <c r="I739" s="483"/>
      <c r="J739" s="501"/>
      <c r="K739" s="501"/>
    </row>
    <row r="740" spans="1:11">
      <c r="A740" s="483"/>
      <c r="B740" s="483"/>
      <c r="C740" s="483"/>
      <c r="D740" s="1287"/>
      <c r="E740" s="1287"/>
      <c r="F740" s="1287"/>
      <c r="H740" s="501"/>
      <c r="I740" s="483"/>
      <c r="J740" s="501"/>
      <c r="K740" s="501"/>
    </row>
    <row r="741" spans="1:11">
      <c r="A741" s="483"/>
      <c r="B741" s="483"/>
      <c r="C741" s="483"/>
      <c r="D741" s="1287"/>
      <c r="E741" s="1287"/>
      <c r="F741" s="1287"/>
      <c r="H741" s="501"/>
      <c r="I741" s="483"/>
      <c r="J741" s="501"/>
      <c r="K741" s="501"/>
    </row>
    <row r="742" spans="1:11">
      <c r="A742" s="483"/>
      <c r="B742" s="483"/>
      <c r="C742" s="483"/>
      <c r="D742" s="1287"/>
      <c r="E742" s="1287"/>
      <c r="F742" s="1287"/>
      <c r="H742" s="501"/>
      <c r="I742" s="483"/>
      <c r="J742" s="501"/>
      <c r="K742" s="501"/>
    </row>
    <row r="743" spans="1:11">
      <c r="A743" s="483"/>
      <c r="B743" s="483"/>
      <c r="C743" s="483"/>
      <c r="D743" s="492"/>
      <c r="H743" s="501"/>
      <c r="I743" s="483"/>
      <c r="J743" s="501"/>
      <c r="K743" s="501"/>
    </row>
    <row r="744" spans="1:11">
      <c r="A744" s="484"/>
      <c r="B744" s="485" t="s">
        <v>2813</v>
      </c>
      <c r="C744" s="483"/>
      <c r="D744" s="1287" t="s">
        <v>2145</v>
      </c>
      <c r="E744" s="1287"/>
      <c r="F744" s="1287"/>
      <c r="H744" s="501"/>
      <c r="I744" s="483"/>
      <c r="J744" s="501"/>
      <c r="K744" s="501"/>
    </row>
    <row r="745" spans="1:11">
      <c r="A745" s="483"/>
      <c r="B745" s="483"/>
      <c r="C745" s="483"/>
      <c r="D745" s="1287"/>
      <c r="E745" s="1287"/>
      <c r="F745" s="1287"/>
      <c r="H745" s="501"/>
      <c r="I745" s="483"/>
      <c r="J745" s="501"/>
      <c r="K745" s="501"/>
    </row>
    <row r="746" spans="1:11">
      <c r="A746" s="483"/>
      <c r="B746" s="483"/>
      <c r="C746" s="483"/>
      <c r="D746" s="1287"/>
      <c r="E746" s="1287"/>
      <c r="F746" s="1287"/>
      <c r="H746" s="501"/>
      <c r="I746" s="483"/>
      <c r="J746" s="501"/>
      <c r="K746" s="501"/>
    </row>
    <row r="747" spans="1:11">
      <c r="A747" s="483"/>
      <c r="B747" s="483"/>
      <c r="C747" s="483"/>
      <c r="D747" s="1287"/>
      <c r="E747" s="1287"/>
      <c r="F747" s="1287"/>
      <c r="H747" s="501"/>
      <c r="I747" s="483"/>
      <c r="J747" s="501"/>
      <c r="K747" s="501"/>
    </row>
    <row r="748" spans="1:11">
      <c r="A748" s="483"/>
      <c r="B748" s="483"/>
      <c r="C748" s="483"/>
      <c r="D748" s="1287"/>
      <c r="E748" s="1287"/>
      <c r="F748" s="1287"/>
      <c r="H748" s="501"/>
      <c r="I748" s="483"/>
      <c r="J748" s="501"/>
      <c r="K748" s="501"/>
    </row>
    <row r="749" spans="1:11">
      <c r="A749" s="483"/>
      <c r="B749" s="483"/>
      <c r="C749" s="483"/>
      <c r="D749" s="1287"/>
      <c r="E749" s="1287"/>
      <c r="F749" s="1287"/>
      <c r="H749" s="501"/>
      <c r="I749" s="483"/>
      <c r="J749" s="501"/>
      <c r="K749" s="501"/>
    </row>
    <row r="750" spans="1:11">
      <c r="A750" s="483"/>
      <c r="B750" s="483"/>
      <c r="C750" s="483"/>
      <c r="D750" s="1287"/>
      <c r="E750" s="1287"/>
      <c r="F750" s="1287"/>
      <c r="H750" s="501"/>
      <c r="I750" s="483"/>
      <c r="J750" s="501"/>
      <c r="K750" s="501"/>
    </row>
    <row r="751" spans="1:11">
      <c r="A751" s="483"/>
      <c r="B751" s="483"/>
      <c r="C751" s="483"/>
      <c r="D751" s="1325" t="s">
        <v>2074</v>
      </c>
      <c r="E751" s="1325"/>
      <c r="F751" s="1325"/>
      <c r="H751" s="501"/>
      <c r="I751" s="483"/>
      <c r="J751" s="501"/>
      <c r="K751" s="501"/>
    </row>
    <row r="752" spans="1:11">
      <c r="A752" s="483"/>
      <c r="B752" s="483"/>
      <c r="C752" s="483"/>
      <c r="D752" s="341"/>
      <c r="H752" s="501"/>
      <c r="I752" s="483"/>
      <c r="J752" s="501"/>
      <c r="K752" s="501"/>
    </row>
    <row r="753" spans="1:11">
      <c r="A753" s="1294" t="s">
        <v>1060</v>
      </c>
      <c r="B753" s="1294"/>
      <c r="C753" s="1294"/>
      <c r="D753" s="1294"/>
      <c r="E753" s="1294"/>
      <c r="F753" s="1294"/>
      <c r="G753" s="1294"/>
      <c r="H753" s="1030"/>
      <c r="I753" s="1157"/>
      <c r="J753" s="501"/>
      <c r="K753" s="501"/>
    </row>
    <row r="754" spans="1:11">
      <c r="A754" s="483"/>
      <c r="B754" s="483"/>
      <c r="C754" s="483"/>
      <c r="D754" s="492"/>
      <c r="G754" s="501"/>
      <c r="H754" s="501"/>
      <c r="I754" s="483"/>
      <c r="J754" s="501"/>
      <c r="K754" s="501"/>
    </row>
    <row r="755" spans="1:11" ht="13.75" customHeight="1">
      <c r="C755" s="483"/>
      <c r="D755" s="1289" t="s">
        <v>1070</v>
      </c>
      <c r="E755" s="1289"/>
      <c r="F755" s="1289"/>
      <c r="G755" s="501"/>
      <c r="H755" s="501"/>
      <c r="I755" s="483"/>
      <c r="J755" s="501"/>
      <c r="K755" s="501"/>
    </row>
    <row r="756" spans="1:11">
      <c r="A756" s="483"/>
      <c r="B756" s="483"/>
      <c r="C756" s="483"/>
      <c r="D756" s="1293" t="s">
        <v>1071</v>
      </c>
      <c r="E756" s="1293"/>
      <c r="F756" s="1293"/>
      <c r="G756" s="501"/>
      <c r="H756" s="501"/>
      <c r="I756" s="483"/>
      <c r="J756" s="501"/>
      <c r="K756" s="501"/>
    </row>
    <row r="757" spans="1:11">
      <c r="A757" s="483"/>
      <c r="B757" s="483"/>
      <c r="C757" s="483"/>
      <c r="G757" s="501"/>
      <c r="H757" s="501"/>
      <c r="I757" s="483"/>
      <c r="J757" s="501"/>
      <c r="K757" s="501"/>
    </row>
    <row r="758" spans="1:11">
      <c r="A758" s="484"/>
      <c r="B758" s="485" t="s">
        <v>2812</v>
      </c>
      <c r="D758" s="1287" t="s">
        <v>1072</v>
      </c>
      <c r="E758" s="1287"/>
      <c r="F758" s="1287"/>
      <c r="G758" s="501"/>
      <c r="H758" s="501"/>
      <c r="I758" s="483"/>
      <c r="J758" s="501"/>
      <c r="K758" s="501"/>
    </row>
    <row r="759" spans="1:11" ht="10.5" customHeight="1">
      <c r="D759" s="1287"/>
      <c r="E759" s="1287"/>
      <c r="F759" s="1287"/>
      <c r="G759" s="501"/>
      <c r="H759" s="501"/>
      <c r="I759" s="483"/>
      <c r="J759" s="501"/>
      <c r="K759" s="501"/>
    </row>
    <row r="760" spans="1:11">
      <c r="D760" s="1287"/>
      <c r="E760" s="1287"/>
      <c r="F760" s="1287"/>
      <c r="G760" s="501"/>
      <c r="H760" s="501"/>
      <c r="I760" s="483"/>
      <c r="J760" s="501"/>
      <c r="K760" s="501"/>
    </row>
    <row r="761" spans="1:11">
      <c r="D761" s="1287"/>
      <c r="E761" s="1287"/>
      <c r="F761" s="1287"/>
      <c r="G761" s="501"/>
      <c r="H761" s="501"/>
      <c r="I761" s="483"/>
      <c r="J761" s="501"/>
      <c r="K761" s="501"/>
    </row>
    <row r="762" spans="1:11">
      <c r="D762" s="1287"/>
      <c r="E762" s="1287"/>
      <c r="F762" s="1287"/>
      <c r="G762" s="501"/>
      <c r="H762" s="501"/>
      <c r="I762" s="483"/>
      <c r="J762" s="501"/>
      <c r="K762" s="501"/>
    </row>
    <row r="763" spans="1:11" ht="15.5" customHeight="1">
      <c r="D763" s="1287"/>
      <c r="E763" s="1287"/>
      <c r="F763" s="1287"/>
      <c r="G763" s="501"/>
      <c r="H763" s="501"/>
      <c r="I763" s="483"/>
      <c r="J763" s="501"/>
      <c r="K763" s="501"/>
    </row>
    <row r="764" spans="1:11">
      <c r="D764" s="499"/>
      <c r="E764" s="446"/>
      <c r="F764" s="446"/>
      <c r="G764" s="501"/>
      <c r="H764" s="501"/>
      <c r="I764" s="483"/>
      <c r="J764" s="501"/>
      <c r="K764" s="501"/>
    </row>
    <row r="765" spans="1:11" s="505" customFormat="1">
      <c r="A765" s="503"/>
      <c r="B765" s="485" t="s">
        <v>2812</v>
      </c>
      <c r="C765" s="504"/>
      <c r="D765" s="1287" t="s">
        <v>1241</v>
      </c>
      <c r="E765" s="1287"/>
      <c r="F765" s="1287"/>
      <c r="I765" s="1158"/>
    </row>
    <row r="766" spans="1:11" s="505" customFormat="1">
      <c r="A766" s="504"/>
      <c r="B766" s="504"/>
      <c r="C766" s="504"/>
      <c r="D766" s="1287"/>
      <c r="E766" s="1287"/>
      <c r="F766" s="1287"/>
      <c r="I766" s="1158"/>
    </row>
    <row r="767" spans="1:11" s="505" customFormat="1">
      <c r="A767" s="504"/>
      <c r="B767" s="504"/>
      <c r="C767" s="504"/>
      <c r="D767" s="1287"/>
      <c r="E767" s="1287"/>
      <c r="F767" s="1287"/>
      <c r="I767" s="1158"/>
    </row>
    <row r="768" spans="1:11" s="505" customFormat="1">
      <c r="A768" s="504"/>
      <c r="B768" s="504"/>
      <c r="C768" s="504"/>
      <c r="D768" s="1287"/>
      <c r="E768" s="1287"/>
      <c r="F768" s="1287"/>
      <c r="I768" s="1158"/>
    </row>
    <row r="769" spans="1:11" s="505" customFormat="1">
      <c r="A769" s="504"/>
      <c r="B769" s="504"/>
      <c r="C769" s="504"/>
      <c r="D769" s="499"/>
      <c r="I769" s="1158"/>
    </row>
    <row r="770" spans="1:11" s="505" customFormat="1">
      <c r="A770" s="484"/>
      <c r="B770" s="485" t="s">
        <v>2813</v>
      </c>
      <c r="C770" s="504"/>
      <c r="D770" s="1312" t="s">
        <v>1242</v>
      </c>
      <c r="E770" s="1312"/>
      <c r="F770" s="1312"/>
      <c r="I770" s="1158"/>
    </row>
    <row r="771" spans="1:11" s="505" customFormat="1">
      <c r="A771" s="504"/>
      <c r="B771" s="504"/>
      <c r="C771" s="504"/>
      <c r="D771" s="1312"/>
      <c r="E771" s="1312"/>
      <c r="F771" s="1312"/>
      <c r="I771" s="1158"/>
    </row>
    <row r="772" spans="1:11" s="505" customFormat="1">
      <c r="A772" s="504"/>
      <c r="B772" s="504"/>
      <c r="C772" s="504"/>
      <c r="D772" s="1312"/>
      <c r="E772" s="1312"/>
      <c r="F772" s="1312"/>
      <c r="I772" s="1158"/>
    </row>
    <row r="773" spans="1:11">
      <c r="D773" s="499"/>
      <c r="E773" s="446"/>
      <c r="F773" s="446"/>
      <c r="G773" s="501"/>
      <c r="H773" s="501"/>
      <c r="I773" s="483"/>
      <c r="J773" s="501"/>
      <c r="K773" s="501"/>
    </row>
    <row r="774" spans="1:11">
      <c r="A774" s="484"/>
      <c r="B774" s="485" t="s">
        <v>2813</v>
      </c>
      <c r="D774" s="1287" t="s">
        <v>1198</v>
      </c>
      <c r="E774" s="1287"/>
      <c r="F774" s="1287"/>
      <c r="G774" s="501"/>
      <c r="H774" s="501"/>
      <c r="I774" s="483"/>
      <c r="J774" s="501"/>
      <c r="K774" s="501"/>
    </row>
    <row r="775" spans="1:11">
      <c r="D775" s="1287"/>
      <c r="E775" s="1287"/>
      <c r="F775" s="1287"/>
      <c r="G775" s="501"/>
      <c r="H775" s="501"/>
      <c r="I775" s="483"/>
      <c r="J775" s="501"/>
      <c r="K775" s="501"/>
    </row>
    <row r="776" spans="1:11">
      <c r="D776" s="445"/>
      <c r="E776" s="445"/>
      <c r="F776" s="445"/>
      <c r="G776" s="501"/>
      <c r="H776" s="501"/>
      <c r="I776" s="483"/>
      <c r="J776" s="501"/>
      <c r="K776" s="501"/>
    </row>
    <row r="777" spans="1:11">
      <c r="B777" s="485" t="s">
        <v>2813</v>
      </c>
      <c r="D777" s="1287" t="s">
        <v>1215</v>
      </c>
      <c r="E777" s="1287"/>
      <c r="F777" s="1287"/>
      <c r="G777" s="501"/>
      <c r="H777" s="501"/>
      <c r="I777" s="483"/>
      <c r="J777" s="501"/>
      <c r="K777" s="501"/>
    </row>
    <row r="778" spans="1:11">
      <c r="D778" s="1287"/>
      <c r="E778" s="1287"/>
      <c r="F778" s="1287"/>
      <c r="G778" s="501"/>
      <c r="H778" s="501"/>
      <c r="I778" s="483"/>
      <c r="J778" s="501"/>
      <c r="K778" s="501"/>
    </row>
    <row r="779" spans="1:11">
      <c r="D779" s="1287"/>
      <c r="E779" s="1287"/>
      <c r="F779" s="1287"/>
      <c r="G779" s="501"/>
      <c r="H779" s="501"/>
      <c r="I779" s="483"/>
      <c r="J779" s="501"/>
      <c r="K779" s="501"/>
    </row>
    <row r="780" spans="1:11">
      <c r="D780" s="445"/>
      <c r="E780" s="445"/>
      <c r="F780" s="445"/>
      <c r="G780" s="501"/>
      <c r="H780" s="501"/>
      <c r="I780" s="483"/>
      <c r="J780" s="501"/>
      <c r="K780" s="501"/>
    </row>
    <row r="781" spans="1:11">
      <c r="A781" s="1319" t="s">
        <v>1801</v>
      </c>
      <c r="B781" s="1319"/>
      <c r="C781" s="1319"/>
      <c r="D781" s="1319"/>
      <c r="E781" s="1319"/>
      <c r="F781" s="1319"/>
      <c r="G781" s="1319"/>
      <c r="H781" s="1028"/>
      <c r="I781" s="1153"/>
    </row>
    <row r="782" spans="1:11">
      <c r="A782" s="57"/>
      <c r="B782" s="57"/>
      <c r="C782" s="354"/>
      <c r="D782" s="3"/>
      <c r="E782" s="3"/>
      <c r="F782" s="3"/>
      <c r="G782" s="3"/>
      <c r="I782" s="490"/>
    </row>
    <row r="783" spans="1:11">
      <c r="A783" s="57"/>
      <c r="B783" s="57"/>
      <c r="C783" s="354"/>
      <c r="D783" s="1318" t="s">
        <v>1854</v>
      </c>
      <c r="E783" s="1318"/>
      <c r="F783" s="1318"/>
      <c r="G783" s="3"/>
      <c r="I783" s="490"/>
    </row>
    <row r="784" spans="1:11">
      <c r="A784" s="57"/>
      <c r="B784" s="57"/>
      <c r="C784" s="354"/>
      <c r="D784" s="1299" t="s">
        <v>1755</v>
      </c>
      <c r="E784" s="1299"/>
      <c r="F784" s="1299"/>
      <c r="G784" s="3"/>
      <c r="I784" s="490"/>
    </row>
    <row r="785" spans="1:9">
      <c r="A785" s="57"/>
      <c r="B785" s="57"/>
      <c r="C785" s="354"/>
      <c r="D785" s="447"/>
      <c r="E785" s="447"/>
      <c r="F785" s="447"/>
      <c r="G785" s="3"/>
      <c r="I785" s="490"/>
    </row>
    <row r="786" spans="1:9">
      <c r="A786" s="57"/>
      <c r="B786" s="485" t="s">
        <v>2812</v>
      </c>
      <c r="C786" s="354"/>
      <c r="D786" s="1320" t="s">
        <v>1756</v>
      </c>
      <c r="E786" s="1320"/>
      <c r="F786" s="1320"/>
      <c r="G786" s="3"/>
      <c r="I786" s="483"/>
    </row>
    <row r="787" spans="1:9">
      <c r="A787" s="57"/>
      <c r="B787" s="57"/>
      <c r="C787" s="354"/>
      <c r="D787" s="1320"/>
      <c r="E787" s="1320"/>
      <c r="F787" s="1320"/>
      <c r="G787" s="3"/>
      <c r="I787" s="490"/>
    </row>
    <row r="788" spans="1:9">
      <c r="A788" s="174"/>
      <c r="B788" s="174"/>
      <c r="C788" s="174"/>
      <c r="D788" s="1320"/>
      <c r="E788" s="1320"/>
      <c r="F788" s="1320"/>
      <c r="G788" s="118"/>
      <c r="I788" s="490"/>
    </row>
    <row r="789" spans="1:9">
      <c r="A789" s="354"/>
      <c r="B789" s="354"/>
      <c r="C789" s="354"/>
      <c r="D789" s="173"/>
      <c r="E789" s="3"/>
      <c r="F789" s="3"/>
      <c r="G789" s="3"/>
      <c r="I789" s="490"/>
    </row>
    <row r="790" spans="1:9">
      <c r="A790" s="172"/>
      <c r="B790" s="485" t="s">
        <v>2813</v>
      </c>
      <c r="C790" s="172"/>
      <c r="D790" s="1320" t="s">
        <v>1757</v>
      </c>
      <c r="E790" s="1320"/>
      <c r="F790" s="1320"/>
      <c r="G790" s="3"/>
      <c r="I790" s="483"/>
    </row>
    <row r="791" spans="1:9">
      <c r="A791" s="172"/>
      <c r="B791" s="172"/>
      <c r="C791" s="172"/>
      <c r="D791" s="1320"/>
      <c r="E791" s="1320"/>
      <c r="F791" s="1320"/>
      <c r="G791" s="3"/>
      <c r="I791" s="490"/>
    </row>
    <row r="792" spans="1:9">
      <c r="A792" s="172"/>
      <c r="B792" s="172"/>
      <c r="C792" s="172"/>
      <c r="D792" s="1320"/>
      <c r="E792" s="1320"/>
      <c r="F792" s="1320"/>
      <c r="G792" s="3"/>
      <c r="I792" s="490"/>
    </row>
    <row r="793" spans="1:9">
      <c r="A793" s="174"/>
      <c r="B793" s="174"/>
      <c r="C793" s="174"/>
      <c r="D793" s="3"/>
      <c r="E793" s="988"/>
      <c r="F793" s="988"/>
      <c r="G793" s="988"/>
      <c r="I793" s="490"/>
    </row>
    <row r="794" spans="1:9">
      <c r="A794" s="175"/>
      <c r="B794" s="485" t="s">
        <v>2813</v>
      </c>
      <c r="C794" s="989"/>
      <c r="D794" s="1320" t="s">
        <v>1758</v>
      </c>
      <c r="E794" s="1320"/>
      <c r="F794" s="1320"/>
      <c r="G794" s="988"/>
      <c r="I794" s="483"/>
    </row>
    <row r="795" spans="1:9">
      <c r="A795" s="175"/>
      <c r="B795" s="175"/>
      <c r="C795" s="989"/>
      <c r="D795" s="1320"/>
      <c r="E795" s="1320"/>
      <c r="F795" s="1320"/>
      <c r="G795" s="988"/>
      <c r="I795" s="490"/>
    </row>
    <row r="796" spans="1:9">
      <c r="A796" s="175"/>
      <c r="B796" s="175"/>
      <c r="C796" s="989"/>
      <c r="D796" s="1320"/>
      <c r="E796" s="1320"/>
      <c r="F796" s="1320"/>
      <c r="G796" s="988"/>
      <c r="I796" s="490"/>
    </row>
    <row r="797" spans="1:9">
      <c r="A797" s="175"/>
      <c r="B797" s="175"/>
      <c r="C797" s="989"/>
      <c r="D797" s="118"/>
      <c r="E797" s="3"/>
      <c r="F797" s="3"/>
      <c r="G797" s="988"/>
      <c r="I797" s="490"/>
    </row>
    <row r="798" spans="1:9">
      <c r="A798" s="175"/>
      <c r="B798" s="485" t="s">
        <v>2813</v>
      </c>
      <c r="C798" s="989"/>
      <c r="D798" s="1320" t="s">
        <v>1759</v>
      </c>
      <c r="E798" s="1320"/>
      <c r="F798" s="1320"/>
      <c r="G798" s="988"/>
      <c r="I798" s="483"/>
    </row>
    <row r="799" spans="1:9">
      <c r="A799" s="175"/>
      <c r="B799" s="175"/>
      <c r="C799" s="989"/>
      <c r="D799" s="1320"/>
      <c r="E799" s="1320"/>
      <c r="F799" s="1320"/>
      <c r="G799" s="988"/>
      <c r="I799" s="490"/>
    </row>
    <row r="800" spans="1:9">
      <c r="A800" s="175"/>
      <c r="B800" s="175"/>
      <c r="C800" s="989"/>
      <c r="D800" s="1320"/>
      <c r="E800" s="1320"/>
      <c r="F800" s="1320"/>
      <c r="G800" s="988"/>
      <c r="I800" s="490"/>
    </row>
    <row r="801" spans="1:9">
      <c r="A801" s="175"/>
      <c r="B801" s="175"/>
      <c r="C801" s="989"/>
      <c r="D801" s="1320"/>
      <c r="E801" s="1320"/>
      <c r="F801" s="1320"/>
      <c r="G801" s="988"/>
      <c r="I801" s="490"/>
    </row>
    <row r="802" spans="1:9">
      <c r="A802" s="175"/>
      <c r="B802" s="175"/>
      <c r="C802" s="989"/>
      <c r="D802" s="1320"/>
      <c r="E802" s="1320"/>
      <c r="F802" s="1320"/>
      <c r="G802" s="988"/>
      <c r="I802" s="490"/>
    </row>
    <row r="803" spans="1:9">
      <c r="A803" s="175"/>
      <c r="B803" s="175"/>
      <c r="C803" s="989"/>
      <c r="D803" s="1320"/>
      <c r="E803" s="1320"/>
      <c r="F803" s="1320"/>
      <c r="G803" s="988"/>
      <c r="I803" s="490"/>
    </row>
    <row r="804" spans="1:9">
      <c r="A804" s="175"/>
      <c r="B804" s="175"/>
      <c r="C804" s="989"/>
      <c r="D804" s="1320" t="s">
        <v>1802</v>
      </c>
      <c r="E804" s="1320"/>
      <c r="F804" s="1320"/>
      <c r="G804" s="988"/>
      <c r="I804" s="490"/>
    </row>
    <row r="805" spans="1:9">
      <c r="A805" s="175"/>
      <c r="B805" s="175"/>
      <c r="C805" s="989"/>
      <c r="D805" s="1320"/>
      <c r="E805" s="1320"/>
      <c r="F805" s="1320"/>
      <c r="G805" s="988"/>
      <c r="I805" s="490"/>
    </row>
    <row r="806" spans="1:9">
      <c r="A806" s="175"/>
      <c r="B806" s="175"/>
      <c r="C806" s="989"/>
      <c r="D806" s="1320"/>
      <c r="E806" s="1320"/>
      <c r="F806" s="1320"/>
      <c r="G806" s="988"/>
      <c r="I806" s="490"/>
    </row>
    <row r="807" spans="1:9">
      <c r="A807" s="175"/>
      <c r="B807" s="354"/>
      <c r="C807" s="989"/>
      <c r="D807" s="990"/>
      <c r="E807" s="990"/>
      <c r="F807" s="990"/>
      <c r="G807" s="988"/>
      <c r="I807" s="490"/>
    </row>
    <row r="808" spans="1:9">
      <c r="A808" s="175"/>
      <c r="B808" s="485" t="s">
        <v>2813</v>
      </c>
      <c r="C808" s="989"/>
      <c r="D808" s="1320" t="s">
        <v>1760</v>
      </c>
      <c r="E808" s="1320"/>
      <c r="F808" s="1320"/>
      <c r="G808" s="988"/>
      <c r="I808" s="483"/>
    </row>
    <row r="809" spans="1:9">
      <c r="A809" s="175"/>
      <c r="B809" s="175"/>
      <c r="C809" s="989"/>
      <c r="D809" s="1320"/>
      <c r="E809" s="1320"/>
      <c r="F809" s="1320"/>
      <c r="G809" s="988"/>
      <c r="I809" s="490"/>
    </row>
    <row r="810" spans="1:9">
      <c r="A810" s="175"/>
      <c r="B810" s="175"/>
      <c r="C810" s="989"/>
      <c r="D810" s="1320"/>
      <c r="E810" s="1320"/>
      <c r="F810" s="1320"/>
      <c r="G810" s="988"/>
      <c r="I810" s="490"/>
    </row>
    <row r="811" spans="1:9">
      <c r="A811" s="175"/>
      <c r="B811" s="175"/>
      <c r="C811" s="989"/>
      <c r="D811" s="1320"/>
      <c r="E811" s="1320"/>
      <c r="F811" s="1320"/>
      <c r="G811" s="988"/>
      <c r="I811" s="490"/>
    </row>
    <row r="812" spans="1:9">
      <c r="A812" s="175"/>
      <c r="B812" s="175"/>
      <c r="C812" s="989"/>
      <c r="D812" s="1320"/>
      <c r="E812" s="1320"/>
      <c r="F812" s="1320"/>
      <c r="G812" s="988"/>
      <c r="I812" s="490"/>
    </row>
    <row r="813" spans="1:9">
      <c r="A813" s="175"/>
      <c r="B813" s="175"/>
      <c r="C813" s="989"/>
      <c r="D813" s="1320"/>
      <c r="E813" s="1320"/>
      <c r="F813" s="1320"/>
      <c r="G813" s="988"/>
      <c r="I813" s="490"/>
    </row>
    <row r="814" spans="1:9">
      <c r="A814" s="175"/>
      <c r="B814" s="175"/>
      <c r="C814" s="989"/>
      <c r="D814" s="982"/>
      <c r="E814" s="982"/>
      <c r="F814" s="982"/>
      <c r="G814" s="988"/>
      <c r="I814" s="490"/>
    </row>
    <row r="815" spans="1:9">
      <c r="A815" s="175"/>
      <c r="B815" s="485" t="s">
        <v>2813</v>
      </c>
      <c r="C815" s="989"/>
      <c r="D815" s="1320" t="s">
        <v>1761</v>
      </c>
      <c r="E815" s="1320"/>
      <c r="F815" s="1320"/>
      <c r="G815" s="988"/>
      <c r="I815" s="483"/>
    </row>
    <row r="816" spans="1:9">
      <c r="A816" s="175"/>
      <c r="B816" s="175"/>
      <c r="C816" s="989"/>
      <c r="D816" s="1320"/>
      <c r="E816" s="1320"/>
      <c r="F816" s="1320"/>
      <c r="G816" s="988"/>
      <c r="I816" s="490"/>
    </row>
    <row r="817" spans="1:9">
      <c r="A817" s="175"/>
      <c r="B817" s="175"/>
      <c r="C817" s="989"/>
      <c r="D817" s="1320"/>
      <c r="E817" s="1320"/>
      <c r="F817" s="1320"/>
      <c r="G817" s="988"/>
      <c r="I817" s="490"/>
    </row>
    <row r="818" spans="1:9">
      <c r="A818" s="175"/>
      <c r="B818" s="175"/>
      <c r="C818" s="989"/>
      <c r="D818" s="1320"/>
      <c r="E818" s="1320"/>
      <c r="F818" s="1320"/>
      <c r="G818" s="988"/>
      <c r="I818" s="490"/>
    </row>
    <row r="819" spans="1:9">
      <c r="A819" s="175"/>
      <c r="B819" s="175"/>
      <c r="C819" s="989"/>
      <c r="D819" s="1320"/>
      <c r="E819" s="1320"/>
      <c r="F819" s="1320"/>
      <c r="G819" s="988"/>
      <c r="I819" s="490"/>
    </row>
    <row r="820" spans="1:9">
      <c r="A820" s="175"/>
      <c r="B820" s="175"/>
      <c r="C820" s="989"/>
      <c r="D820" s="1320"/>
      <c r="E820" s="1320"/>
      <c r="F820" s="1320"/>
      <c r="G820" s="988"/>
      <c r="I820" s="490"/>
    </row>
    <row r="821" spans="1:9">
      <c r="A821" s="175"/>
      <c r="B821" s="175"/>
      <c r="C821" s="989"/>
      <c r="D821" s="982"/>
      <c r="E821" s="982"/>
      <c r="F821" s="982"/>
      <c r="G821" s="988"/>
      <c r="I821" s="490"/>
    </row>
    <row r="822" spans="1:9">
      <c r="A822" s="175"/>
      <c r="B822" s="485" t="s">
        <v>2813</v>
      </c>
      <c r="C822" s="989"/>
      <c r="D822" s="1292" t="s">
        <v>1762</v>
      </c>
      <c r="E822" s="1292"/>
      <c r="F822" s="1292"/>
      <c r="G822" s="988"/>
      <c r="I822" s="483"/>
    </row>
    <row r="823" spans="1:9">
      <c r="A823" s="175"/>
      <c r="B823" s="175"/>
      <c r="C823" s="989"/>
      <c r="D823" s="1292"/>
      <c r="E823" s="1292"/>
      <c r="F823" s="1292"/>
      <c r="G823" s="988"/>
      <c r="I823" s="490"/>
    </row>
    <row r="824" spans="1:9">
      <c r="A824" s="13"/>
      <c r="B824" s="13"/>
      <c r="C824" s="989"/>
      <c r="D824" s="1292"/>
      <c r="E824" s="1292"/>
      <c r="F824" s="1292"/>
      <c r="G824" s="988"/>
      <c r="I824" s="490"/>
    </row>
    <row r="825" spans="1:9">
      <c r="A825" s="175"/>
      <c r="B825" s="13"/>
      <c r="C825" s="989"/>
      <c r="D825" s="1292"/>
      <c r="E825" s="1292"/>
      <c r="F825" s="1292"/>
      <c r="G825" s="988"/>
      <c r="I825" s="490"/>
    </row>
    <row r="826" spans="1:9" ht="12.75" customHeight="1">
      <c r="A826" s="175"/>
      <c r="B826" s="13"/>
      <c r="C826" s="989"/>
      <c r="D826" s="1292"/>
      <c r="E826" s="1292"/>
      <c r="F826" s="1292"/>
      <c r="G826" s="988"/>
      <c r="I826" s="490"/>
    </row>
    <row r="827" spans="1:9" ht="12.75" customHeight="1">
      <c r="A827" s="175"/>
      <c r="B827" s="13"/>
      <c r="C827" s="989"/>
      <c r="D827" s="1292"/>
      <c r="E827" s="1292"/>
      <c r="F827" s="1292"/>
      <c r="G827" s="988"/>
      <c r="I827" s="490"/>
    </row>
    <row r="828" spans="1:9" ht="12.75" customHeight="1">
      <c r="A828" s="13"/>
      <c r="B828" s="13"/>
      <c r="C828" s="989"/>
      <c r="D828" s="988"/>
      <c r="E828" s="3"/>
      <c r="F828" s="3"/>
      <c r="G828" s="988"/>
      <c r="I828" s="490"/>
    </row>
    <row r="829" spans="1:9" ht="12.75" customHeight="1">
      <c r="A829" s="1313" t="s">
        <v>1763</v>
      </c>
      <c r="B829" s="1313"/>
      <c r="C829" s="1313"/>
      <c r="D829" s="1313"/>
      <c r="E829" s="1313"/>
      <c r="F829" s="1313"/>
      <c r="G829" s="1313"/>
      <c r="H829" s="1028"/>
      <c r="I829" s="1153"/>
    </row>
    <row r="830" spans="1:9" ht="12.75" customHeight="1">
      <c r="A830" s="172"/>
      <c r="B830" s="172"/>
      <c r="C830" s="989"/>
      <c r="D830" s="988"/>
      <c r="E830" s="988"/>
      <c r="F830" s="988"/>
      <c r="G830" s="988"/>
      <c r="I830" s="490"/>
    </row>
    <row r="831" spans="1:9" ht="12.75" customHeight="1">
      <c r="A831" s="175"/>
      <c r="B831" s="175"/>
      <c r="C831" s="354"/>
      <c r="D831" s="1317" t="s">
        <v>1803</v>
      </c>
      <c r="E831" s="1317"/>
      <c r="F831" s="1317"/>
      <c r="G831" s="3"/>
      <c r="I831" s="490"/>
    </row>
    <row r="832" spans="1:9" ht="14.25" customHeight="1">
      <c r="A832" s="175"/>
      <c r="B832" s="175"/>
      <c r="C832" s="354"/>
      <c r="D832" s="1264" t="s">
        <v>1764</v>
      </c>
      <c r="E832" s="1264"/>
      <c r="F832" s="1264"/>
      <c r="G832" s="3"/>
      <c r="I832" s="490"/>
    </row>
    <row r="833" spans="1:9" ht="12.75" customHeight="1">
      <c r="A833" s="175"/>
      <c r="B833" s="175"/>
      <c r="C833" s="354"/>
      <c r="D833" s="441"/>
      <c r="E833" s="441"/>
      <c r="F833" s="441"/>
      <c r="G833" s="3"/>
      <c r="I833" s="490"/>
    </row>
    <row r="834" spans="1:9" ht="12.75" customHeight="1">
      <c r="A834" s="354"/>
      <c r="B834" s="485" t="s">
        <v>2812</v>
      </c>
      <c r="C834" s="989"/>
      <c r="D834" s="1264" t="s">
        <v>1765</v>
      </c>
      <c r="E834" s="1264"/>
      <c r="F834" s="1264"/>
      <c r="G834" s="3"/>
      <c r="I834" s="490" t="s">
        <v>1879</v>
      </c>
    </row>
    <row r="835" spans="1:9" ht="14.25" customHeight="1">
      <c r="A835" s="13"/>
      <c r="B835" s="13"/>
      <c r="C835" s="989"/>
      <c r="E835" s="1036" t="s">
        <v>1895</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22" t="s">
        <v>2075</v>
      </c>
      <c r="E837" s="1322"/>
      <c r="F837" s="1322"/>
      <c r="G837" s="3"/>
      <c r="I837" s="490"/>
    </row>
    <row r="838" spans="1:9" ht="12.75" hidden="1" customHeight="1">
      <c r="A838" s="13"/>
      <c r="B838" s="13"/>
      <c r="C838" s="989"/>
      <c r="D838" s="1322"/>
      <c r="E838" s="1322"/>
      <c r="F838" s="1322"/>
      <c r="G838" s="3"/>
      <c r="I838" s="490"/>
    </row>
    <row r="839" spans="1:9" ht="12.75" hidden="1" customHeight="1">
      <c r="A839" s="13"/>
      <c r="B839" s="13"/>
      <c r="C839" s="989"/>
      <c r="D839" s="1322"/>
      <c r="E839" s="1322"/>
      <c r="F839" s="1322"/>
      <c r="G839" s="3"/>
      <c r="I839" s="490"/>
    </row>
    <row r="840" spans="1:9" ht="12.75" hidden="1" customHeight="1">
      <c r="A840" s="13"/>
      <c r="B840" s="13"/>
      <c r="C840" s="989"/>
      <c r="D840" s="1322"/>
      <c r="E840" s="1322"/>
      <c r="F840" s="1322"/>
      <c r="G840" s="3"/>
      <c r="I840" s="490"/>
    </row>
    <row r="841" spans="1:9" ht="12.75" hidden="1" customHeight="1">
      <c r="A841" s="13"/>
      <c r="B841" s="13"/>
      <c r="C841" s="989"/>
      <c r="D841" s="1322"/>
      <c r="E841" s="1322"/>
      <c r="F841" s="1322"/>
      <c r="G841" s="3"/>
      <c r="I841" s="490"/>
    </row>
    <row r="842" spans="1:9" ht="12.75" hidden="1" customHeight="1">
      <c r="A842" s="13"/>
      <c r="B842" s="13"/>
      <c r="C842" s="989"/>
      <c r="D842" s="1322"/>
      <c r="E842" s="1322"/>
      <c r="F842" s="1322"/>
      <c r="G842" s="3"/>
      <c r="I842" s="490"/>
    </row>
    <row r="843" spans="1:9" ht="12.75" hidden="1" customHeight="1">
      <c r="A843" s="13"/>
      <c r="B843" s="13"/>
      <c r="C843" s="989"/>
      <c r="D843" s="1322"/>
      <c r="E843" s="1322"/>
      <c r="F843" s="1322"/>
      <c r="G843" s="3"/>
      <c r="I843" s="490"/>
    </row>
    <row r="844" spans="1:9" ht="12.75" hidden="1" customHeight="1">
      <c r="A844" s="13"/>
      <c r="B844" s="13"/>
      <c r="C844" s="989"/>
      <c r="D844" s="1322"/>
      <c r="E844" s="1322"/>
      <c r="F844" s="1322"/>
      <c r="G844" s="3"/>
      <c r="I844" s="490"/>
    </row>
    <row r="845" spans="1:9" ht="12.75" hidden="1" customHeight="1">
      <c r="A845" s="13"/>
      <c r="B845" s="13"/>
      <c r="C845" s="989"/>
      <c r="D845" s="1322"/>
      <c r="E845" s="1322"/>
      <c r="F845" s="1322"/>
      <c r="G845" s="3"/>
      <c r="I845" s="490"/>
    </row>
    <row r="846" spans="1:9" ht="12.75" hidden="1" customHeight="1">
      <c r="A846" s="13"/>
      <c r="B846" s="13"/>
      <c r="C846" s="989"/>
      <c r="D846" s="1322"/>
      <c r="E846" s="1322"/>
      <c r="F846" s="1322"/>
      <c r="G846" s="3"/>
      <c r="I846" s="490"/>
    </row>
    <row r="847" spans="1:9" ht="12.75" hidden="1" customHeight="1">
      <c r="A847" s="13"/>
      <c r="B847" s="13"/>
      <c r="C847" s="989"/>
      <c r="D847" s="991"/>
      <c r="E847" s="3"/>
      <c r="F847" s="3"/>
      <c r="G847" s="3"/>
      <c r="I847" s="490"/>
    </row>
    <row r="848" spans="1:9" ht="12.75" customHeight="1">
      <c r="A848" s="175"/>
      <c r="B848" s="485" t="s">
        <v>2812</v>
      </c>
      <c r="C848" s="989"/>
      <c r="D848" s="1264" t="s">
        <v>1766</v>
      </c>
      <c r="E848" s="1264"/>
      <c r="F848" s="1264"/>
      <c r="G848" s="3"/>
      <c r="I848" s="490" t="s">
        <v>1882</v>
      </c>
    </row>
    <row r="849" spans="1:9" ht="12.75" customHeight="1">
      <c r="A849" s="175"/>
      <c r="B849" s="175"/>
      <c r="C849" s="989"/>
      <c r="D849" s="1264"/>
      <c r="E849" s="1264"/>
      <c r="F849" s="1264"/>
      <c r="G849" s="3"/>
      <c r="I849" s="490"/>
    </row>
    <row r="850" spans="1:9" ht="12.75" customHeight="1">
      <c r="A850" s="175"/>
      <c r="B850" s="175"/>
      <c r="C850" s="989"/>
      <c r="D850" s="1264"/>
      <c r="E850" s="1264"/>
      <c r="F850" s="1264"/>
      <c r="G850" s="3"/>
      <c r="I850" s="490"/>
    </row>
    <row r="851" spans="1:9" ht="12.75" customHeight="1">
      <c r="A851" s="175"/>
      <c r="B851" s="175"/>
      <c r="C851" s="989"/>
      <c r="D851" s="118"/>
      <c r="E851" s="3"/>
      <c r="F851" s="3"/>
      <c r="G851" s="3"/>
      <c r="I851" s="490"/>
    </row>
    <row r="852" spans="1:9" ht="12.75" customHeight="1">
      <c r="A852" s="992"/>
      <c r="B852" s="485" t="s">
        <v>2813</v>
      </c>
      <c r="C852" s="989"/>
      <c r="D852" s="1317" t="s">
        <v>1767</v>
      </c>
      <c r="E852" s="1317"/>
      <c r="F852" s="1317"/>
      <c r="G852" s="3"/>
      <c r="I852" s="490"/>
    </row>
    <row r="853" spans="1:9" ht="12.75" customHeight="1">
      <c r="A853" s="354"/>
      <c r="B853" s="992"/>
      <c r="C853" s="989"/>
      <c r="D853" s="1317"/>
      <c r="E853" s="1317"/>
      <c r="F853" s="1317"/>
      <c r="G853" s="3"/>
      <c r="I853" s="490"/>
    </row>
    <row r="854" spans="1:9" ht="12.75" customHeight="1">
      <c r="A854" s="175"/>
      <c r="B854" s="354"/>
      <c r="C854" s="989"/>
      <c r="D854" s="1264" t="s">
        <v>2068</v>
      </c>
      <c r="E854" s="1264"/>
      <c r="F854" s="1264"/>
      <c r="G854" s="3"/>
      <c r="I854" s="490"/>
    </row>
    <row r="855" spans="1:9" ht="12.75" customHeight="1">
      <c r="A855" s="175"/>
      <c r="B855" s="175"/>
      <c r="C855" s="989"/>
      <c r="D855" s="1264"/>
      <c r="E855" s="1264"/>
      <c r="F855" s="1264"/>
      <c r="G855" s="3"/>
      <c r="I855" s="490"/>
    </row>
    <row r="856" spans="1:9" ht="12.75" customHeight="1">
      <c r="A856" s="175"/>
      <c r="B856" s="175"/>
      <c r="C856" s="989"/>
      <c r="D856" s="1264"/>
      <c r="E856" s="1264"/>
      <c r="F856" s="1264"/>
      <c r="G856" s="3"/>
      <c r="I856" s="490"/>
    </row>
    <row r="857" spans="1:9" ht="12.75" customHeight="1">
      <c r="A857" s="175"/>
      <c r="B857" s="175"/>
      <c r="C857" s="989"/>
      <c r="D857" s="1264"/>
      <c r="E857" s="1264"/>
      <c r="F857" s="1264"/>
      <c r="G857" s="3"/>
      <c r="I857" s="490"/>
    </row>
    <row r="858" spans="1:9" ht="12.75" customHeight="1">
      <c r="A858" s="175"/>
      <c r="B858" s="175"/>
      <c r="C858" s="989"/>
      <c r="D858" s="1264"/>
      <c r="E858" s="1264"/>
      <c r="F858" s="1264"/>
      <c r="G858" s="3"/>
      <c r="I858" s="490"/>
    </row>
    <row r="859" spans="1:9" ht="12.75" customHeight="1">
      <c r="A859" s="175"/>
      <c r="B859" s="175"/>
      <c r="C859" s="989"/>
      <c r="D859" s="1264"/>
      <c r="E859" s="1264"/>
      <c r="F859" s="1264"/>
      <c r="G859" s="3"/>
      <c r="I859" s="490"/>
    </row>
    <row r="860" spans="1:9" ht="12.75" customHeight="1">
      <c r="A860" s="175"/>
      <c r="B860" s="175"/>
      <c r="C860" s="989"/>
      <c r="D860" s="118"/>
      <c r="E860" s="3"/>
      <c r="F860" s="3"/>
      <c r="G860" s="3"/>
      <c r="I860" s="490"/>
    </row>
    <row r="861" spans="1:9" ht="12.75" customHeight="1">
      <c r="A861" s="175"/>
      <c r="B861" s="485" t="s">
        <v>2813</v>
      </c>
      <c r="C861" s="989"/>
      <c r="D861" s="1264" t="s">
        <v>1768</v>
      </c>
      <c r="E861" s="1264"/>
      <c r="F861" s="1264"/>
      <c r="G861" s="3"/>
      <c r="I861" s="490" t="s">
        <v>1880</v>
      </c>
    </row>
    <row r="862" spans="1:9" ht="12.75" customHeight="1">
      <c r="A862" s="175"/>
      <c r="B862" s="175"/>
      <c r="C862" s="989"/>
      <c r="D862" s="1264" t="s">
        <v>1769</v>
      </c>
      <c r="E862" s="1264"/>
      <c r="F862" s="1264"/>
      <c r="G862" s="3"/>
      <c r="I862" s="490"/>
    </row>
    <row r="863" spans="1:9" ht="12.75" customHeight="1">
      <c r="A863" s="175"/>
      <c r="B863" s="175"/>
      <c r="C863" s="989"/>
      <c r="E863" s="1036" t="s">
        <v>1897</v>
      </c>
      <c r="F863" s="1038"/>
      <c r="G863" s="3"/>
      <c r="I863" s="490"/>
    </row>
    <row r="864" spans="1:9" ht="12.75" customHeight="1">
      <c r="A864" s="175"/>
      <c r="B864" s="175"/>
      <c r="C864" s="989"/>
      <c r="D864" s="118"/>
      <c r="E864" s="3"/>
      <c r="F864" s="3"/>
      <c r="G864" s="3"/>
      <c r="I864" s="490"/>
    </row>
    <row r="865" spans="1:9" ht="12.75" customHeight="1">
      <c r="A865" s="175"/>
      <c r="B865" s="485" t="s">
        <v>2813</v>
      </c>
      <c r="C865" s="989"/>
      <c r="D865" s="1264" t="s">
        <v>1770</v>
      </c>
      <c r="E865" s="1264"/>
      <c r="F865" s="1264"/>
      <c r="G865" s="3"/>
      <c r="I865" s="490" t="s">
        <v>1883</v>
      </c>
    </row>
    <row r="866" spans="1:9" ht="12.75" customHeight="1">
      <c r="A866" s="175"/>
      <c r="B866" s="175"/>
      <c r="C866" s="989"/>
      <c r="D866" s="1264"/>
      <c r="E866" s="1264"/>
      <c r="F866" s="1264"/>
      <c r="G866" s="3"/>
      <c r="I866" s="490"/>
    </row>
    <row r="867" spans="1:9" ht="12.75" customHeight="1">
      <c r="A867" s="175"/>
      <c r="B867" s="175"/>
      <c r="C867" s="989"/>
      <c r="D867" s="1264"/>
      <c r="E867" s="1264"/>
      <c r="F867" s="1264"/>
      <c r="G867" s="3"/>
      <c r="I867" s="490"/>
    </row>
    <row r="868" spans="1:9" ht="12.75" customHeight="1">
      <c r="A868" s="175"/>
      <c r="B868" s="175"/>
      <c r="C868" s="989"/>
      <c r="D868" s="1264"/>
      <c r="E868" s="1264"/>
      <c r="F868" s="1264"/>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6" t="s">
        <v>1804</v>
      </c>
      <c r="E872" s="1326"/>
      <c r="F872" s="1326"/>
      <c r="G872" s="988"/>
      <c r="I872" s="490"/>
    </row>
    <row r="873" spans="1:9" ht="12.75" customHeight="1">
      <c r="A873" s="354"/>
      <c r="B873" s="354"/>
      <c r="C873" s="174"/>
      <c r="D873" s="1321" t="s">
        <v>1772</v>
      </c>
      <c r="E873" s="1321"/>
      <c r="F873" s="1321"/>
      <c r="G873" s="988"/>
      <c r="I873" s="490"/>
    </row>
    <row r="874" spans="1:9" ht="12.75" customHeight="1">
      <c r="A874" s="354"/>
      <c r="B874" s="354"/>
      <c r="C874" s="174"/>
      <c r="D874" s="995"/>
      <c r="E874" s="995"/>
      <c r="F874" s="995"/>
      <c r="G874" s="988"/>
      <c r="I874" s="490"/>
    </row>
    <row r="875" spans="1:9" ht="12.75" customHeight="1">
      <c r="A875" s="175"/>
      <c r="B875" s="485" t="s">
        <v>2812</v>
      </c>
      <c r="C875" s="354"/>
      <c r="D875" s="1304" t="s">
        <v>1773</v>
      </c>
      <c r="E875" s="1304"/>
      <c r="F875" s="1304"/>
      <c r="G875" s="988"/>
      <c r="I875" s="490" t="s">
        <v>1880</v>
      </c>
    </row>
    <row r="876" spans="1:9" ht="12.75" customHeight="1">
      <c r="A876" s="354"/>
      <c r="B876" s="354"/>
      <c r="C876" s="354"/>
      <c r="D876" s="2" t="s">
        <v>1748</v>
      </c>
      <c r="E876" s="1036" t="s">
        <v>1897</v>
      </c>
      <c r="F876" s="1039"/>
      <c r="G876" s="988"/>
      <c r="I876" s="490"/>
    </row>
    <row r="877" spans="1:9" ht="12.75" customHeight="1">
      <c r="A877" s="354"/>
      <c r="B877" s="354"/>
      <c r="C877" s="354"/>
      <c r="D877" s="118"/>
      <c r="E877" s="988"/>
      <c r="F877" s="988"/>
      <c r="G877" s="988"/>
      <c r="I877" s="490"/>
    </row>
    <row r="878" spans="1:9" ht="12.75" customHeight="1">
      <c r="A878" s="175"/>
      <c r="B878" s="485" t="s">
        <v>2812</v>
      </c>
      <c r="C878" s="354"/>
      <c r="D878" s="1264" t="s">
        <v>1774</v>
      </c>
      <c r="E878" s="1314"/>
      <c r="F878" s="1314"/>
      <c r="G878" s="3"/>
      <c r="I878" s="490" t="s">
        <v>1883</v>
      </c>
    </row>
    <row r="879" spans="1:9" ht="12.75" customHeight="1">
      <c r="A879" s="354"/>
      <c r="B879" s="354"/>
      <c r="C879" s="354"/>
      <c r="D879" s="1314"/>
      <c r="E879" s="1314"/>
      <c r="F879" s="1314"/>
      <c r="G879" s="3"/>
      <c r="I879" s="490"/>
    </row>
    <row r="880" spans="1:9" ht="12.75" customHeight="1">
      <c r="A880" s="354"/>
      <c r="B880" s="354"/>
      <c r="C880" s="354"/>
      <c r="D880" s="118"/>
      <c r="E880" s="3"/>
      <c r="F880" s="3"/>
      <c r="G880" s="3"/>
      <c r="I880" s="490"/>
    </row>
    <row r="881" spans="1:9" ht="12.75" customHeight="1">
      <c r="A881" s="354"/>
      <c r="B881" s="485" t="s">
        <v>2813</v>
      </c>
      <c r="C881" s="354"/>
      <c r="D881" s="1315" t="s">
        <v>1775</v>
      </c>
      <c r="E881" s="1315"/>
      <c r="F881" s="1315"/>
      <c r="G881" s="988"/>
      <c r="I881" s="490"/>
    </row>
    <row r="882" spans="1:9" ht="12.75" customHeight="1">
      <c r="A882" s="354"/>
      <c r="B882" s="996"/>
      <c r="C882" s="354"/>
      <c r="D882" s="1315"/>
      <c r="E882" s="1315"/>
      <c r="F882" s="1315"/>
      <c r="G882" s="988"/>
      <c r="I882" s="490"/>
    </row>
    <row r="883" spans="1:9" ht="12.75" customHeight="1">
      <c r="A883" s="175"/>
      <c r="B883"/>
      <c r="C883" s="354"/>
      <c r="D883" s="1264" t="s">
        <v>2068</v>
      </c>
      <c r="E883" s="1264"/>
      <c r="F883" s="1264"/>
      <c r="G883" s="988"/>
      <c r="I883" s="490"/>
    </row>
    <row r="884" spans="1:9" ht="12.75" customHeight="1">
      <c r="A884" s="175"/>
      <c r="B884" s="175"/>
      <c r="C884" s="354"/>
      <c r="D884" s="1264"/>
      <c r="E884" s="1264"/>
      <c r="F884" s="1264"/>
      <c r="G884" s="988"/>
      <c r="I884" s="490"/>
    </row>
    <row r="885" spans="1:9" ht="12.75" customHeight="1">
      <c r="A885" s="175"/>
      <c r="B885" s="175"/>
      <c r="C885" s="354"/>
      <c r="D885" s="1264"/>
      <c r="E885" s="1264"/>
      <c r="F885" s="1264"/>
      <c r="G885" s="988"/>
      <c r="I885" s="490"/>
    </row>
    <row r="886" spans="1:9" ht="12.75" customHeight="1">
      <c r="A886" s="175"/>
      <c r="B886" s="175"/>
      <c r="C886" s="354"/>
      <c r="D886" s="1264"/>
      <c r="E886" s="1264"/>
      <c r="F886" s="1264"/>
      <c r="G886" s="988"/>
      <c r="I886" s="490"/>
    </row>
    <row r="887" spans="1:9" ht="12.75" customHeight="1">
      <c r="A887" s="175"/>
      <c r="B887" s="175"/>
      <c r="C887" s="354"/>
      <c r="D887" s="1264"/>
      <c r="E887" s="1264"/>
      <c r="F887" s="1264"/>
      <c r="G887" s="988"/>
      <c r="I887" s="490"/>
    </row>
    <row r="888" spans="1:9" ht="12.75" customHeight="1">
      <c r="A888" s="175"/>
      <c r="B888" s="175"/>
      <c r="C888" s="354"/>
      <c r="D888" s="1264"/>
      <c r="E888" s="1264"/>
      <c r="F888" s="1264"/>
      <c r="G888" s="988"/>
      <c r="I888" s="490"/>
    </row>
    <row r="889" spans="1:9" ht="12.75" customHeight="1">
      <c r="A889" s="175"/>
      <c r="B889" s="175"/>
      <c r="C889" s="354"/>
      <c r="D889" s="118"/>
      <c r="E889" s="988"/>
      <c r="F889" s="988"/>
      <c r="G889" s="988"/>
      <c r="I889" s="490"/>
    </row>
    <row r="890" spans="1:9" ht="12.75" customHeight="1">
      <c r="A890" s="175"/>
      <c r="B890" s="485" t="s">
        <v>2813</v>
      </c>
      <c r="C890" s="354"/>
      <c r="D890" s="1305" t="s">
        <v>1768</v>
      </c>
      <c r="E890" s="1305"/>
      <c r="F890" s="1305"/>
      <c r="G890" s="988"/>
      <c r="I890" s="490"/>
    </row>
    <row r="891" spans="1:9" ht="12.75" customHeight="1">
      <c r="A891" s="175"/>
      <c r="B891" s="175"/>
      <c r="C891" s="354"/>
      <c r="D891" s="1305" t="s">
        <v>1769</v>
      </c>
      <c r="E891" s="1305"/>
      <c r="F891" s="1305"/>
      <c r="G891" s="988"/>
      <c r="I891" s="490"/>
    </row>
    <row r="892" spans="1:9" ht="12.75" customHeight="1">
      <c r="A892" s="175"/>
      <c r="B892" s="175"/>
      <c r="C892" s="354"/>
      <c r="D892" s="2" t="s">
        <v>1270</v>
      </c>
      <c r="E892" s="1036" t="s">
        <v>1897</v>
      </c>
      <c r="F892" s="1040"/>
      <c r="G892" s="988"/>
      <c r="I892" s="490"/>
    </row>
    <row r="893" spans="1:9" ht="12.75" customHeight="1">
      <c r="A893" s="175"/>
      <c r="B893" s="175"/>
      <c r="C893" s="354"/>
      <c r="D893" s="118"/>
      <c r="E893" s="988"/>
      <c r="F893" s="988"/>
      <c r="G893" s="988"/>
      <c r="I893" s="490"/>
    </row>
    <row r="894" spans="1:9" ht="12.75" customHeight="1">
      <c r="A894" s="175"/>
      <c r="B894" s="485" t="s">
        <v>2813</v>
      </c>
      <c r="C894" s="354"/>
      <c r="D894" s="1264" t="s">
        <v>1770</v>
      </c>
      <c r="E894" s="1264"/>
      <c r="F894" s="1264"/>
      <c r="G894" s="988"/>
      <c r="I894" s="490"/>
    </row>
    <row r="895" spans="1:9" ht="12.75" customHeight="1">
      <c r="A895" s="175"/>
      <c r="B895" s="175"/>
      <c r="C895" s="354"/>
      <c r="D895" s="1264"/>
      <c r="E895" s="1264"/>
      <c r="F895" s="1264"/>
      <c r="G895" s="988"/>
      <c r="I895" s="490"/>
    </row>
    <row r="896" spans="1:9" ht="12.75" customHeight="1">
      <c r="A896" s="175"/>
      <c r="B896" s="175"/>
      <c r="C896" s="354"/>
      <c r="D896" s="1264"/>
      <c r="E896" s="1264"/>
      <c r="F896" s="1264"/>
      <c r="G896" s="988"/>
      <c r="I896" s="490"/>
    </row>
    <row r="897" spans="1:9" ht="12.75" customHeight="1">
      <c r="A897" s="175"/>
      <c r="B897" s="175"/>
      <c r="C897" s="354"/>
      <c r="D897" s="1264"/>
      <c r="E897" s="1264"/>
      <c r="F897" s="1264"/>
      <c r="G897" s="988"/>
      <c r="I897" s="490"/>
    </row>
    <row r="898" spans="1:9" ht="12.75" customHeight="1">
      <c r="A898" s="118"/>
      <c r="B898" s="118"/>
      <c r="C898" s="989"/>
      <c r="D898" s="988"/>
      <c r="E898" s="988"/>
      <c r="F898" s="988"/>
      <c r="G898" s="988"/>
      <c r="I898" s="490"/>
    </row>
    <row r="899" spans="1:9" ht="12.75" customHeight="1">
      <c r="A899" s="1313" t="s">
        <v>1805</v>
      </c>
      <c r="B899" s="1313"/>
      <c r="C899" s="1313"/>
      <c r="D899" s="1313"/>
      <c r="E899" s="1313"/>
      <c r="F899" s="1313"/>
      <c r="G899" s="1313"/>
      <c r="H899" s="1028"/>
      <c r="I899" s="1153"/>
    </row>
    <row r="900" spans="1:9" ht="12.75" customHeight="1">
      <c r="A900" s="57"/>
      <c r="B900" s="57"/>
      <c r="C900" s="57"/>
      <c r="D900" s="57"/>
      <c r="E900" s="57"/>
      <c r="F900" s="57"/>
      <c r="G900" s="57"/>
      <c r="I900" s="490"/>
    </row>
    <row r="901" spans="1:9" ht="12.75" customHeight="1">
      <c r="A901" s="57"/>
      <c r="B901" s="57"/>
      <c r="C901" s="57"/>
      <c r="D901" s="1329" t="s">
        <v>1811</v>
      </c>
      <c r="E901" s="1329"/>
      <c r="F901" s="1329"/>
      <c r="G901" s="57"/>
      <c r="I901" s="490"/>
    </row>
    <row r="902" spans="1:9" ht="12.75" customHeight="1">
      <c r="A902" s="57"/>
      <c r="B902" s="57"/>
      <c r="C902" s="57"/>
      <c r="D902" s="981"/>
      <c r="E902" s="981"/>
      <c r="F902" s="981"/>
      <c r="G902" s="57"/>
      <c r="I902" s="490"/>
    </row>
    <row r="903" spans="1:9" ht="12.75" customHeight="1">
      <c r="A903" s="57"/>
      <c r="B903" s="485" t="s">
        <v>2812</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9" t="s">
        <v>1806</v>
      </c>
      <c r="E905" s="1329"/>
      <c r="F905" s="1329"/>
      <c r="G905" s="988"/>
      <c r="I905" s="490"/>
    </row>
    <row r="906" spans="1:9" ht="12.75" customHeight="1">
      <c r="A906" s="172"/>
      <c r="B906" s="172"/>
      <c r="C906" s="172"/>
      <c r="D906" s="1304" t="s">
        <v>1776</v>
      </c>
      <c r="E906" s="1304"/>
      <c r="F906" s="1304"/>
      <c r="G906" s="988"/>
      <c r="I906" s="490"/>
    </row>
    <row r="907" spans="1:9" ht="12.75" customHeight="1">
      <c r="A907" s="989"/>
      <c r="B907" s="989"/>
      <c r="C907" s="989"/>
      <c r="D907" s="2"/>
      <c r="E907" s="988"/>
      <c r="F907" s="988"/>
      <c r="G907" s="988"/>
      <c r="I907" s="490"/>
    </row>
    <row r="908" spans="1:9" ht="12.75" customHeight="1">
      <c r="A908" s="175"/>
      <c r="B908" s="485" t="s">
        <v>2812</v>
      </c>
      <c r="C908" s="354"/>
      <c r="D908" s="1264" t="s">
        <v>1780</v>
      </c>
      <c r="E908" s="1264"/>
      <c r="F908" s="1264"/>
      <c r="G908" s="3"/>
      <c r="I908" s="490"/>
    </row>
    <row r="909" spans="1:9" ht="12.75" customHeight="1">
      <c r="A909" s="354"/>
      <c r="B909" s="354"/>
      <c r="C909" s="354"/>
      <c r="D909" s="1264"/>
      <c r="E909" s="1264"/>
      <c r="F909" s="1264"/>
      <c r="G909" s="3"/>
      <c r="I909" s="490"/>
    </row>
    <row r="910" spans="1:9" ht="12.75" customHeight="1">
      <c r="A910" s="172"/>
      <c r="B910" s="172"/>
      <c r="C910" s="172"/>
      <c r="D910" s="1264" t="s">
        <v>1779</v>
      </c>
      <c r="E910" s="1264"/>
      <c r="F910" s="1264"/>
      <c r="G910" s="988"/>
      <c r="I910" s="490"/>
    </row>
    <row r="911" spans="1:9" ht="12.75" customHeight="1">
      <c r="A911" s="172"/>
      <c r="B911" s="172"/>
      <c r="C911" s="172"/>
      <c r="D911" s="1264"/>
      <c r="E911" s="1264"/>
      <c r="F911" s="1264"/>
      <c r="G911" s="988"/>
      <c r="I911" s="490"/>
    </row>
    <row r="912" spans="1:9" ht="12.75" customHeight="1">
      <c r="A912" s="172"/>
      <c r="B912" s="172"/>
      <c r="C912" s="172"/>
      <c r="D912" s="3"/>
      <c r="E912" s="3"/>
      <c r="F912" s="988"/>
      <c r="G912" s="988"/>
      <c r="I912" s="490"/>
    </row>
    <row r="913" spans="1:9" ht="12.75" customHeight="1">
      <c r="A913" s="175"/>
      <c r="B913" s="485" t="s">
        <v>2812</v>
      </c>
      <c r="C913" s="174"/>
      <c r="D913" s="1268" t="s">
        <v>1777</v>
      </c>
      <c r="E913" s="1268"/>
      <c r="F913" s="1268"/>
      <c r="G913" s="988"/>
      <c r="I913" s="490"/>
    </row>
    <row r="914" spans="1:9" ht="12.75" customHeight="1">
      <c r="A914" s="175"/>
      <c r="B914" s="175"/>
      <c r="C914" s="174"/>
      <c r="D914" s="1268"/>
      <c r="E914" s="1268"/>
      <c r="F914" s="1268"/>
      <c r="G914" s="988"/>
      <c r="I914" s="490"/>
    </row>
    <row r="915" spans="1:9" ht="12.75" customHeight="1">
      <c r="A915" s="175"/>
      <c r="B915" s="175"/>
      <c r="C915" s="174"/>
      <c r="D915" s="1268"/>
      <c r="E915" s="1268"/>
      <c r="F915" s="1268"/>
      <c r="G915" s="988"/>
      <c r="I915" s="490"/>
    </row>
    <row r="916" spans="1:9" ht="12.75" customHeight="1">
      <c r="A916" s="175"/>
      <c r="B916" s="175"/>
      <c r="C916" s="174"/>
      <c r="D916" s="1268"/>
      <c r="E916" s="1268"/>
      <c r="F916" s="1268"/>
      <c r="G916" s="988"/>
      <c r="I916" s="490"/>
    </row>
    <row r="917" spans="1:9" ht="12.75" customHeight="1">
      <c r="A917" s="175"/>
      <c r="B917" s="175"/>
      <c r="C917" s="174"/>
      <c r="D917" s="1268"/>
      <c r="E917" s="1268"/>
      <c r="F917" s="1268"/>
      <c r="G917" s="988"/>
      <c r="I917" s="490"/>
    </row>
    <row r="918" spans="1:9" ht="12.75" customHeight="1">
      <c r="A918" s="174"/>
      <c r="B918" s="174"/>
      <c r="C918" s="174"/>
      <c r="D918" s="1268"/>
      <c r="E918" s="1268"/>
      <c r="F918" s="1268"/>
      <c r="G918" s="988"/>
      <c r="I918" s="490"/>
    </row>
    <row r="919" spans="1:9" ht="12.75" customHeight="1">
      <c r="A919" s="174"/>
      <c r="B919" s="174"/>
      <c r="C919" s="174"/>
      <c r="D919" s="1268"/>
      <c r="E919" s="1268"/>
      <c r="F919" s="1268"/>
      <c r="G919" s="988"/>
      <c r="I919" s="490"/>
    </row>
    <row r="920" spans="1:9" ht="12.75" customHeight="1">
      <c r="A920" s="174"/>
      <c r="B920" s="174"/>
      <c r="C920" s="174"/>
      <c r="D920" s="1268"/>
      <c r="E920" s="1268"/>
      <c r="F920" s="1268"/>
      <c r="G920" s="988"/>
      <c r="I920" s="490"/>
    </row>
    <row r="921" spans="1:9" ht="12.75" customHeight="1">
      <c r="A921" s="174"/>
      <c r="B921" s="174"/>
      <c r="C921" s="174"/>
      <c r="D921" s="335"/>
      <c r="E921" s="335"/>
      <c r="F921" s="335"/>
      <c r="G921" s="988"/>
      <c r="I921" s="490"/>
    </row>
    <row r="922" spans="1:9" ht="12.75" customHeight="1">
      <c r="A922" s="989"/>
      <c r="B922" s="485" t="s">
        <v>2813</v>
      </c>
      <c r="C922" s="989"/>
      <c r="D922" s="1264" t="s">
        <v>1781</v>
      </c>
      <c r="E922" s="1264"/>
      <c r="F922" s="1264"/>
      <c r="G922" s="988"/>
      <c r="I922" s="490"/>
    </row>
    <row r="923" spans="1:9" ht="12.75" customHeight="1">
      <c r="A923" s="989"/>
      <c r="B923" s="989"/>
      <c r="C923" s="989"/>
      <c r="D923" s="1264"/>
      <c r="E923" s="1264"/>
      <c r="F923" s="1264"/>
      <c r="G923" s="988"/>
      <c r="I923" s="490"/>
    </row>
    <row r="924" spans="1:9" ht="12.75" customHeight="1">
      <c r="A924" s="989"/>
      <c r="B924" s="989"/>
      <c r="C924" s="989"/>
      <c r="D924" s="988"/>
      <c r="E924" s="988"/>
      <c r="F924" s="988"/>
      <c r="G924" s="988"/>
      <c r="I924" s="490"/>
    </row>
    <row r="925" spans="1:9" ht="12.75" customHeight="1">
      <c r="A925" s="989"/>
      <c r="B925" s="485" t="s">
        <v>2813</v>
      </c>
      <c r="C925" s="989"/>
      <c r="D925" s="1292" t="s">
        <v>1782</v>
      </c>
      <c r="E925" s="1292"/>
      <c r="F925" s="1292"/>
      <c r="G925" s="988"/>
      <c r="I925" s="490"/>
    </row>
    <row r="926" spans="1:9" ht="12.75" customHeight="1">
      <c r="A926" s="989"/>
      <c r="B926" s="989"/>
      <c r="C926" s="989"/>
      <c r="D926" s="1292"/>
      <c r="E926" s="1292"/>
      <c r="F926" s="1292"/>
      <c r="G926" s="988"/>
      <c r="I926" s="490"/>
    </row>
    <row r="927" spans="1:9" ht="12.75" customHeight="1">
      <c r="A927" s="989"/>
      <c r="B927" s="989"/>
      <c r="C927" s="989"/>
      <c r="D927" s="1292"/>
      <c r="E927" s="1292"/>
      <c r="F927" s="1292"/>
      <c r="G927" s="988"/>
      <c r="I927" s="490"/>
    </row>
    <row r="928" spans="1:9" ht="12.75" customHeight="1">
      <c r="A928" s="989"/>
      <c r="B928" s="989"/>
      <c r="C928" s="989"/>
      <c r="D928" s="1292"/>
      <c r="E928" s="1292"/>
      <c r="F928" s="1292"/>
      <c r="G928" s="988"/>
      <c r="I928" s="490"/>
    </row>
    <row r="929" spans="1:9" ht="12.75" customHeight="1">
      <c r="A929" s="989"/>
      <c r="B929" s="989"/>
      <c r="C929" s="989"/>
      <c r="D929" s="118"/>
      <c r="E929" s="988"/>
      <c r="F929" s="988"/>
      <c r="G929" s="988"/>
      <c r="I929" s="490"/>
    </row>
    <row r="930" spans="1:9" ht="12.75" customHeight="1">
      <c r="A930" s="989"/>
      <c r="B930" s="485" t="s">
        <v>2813</v>
      </c>
      <c r="C930" s="989"/>
      <c r="D930" s="1304" t="s">
        <v>2069</v>
      </c>
      <c r="E930" s="1304"/>
      <c r="F930" s="1304"/>
      <c r="G930" s="988"/>
      <c r="I930" s="490"/>
    </row>
    <row r="931" spans="1:9" ht="12.75" customHeight="1">
      <c r="A931" s="989"/>
      <c r="B931" s="989"/>
      <c r="C931" s="989"/>
      <c r="D931" s="118"/>
      <c r="E931" s="988"/>
      <c r="F931" s="988"/>
      <c r="G931" s="988"/>
      <c r="I931" s="490"/>
    </row>
    <row r="932" spans="1:9" ht="12.75" customHeight="1">
      <c r="A932" s="989"/>
      <c r="B932" s="485" t="s">
        <v>2813</v>
      </c>
      <c r="C932" s="989"/>
      <c r="D932" s="1304" t="s">
        <v>2070</v>
      </c>
      <c r="E932" s="1304"/>
      <c r="F932" s="1304"/>
      <c r="G932" s="988"/>
      <c r="I932" s="490"/>
    </row>
    <row r="933" spans="1:9" ht="12.75" customHeight="1">
      <c r="A933" s="174"/>
      <c r="B933" s="174"/>
      <c r="C933" s="174"/>
      <c r="D933" s="2"/>
      <c r="E933" s="3"/>
      <c r="F933" s="988"/>
      <c r="G933" s="988"/>
      <c r="I933" s="490"/>
    </row>
    <row r="934" spans="1:9" ht="12.75" customHeight="1">
      <c r="A934" s="997"/>
      <c r="B934" s="485" t="s">
        <v>2812</v>
      </c>
      <c r="C934" s="998"/>
      <c r="D934" s="1268" t="s">
        <v>1778</v>
      </c>
      <c r="E934" s="1268"/>
      <c r="F934" s="1268"/>
      <c r="G934" s="999"/>
      <c r="I934" s="490"/>
    </row>
    <row r="935" spans="1:9" ht="12.75" customHeight="1">
      <c r="A935" s="997"/>
      <c r="B935" s="997"/>
      <c r="C935" s="998"/>
      <c r="D935" s="1268"/>
      <c r="E935" s="1268"/>
      <c r="F935" s="1268"/>
      <c r="G935" s="999"/>
      <c r="I935" s="490"/>
    </row>
    <row r="936" spans="1:9" ht="12.75" customHeight="1">
      <c r="A936" s="997"/>
      <c r="B936" s="997"/>
      <c r="C936" s="998"/>
      <c r="D936" s="1268"/>
      <c r="E936" s="1268"/>
      <c r="F936" s="1268"/>
      <c r="G936" s="999"/>
      <c r="I936" s="490"/>
    </row>
    <row r="937" spans="1:9" ht="12.75" customHeight="1">
      <c r="A937" s="997"/>
      <c r="B937" s="997"/>
      <c r="C937" s="998"/>
      <c r="D937" s="1268"/>
      <c r="E937" s="1268"/>
      <c r="F937" s="1268"/>
      <c r="G937" s="999"/>
      <c r="I937" s="490"/>
    </row>
    <row r="938" spans="1:9" ht="12.75" customHeight="1">
      <c r="A938" s="997"/>
      <c r="B938" s="997"/>
      <c r="C938" s="998"/>
      <c r="D938" s="1268"/>
      <c r="E938" s="1268"/>
      <c r="F938" s="1268"/>
      <c r="G938" s="999"/>
      <c r="I938" s="490"/>
    </row>
    <row r="939" spans="1:9" ht="12.75" customHeight="1">
      <c r="A939" s="997"/>
      <c r="B939" s="997"/>
      <c r="C939" s="998"/>
      <c r="D939" s="1268"/>
      <c r="E939" s="1268"/>
      <c r="F939" s="1268"/>
      <c r="G939" s="999"/>
      <c r="I939" s="490"/>
    </row>
    <row r="940" spans="1:9" ht="12.75" customHeight="1">
      <c r="A940" s="997"/>
      <c r="B940" s="997"/>
      <c r="C940" s="998"/>
      <c r="D940" s="1268"/>
      <c r="E940" s="1268"/>
      <c r="F940" s="1268"/>
      <c r="G940" s="999"/>
      <c r="I940" s="490"/>
    </row>
    <row r="941" spans="1:9" ht="12.75" customHeight="1">
      <c r="A941" s="997"/>
      <c r="B941" s="997"/>
      <c r="C941" s="998"/>
      <c r="D941" s="1268"/>
      <c r="E941" s="1268"/>
      <c r="F941" s="1268"/>
      <c r="G941" s="999"/>
      <c r="I941" s="490"/>
    </row>
    <row r="942" spans="1:9" ht="12.75" customHeight="1">
      <c r="A942" s="997"/>
      <c r="B942" s="997"/>
      <c r="C942" s="998"/>
      <c r="D942" s="1268"/>
      <c r="E942" s="1268"/>
      <c r="F942" s="1268"/>
      <c r="G942" s="999"/>
      <c r="I942" s="490"/>
    </row>
    <row r="943" spans="1:9" ht="12.75" customHeight="1">
      <c r="A943" s="174"/>
      <c r="B943" s="174"/>
      <c r="C943" s="174"/>
      <c r="D943" s="2"/>
      <c r="E943" s="3"/>
      <c r="F943" s="988"/>
      <c r="G943" s="988"/>
      <c r="I943" s="490"/>
    </row>
    <row r="944" spans="1:9" ht="12.75" customHeight="1">
      <c r="A944" s="175"/>
      <c r="B944" s="485" t="s">
        <v>2812</v>
      </c>
      <c r="C944" s="174"/>
      <c r="D944" s="1323" t="s">
        <v>1886</v>
      </c>
      <c r="E944" s="1323"/>
      <c r="F944" s="1323"/>
      <c r="G944" s="988"/>
      <c r="I944" s="490"/>
    </row>
    <row r="945" spans="1:9" ht="12.75" customHeight="1">
      <c r="A945" s="175"/>
      <c r="B945" s="175"/>
      <c r="C945" s="174"/>
      <c r="D945" s="1323"/>
      <c r="E945" s="1323"/>
      <c r="F945" s="1323"/>
      <c r="G945" s="988"/>
      <c r="I945" s="490"/>
    </row>
    <row r="946" spans="1:9" ht="12.75" customHeight="1">
      <c r="A946" s="175"/>
      <c r="B946" s="175"/>
      <c r="C946" s="174"/>
      <c r="D946" s="1323"/>
      <c r="E946" s="1323"/>
      <c r="F946" s="1323"/>
      <c r="G946" s="988"/>
      <c r="I946" s="490"/>
    </row>
    <row r="947" spans="1:9" ht="12.75" customHeight="1">
      <c r="A947" s="175"/>
      <c r="B947" s="175"/>
      <c r="C947" s="174"/>
      <c r="D947" s="1323"/>
      <c r="E947" s="1323"/>
      <c r="F947" s="1323"/>
      <c r="G947" s="988"/>
      <c r="I947" s="490"/>
    </row>
    <row r="948" spans="1:9" ht="12.75" customHeight="1">
      <c r="A948" s="175"/>
      <c r="B948" s="175"/>
      <c r="C948" s="174"/>
      <c r="D948" s="1323"/>
      <c r="E948" s="1323"/>
      <c r="F948" s="1323"/>
      <c r="G948" s="988"/>
      <c r="I948" s="490"/>
    </row>
    <row r="949" spans="1:9" ht="12.75" customHeight="1">
      <c r="A949" s="175"/>
      <c r="B949" s="175"/>
      <c r="C949" s="174"/>
      <c r="D949" s="1323"/>
      <c r="E949" s="1323"/>
      <c r="F949" s="1323"/>
      <c r="G949" s="988"/>
      <c r="I949" s="490"/>
    </row>
    <row r="950" spans="1:9" ht="12.75" customHeight="1">
      <c r="A950" s="175"/>
      <c r="B950" s="175"/>
      <c r="C950" s="174"/>
      <c r="D950" s="1323"/>
      <c r="E950" s="1323"/>
      <c r="F950" s="1323"/>
      <c r="G950" s="988"/>
      <c r="I950" s="490"/>
    </row>
    <row r="951" spans="1:9" ht="12.75" customHeight="1">
      <c r="A951" s="175"/>
      <c r="B951" s="175"/>
      <c r="C951" s="174"/>
      <c r="D951" s="1026"/>
      <c r="E951" s="1026"/>
      <c r="F951" s="1026"/>
      <c r="G951" s="988"/>
      <c r="I951" s="490"/>
    </row>
    <row r="952" spans="1:9" ht="12.75" customHeight="1">
      <c r="A952" s="175"/>
      <c r="B952" s="485" t="s">
        <v>2813</v>
      </c>
      <c r="C952" s="174"/>
      <c r="D952" s="1267" t="s">
        <v>2137</v>
      </c>
      <c r="E952" s="1267"/>
      <c r="F952" s="1267"/>
      <c r="G952" s="988"/>
      <c r="I952" s="490"/>
    </row>
    <row r="953" spans="1:9" ht="12.75" customHeight="1">
      <c r="A953" s="175"/>
      <c r="B953" s="175"/>
      <c r="C953" s="174"/>
      <c r="D953" s="1267"/>
      <c r="E953" s="1267"/>
      <c r="F953" s="1267"/>
      <c r="G953" s="988"/>
      <c r="I953" s="490"/>
    </row>
    <row r="954" spans="1:9" ht="12.75" customHeight="1">
      <c r="A954" s="175"/>
      <c r="B954" s="175"/>
      <c r="C954" s="174"/>
      <c r="D954" s="1267"/>
      <c r="E954" s="1267"/>
      <c r="F954" s="1267"/>
      <c r="G954" s="988"/>
      <c r="I954" s="490"/>
    </row>
    <row r="955" spans="1:9" ht="12.75" customHeight="1">
      <c r="A955" s="175"/>
      <c r="B955" s="175"/>
      <c r="C955" s="174"/>
      <c r="D955" s="1267"/>
      <c r="E955" s="1267"/>
      <c r="F955" s="1267"/>
      <c r="G955" s="988"/>
      <c r="I955" s="490"/>
    </row>
    <row r="956" spans="1:9" ht="12.75" customHeight="1">
      <c r="A956" s="175"/>
      <c r="B956" s="175"/>
      <c r="C956" s="174"/>
      <c r="D956" s="1267"/>
      <c r="E956" s="1267"/>
      <c r="F956" s="1267"/>
      <c r="G956" s="988"/>
      <c r="I956" s="490"/>
    </row>
    <row r="957" spans="1:9" ht="12.75" customHeight="1">
      <c r="A957" s="175"/>
      <c r="B957" s="175"/>
      <c r="C957" s="174"/>
      <c r="D957" s="1267"/>
      <c r="E957" s="1267"/>
      <c r="F957" s="1267"/>
      <c r="G957" s="988"/>
      <c r="I957" s="490"/>
    </row>
    <row r="958" spans="1:9" ht="12.75" customHeight="1">
      <c r="A958" s="175"/>
      <c r="B958" s="175"/>
      <c r="C958" s="174"/>
      <c r="D958" s="1026"/>
      <c r="E958" s="1026"/>
      <c r="F958" s="1026"/>
      <c r="G958" s="988"/>
      <c r="I958" s="490"/>
    </row>
    <row r="959" spans="1:9" ht="12.75" customHeight="1">
      <c r="A959" s="989"/>
      <c r="B959" s="485" t="s">
        <v>2813</v>
      </c>
      <c r="C959" s="989"/>
      <c r="D959" s="1292" t="s">
        <v>1783</v>
      </c>
      <c r="E959" s="1292"/>
      <c r="F959" s="1292"/>
      <c r="G959" s="988"/>
      <c r="I959" s="490"/>
    </row>
    <row r="960" spans="1:9" ht="12.75" customHeight="1">
      <c r="A960" s="989"/>
      <c r="B960" s="989"/>
      <c r="C960" s="989"/>
      <c r="D960" s="1292"/>
      <c r="E960" s="1292"/>
      <c r="F960" s="1292"/>
      <c r="G960" s="988"/>
      <c r="I960" s="490"/>
    </row>
    <row r="961" spans="1:9" ht="12.75" customHeight="1">
      <c r="A961" s="989"/>
      <c r="B961" s="989"/>
      <c r="C961" s="989"/>
      <c r="D961" s="1292"/>
      <c r="E961" s="1292"/>
      <c r="F961" s="1292"/>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2813</v>
      </c>
      <c r="C964" s="174"/>
      <c r="D964" s="1268" t="s">
        <v>1885</v>
      </c>
      <c r="E964" s="1268"/>
      <c r="F964" s="1268"/>
      <c r="G964" s="988"/>
      <c r="I964" s="490"/>
    </row>
    <row r="965" spans="1:9" ht="12.75" customHeight="1">
      <c r="A965" s="175"/>
      <c r="B965" s="175"/>
      <c r="C965" s="174"/>
      <c r="D965" s="1268"/>
      <c r="E965" s="1268"/>
      <c r="F965" s="1268"/>
      <c r="G965" s="988"/>
      <c r="I965" s="490"/>
    </row>
    <row r="966" spans="1:9" ht="12.75" customHeight="1">
      <c r="A966" s="175"/>
      <c r="B966" s="175"/>
      <c r="C966" s="174"/>
      <c r="D966" s="1268"/>
      <c r="E966" s="1268"/>
      <c r="F966" s="1268"/>
      <c r="G966" s="988"/>
      <c r="I966" s="490"/>
    </row>
    <row r="967" spans="1:9" ht="12.75" customHeight="1">
      <c r="A967" s="175"/>
      <c r="B967" s="175"/>
      <c r="C967" s="174"/>
      <c r="D967" s="1268"/>
      <c r="E967" s="1268"/>
      <c r="F967" s="1268"/>
      <c r="G967" s="988"/>
      <c r="I967" s="490"/>
    </row>
    <row r="968" spans="1:9" ht="12.75" customHeight="1">
      <c r="A968" s="989"/>
      <c r="B968" s="989"/>
      <c r="C968" s="989"/>
      <c r="D968" s="980"/>
      <c r="E968" s="980"/>
      <c r="F968" s="980"/>
      <c r="G968" s="980"/>
      <c r="I968" s="490"/>
    </row>
    <row r="969" spans="1:9" ht="12.75" customHeight="1">
      <c r="A969" s="354"/>
      <c r="B969" s="354"/>
      <c r="C969" s="354"/>
      <c r="D969" s="1326" t="s">
        <v>1784</v>
      </c>
      <c r="E969" s="1326"/>
      <c r="F969" s="1326"/>
      <c r="G969" s="3"/>
      <c r="I969" s="490"/>
    </row>
    <row r="970" spans="1:9" ht="12.75" customHeight="1">
      <c r="A970" s="175"/>
      <c r="B970" s="485" t="s">
        <v>2813</v>
      </c>
      <c r="C970" s="354"/>
      <c r="D970" s="1304" t="s">
        <v>1807</v>
      </c>
      <c r="E970" s="1304"/>
      <c r="F970" s="1304"/>
      <c r="G970" s="3"/>
      <c r="I970" s="490"/>
    </row>
    <row r="971" spans="1:9" ht="12.75" customHeight="1">
      <c r="A971" s="354"/>
      <c r="B971" s="354"/>
      <c r="C971" s="354"/>
      <c r="D971" s="3"/>
      <c r="E971" s="3"/>
      <c r="F971" s="3"/>
      <c r="G971" s="3"/>
      <c r="I971" s="490"/>
    </row>
    <row r="972" spans="1:9" ht="12.75" customHeight="1">
      <c r="A972" s="354"/>
      <c r="B972" s="354"/>
      <c r="C972" s="354"/>
      <c r="D972" s="1326" t="s">
        <v>1785</v>
      </c>
      <c r="E972" s="1326"/>
      <c r="F972" s="1326"/>
      <c r="G972"/>
      <c r="I972" s="490"/>
    </row>
    <row r="973" spans="1:9" ht="12.75" customHeight="1">
      <c r="A973" s="175"/>
      <c r="B973" s="485" t="s">
        <v>2812</v>
      </c>
      <c r="C973" s="354"/>
      <c r="D973" s="1264" t="s">
        <v>2071</v>
      </c>
      <c r="E973" s="1264"/>
      <c r="F973" s="1264"/>
      <c r="G973"/>
      <c r="I973" s="490"/>
    </row>
    <row r="974" spans="1:9" ht="12.75" customHeight="1">
      <c r="A974" s="175"/>
      <c r="B974" s="175"/>
      <c r="C974" s="354"/>
      <c r="D974" s="1264"/>
      <c r="E974" s="1264"/>
      <c r="F974" s="1264"/>
      <c r="G974"/>
      <c r="I974" s="490"/>
    </row>
    <row r="975" spans="1:9" ht="12.75" customHeight="1">
      <c r="A975" s="175"/>
      <c r="B975" s="175"/>
      <c r="C975" s="354"/>
      <c r="D975" s="1264"/>
      <c r="E975" s="1264"/>
      <c r="F975" s="1264"/>
      <c r="G975"/>
      <c r="I975" s="490"/>
    </row>
    <row r="976" spans="1:9" ht="12.75" customHeight="1">
      <c r="A976" s="175"/>
      <c r="B976" s="175"/>
      <c r="C976" s="354"/>
      <c r="D976" s="1264"/>
      <c r="E976" s="1264"/>
      <c r="F976" s="1264"/>
      <c r="G976"/>
      <c r="I976" s="490"/>
    </row>
    <row r="977" spans="1:9" ht="12.75" customHeight="1">
      <c r="A977" s="175"/>
      <c r="B977" s="175"/>
      <c r="C977" s="354"/>
      <c r="D977" s="1264"/>
      <c r="E977" s="1264"/>
      <c r="F977" s="1264"/>
      <c r="G977"/>
      <c r="I977" s="490"/>
    </row>
    <row r="978" spans="1:9" ht="12.75" customHeight="1">
      <c r="A978" s="175"/>
      <c r="B978" s="175"/>
      <c r="C978" s="354"/>
      <c r="D978" s="1264"/>
      <c r="E978" s="1264"/>
      <c r="F978" s="1264"/>
      <c r="G978"/>
      <c r="I978" s="490"/>
    </row>
    <row r="979" spans="1:9" ht="12.75" customHeight="1">
      <c r="A979" s="175"/>
      <c r="B979" s="175"/>
      <c r="C979" s="354"/>
      <c r="D979" s="1264"/>
      <c r="E979" s="1264"/>
      <c r="F979" s="1264"/>
      <c r="G979"/>
      <c r="I979" s="490"/>
    </row>
    <row r="980" spans="1:9" ht="12.75" customHeight="1">
      <c r="A980" s="175"/>
      <c r="B980" s="175"/>
      <c r="C980" s="354"/>
      <c r="D980" s="1264"/>
      <c r="E980" s="1264"/>
      <c r="F980" s="1264"/>
      <c r="G980"/>
      <c r="I980" s="490"/>
    </row>
    <row r="981" spans="1:9" ht="12.75" customHeight="1">
      <c r="A981" s="175"/>
      <c r="B981" s="175"/>
      <c r="C981" s="354"/>
      <c r="D981" s="1264"/>
      <c r="E981" s="1264"/>
      <c r="F981" s="1264"/>
      <c r="G981"/>
      <c r="I981" s="490"/>
    </row>
    <row r="982" spans="1:9" ht="12.75" customHeight="1">
      <c r="A982" s="175"/>
      <c r="B982" s="175"/>
      <c r="C982" s="354"/>
      <c r="D982" s="1264"/>
      <c r="E982" s="1264"/>
      <c r="F982" s="1264"/>
      <c r="G982"/>
      <c r="I982" s="490"/>
    </row>
    <row r="983" spans="1:9" ht="12.75" customHeight="1">
      <c r="A983" s="175"/>
      <c r="B983" s="175"/>
      <c r="C983" s="354"/>
      <c r="D983" s="1264"/>
      <c r="E983" s="1264"/>
      <c r="F983" s="1264"/>
      <c r="G983"/>
      <c r="I983" s="490"/>
    </row>
    <row r="984" spans="1:9" ht="12.75" customHeight="1">
      <c r="A984" s="175"/>
      <c r="B984" s="175"/>
      <c r="C984" s="354"/>
      <c r="D984" s="1264"/>
      <c r="E984" s="1264"/>
      <c r="F984" s="1264"/>
      <c r="G984"/>
      <c r="I984" s="490"/>
    </row>
    <row r="985" spans="1:9" ht="12.75" customHeight="1">
      <c r="A985" s="175"/>
      <c r="B985" s="175"/>
      <c r="C985" s="354"/>
      <c r="D985" s="1264"/>
      <c r="E985" s="1264"/>
      <c r="F985" s="1264"/>
      <c r="G985"/>
      <c r="I985" s="490"/>
    </row>
    <row r="986" spans="1:9" ht="12.75" customHeight="1">
      <c r="A986" s="175"/>
      <c r="B986" s="175"/>
      <c r="C986" s="354"/>
      <c r="D986" s="1264"/>
      <c r="E986" s="1264"/>
      <c r="F986" s="1264"/>
      <c r="G986"/>
      <c r="I986" s="490"/>
    </row>
    <row r="987" spans="1:9" ht="12.75" customHeight="1">
      <c r="A987" s="175"/>
      <c r="B987" s="175"/>
      <c r="C987" s="354"/>
      <c r="D987" s="1264"/>
      <c r="E987" s="1264"/>
      <c r="F987" s="1264"/>
      <c r="G987" s="3"/>
      <c r="I987" s="490"/>
    </row>
    <row r="988" spans="1:9" ht="12.75" customHeight="1">
      <c r="A988" s="354"/>
      <c r="B988" s="354"/>
      <c r="C988" s="354"/>
      <c r="D988" s="3"/>
      <c r="E988" s="3"/>
      <c r="F988" s="3"/>
      <c r="G988" s="3"/>
      <c r="I988" s="490"/>
    </row>
    <row r="989" spans="1:9" ht="12.75" customHeight="1">
      <c r="A989" s="1313" t="s">
        <v>1786</v>
      </c>
      <c r="B989" s="1313"/>
      <c r="C989" s="1313"/>
      <c r="D989" s="1313"/>
      <c r="E989" s="1313"/>
      <c r="F989" s="1313"/>
      <c r="G989" s="1313"/>
      <c r="H989" s="1028"/>
      <c r="I989" s="1153"/>
    </row>
    <row r="990" spans="1:9" ht="12.75" customHeight="1">
      <c r="A990" s="118"/>
      <c r="B990" s="118"/>
      <c r="C990" s="354"/>
      <c r="D990" s="3"/>
      <c r="E990" s="3"/>
      <c r="F990" s="3"/>
      <c r="G990" s="3"/>
      <c r="I990" s="490"/>
    </row>
    <row r="991" spans="1:9" ht="12.75" customHeight="1">
      <c r="A991" s="354"/>
      <c r="B991" s="354"/>
      <c r="C991" s="989"/>
      <c r="D991" s="1326" t="s">
        <v>1808</v>
      </c>
      <c r="E991" s="1326"/>
      <c r="F991" s="1326"/>
      <c r="G991" s="3"/>
      <c r="I991" s="490"/>
    </row>
    <row r="992" spans="1:9" ht="12.75" customHeight="1">
      <c r="A992" s="172"/>
      <c r="B992" s="172"/>
      <c r="C992" s="172"/>
      <c r="D992" s="1304" t="s">
        <v>1787</v>
      </c>
      <c r="E992" s="1304"/>
      <c r="F992" s="1304"/>
      <c r="G992" s="3"/>
      <c r="I992" s="490"/>
    </row>
    <row r="993" spans="1:9" ht="12.75" customHeight="1">
      <c r="A993" s="172"/>
      <c r="B993" s="172"/>
      <c r="C993" s="172"/>
      <c r="D993" s="3"/>
      <c r="E993" s="3"/>
      <c r="F993" s="988"/>
      <c r="G993"/>
      <c r="I993" s="490"/>
    </row>
    <row r="994" spans="1:9" ht="12.75" customHeight="1">
      <c r="A994" s="354"/>
      <c r="B994" s="485" t="s">
        <v>2812</v>
      </c>
      <c r="C994" s="354"/>
      <c r="D994" s="1328" t="s">
        <v>1915</v>
      </c>
      <c r="E994" s="1328"/>
      <c r="F994" s="1328"/>
      <c r="G994"/>
      <c r="I994" s="490"/>
    </row>
    <row r="995" spans="1:9" ht="12.75" customHeight="1">
      <c r="A995" s="354"/>
      <c r="B995" s="354"/>
      <c r="C995" s="354"/>
      <c r="D995" s="1328"/>
      <c r="E995" s="1328"/>
      <c r="F995" s="1328"/>
      <c r="G995"/>
      <c r="I995" s="490"/>
    </row>
    <row r="996" spans="1:9" ht="12.75" customHeight="1">
      <c r="A996" s="354"/>
      <c r="B996" s="354"/>
      <c r="C996" s="354"/>
      <c r="D996" s="1038"/>
      <c r="E996" s="1036" t="s">
        <v>1916</v>
      </c>
      <c r="F996" s="1038"/>
      <c r="G996"/>
      <c r="I996" s="490"/>
    </row>
    <row r="997" spans="1:9" ht="12.75" customHeight="1">
      <c r="A997" s="354"/>
      <c r="B997" s="354"/>
      <c r="C997" s="354"/>
      <c r="D997" s="1270" t="s">
        <v>1914</v>
      </c>
      <c r="E997" s="1270"/>
      <c r="F997" s="1270"/>
      <c r="G997"/>
      <c r="I997" s="490"/>
    </row>
    <row r="998" spans="1:9" ht="12.75" customHeight="1">
      <c r="A998" s="354"/>
      <c r="B998" s="354"/>
      <c r="C998" s="354"/>
      <c r="D998" s="1270"/>
      <c r="E998" s="1270"/>
      <c r="F998" s="1270"/>
      <c r="G998"/>
      <c r="I998" s="490"/>
    </row>
    <row r="999" spans="1:9" ht="12.75" customHeight="1">
      <c r="A999" s="174"/>
      <c r="B999" s="174"/>
      <c r="C999" s="174"/>
      <c r="D999" s="1270"/>
      <c r="E999" s="1270"/>
      <c r="F999" s="1270"/>
      <c r="G999"/>
      <c r="I999" s="490"/>
    </row>
    <row r="1000" spans="1:9" ht="12.75" customHeight="1">
      <c r="A1000" s="174"/>
      <c r="B1000" s="174"/>
      <c r="C1000" s="174"/>
      <c r="D1000" s="1270"/>
      <c r="E1000" s="1270"/>
      <c r="F1000" s="1270"/>
      <c r="G1000"/>
      <c r="I1000" s="490"/>
    </row>
    <row r="1001" spans="1:9" ht="12.75" customHeight="1">
      <c r="A1001" s="174"/>
      <c r="B1001" s="174"/>
      <c r="C1001" s="174"/>
      <c r="D1001" s="335"/>
      <c r="E1001" s="335"/>
      <c r="F1001" s="335"/>
      <c r="G1001"/>
      <c r="I1001" s="490"/>
    </row>
    <row r="1002" spans="1:9" ht="12.75" customHeight="1">
      <c r="A1002" s="174"/>
      <c r="B1002" s="485" t="s">
        <v>2813</v>
      </c>
      <c r="C1002" s="174"/>
      <c r="D1002" s="1264" t="s">
        <v>1788</v>
      </c>
      <c r="E1002" s="1264"/>
      <c r="F1002" s="1264"/>
      <c r="G1002"/>
      <c r="I1002" s="490"/>
    </row>
    <row r="1003" spans="1:9" ht="12.75" customHeight="1">
      <c r="A1003" s="174"/>
      <c r="B1003" s="174"/>
      <c r="C1003" s="174"/>
      <c r="D1003" s="1264"/>
      <c r="E1003" s="1264"/>
      <c r="F1003" s="1264"/>
      <c r="G1003"/>
      <c r="I1003" s="490"/>
    </row>
    <row r="1004" spans="1:9" ht="12.75" customHeight="1">
      <c r="A1004" s="174"/>
      <c r="B1004" s="174"/>
      <c r="C1004" s="174"/>
      <c r="D1004" s="1264"/>
      <c r="E1004" s="1264"/>
      <c r="F1004" s="1264"/>
      <c r="G1004"/>
      <c r="I1004" s="490"/>
    </row>
    <row r="1005" spans="1:9" ht="12.75" customHeight="1">
      <c r="A1005" s="174"/>
      <c r="B1005" s="174"/>
      <c r="C1005" s="174"/>
      <c r="D1005" s="1264"/>
      <c r="E1005" s="1264"/>
      <c r="F1005" s="1264"/>
      <c r="G1005"/>
      <c r="I1005" s="490"/>
    </row>
    <row r="1006" spans="1:9" ht="12.75" customHeight="1">
      <c r="A1006" s="174"/>
      <c r="B1006" s="174"/>
      <c r="C1006" s="174"/>
      <c r="D1006" s="441"/>
      <c r="E1006" s="441"/>
      <c r="F1006" s="441"/>
      <c r="G1006"/>
      <c r="I1006" s="490"/>
    </row>
    <row r="1007" spans="1:9" ht="12.75" customHeight="1">
      <c r="A1007" s="174"/>
      <c r="B1007" s="485" t="s">
        <v>2813</v>
      </c>
      <c r="C1007" s="174"/>
      <c r="D1007" s="1264" t="s">
        <v>2229</v>
      </c>
      <c r="E1007" s="1264"/>
      <c r="F1007" s="1264"/>
      <c r="G1007"/>
      <c r="I1007" s="490"/>
    </row>
    <row r="1008" spans="1:9" ht="12.75" customHeight="1">
      <c r="A1008" s="174"/>
      <c r="B1008" s="174"/>
      <c r="C1008" s="174"/>
      <c r="D1008" s="1264"/>
      <c r="E1008" s="1264"/>
      <c r="F1008" s="1264"/>
      <c r="G1008"/>
      <c r="I1008" s="490"/>
    </row>
    <row r="1009" spans="1:9" ht="12.75" customHeight="1">
      <c r="A1009" s="174"/>
      <c r="B1009" s="174"/>
      <c r="C1009" s="174"/>
      <c r="D1009" s="441"/>
      <c r="E1009" s="441"/>
      <c r="F1009" s="441"/>
      <c r="G1009"/>
      <c r="I1009" s="490"/>
    </row>
    <row r="1010" spans="1:9" ht="12.75" customHeight="1">
      <c r="A1010" s="175"/>
      <c r="B1010" s="485" t="s">
        <v>2813</v>
      </c>
      <c r="C1010" s="354"/>
      <c r="D1010" s="1304" t="s">
        <v>1789</v>
      </c>
      <c r="E1010" s="1304"/>
      <c r="F1010" s="1304"/>
      <c r="G1010"/>
      <c r="I1010" s="490"/>
    </row>
    <row r="1011" spans="1:9" ht="12.75" customHeight="1">
      <c r="A1011" s="354"/>
      <c r="B1011" s="354"/>
      <c r="C1011" s="354"/>
      <c r="D1011" s="3"/>
      <c r="E1011" s="3"/>
      <c r="F1011" s="3"/>
      <c r="G1011"/>
      <c r="I1011" s="490"/>
    </row>
    <row r="1012" spans="1:9" ht="12.75" customHeight="1">
      <c r="A1012" s="175"/>
      <c r="B1012" s="485" t="s">
        <v>2813</v>
      </c>
      <c r="C1012" s="354"/>
      <c r="D1012" s="1304" t="s">
        <v>1790</v>
      </c>
      <c r="E1012" s="1304"/>
      <c r="F1012" s="1304"/>
      <c r="G1012"/>
      <c r="I1012" s="490"/>
    </row>
    <row r="1013" spans="1:9" ht="12.75" customHeight="1">
      <c r="A1013" s="354"/>
      <c r="B1013" s="354"/>
      <c r="C1013" s="354"/>
      <c r="D1013" s="118"/>
      <c r="E1013" s="3"/>
      <c r="F1013" s="3"/>
      <c r="G1013"/>
      <c r="I1013" s="490"/>
    </row>
    <row r="1014" spans="1:9" ht="12.75" customHeight="1">
      <c r="A1014" s="175"/>
      <c r="B1014" s="485" t="s">
        <v>2812</v>
      </c>
      <c r="C1014" s="354"/>
      <c r="D1014" s="1304" t="s">
        <v>1791</v>
      </c>
      <c r="E1014" s="1304"/>
      <c r="F1014" s="1304"/>
      <c r="G1014"/>
      <c r="I1014" s="490"/>
    </row>
    <row r="1015" spans="1:9" ht="12.75" customHeight="1">
      <c r="A1015" s="354"/>
      <c r="B1015" s="354"/>
      <c r="C1015" s="354"/>
      <c r="D1015" s="118"/>
      <c r="E1015" s="3"/>
      <c r="F1015" s="3"/>
      <c r="G1015"/>
      <c r="I1015" s="490"/>
    </row>
    <row r="1016" spans="1:9" ht="12.75" customHeight="1">
      <c r="A1016" s="175"/>
      <c r="B1016" s="485" t="s">
        <v>2812</v>
      </c>
      <c r="C1016" s="354"/>
      <c r="D1016" s="1264" t="s">
        <v>1792</v>
      </c>
      <c r="E1016" s="1264"/>
      <c r="F1016" s="1264"/>
      <c r="G1016"/>
      <c r="I1016" s="490"/>
    </row>
    <row r="1017" spans="1:9" ht="12.75" customHeight="1">
      <c r="A1017" s="175"/>
      <c r="B1017" s="175"/>
      <c r="C1017" s="354"/>
      <c r="D1017" s="1264"/>
      <c r="E1017" s="1264"/>
      <c r="F1017" s="1264"/>
      <c r="G1017"/>
      <c r="I1017" s="490"/>
    </row>
    <row r="1018" spans="1:9" ht="12.75" customHeight="1">
      <c r="A1018" s="175"/>
      <c r="B1018" s="175"/>
      <c r="C1018" s="354"/>
      <c r="D1018" s="118"/>
      <c r="E1018" s="3"/>
      <c r="F1018" s="3"/>
      <c r="G1018" s="3"/>
      <c r="I1018" s="490"/>
    </row>
    <row r="1019" spans="1:9" ht="12.75" customHeight="1">
      <c r="A1019" s="254"/>
      <c r="B1019" s="485" t="s">
        <v>2813</v>
      </c>
      <c r="C1019" s="1000"/>
      <c r="D1019" s="1320" t="s">
        <v>1793</v>
      </c>
      <c r="E1019" s="1320"/>
      <c r="F1019" s="1320"/>
      <c r="G1019" s="1001"/>
      <c r="I1019" s="490"/>
    </row>
    <row r="1020" spans="1:9" ht="12.75" customHeight="1">
      <c r="A1020" s="1000"/>
      <c r="B1020" s="1000"/>
      <c r="C1020" s="1000"/>
      <c r="D1020" s="1320"/>
      <c r="E1020" s="1320"/>
      <c r="F1020" s="1320"/>
      <c r="G1020" s="1001"/>
      <c r="I1020" s="490"/>
    </row>
    <row r="1021" spans="1:9" ht="12.75" customHeight="1">
      <c r="A1021" s="1000"/>
      <c r="B1021" s="1000"/>
      <c r="C1021" s="1000"/>
      <c r="D1021" s="984"/>
      <c r="E1021" s="1001"/>
      <c r="F1021" s="1001"/>
      <c r="G1021" s="1001"/>
      <c r="I1021" s="490"/>
    </row>
    <row r="1022" spans="1:9" ht="12.75" customHeight="1">
      <c r="A1022" s="254"/>
      <c r="B1022" s="485" t="s">
        <v>2812</v>
      </c>
      <c r="C1022" s="1000"/>
      <c r="D1022" s="1327" t="s">
        <v>1794</v>
      </c>
      <c r="E1022" s="1327"/>
      <c r="F1022" s="1327"/>
      <c r="G1022" s="1001"/>
      <c r="I1022" s="490"/>
    </row>
    <row r="1023" spans="1:9" ht="12.75" customHeight="1">
      <c r="A1023" s="1000"/>
      <c r="B1023" s="1000"/>
      <c r="C1023" s="1000"/>
      <c r="D1023" s="984"/>
      <c r="E1023" s="1001"/>
      <c r="F1023" s="1001"/>
      <c r="G1023" s="1001"/>
      <c r="I1023" s="490"/>
    </row>
    <row r="1024" spans="1:9" ht="12.75" customHeight="1">
      <c r="A1024" s="175"/>
      <c r="B1024" s="485" t="s">
        <v>2813</v>
      </c>
      <c r="C1024" s="354"/>
      <c r="D1024" s="1304" t="s">
        <v>1795</v>
      </c>
      <c r="E1024" s="1304"/>
      <c r="F1024" s="1304"/>
      <c r="G1024" s="3"/>
      <c r="I1024" s="490"/>
    </row>
    <row r="1025" spans="1:9" ht="12.75" customHeight="1">
      <c r="A1025" s="175"/>
      <c r="B1025" s="175"/>
      <c r="C1025" s="354"/>
      <c r="D1025" s="118"/>
      <c r="E1025" s="3"/>
      <c r="F1025" s="3"/>
      <c r="G1025" s="3"/>
      <c r="I1025" s="490"/>
    </row>
    <row r="1026" spans="1:9" ht="12.75" customHeight="1">
      <c r="A1026" s="175"/>
      <c r="B1026" s="485" t="s">
        <v>2813</v>
      </c>
      <c r="C1026" s="354"/>
      <c r="D1026" s="1264" t="s">
        <v>1796</v>
      </c>
      <c r="E1026" s="1264"/>
      <c r="F1026" s="1264"/>
      <c r="G1026" s="3"/>
      <c r="I1026" s="490"/>
    </row>
    <row r="1027" spans="1:9" ht="12.75" customHeight="1">
      <c r="A1027" s="175"/>
      <c r="B1027" s="175"/>
      <c r="C1027" s="354"/>
      <c r="D1027" s="1264"/>
      <c r="E1027" s="1264"/>
      <c r="F1027" s="1264"/>
      <c r="G1027" s="3"/>
      <c r="I1027" s="490"/>
    </row>
    <row r="1028" spans="1:9" ht="12.75" customHeight="1">
      <c r="A1028" s="354"/>
      <c r="B1028" s="354"/>
      <c r="C1028" s="354"/>
      <c r="D1028" s="3"/>
      <c r="E1028" s="3"/>
      <c r="F1028" s="3"/>
      <c r="G1028" s="3"/>
      <c r="I1028" s="490"/>
    </row>
    <row r="1029" spans="1:9" ht="12.75" customHeight="1">
      <c r="A1029" s="1313" t="s">
        <v>1797</v>
      </c>
      <c r="B1029" s="1313"/>
      <c r="C1029" s="1313"/>
      <c r="D1029" s="1313"/>
      <c r="E1029" s="1313"/>
      <c r="F1029" s="1313"/>
      <c r="G1029" s="1313"/>
      <c r="H1029" s="1028"/>
      <c r="I1029" s="1153"/>
    </row>
    <row r="1030" spans="1:9" ht="12.75" customHeight="1">
      <c r="A1030" s="354"/>
      <c r="B1030" s="354"/>
      <c r="C1030" s="354"/>
      <c r="D1030" s="3"/>
      <c r="E1030" s="3"/>
      <c r="F1030" s="3"/>
      <c r="G1030" s="3"/>
      <c r="I1030" s="490"/>
    </row>
    <row r="1031" spans="1:9" ht="12.75" customHeight="1">
      <c r="A1031" s="354"/>
      <c r="B1031" s="354"/>
      <c r="C1031" s="354"/>
      <c r="D1031" s="1329" t="s">
        <v>1798</v>
      </c>
      <c r="E1031" s="1329"/>
      <c r="F1031" s="1329"/>
      <c r="G1031" s="3"/>
      <c r="I1031" s="490"/>
    </row>
    <row r="1032" spans="1:9" ht="12.75" customHeight="1">
      <c r="A1032" s="354"/>
      <c r="B1032" s="354"/>
      <c r="C1032" s="354"/>
      <c r="D1032" s="1327" t="s">
        <v>1799</v>
      </c>
      <c r="E1032" s="1327"/>
      <c r="F1032" s="1327"/>
      <c r="G1032" s="3"/>
      <c r="I1032" s="490"/>
    </row>
    <row r="1033" spans="1:9" ht="12.75" customHeight="1">
      <c r="A1033" s="172"/>
      <c r="B1033" s="172"/>
      <c r="C1033" s="172"/>
      <c r="D1033" s="3"/>
      <c r="E1033" s="3"/>
      <c r="F1033" s="3"/>
      <c r="G1033" s="3"/>
      <c r="I1033" s="490"/>
    </row>
    <row r="1034" spans="1:9" ht="12.75" customHeight="1">
      <c r="A1034" s="175"/>
      <c r="B1034" s="175"/>
      <c r="C1034" s="174"/>
      <c r="D1034" s="1329" t="s">
        <v>1813</v>
      </c>
      <c r="E1034" s="1329"/>
      <c r="F1034" s="1329"/>
      <c r="G1034" s="3"/>
      <c r="I1034" s="490"/>
    </row>
    <row r="1035" spans="1:9" ht="12.75" customHeight="1">
      <c r="A1035" s="354"/>
      <c r="B1035" s="485" t="s">
        <v>2812</v>
      </c>
      <c r="C1035" s="354"/>
      <c r="D1035" s="1327" t="s">
        <v>1271</v>
      </c>
      <c r="E1035" s="1327"/>
      <c r="F1035" s="1327"/>
      <c r="G1035" s="3"/>
      <c r="I1035" s="490"/>
    </row>
    <row r="1036" spans="1:9" ht="12.75" customHeight="1">
      <c r="A1036" s="354"/>
      <c r="B1036" s="175"/>
      <c r="C1036" s="354"/>
      <c r="D1036" s="1327" t="s">
        <v>1800</v>
      </c>
      <c r="E1036" s="1327"/>
      <c r="F1036" s="1327"/>
      <c r="G1036" s="3"/>
      <c r="I1036" s="490"/>
    </row>
    <row r="1037" spans="1:9" ht="12.75" customHeight="1">
      <c r="A1037" s="354"/>
      <c r="B1037" s="354"/>
      <c r="C1037" s="354"/>
      <c r="D1037" s="1327"/>
      <c r="E1037" s="1327"/>
      <c r="F1037" s="1327"/>
      <c r="G1037" s="3"/>
      <c r="I1037" s="490"/>
    </row>
    <row r="1038" spans="1:9" ht="12.75" customHeight="1">
      <c r="A1038" s="1313" t="s">
        <v>1809</v>
      </c>
      <c r="B1038" s="1313"/>
      <c r="C1038" s="1313"/>
      <c r="D1038" s="1313"/>
      <c r="E1038" s="1313"/>
      <c r="F1038" s="1313"/>
      <c r="G1038" s="1313"/>
      <c r="H1038" s="1028"/>
      <c r="I1038" s="1153"/>
    </row>
    <row r="1039" spans="1:9" ht="12.75" customHeight="1">
      <c r="A1039" s="118"/>
      <c r="B1039" s="118"/>
      <c r="C1039" s="354"/>
      <c r="D1039" s="3"/>
      <c r="E1039" s="3"/>
      <c r="F1039" s="3"/>
      <c r="G1039" s="3"/>
      <c r="I1039" s="490"/>
    </row>
    <row r="1040" spans="1:9" ht="12.75" hidden="1" customHeight="1">
      <c r="A1040" s="118"/>
      <c r="B1040" s="402"/>
      <c r="D1040" s="1334" t="s">
        <v>1272</v>
      </c>
      <c r="E1040" s="1334"/>
      <c r="F1040" s="1334"/>
      <c r="G1040" s="3"/>
      <c r="I1040" s="490"/>
    </row>
    <row r="1041" spans="1:9" ht="12.75" hidden="1" customHeight="1">
      <c r="A1041" s="118"/>
      <c r="B1041" s="485" t="s">
        <v>306</v>
      </c>
      <c r="D1041" s="1296" t="s">
        <v>1271</v>
      </c>
      <c r="E1041" s="1296"/>
      <c r="F1041" s="1296"/>
      <c r="G1041" s="3"/>
      <c r="I1041" s="490"/>
    </row>
    <row r="1042" spans="1:9" ht="12.75" hidden="1" customHeight="1">
      <c r="A1042" s="118"/>
      <c r="B1042" s="402"/>
      <c r="D1042" s="1296" t="s">
        <v>1810</v>
      </c>
      <c r="E1042" s="1296"/>
      <c r="F1042" s="1296"/>
      <c r="G1042" s="3"/>
      <c r="I1042" s="490"/>
    </row>
    <row r="1043" spans="1:9" ht="12.75" hidden="1" customHeight="1">
      <c r="A1043" s="118"/>
      <c r="B1043" s="402"/>
      <c r="D1043" s="444"/>
      <c r="E1043" s="444"/>
      <c r="F1043" s="444"/>
      <c r="G1043" s="3"/>
      <c r="I1043" s="490"/>
    </row>
    <row r="1044" spans="1:9" ht="12.75" customHeight="1">
      <c r="A1044" s="118"/>
      <c r="B1044" s="118"/>
      <c r="C1044" s="354"/>
      <c r="D1044" s="1335" t="s">
        <v>1066</v>
      </c>
      <c r="E1044" s="1335"/>
      <c r="F1044" s="1335"/>
      <c r="G1044" s="3"/>
      <c r="I1044" s="490"/>
    </row>
    <row r="1045" spans="1:9" ht="12.75" customHeight="1">
      <c r="A1045" s="319"/>
      <c r="B1045" s="319"/>
      <c r="C1045" s="319"/>
      <c r="D1045" s="1305" t="s">
        <v>2247</v>
      </c>
      <c r="E1045" s="1305"/>
      <c r="F1045" s="1305"/>
      <c r="G1045" s="98"/>
      <c r="I1045" s="490"/>
    </row>
    <row r="1046" spans="1:9" ht="12.75" customHeight="1">
      <c r="A1046" s="175"/>
      <c r="B1046" s="485" t="s">
        <v>2813</v>
      </c>
      <c r="C1046" s="354"/>
      <c r="D1046" s="1305" t="s">
        <v>985</v>
      </c>
      <c r="E1046" s="1305"/>
      <c r="F1046" s="1305"/>
      <c r="G1046" s="3"/>
      <c r="I1046" s="490"/>
    </row>
    <row r="1047" spans="1:9" ht="12.75" customHeight="1">
      <c r="A1047" s="354"/>
      <c r="B1047" s="354"/>
      <c r="C1047" s="354"/>
      <c r="D1047" s="1036" t="s">
        <v>1917</v>
      </c>
      <c r="E1047" s="96"/>
      <c r="F1047" s="96"/>
      <c r="G1047" s="3"/>
      <c r="I1047" s="490"/>
    </row>
    <row r="1048" spans="1:9">
      <c r="A1048" s="402"/>
      <c r="B1048" s="402"/>
      <c r="C1048" s="402"/>
      <c r="I1048" s="490"/>
    </row>
    <row r="1049" spans="1:9">
      <c r="A1049" s="1313" t="s">
        <v>1830</v>
      </c>
      <c r="B1049" s="1313"/>
      <c r="C1049" s="1313"/>
      <c r="D1049" s="1313"/>
      <c r="E1049" s="1313"/>
      <c r="F1049" s="1313"/>
      <c r="G1049" s="1313"/>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2813</v>
      </c>
      <c r="C1054" s="402"/>
      <c r="D1054" s="1331" t="s">
        <v>1814</v>
      </c>
      <c r="E1054" s="1331"/>
      <c r="F1054" s="1331"/>
      <c r="I1054" s="490"/>
    </row>
    <row r="1055" spans="1:9">
      <c r="A1055" s="402"/>
      <c r="B1055" s="402"/>
      <c r="C1055" s="402"/>
      <c r="D1055" s="1331"/>
      <c r="E1055" s="1331"/>
      <c r="F1055" s="1331"/>
      <c r="I1055" s="490"/>
    </row>
    <row r="1056" spans="1:9">
      <c r="A1056" s="402"/>
      <c r="B1056" s="402"/>
      <c r="C1056" s="402"/>
      <c r="D1056" s="1331"/>
      <c r="E1056" s="1331"/>
      <c r="F1056" s="1331"/>
      <c r="I1056" s="490"/>
    </row>
    <row r="1057" spans="1:9">
      <c r="A1057" s="402"/>
      <c r="B1057" s="402"/>
      <c r="C1057" s="402"/>
      <c r="D1057" s="1331"/>
      <c r="E1057" s="1331"/>
      <c r="F1057" s="1331"/>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2812</v>
      </c>
      <c r="C1062" s="402"/>
      <c r="D1062" s="402" t="s">
        <v>1812</v>
      </c>
      <c r="I1062" s="490"/>
    </row>
    <row r="1063" spans="1:9">
      <c r="A1063" s="402"/>
      <c r="B1063" s="402"/>
      <c r="C1063" s="402"/>
      <c r="I1063" s="490"/>
    </row>
    <row r="1064" spans="1:9">
      <c r="A1064" s="402"/>
      <c r="B1064" s="485" t="s">
        <v>2812</v>
      </c>
      <c r="C1064" s="402"/>
      <c r="D1064" s="1331" t="s">
        <v>1818</v>
      </c>
      <c r="E1064" s="1331"/>
      <c r="F1064" s="1331"/>
      <c r="I1064" s="490"/>
    </row>
    <row r="1065" spans="1:9">
      <c r="A1065" s="402"/>
      <c r="B1065" s="402"/>
      <c r="C1065" s="402"/>
      <c r="D1065" s="1331"/>
      <c r="E1065" s="1331"/>
      <c r="F1065" s="1331"/>
      <c r="I1065" s="490"/>
    </row>
    <row r="1066" spans="1:9">
      <c r="A1066" s="402"/>
      <c r="B1066" s="402"/>
      <c r="C1066" s="402"/>
      <c r="D1066" s="1331"/>
      <c r="E1066" s="1331"/>
      <c r="F1066" s="1331"/>
      <c r="I1066" s="490"/>
    </row>
    <row r="1067" spans="1:9">
      <c r="A1067" s="402"/>
      <c r="B1067" s="402"/>
      <c r="C1067" s="402"/>
      <c r="D1067" s="1331"/>
      <c r="E1067" s="1331"/>
      <c r="F1067" s="1331"/>
      <c r="I1067" s="490"/>
    </row>
    <row r="1068" spans="1:9">
      <c r="A1068" s="402"/>
      <c r="B1068" s="402"/>
      <c r="C1068" s="402"/>
      <c r="D1068" s="1331"/>
      <c r="E1068" s="1331"/>
      <c r="F1068" s="1331"/>
      <c r="I1068" s="490"/>
    </row>
    <row r="1069" spans="1:9">
      <c r="A1069" s="402"/>
      <c r="B1069" s="402"/>
      <c r="C1069" s="402"/>
      <c r="I1069" s="490"/>
    </row>
    <row r="1070" spans="1:9">
      <c r="A1070" s="1313" t="s">
        <v>1819</v>
      </c>
      <c r="B1070" s="1313"/>
      <c r="C1070" s="1313"/>
      <c r="D1070" s="1313"/>
      <c r="E1070" s="1313"/>
      <c r="F1070" s="1313"/>
      <c r="G1070" s="1313"/>
      <c r="H1070" s="1028"/>
      <c r="I1070" s="1153"/>
    </row>
    <row r="1071" spans="1:9">
      <c r="A1071" s="402"/>
      <c r="B1071" s="402"/>
      <c r="C1071" s="402"/>
      <c r="I1071" s="490"/>
    </row>
    <row r="1072" spans="1:9">
      <c r="A1072" s="402"/>
      <c r="B1072" s="402"/>
      <c r="C1072" s="402"/>
      <c r="I1072" s="490"/>
    </row>
    <row r="1073" spans="1:9">
      <c r="A1073" s="402"/>
      <c r="B1073" s="485" t="s">
        <v>2812</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2813</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2813</v>
      </c>
      <c r="C1079" s="402"/>
      <c r="D1079" s="119" t="s">
        <v>1828</v>
      </c>
      <c r="I1079" s="490"/>
    </row>
    <row r="1080" spans="1:9">
      <c r="A1080" s="402"/>
      <c r="B1080" s="402"/>
      <c r="C1080" s="402"/>
      <c r="D1080" s="1264" t="s">
        <v>1829</v>
      </c>
      <c r="E1080" s="1264"/>
      <c r="F1080" s="1264"/>
      <c r="I1080" s="490"/>
    </row>
    <row r="1081" spans="1:9">
      <c r="A1081" s="402"/>
      <c r="B1081" s="402"/>
      <c r="C1081" s="402"/>
      <c r="D1081" s="1264"/>
      <c r="E1081" s="1264"/>
      <c r="F1081" s="1264"/>
      <c r="I1081" s="490"/>
    </row>
    <row r="1082" spans="1:9">
      <c r="A1082" s="402"/>
      <c r="B1082" s="402"/>
      <c r="C1082" s="402"/>
      <c r="D1082" s="1264"/>
      <c r="E1082" s="1264"/>
      <c r="F1082" s="1264"/>
      <c r="I1082" s="490"/>
    </row>
    <row r="1083" spans="1:9">
      <c r="A1083" s="402"/>
      <c r="B1083" s="402"/>
      <c r="C1083" s="402"/>
      <c r="D1083" s="1264"/>
      <c r="E1083" s="1264"/>
      <c r="F1083" s="1264"/>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2813</v>
      </c>
      <c r="C1087" s="402"/>
      <c r="D1087" s="1330" t="s">
        <v>1821</v>
      </c>
      <c r="E1087" s="1330"/>
      <c r="F1087" s="1330"/>
      <c r="I1087" s="490"/>
    </row>
    <row r="1088" spans="1:9">
      <c r="A1088" s="402"/>
      <c r="B1088" s="402"/>
      <c r="C1088" s="402"/>
      <c r="D1088" s="1330"/>
      <c r="E1088" s="1330"/>
      <c r="F1088" s="1330"/>
      <c r="I1088" s="490"/>
    </row>
    <row r="1089" spans="1:9">
      <c r="A1089" s="402"/>
      <c r="B1089" s="402"/>
      <c r="C1089" s="402"/>
      <c r="D1089" s="1330"/>
      <c r="E1089" s="1330"/>
      <c r="F1089" s="1330"/>
      <c r="I1089" s="490"/>
    </row>
    <row r="1090" spans="1:9">
      <c r="A1090" s="402"/>
      <c r="B1090" s="402"/>
      <c r="C1090" s="402"/>
      <c r="D1090" s="1330"/>
      <c r="E1090" s="1330"/>
      <c r="F1090" s="1330"/>
      <c r="I1090" s="490"/>
    </row>
    <row r="1091" spans="1:9">
      <c r="A1091" s="402"/>
      <c r="B1091" s="402"/>
      <c r="C1091" s="402"/>
      <c r="D1091" s="1330"/>
      <c r="E1091" s="1330"/>
      <c r="F1091" s="1330"/>
      <c r="I1091" s="490"/>
    </row>
    <row r="1092" spans="1:9">
      <c r="A1092" s="402"/>
      <c r="B1092" s="402"/>
      <c r="C1092" s="402"/>
      <c r="D1092" s="527" t="s">
        <v>1826</v>
      </c>
      <c r="I1092" s="490"/>
    </row>
    <row r="1093" spans="1:9">
      <c r="A1093" s="402"/>
      <c r="B1093" s="402"/>
      <c r="C1093" s="402"/>
      <c r="I1093" s="490"/>
    </row>
    <row r="1094" spans="1:9">
      <c r="A1094" s="402"/>
      <c r="B1094" s="485" t="s">
        <v>2813</v>
      </c>
      <c r="C1094" s="402"/>
      <c r="D1094" s="1280" t="s">
        <v>2280</v>
      </c>
      <c r="E1094" s="1280"/>
      <c r="F1094" s="1280"/>
      <c r="I1094" s="490"/>
    </row>
    <row r="1095" spans="1:9">
      <c r="A1095" s="402"/>
      <c r="B1095" s="402"/>
      <c r="C1095" s="402"/>
      <c r="D1095" s="1280"/>
      <c r="E1095" s="1280"/>
      <c r="F1095" s="1280"/>
      <c r="I1095" s="490"/>
    </row>
    <row r="1096" spans="1:9">
      <c r="A1096" s="402"/>
      <c r="B1096" s="402"/>
      <c r="C1096" s="402"/>
      <c r="D1096" s="1280"/>
      <c r="E1096" s="1280"/>
      <c r="F1096" s="1280"/>
      <c r="I1096" s="490"/>
    </row>
    <row r="1097" spans="1:9">
      <c r="A1097" s="402"/>
      <c r="B1097" s="402"/>
      <c r="C1097" s="402"/>
      <c r="I1097" s="490"/>
    </row>
    <row r="1098" spans="1:9">
      <c r="A1098" s="1313" t="s">
        <v>1831</v>
      </c>
      <c r="B1098" s="1313"/>
      <c r="C1098" s="1313"/>
      <c r="D1098" s="1313"/>
      <c r="E1098" s="1313"/>
      <c r="F1098" s="1313"/>
      <c r="G1098" s="1313"/>
      <c r="H1098" s="1028"/>
      <c r="I1098" s="1153"/>
    </row>
    <row r="1099" spans="1:9">
      <c r="A1099" s="402"/>
      <c r="B1099" s="402"/>
      <c r="C1099" s="402"/>
      <c r="I1099" s="490"/>
    </row>
    <row r="1100" spans="1:9">
      <c r="A1100" s="402"/>
      <c r="B1100" s="402"/>
      <c r="C1100" s="402"/>
      <c r="I1100" s="490"/>
    </row>
    <row r="1101" spans="1:9" ht="12.75" customHeight="1">
      <c r="A1101" s="402"/>
      <c r="B1101" s="485" t="s">
        <v>2813</v>
      </c>
      <c r="C1101" s="402"/>
      <c r="D1101" s="1332" t="s">
        <v>1929</v>
      </c>
      <c r="E1101" s="1332"/>
      <c r="F1101" s="1332"/>
      <c r="I1101" s="490"/>
    </row>
    <row r="1102" spans="1:9">
      <c r="A1102" s="402"/>
      <c r="B1102" s="402"/>
      <c r="C1102" s="402"/>
      <c r="D1102" s="1332"/>
      <c r="E1102" s="1332"/>
      <c r="F1102" s="1332"/>
      <c r="I1102" s="490"/>
    </row>
    <row r="1103" spans="1:9">
      <c r="A1103" s="402"/>
      <c r="B1103" s="402"/>
      <c r="C1103" s="402"/>
      <c r="D1103" s="1333" t="s">
        <v>2143</v>
      </c>
      <c r="E1103" s="1264"/>
      <c r="F1103" s="1264"/>
      <c r="I1103" s="490"/>
    </row>
    <row r="1104" spans="1:9">
      <c r="A1104" s="402"/>
      <c r="B1104" s="402"/>
      <c r="C1104" s="402"/>
      <c r="D1104" s="527"/>
      <c r="I1104" s="490"/>
    </row>
    <row r="1105" spans="1:9">
      <c r="A1105" s="402"/>
      <c r="B1105" s="485" t="s">
        <v>2813</v>
      </c>
      <c r="C1105" s="402"/>
      <c r="D1105" s="1330" t="s">
        <v>1832</v>
      </c>
      <c r="E1105" s="1330"/>
      <c r="F1105" s="1330"/>
      <c r="I1105" s="490"/>
    </row>
    <row r="1106" spans="1:9">
      <c r="A1106" s="402"/>
      <c r="B1106" s="402"/>
      <c r="C1106" s="402"/>
      <c r="D1106" s="1330"/>
      <c r="E1106" s="1330"/>
      <c r="F1106" s="1330"/>
      <c r="I1106" s="490"/>
    </row>
    <row r="1107" spans="1:9">
      <c r="A1107" s="402"/>
      <c r="B1107" s="402"/>
      <c r="C1107" s="402"/>
      <c r="D1107" s="527"/>
      <c r="I1107" s="490"/>
    </row>
    <row r="1108" spans="1:9">
      <c r="A1108" s="402"/>
      <c r="B1108" s="485" t="s">
        <v>2813</v>
      </c>
      <c r="C1108" s="402"/>
      <c r="D1108" s="1330" t="s">
        <v>1887</v>
      </c>
      <c r="E1108" s="1330"/>
      <c r="F1108" s="1330"/>
      <c r="I1108" s="490"/>
    </row>
    <row r="1109" spans="1:9">
      <c r="A1109" s="402"/>
      <c r="B1109" s="402"/>
      <c r="C1109" s="402"/>
      <c r="D1109" s="1330"/>
      <c r="E1109" s="1330"/>
      <c r="F1109" s="1330"/>
      <c r="I1109" s="490"/>
    </row>
    <row r="1110" spans="1:9">
      <c r="A1110" s="402"/>
      <c r="B1110" s="402"/>
      <c r="C1110" s="402"/>
      <c r="D1110" s="1330"/>
      <c r="E1110" s="1330"/>
      <c r="F1110" s="1330"/>
      <c r="I1110" s="490"/>
    </row>
    <row r="1111" spans="1:9">
      <c r="A1111" s="402"/>
      <c r="B1111" s="402"/>
      <c r="C1111" s="402"/>
      <c r="D1111" s="1330"/>
      <c r="E1111" s="1330"/>
      <c r="F1111" s="1330"/>
      <c r="I1111" s="490"/>
    </row>
    <row r="1112" spans="1:9">
      <c r="A1112" s="402"/>
      <c r="B1112" s="402"/>
      <c r="C1112" s="402"/>
      <c r="D1112" s="1330"/>
      <c r="E1112" s="1330"/>
      <c r="F1112" s="1330"/>
      <c r="I1112" s="490"/>
    </row>
    <row r="1113" spans="1:9">
      <c r="A1113" s="402"/>
      <c r="B1113" s="402"/>
      <c r="C1113" s="402"/>
      <c r="D1113" s="1330"/>
      <c r="E1113" s="1330"/>
      <c r="F1113" s="1330"/>
      <c r="I1113" s="490"/>
    </row>
    <row r="1114" spans="1:9">
      <c r="A1114" s="402"/>
      <c r="B1114" s="402"/>
      <c r="C1114" s="402"/>
      <c r="D1114" s="527"/>
      <c r="I1114" s="480"/>
    </row>
    <row r="1115" spans="1:9">
      <c r="A1115" s="402"/>
      <c r="B1115" s="485" t="s">
        <v>2813</v>
      </c>
      <c r="C1115" s="402"/>
      <c r="D1115" s="1330" t="s">
        <v>1833</v>
      </c>
      <c r="E1115" s="1330"/>
      <c r="F1115" s="1330"/>
      <c r="I1115" s="490"/>
    </row>
    <row r="1116" spans="1:9">
      <c r="A1116" s="402"/>
      <c r="B1116" s="402"/>
      <c r="C1116" s="402"/>
      <c r="D1116" s="1330"/>
      <c r="E1116" s="1330"/>
      <c r="F1116" s="1330"/>
      <c r="I1116" s="490"/>
    </row>
    <row r="1117" spans="1:9">
      <c r="A1117" s="402"/>
      <c r="B1117" s="402"/>
      <c r="C1117" s="402"/>
      <c r="D1117" s="1330"/>
      <c r="E1117" s="1330"/>
      <c r="F1117" s="1330"/>
      <c r="I1117" s="490"/>
    </row>
    <row r="1118" spans="1:9">
      <c r="A1118" s="402"/>
      <c r="B1118" s="402"/>
      <c r="C1118" s="402"/>
      <c r="D1118" s="527"/>
      <c r="I1118" s="490"/>
    </row>
    <row r="1119" spans="1:9">
      <c r="A1119" s="402"/>
      <c r="B1119" s="485" t="s">
        <v>2812</v>
      </c>
      <c r="C1119" s="402"/>
      <c r="D1119" s="1270" t="s">
        <v>1888</v>
      </c>
      <c r="E1119" s="1270"/>
      <c r="F1119" s="1270"/>
      <c r="I1119" s="490"/>
    </row>
    <row r="1120" spans="1:9">
      <c r="A1120" s="402"/>
      <c r="B1120" s="402"/>
      <c r="C1120" s="402"/>
      <c r="D1120" s="1270"/>
      <c r="E1120" s="1270"/>
      <c r="F1120" s="1270"/>
      <c r="I1120" s="490"/>
    </row>
    <row r="1121" spans="1:9">
      <c r="A1121" s="402"/>
      <c r="B1121" s="402"/>
      <c r="C1121" s="402"/>
      <c r="D1121" s="1270"/>
      <c r="E1121" s="1270"/>
      <c r="F1121" s="1270"/>
      <c r="I1121" s="490"/>
    </row>
    <row r="1122" spans="1:9">
      <c r="A1122" s="402"/>
      <c r="B1122" s="402"/>
      <c r="C1122" s="402"/>
      <c r="D1122" s="980"/>
      <c r="E1122" s="980"/>
      <c r="F1122" s="980"/>
      <c r="I1122" s="490"/>
    </row>
    <row r="1123" spans="1:9" ht="15.75" customHeight="1">
      <c r="A1123" s="402"/>
      <c r="B1123" s="485" t="s">
        <v>2813</v>
      </c>
      <c r="C1123" s="402"/>
      <c r="D1123" s="1264" t="s">
        <v>1889</v>
      </c>
      <c r="E1123" s="1264"/>
      <c r="F1123" s="1264"/>
      <c r="I1123" s="490"/>
    </row>
    <row r="1124" spans="1:9">
      <c r="A1124" s="402"/>
      <c r="B1124" s="402"/>
      <c r="C1124" s="402"/>
      <c r="D1124" s="1264"/>
      <c r="E1124" s="1264"/>
      <c r="F1124" s="1264"/>
      <c r="I1124" s="490"/>
    </row>
    <row r="1125" spans="1:9">
      <c r="A1125" s="402"/>
      <c r="B1125" s="402"/>
      <c r="C1125" s="402"/>
      <c r="D1125" s="1264"/>
      <c r="E1125" s="1264"/>
      <c r="F1125" s="1264"/>
      <c r="I1125" s="490"/>
    </row>
    <row r="1126" spans="1:9">
      <c r="A1126" s="402"/>
      <c r="B1126" s="402"/>
      <c r="C1126" s="402"/>
      <c r="D1126" s="1264"/>
      <c r="E1126" s="1264"/>
      <c r="F1126" s="1264"/>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5"/>
      <c r="H1541" s="1295"/>
      <c r="I1541" s="1295"/>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97" zoomScale="115" zoomScaleNormal="115" workbookViewId="0">
      <selection activeCell="AC109" sqref="AC109"/>
    </sheetView>
  </sheetViews>
  <sheetFormatPr baseColWidth="10" defaultColWidth="0" defaultRowHeight="0" customHeight="1" zeroHeight="1"/>
  <cols>
    <col min="1" max="46" width="2.6640625" customWidth="1"/>
    <col min="47" max="47" width="2.6640625" hidden="1" customWidth="1"/>
    <col min="48" max="50" width="3.6640625" hidden="1" customWidth="1"/>
    <col min="51" max="51" width="4.6640625" hidden="1" customWidth="1"/>
    <col min="52" max="52" width="8.5" hidden="1" customWidth="1"/>
    <col min="53" max="53" width="7.5" hidden="1" customWidth="1"/>
    <col min="54" max="55" width="3.6640625" hidden="1" customWidth="1"/>
    <col min="56" max="56" width="8.33203125" hidden="1" customWidth="1"/>
    <col min="57" max="57" width="8.5" hidden="1" customWidth="1"/>
    <col min="58" max="58" width="8.1640625" hidden="1" customWidth="1"/>
    <col min="59" max="59" width="11.1640625" hidden="1" customWidth="1"/>
    <col min="60" max="60" width="3.6640625" hidden="1" customWidth="1"/>
    <col min="61" max="61" width="8.33203125" hidden="1" customWidth="1"/>
    <col min="62" max="16384" width="3.6640625" hidden="1"/>
  </cols>
  <sheetData>
    <row r="1" spans="1:58" ht="13" customHeight="1">
      <c r="J1" s="100"/>
      <c r="AS1" s="1031">
        <v>4</v>
      </c>
      <c r="BD1" s="3" t="s">
        <v>2492</v>
      </c>
      <c r="BE1" s="3"/>
      <c r="BF1" s="3"/>
    </row>
    <row r="2" spans="1:58" ht="13" customHeight="1">
      <c r="BD2" s="3" t="s">
        <v>2493</v>
      </c>
      <c r="BE2" s="3" t="s">
        <v>2494</v>
      </c>
      <c r="BF2" s="3" t="s">
        <v>2495</v>
      </c>
    </row>
    <row r="3" spans="1:58" ht="13" customHeight="1">
      <c r="BD3" s="3" t="s">
        <v>2590</v>
      </c>
      <c r="BE3" t="str">
        <f>AC220</f>
        <v>Bay Area ((Alameda, Contra Costa, Marin, San Francisco, San Mateo, Santa Clara, and Santa Cruz Counties)</v>
      </c>
    </row>
    <row r="4" spans="1:58" ht="13" customHeight="1">
      <c r="BD4" s="3" t="s">
        <v>2502</v>
      </c>
      <c r="BE4" s="1246"/>
    </row>
    <row r="5" spans="1:58" ht="13" customHeight="1">
      <c r="BD5" s="3" t="s">
        <v>2503</v>
      </c>
      <c r="BE5">
        <f>SUMIF($AC$718:$AC$752,"&lt;=20%",$G$718:G$752)</f>
        <v>0</v>
      </c>
      <c r="BF5" s="3" t="s">
        <v>2508</v>
      </c>
    </row>
    <row r="6" spans="1:58" ht="13" customHeight="1">
      <c r="BD6" s="3" t="s">
        <v>2504</v>
      </c>
      <c r="BE6" s="1249">
        <f>SUMIF($AC$718:$AC$752,"&lt;=25%",$G$718:G$752)-SUM($BE$5:BE5)</f>
        <v>0</v>
      </c>
    </row>
    <row r="7" spans="1:58" ht="13" customHeight="1">
      <c r="BD7" s="1247" t="s">
        <v>2496</v>
      </c>
      <c r="BE7" s="1249">
        <f>SUMIF($AC$718:$AC$752,"&lt;=30%",$G$718:G$752)-SUM($BE$5:BE6)</f>
        <v>14</v>
      </c>
    </row>
    <row r="8" spans="1:58" ht="26.25" customHeight="1">
      <c r="A8" s="1823" t="s">
        <v>100</v>
      </c>
      <c r="B8" s="1823"/>
      <c r="C8" s="1823"/>
      <c r="D8" s="1823"/>
      <c r="E8" s="1823"/>
      <c r="F8" s="1823"/>
      <c r="G8" s="1823"/>
      <c r="H8" s="1823"/>
      <c r="I8" s="1823"/>
      <c r="J8" s="1823"/>
      <c r="K8" s="1823"/>
      <c r="L8" s="1823"/>
      <c r="M8" s="1823"/>
      <c r="N8" s="1823"/>
      <c r="O8" s="1823"/>
      <c r="P8" s="1823"/>
      <c r="Q8" s="1823"/>
      <c r="R8" s="1823"/>
      <c r="S8" s="1823"/>
      <c r="T8" s="1823"/>
      <c r="U8" s="1823"/>
      <c r="V8" s="1823"/>
      <c r="W8" s="1823"/>
      <c r="X8" s="1823"/>
      <c r="Y8" s="1823"/>
      <c r="Z8" s="1823"/>
      <c r="AA8" s="1823"/>
      <c r="AB8" s="1823"/>
      <c r="AC8" s="1823"/>
      <c r="AD8" s="1823"/>
      <c r="AE8" s="1823"/>
      <c r="AF8" s="1823"/>
      <c r="AG8" s="1823"/>
      <c r="AH8" s="1823"/>
      <c r="AI8" s="1823"/>
      <c r="AJ8" s="1823"/>
      <c r="AK8" s="1823"/>
      <c r="AL8" s="1823"/>
      <c r="AM8" s="1823"/>
      <c r="AN8" s="1823"/>
      <c r="AO8" s="1823"/>
      <c r="AP8" s="1823"/>
      <c r="AQ8" s="1823"/>
      <c r="AR8" s="1823"/>
      <c r="AS8" s="1823"/>
      <c r="AT8" s="1823"/>
      <c r="AU8" s="898"/>
      <c r="AV8" s="898"/>
      <c r="AW8" s="898"/>
      <c r="AX8" s="898"/>
      <c r="AY8" s="898"/>
      <c r="BD8" s="3" t="s">
        <v>2505</v>
      </c>
      <c r="BE8" s="1249">
        <f>SUMIF($AC$718:$AC$752,"&lt;=35%",$G$718:G$752)-SUM($BE$5:BE7)</f>
        <v>0</v>
      </c>
    </row>
    <row r="9" spans="1:58" ht="13" customHeight="1">
      <c r="A9" s="1824" t="s">
        <v>2076</v>
      </c>
      <c r="B9" s="1824"/>
      <c r="C9" s="1824"/>
      <c r="D9" s="1824"/>
      <c r="E9" s="1824"/>
      <c r="F9" s="1824"/>
      <c r="G9" s="1824"/>
      <c r="H9" s="1824"/>
      <c r="I9" s="1824"/>
      <c r="J9" s="1824"/>
      <c r="K9" s="1824"/>
      <c r="L9" s="1824"/>
      <c r="M9" s="1824"/>
      <c r="N9" s="1824"/>
      <c r="O9" s="1824"/>
      <c r="P9" s="1824"/>
      <c r="Q9" s="1824"/>
      <c r="R9" s="1824"/>
      <c r="S9" s="1824"/>
      <c r="T9" s="1824"/>
      <c r="U9" s="1824"/>
      <c r="V9" s="1824"/>
      <c r="W9" s="1824"/>
      <c r="X9" s="1824"/>
      <c r="Y9" s="1824"/>
      <c r="Z9" s="1824"/>
      <c r="AA9" s="1824"/>
      <c r="AB9" s="1824"/>
      <c r="AC9" s="1824"/>
      <c r="AD9" s="1824"/>
      <c r="AE9" s="1824"/>
      <c r="AF9" s="1824"/>
      <c r="AG9" s="1824"/>
      <c r="AH9" s="1824"/>
      <c r="AI9" s="1824"/>
      <c r="AJ9" s="1824"/>
      <c r="AK9" s="1824"/>
      <c r="AL9" s="1824"/>
      <c r="AM9" s="1824"/>
      <c r="AN9" s="1824"/>
      <c r="AO9" s="1824"/>
      <c r="AP9" s="1824"/>
      <c r="AQ9" s="1824"/>
      <c r="AR9" s="1824"/>
      <c r="AS9" s="1824"/>
      <c r="AT9" s="1824"/>
      <c r="AU9" s="13"/>
      <c r="AV9" s="13"/>
      <c r="AW9" s="13"/>
      <c r="AX9" s="13"/>
      <c r="AY9" s="13"/>
      <c r="BD9" s="1248" t="s">
        <v>2497</v>
      </c>
      <c r="BE9" s="1249">
        <f>SUMIF($AC$718:$AC$752,"&lt;=40%",$G$718:G$752)-SUM($BE$5:BE8)</f>
        <v>0</v>
      </c>
    </row>
    <row r="10" spans="1:58" ht="13" customHeight="1">
      <c r="A10" s="1824" t="s">
        <v>2454</v>
      </c>
      <c r="B10" s="1824"/>
      <c r="C10" s="1824"/>
      <c r="D10" s="1824"/>
      <c r="E10" s="1824"/>
      <c r="F10" s="1824"/>
      <c r="G10" s="1824"/>
      <c r="H10" s="1824"/>
      <c r="I10" s="1824"/>
      <c r="J10" s="1824"/>
      <c r="K10" s="1824"/>
      <c r="L10" s="1824"/>
      <c r="M10" s="1824"/>
      <c r="N10" s="1824"/>
      <c r="O10" s="1824"/>
      <c r="P10" s="1824"/>
      <c r="Q10" s="1824"/>
      <c r="R10" s="1824"/>
      <c r="S10" s="1824"/>
      <c r="T10" s="1824"/>
      <c r="U10" s="1824"/>
      <c r="V10" s="1824"/>
      <c r="W10" s="1824"/>
      <c r="X10" s="1824"/>
      <c r="Y10" s="1824"/>
      <c r="Z10" s="1824"/>
      <c r="AA10" s="1824"/>
      <c r="AB10" s="1824"/>
      <c r="AC10" s="1824"/>
      <c r="AD10" s="1824"/>
      <c r="AE10" s="1824"/>
      <c r="AF10" s="1824"/>
      <c r="AG10" s="1824"/>
      <c r="AH10" s="1824"/>
      <c r="AI10" s="1824"/>
      <c r="AJ10" s="1824"/>
      <c r="AK10" s="1824"/>
      <c r="AL10" s="1824"/>
      <c r="AM10" s="1824"/>
      <c r="AN10" s="1824"/>
      <c r="AO10" s="1824"/>
      <c r="AP10" s="1824"/>
      <c r="AQ10" s="1824"/>
      <c r="AR10" s="1824"/>
      <c r="AS10" s="1824"/>
      <c r="AT10" s="1824"/>
      <c r="AU10" s="13"/>
      <c r="AV10" s="13"/>
      <c r="AW10" s="13"/>
      <c r="AX10" s="13"/>
      <c r="AY10" s="13"/>
      <c r="BD10" s="3" t="s">
        <v>2506</v>
      </c>
      <c r="BE10" s="1249">
        <f>SUMIF($AC$718:$AC$752,"&lt;=45%",$G$718:G$752)-SUM($BE$5:BE9)</f>
        <v>0</v>
      </c>
    </row>
    <row r="11" spans="1:58" ht="13" customHeight="1">
      <c r="A11" s="1824" t="s">
        <v>2600</v>
      </c>
      <c r="B11" s="1824"/>
      <c r="C11" s="1824"/>
      <c r="D11" s="1824"/>
      <c r="E11" s="1824"/>
      <c r="F11" s="1824"/>
      <c r="G11" s="1824"/>
      <c r="H11" s="1824"/>
      <c r="I11" s="1824"/>
      <c r="J11" s="1824"/>
      <c r="K11" s="1824"/>
      <c r="L11" s="1824"/>
      <c r="M11" s="1824"/>
      <c r="N11" s="1824"/>
      <c r="O11" s="1824"/>
      <c r="P11" s="1824"/>
      <c r="Q11" s="1824"/>
      <c r="R11" s="1824"/>
      <c r="S11" s="1824"/>
      <c r="T11" s="1824"/>
      <c r="U11" s="1824"/>
      <c r="V11" s="1824"/>
      <c r="W11" s="1824"/>
      <c r="X11" s="1824"/>
      <c r="Y11" s="1824"/>
      <c r="Z11" s="1824"/>
      <c r="AA11" s="1824"/>
      <c r="AB11" s="1824"/>
      <c r="AC11" s="1824"/>
      <c r="AD11" s="1824"/>
      <c r="AE11" s="1824"/>
      <c r="AF11" s="1824"/>
      <c r="AG11" s="1824"/>
      <c r="AH11" s="1824"/>
      <c r="AI11" s="1824"/>
      <c r="AJ11" s="1824"/>
      <c r="AK11" s="1824"/>
      <c r="AL11" s="1824"/>
      <c r="AM11" s="1824"/>
      <c r="AN11" s="1824"/>
      <c r="AO11" s="1824"/>
      <c r="AP11" s="1824"/>
      <c r="AQ11" s="1824"/>
      <c r="AR11" s="1824"/>
      <c r="AS11" s="1824"/>
      <c r="AT11" s="1824"/>
      <c r="AU11" s="13"/>
      <c r="AV11" s="13"/>
      <c r="AW11" s="13"/>
      <c r="AX11" s="13"/>
      <c r="AY11" s="13"/>
      <c r="BD11" s="1247" t="s">
        <v>2498</v>
      </c>
      <c r="BE11" s="1249">
        <f>SUMIF($AC$718:$AC$752,"&lt;=50%",$G$718:G$752)-SUM($BE$5:BE10)</f>
        <v>49</v>
      </c>
    </row>
    <row r="12" spans="1:58" ht="13" customHeight="1">
      <c r="A12" s="1825" t="s">
        <v>2606</v>
      </c>
      <c r="B12" s="1825"/>
      <c r="C12" s="1825"/>
      <c r="D12" s="1825"/>
      <c r="E12" s="1825"/>
      <c r="F12" s="1825"/>
      <c r="G12" s="1825"/>
      <c r="H12" s="1825"/>
      <c r="I12" s="1825"/>
      <c r="J12" s="1825"/>
      <c r="K12" s="1825"/>
      <c r="L12" s="1825"/>
      <c r="M12" s="1825"/>
      <c r="N12" s="1825"/>
      <c r="O12" s="1825"/>
      <c r="P12" s="1825"/>
      <c r="Q12" s="1825"/>
      <c r="R12" s="1825"/>
      <c r="S12" s="1825"/>
      <c r="T12" s="1825"/>
      <c r="U12" s="1825"/>
      <c r="V12" s="1825"/>
      <c r="W12" s="1825"/>
      <c r="X12" s="1825"/>
      <c r="Y12" s="1825"/>
      <c r="Z12" s="1825"/>
      <c r="AA12" s="1825"/>
      <c r="AB12" s="1825"/>
      <c r="AC12" s="1825"/>
      <c r="AD12" s="1825"/>
      <c r="AE12" s="1825"/>
      <c r="AF12" s="1825"/>
      <c r="AG12" s="1825"/>
      <c r="AH12" s="1825"/>
      <c r="AI12" s="1825"/>
      <c r="AJ12" s="1825"/>
      <c r="AK12" s="1825"/>
      <c r="AL12" s="1825"/>
      <c r="AM12" s="1825"/>
      <c r="AN12" s="1825"/>
      <c r="AO12" s="1825"/>
      <c r="AP12" s="1825"/>
      <c r="AQ12" s="1825"/>
      <c r="AR12" s="1825"/>
      <c r="AS12" s="1825"/>
      <c r="AT12" s="1825"/>
      <c r="AU12" s="6"/>
      <c r="AV12" s="6"/>
      <c r="AW12" s="6"/>
      <c r="AX12" s="6"/>
      <c r="AY12" s="6"/>
      <c r="BD12" s="3" t="s">
        <v>2507</v>
      </c>
      <c r="BE12" s="1249">
        <f>SUMIF($AC$718:$AC$752,"&lt;=55%",$G$718:G$752)-SUM($BE$5:BE11)</f>
        <v>0</v>
      </c>
    </row>
    <row r="13" spans="1:58" ht="13" customHeight="1">
      <c r="A13" s="1274" t="s">
        <v>2077</v>
      </c>
      <c r="B13" s="1274"/>
      <c r="C13" s="1274"/>
      <c r="D13" s="1274"/>
      <c r="E13" s="1274"/>
      <c r="F13" s="1274"/>
      <c r="G13" s="1274"/>
      <c r="H13" s="1274"/>
      <c r="I13" s="1274"/>
      <c r="J13" s="1274"/>
      <c r="K13" s="1274"/>
      <c r="L13" s="1274"/>
      <c r="M13" s="1274"/>
      <c r="N13" s="1274"/>
      <c r="O13" s="1274"/>
      <c r="P13" s="1274"/>
      <c r="Q13" s="1274"/>
      <c r="R13" s="1274"/>
      <c r="S13" s="1274"/>
      <c r="T13" s="1274"/>
      <c r="U13" s="1274"/>
      <c r="V13" s="1274"/>
      <c r="W13" s="1274"/>
      <c r="X13" s="1274"/>
      <c r="Y13" s="1274"/>
      <c r="Z13" s="1274"/>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899"/>
      <c r="AV13" s="899"/>
      <c r="AW13" s="899"/>
      <c r="AX13" s="899"/>
      <c r="AY13" s="899"/>
      <c r="BD13" s="1248" t="s">
        <v>2499</v>
      </c>
      <c r="BE13" s="1249">
        <f>SUMIF($AC$718:$AC$752,"&lt;=60%",$G$718:G$752)-SUM($BE$5:BE12)</f>
        <v>0</v>
      </c>
    </row>
    <row r="14" spans="1:58" ht="13" customHeight="1">
      <c r="A14" s="1274"/>
      <c r="B14" s="1274"/>
      <c r="C14" s="1274"/>
      <c r="D14" s="1274"/>
      <c r="E14" s="1274"/>
      <c r="F14" s="1274"/>
      <c r="G14" s="1274"/>
      <c r="H14" s="1274"/>
      <c r="I14" s="1274"/>
      <c r="J14" s="1274"/>
      <c r="K14" s="1274"/>
      <c r="L14" s="1274"/>
      <c r="M14" s="1274"/>
      <c r="N14" s="1274"/>
      <c r="O14" s="1274"/>
      <c r="P14" s="1274"/>
      <c r="Q14" s="1274"/>
      <c r="R14" s="1274"/>
      <c r="S14" s="1274"/>
      <c r="T14" s="1274"/>
      <c r="U14" s="1274"/>
      <c r="V14" s="1274"/>
      <c r="W14" s="1274"/>
      <c r="X14" s="1274"/>
      <c r="Y14" s="1274"/>
      <c r="Z14" s="1274"/>
      <c r="AA14" s="1274"/>
      <c r="AB14" s="1274"/>
      <c r="AC14" s="1274"/>
      <c r="AD14" s="1274"/>
      <c r="AE14" s="1274"/>
      <c r="AF14" s="1274"/>
      <c r="AG14" s="1274"/>
      <c r="AH14" s="1274"/>
      <c r="AI14" s="1274"/>
      <c r="AJ14" s="1274"/>
      <c r="AK14" s="1274"/>
      <c r="AL14" s="1274"/>
      <c r="AM14" s="1274"/>
      <c r="AN14" s="1274"/>
      <c r="AO14" s="1274"/>
      <c r="AP14" s="1274"/>
      <c r="AQ14" s="1274"/>
      <c r="AR14" s="1274"/>
      <c r="AS14" s="1274"/>
      <c r="AT14" s="1274"/>
      <c r="AU14" s="899"/>
      <c r="AV14" s="899"/>
      <c r="AW14" s="899"/>
      <c r="AX14" s="899"/>
      <c r="AY14" s="899"/>
      <c r="BD14" s="1247" t="s">
        <v>2500</v>
      </c>
      <c r="BE14" s="1249">
        <f>SUMIF($AC$718:$AC$752,"&lt;=70%",$G$718:G$752)-SUM($BE$5:BE13)</f>
        <v>61</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2501</v>
      </c>
      <c r="BE15" s="1249">
        <f>SUMIF($AC$718:$AC$752,"&lt;=80%",$G$718:G$752)-SUM($BE$5:BE14)</f>
        <v>0</v>
      </c>
    </row>
    <row r="16" spans="1:58" ht="13" customHeight="1">
      <c r="A16" s="57" t="s">
        <v>2078</v>
      </c>
      <c r="C16" s="4"/>
      <c r="D16" s="4"/>
      <c r="E16" s="4"/>
      <c r="F16" s="4"/>
      <c r="G16" s="4"/>
      <c r="H16" s="1829" t="s">
        <v>2608</v>
      </c>
      <c r="I16" s="1550"/>
      <c r="J16" s="1550"/>
      <c r="K16" s="1550"/>
      <c r="L16" s="1550"/>
      <c r="M16" s="1550"/>
      <c r="N16" s="1550"/>
      <c r="O16" s="1550"/>
      <c r="P16" s="1550"/>
      <c r="Q16" s="1550"/>
      <c r="R16" s="1550"/>
      <c r="S16" s="1550"/>
      <c r="T16" s="1550"/>
      <c r="U16" s="1550"/>
      <c r="V16" s="1550"/>
      <c r="W16" s="1550"/>
      <c r="X16" s="1550"/>
      <c r="Y16" s="1550"/>
      <c r="Z16" s="1550"/>
      <c r="AA16" s="1550"/>
      <c r="AB16" s="1550"/>
      <c r="AC16" s="1550"/>
      <c r="AD16" s="1550"/>
      <c r="AE16" s="1550"/>
      <c r="AF16" s="1550"/>
      <c r="AG16" s="1550"/>
      <c r="AH16" s="1550"/>
      <c r="AI16" s="1550"/>
      <c r="AJ16" s="1550"/>
      <c r="BD16" s="1248" t="s">
        <v>656</v>
      </c>
      <c r="BE16" s="1249" t="str">
        <f>Application!H18</f>
        <v>Marinwood Plaza</v>
      </c>
    </row>
    <row r="17" spans="1:58" ht="13" customHeight="1">
      <c r="BD17" s="1247" t="s">
        <v>2514</v>
      </c>
      <c r="BE17" s="1249">
        <f>Application!AA934</f>
        <v>4000000</v>
      </c>
    </row>
    <row r="18" spans="1:58" ht="13" customHeight="1">
      <c r="A18" s="57" t="s">
        <v>101</v>
      </c>
      <c r="C18" s="4"/>
      <c r="D18" s="4"/>
      <c r="E18" s="4"/>
      <c r="F18" s="4"/>
      <c r="G18" s="4"/>
      <c r="H18" s="1436" t="s">
        <v>2609</v>
      </c>
      <c r="I18" s="1516"/>
      <c r="J18" s="1516"/>
      <c r="K18" s="1516"/>
      <c r="L18" s="1516"/>
      <c r="M18" s="1516"/>
      <c r="N18" s="1516"/>
      <c r="O18" s="1516"/>
      <c r="P18" s="1516"/>
      <c r="Q18" s="1516"/>
      <c r="R18" s="1516"/>
      <c r="S18" s="1516"/>
      <c r="T18" s="1516"/>
      <c r="U18" s="1516"/>
      <c r="V18" s="1516"/>
      <c r="W18" s="1516"/>
      <c r="X18" s="1516"/>
      <c r="Y18" s="1516"/>
      <c r="Z18" s="1516"/>
      <c r="AA18" s="1516"/>
      <c r="AB18" s="1516"/>
      <c r="AC18" s="1516"/>
      <c r="AD18" s="1516"/>
      <c r="AE18" s="1516"/>
      <c r="AF18" s="1516"/>
      <c r="AG18" s="1516"/>
      <c r="AH18" s="1516"/>
      <c r="AI18" s="1516"/>
      <c r="AJ18" s="1516"/>
      <c r="BD18" s="1248" t="s">
        <v>2515</v>
      </c>
      <c r="BE18" s="1249">
        <f>'CalHFA Addendum'!N11</f>
        <v>4000000</v>
      </c>
    </row>
    <row r="19" spans="1:58" ht="13" customHeight="1">
      <c r="BD19" s="1247" t="s">
        <v>2516</v>
      </c>
      <c r="BE19" s="1249">
        <f>Application!M26</f>
        <v>3025520</v>
      </c>
    </row>
    <row r="20" spans="1:58" ht="13" customHeight="1">
      <c r="A20" s="1826" t="s">
        <v>873</v>
      </c>
      <c r="B20" s="1826"/>
      <c r="C20" s="1826"/>
      <c r="D20" s="1826"/>
      <c r="E20" s="1826"/>
      <c r="F20" s="1826"/>
      <c r="G20" s="1826"/>
      <c r="H20" s="1826"/>
      <c r="I20" s="1826"/>
      <c r="J20" s="1826"/>
      <c r="K20" s="1826"/>
      <c r="L20" s="1826"/>
      <c r="M20" s="1826"/>
      <c r="N20" s="1826"/>
      <c r="O20" s="1826"/>
      <c r="P20" s="1826"/>
      <c r="Q20" s="1826"/>
      <c r="R20" s="1826"/>
      <c r="S20" s="1826"/>
      <c r="T20" s="1826"/>
      <c r="U20" s="1826"/>
      <c r="V20" s="1826"/>
      <c r="W20" s="1826"/>
      <c r="X20" s="1826"/>
      <c r="Y20" s="1826"/>
      <c r="Z20" s="1826"/>
      <c r="AA20" s="1826"/>
      <c r="AB20" s="1826"/>
      <c r="AC20" s="1826"/>
      <c r="AD20" s="1826"/>
      <c r="AE20" s="1826"/>
      <c r="AF20" s="1826"/>
      <c r="AG20" s="1826"/>
      <c r="AH20" s="1826"/>
      <c r="AI20" s="1826"/>
      <c r="AJ20" s="1826"/>
      <c r="AK20" s="1826"/>
      <c r="AL20" s="1826"/>
      <c r="AM20" s="1826"/>
      <c r="AN20" s="1826"/>
      <c r="AO20" s="1826"/>
      <c r="AP20" s="1826"/>
      <c r="AQ20" s="1826"/>
      <c r="AR20" s="1826"/>
      <c r="AS20" s="1826"/>
      <c r="AT20" s="1826"/>
      <c r="AU20" s="900"/>
      <c r="AV20" s="900"/>
      <c r="AW20" s="900"/>
      <c r="AX20" s="900"/>
      <c r="AY20" s="900"/>
      <c r="BD20" s="1248" t="s">
        <v>2517</v>
      </c>
      <c r="BE20" s="1249">
        <f>Application!M27</f>
        <v>0</v>
      </c>
    </row>
    <row r="21" spans="1:58" ht="13" customHeight="1">
      <c r="A21" s="1830" t="s">
        <v>1009</v>
      </c>
      <c r="B21" s="1830"/>
      <c r="C21" s="1830"/>
      <c r="D21" s="1830"/>
      <c r="E21" s="1830"/>
      <c r="F21" s="1830"/>
      <c r="G21" s="1830"/>
      <c r="H21" s="1830"/>
      <c r="I21" s="1830"/>
      <c r="J21" s="1830"/>
      <c r="K21" s="1830"/>
      <c r="L21" s="1830"/>
      <c r="M21" s="1830"/>
      <c r="N21" s="1830"/>
      <c r="O21" s="1830"/>
      <c r="P21" s="1830"/>
      <c r="Q21" s="1830"/>
      <c r="R21" s="1830"/>
      <c r="S21" s="1830"/>
      <c r="T21" s="1830"/>
      <c r="U21" s="1830"/>
      <c r="V21" s="1830"/>
      <c r="W21" s="1830"/>
      <c r="X21" s="1830"/>
      <c r="Y21" s="1830"/>
      <c r="Z21" s="1830"/>
      <c r="AA21" s="1830"/>
      <c r="AB21" s="1830"/>
      <c r="AC21" s="1830"/>
      <c r="AD21" s="1830"/>
      <c r="AE21" s="1830"/>
      <c r="AF21" s="1830"/>
      <c r="AG21" s="1830"/>
      <c r="AH21" s="1830"/>
      <c r="AI21" s="1830"/>
      <c r="AJ21" s="1830"/>
      <c r="AK21" s="1830"/>
      <c r="AL21" s="1830"/>
      <c r="AM21" s="901"/>
      <c r="AN21" s="901"/>
      <c r="AO21" s="901"/>
      <c r="AP21" s="901"/>
      <c r="AQ21" s="901"/>
      <c r="AR21" s="901"/>
      <c r="AS21" s="901"/>
      <c r="AT21" s="901"/>
      <c r="AU21" s="901"/>
      <c r="AV21" s="901"/>
      <c r="AW21" s="901"/>
      <c r="AX21" s="901"/>
      <c r="AY21" s="901"/>
      <c r="BD21" s="1247" t="s">
        <v>2518</v>
      </c>
      <c r="BE21" s="1249">
        <f>Application!AM554</f>
        <v>18141000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71309476</v>
      </c>
      <c r="BF22" s="3" t="s">
        <v>2591</v>
      </c>
    </row>
    <row r="23" spans="1:58" ht="13" customHeight="1">
      <c r="A23" s="1332" t="s">
        <v>2146</v>
      </c>
      <c r="B23" s="1332"/>
      <c r="C23" s="1332"/>
      <c r="D23" s="1332"/>
      <c r="E23" s="1332"/>
      <c r="F23" s="1332"/>
      <c r="G23" s="1332"/>
      <c r="H23" s="1332"/>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c r="AL23" s="1332"/>
      <c r="AM23" s="1332"/>
      <c r="AN23" s="1332"/>
      <c r="AO23" s="1332"/>
      <c r="AP23" s="1332"/>
      <c r="AQ23" s="1332"/>
      <c r="AR23" s="1332"/>
      <c r="AS23" s="1332"/>
      <c r="AT23" s="1332"/>
      <c r="AU23" s="18"/>
      <c r="AV23" s="18"/>
      <c r="AW23" s="18"/>
      <c r="AX23" s="18"/>
      <c r="AY23" s="18"/>
      <c r="AZ23" s="18"/>
      <c r="BD23" s="1247" t="s">
        <v>2519</v>
      </c>
      <c r="BE23" s="1249">
        <f>'Sources and Uses Budget'!B4</f>
        <v>8800000</v>
      </c>
    </row>
    <row r="24" spans="1:58" ht="13" customHeight="1">
      <c r="A24" s="1332"/>
      <c r="B24" s="1332"/>
      <c r="C24" s="1332"/>
      <c r="D24" s="1332"/>
      <c r="E24" s="1332"/>
      <c r="F24" s="1332"/>
      <c r="G24" s="1332"/>
      <c r="H24" s="1332"/>
      <c r="I24" s="1332"/>
      <c r="J24" s="1332"/>
      <c r="K24" s="1332"/>
      <c r="L24" s="1332"/>
      <c r="M24" s="1332"/>
      <c r="N24" s="1332"/>
      <c r="O24" s="1332"/>
      <c r="P24" s="1332"/>
      <c r="Q24" s="1332"/>
      <c r="R24" s="1332"/>
      <c r="S24" s="1332"/>
      <c r="T24" s="1332"/>
      <c r="U24" s="1332"/>
      <c r="V24" s="1332"/>
      <c r="W24" s="1332"/>
      <c r="X24" s="1332"/>
      <c r="Y24" s="1332"/>
      <c r="Z24" s="1332"/>
      <c r="AA24" s="1332"/>
      <c r="AB24" s="1332"/>
      <c r="AC24" s="1332"/>
      <c r="AD24" s="1332"/>
      <c r="AE24" s="1332"/>
      <c r="AF24" s="1332"/>
      <c r="AG24" s="1332"/>
      <c r="AH24" s="1332"/>
      <c r="AI24" s="1332"/>
      <c r="AJ24" s="1332"/>
      <c r="AK24" s="1332"/>
      <c r="AL24" s="1332"/>
      <c r="AM24" s="1332"/>
      <c r="AN24" s="1332"/>
      <c r="AO24" s="1332"/>
      <c r="AP24" s="1332"/>
      <c r="AQ24" s="1332"/>
      <c r="AR24" s="1332"/>
      <c r="AS24" s="1332"/>
      <c r="AT24" s="1332"/>
      <c r="AU24" s="18"/>
      <c r="AV24" s="18"/>
      <c r="AW24" s="18"/>
      <c r="AX24" s="18"/>
      <c r="AY24" s="18"/>
      <c r="AZ24" s="18"/>
      <c r="BD24" s="1248" t="s">
        <v>2520</v>
      </c>
      <c r="BE24" s="1249">
        <f>Application!AG450</f>
        <v>117682</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2521</v>
      </c>
      <c r="BE25" s="1249" t="str">
        <f>Application!D208</f>
        <v>40%/60% Average Income</v>
      </c>
    </row>
    <row r="26" spans="1:58" ht="13" customHeight="1">
      <c r="A26" s="4"/>
      <c r="C26" s="4"/>
      <c r="D26" s="4"/>
      <c r="E26" s="4"/>
      <c r="F26" s="4"/>
      <c r="G26" s="4"/>
      <c r="H26" s="4"/>
      <c r="I26" s="4"/>
      <c r="J26" s="4"/>
      <c r="K26" s="4"/>
      <c r="L26" s="4"/>
      <c r="M26" s="1828">
        <f>'Basis &amp; Credits'!AB56</f>
        <v>3025520</v>
      </c>
      <c r="N26" s="1828"/>
      <c r="O26" s="1828"/>
      <c r="P26" s="1828"/>
      <c r="Q26" s="1828"/>
      <c r="R26" s="4" t="s">
        <v>759</v>
      </c>
      <c r="S26" s="4"/>
      <c r="T26" s="4"/>
      <c r="U26" s="4"/>
      <c r="V26" s="4"/>
      <c r="W26" s="4"/>
      <c r="X26" s="4"/>
      <c r="Y26" s="4"/>
      <c r="Z26" s="4"/>
      <c r="AF26" s="4"/>
      <c r="AG26" s="4"/>
      <c r="AH26" s="4"/>
      <c r="AI26" s="4"/>
      <c r="AJ26" s="4"/>
      <c r="AK26" s="4"/>
      <c r="BD26" s="1248" t="s">
        <v>1639</v>
      </c>
      <c r="BE26" s="1249" t="b">
        <f>Application!M356="Yes"</f>
        <v>0</v>
      </c>
    </row>
    <row r="27" spans="1:58" ht="13" customHeight="1">
      <c r="A27" s="4"/>
      <c r="C27" s="4"/>
      <c r="D27" s="4"/>
      <c r="E27" s="4"/>
      <c r="F27" s="4"/>
      <c r="G27" s="4"/>
      <c r="H27" s="4"/>
      <c r="I27" s="4"/>
      <c r="J27" s="4"/>
      <c r="K27" s="4"/>
      <c r="L27" s="4"/>
      <c r="M27" s="1363">
        <f>'Basis &amp; Credits'!AB78</f>
        <v>0</v>
      </c>
      <c r="N27" s="1363"/>
      <c r="O27" s="1363"/>
      <c r="P27" s="1363"/>
      <c r="Q27" s="1363"/>
      <c r="R27" s="3" t="s">
        <v>1267</v>
      </c>
      <c r="S27" s="4"/>
      <c r="T27" s="4"/>
      <c r="U27" s="4"/>
      <c r="V27" s="4"/>
      <c r="W27" s="4"/>
      <c r="X27" s="4"/>
      <c r="Y27" s="4"/>
      <c r="Z27" s="4"/>
      <c r="AF27" s="4"/>
      <c r="AG27" s="4"/>
      <c r="AH27" s="4"/>
      <c r="AI27" s="4"/>
      <c r="AJ27" s="4"/>
      <c r="AK27" s="4"/>
      <c r="BD27" s="1247" t="s">
        <v>2098</v>
      </c>
      <c r="BE27" s="1249" t="b">
        <f>Application!M355="Yes"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2522</v>
      </c>
      <c r="BE28" s="1249" t="b">
        <f>Application!M357="Yes"</f>
        <v>0</v>
      </c>
    </row>
    <row r="29" spans="1:58" ht="13" customHeight="1">
      <c r="A29" s="1528" t="s">
        <v>2147</v>
      </c>
      <c r="B29" s="1528"/>
      <c r="C29" s="1528"/>
      <c r="D29" s="1528"/>
      <c r="E29" s="1528"/>
      <c r="F29" s="1528"/>
      <c r="G29" s="1528"/>
      <c r="H29" s="1528"/>
      <c r="I29" s="1528"/>
      <c r="J29" s="1528"/>
      <c r="K29" s="1528"/>
      <c r="L29" s="1528"/>
      <c r="M29" s="1528"/>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c r="AL29" s="1528"/>
      <c r="AM29" s="1528"/>
      <c r="AN29" s="1528"/>
      <c r="AO29" s="1528"/>
      <c r="AP29" s="1528"/>
      <c r="AQ29" s="1528"/>
      <c r="AR29" s="1528"/>
      <c r="AS29" s="1528"/>
      <c r="AT29" s="1528"/>
      <c r="BD29" s="1247" t="s">
        <v>2523</v>
      </c>
      <c r="BE29" s="1249" t="b">
        <f>Application!M358="Yes"</f>
        <v>0</v>
      </c>
    </row>
    <row r="30" spans="1:58" ht="13" customHeight="1">
      <c r="A30" s="1528"/>
      <c r="B30" s="1528"/>
      <c r="C30" s="1528"/>
      <c r="D30" s="1528"/>
      <c r="E30" s="1528"/>
      <c r="F30" s="1528"/>
      <c r="G30" s="1528"/>
      <c r="H30" s="1528"/>
      <c r="I30" s="1528"/>
      <c r="J30" s="1528"/>
      <c r="K30" s="1528"/>
      <c r="L30" s="1528"/>
      <c r="M30" s="1528"/>
      <c r="N30" s="1528"/>
      <c r="O30" s="1528"/>
      <c r="P30" s="1528"/>
      <c r="Q30" s="1528"/>
      <c r="R30" s="1528"/>
      <c r="S30" s="1528"/>
      <c r="T30" s="1528"/>
      <c r="U30" s="1528"/>
      <c r="V30" s="1528"/>
      <c r="W30" s="1528"/>
      <c r="X30" s="1528"/>
      <c r="Y30" s="1528"/>
      <c r="Z30" s="1528"/>
      <c r="AA30" s="1528"/>
      <c r="AB30" s="1528"/>
      <c r="AC30" s="1528"/>
      <c r="AD30" s="1528"/>
      <c r="AE30" s="1528"/>
      <c r="AF30" s="1528"/>
      <c r="AG30" s="1528"/>
      <c r="AH30" s="1528"/>
      <c r="AI30" s="1528"/>
      <c r="AJ30" s="1528"/>
      <c r="AK30" s="1528"/>
      <c r="AL30" s="1528"/>
      <c r="AM30" s="1528"/>
      <c r="AN30" s="1528"/>
      <c r="AO30" s="1528"/>
      <c r="AP30" s="1528"/>
      <c r="AQ30" s="1528"/>
      <c r="AR30" s="1528"/>
      <c r="AS30" s="1528"/>
      <c r="AT30" s="1528"/>
      <c r="AZ30" s="20"/>
      <c r="BD30" s="1248" t="s">
        <v>28</v>
      </c>
      <c r="BE30" s="1249" t="b">
        <f>Application!AJ355="Yes"</f>
        <v>0</v>
      </c>
    </row>
    <row r="31" spans="1:58" ht="13" customHeight="1">
      <c r="A31" s="1528"/>
      <c r="B31" s="1528"/>
      <c r="C31" s="1528"/>
      <c r="D31" s="1528"/>
      <c r="E31" s="1528"/>
      <c r="F31" s="1528"/>
      <c r="G31" s="1528"/>
      <c r="H31" s="1528"/>
      <c r="I31" s="1528"/>
      <c r="J31" s="1528"/>
      <c r="K31" s="1528"/>
      <c r="L31" s="1528"/>
      <c r="M31" s="1528"/>
      <c r="N31" s="1528"/>
      <c r="O31" s="1528"/>
      <c r="P31" s="1528"/>
      <c r="Q31" s="1528"/>
      <c r="R31" s="1528"/>
      <c r="S31" s="1528"/>
      <c r="T31" s="1528"/>
      <c r="U31" s="1528"/>
      <c r="V31" s="1528"/>
      <c r="W31" s="1528"/>
      <c r="X31" s="1528"/>
      <c r="Y31" s="1528"/>
      <c r="Z31" s="1528"/>
      <c r="AA31" s="1528"/>
      <c r="AB31" s="1528"/>
      <c r="AC31" s="1528"/>
      <c r="AD31" s="1528"/>
      <c r="AE31" s="1528"/>
      <c r="AF31" s="1528"/>
      <c r="AG31" s="1528"/>
      <c r="AH31" s="1528"/>
      <c r="AI31" s="1528"/>
      <c r="AJ31" s="1528"/>
      <c r="AK31" s="1528"/>
      <c r="AL31" s="1528"/>
      <c r="AM31" s="1528"/>
      <c r="AN31" s="1528"/>
      <c r="AO31" s="1528"/>
      <c r="AP31" s="1528"/>
      <c r="AQ31" s="1528"/>
      <c r="AR31" s="1528"/>
      <c r="AS31" s="1528"/>
      <c r="AT31" s="1528"/>
      <c r="AU31" s="20"/>
      <c r="AV31" s="20"/>
      <c r="AW31" s="20"/>
      <c r="AX31" s="20"/>
      <c r="AY31" s="20"/>
      <c r="AZ31" s="20"/>
      <c r="BD31" s="1247" t="s">
        <v>2524</v>
      </c>
      <c r="BE31" s="1249" t="str">
        <f>Application!D211</f>
        <v>Large Family</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2525</v>
      </c>
      <c r="BE32" s="1249">
        <f>IF(ISNUMBER(Application!W465),W465,0)</f>
        <v>0</v>
      </c>
    </row>
    <row r="33" spans="1:57" ht="13" customHeight="1">
      <c r="A33" s="519" t="s">
        <v>1278</v>
      </c>
      <c r="C33" s="519"/>
      <c r="D33" s="519"/>
      <c r="E33" s="519"/>
      <c r="F33" s="519"/>
      <c r="G33" s="519"/>
      <c r="H33" s="519"/>
      <c r="I33" s="519"/>
      <c r="J33" s="519"/>
      <c r="K33" s="519"/>
      <c r="L33" s="519"/>
      <c r="M33" s="519"/>
      <c r="N33" s="519"/>
      <c r="O33" s="1426" t="s">
        <v>669</v>
      </c>
      <c r="P33" s="1426"/>
      <c r="Q33" s="1827" t="s">
        <v>2148</v>
      </c>
      <c r="R33" s="1827"/>
      <c r="S33" s="1827"/>
      <c r="T33" s="1827"/>
      <c r="U33" s="1827"/>
      <c r="V33" s="1827"/>
      <c r="W33" s="1827"/>
      <c r="X33" s="1827"/>
      <c r="Y33" s="1827"/>
      <c r="Z33" s="1827"/>
      <c r="AA33" s="1827"/>
      <c r="AB33" s="1827"/>
      <c r="AC33" s="1827"/>
      <c r="AD33" s="1827"/>
      <c r="AE33" s="1827"/>
      <c r="AF33" s="1827"/>
      <c r="AG33" s="1827"/>
      <c r="AH33" s="1827"/>
      <c r="AI33" s="1827"/>
      <c r="AJ33" s="1827"/>
      <c r="AK33" s="1827"/>
      <c r="AL33" s="1827"/>
      <c r="AM33" s="1827"/>
      <c r="AN33" s="1827"/>
      <c r="AO33" s="1827"/>
      <c r="AP33" s="1827"/>
      <c r="AQ33" s="1827"/>
      <c r="AR33" s="1827"/>
      <c r="AS33" s="1827"/>
      <c r="AT33" s="1827"/>
      <c r="AU33" s="20"/>
      <c r="AV33" s="20"/>
      <c r="AW33" s="20"/>
      <c r="AX33" s="20"/>
      <c r="AY33" s="20"/>
      <c r="BD33" s="1247" t="s">
        <v>2592</v>
      </c>
      <c r="BE33" s="1249" t="str">
        <f>Application!D220</f>
        <v>Northern Region: Butte, Marin, Napa, Shasta, Solano, and Sonoma Counties</v>
      </c>
    </row>
    <row r="34" spans="1:57" ht="13" customHeight="1">
      <c r="A34" s="1528" t="s">
        <v>2149</v>
      </c>
      <c r="B34" s="1528"/>
      <c r="C34" s="1528"/>
      <c r="D34" s="1528"/>
      <c r="E34" s="1528"/>
      <c r="F34" s="1528"/>
      <c r="G34" s="1528"/>
      <c r="H34" s="1528"/>
      <c r="I34" s="1528"/>
      <c r="J34" s="1528"/>
      <c r="K34" s="1528"/>
      <c r="L34" s="1528"/>
      <c r="M34" s="1528"/>
      <c r="N34" s="1528"/>
      <c r="O34" s="1528"/>
      <c r="P34" s="1528"/>
      <c r="Q34" s="1528"/>
      <c r="R34" s="1528"/>
      <c r="S34" s="1528"/>
      <c r="T34" s="1528"/>
      <c r="U34" s="1528"/>
      <c r="V34" s="1528"/>
      <c r="W34" s="1528"/>
      <c r="X34" s="1528"/>
      <c r="Y34" s="1528"/>
      <c r="Z34" s="1528"/>
      <c r="AA34" s="1528"/>
      <c r="AB34" s="1528"/>
      <c r="AC34" s="1528"/>
      <c r="AD34" s="1528"/>
      <c r="AE34" s="1528"/>
      <c r="AF34" s="1528"/>
      <c r="AG34" s="1528"/>
      <c r="AH34" s="1528"/>
      <c r="AI34" s="1528"/>
      <c r="AJ34" s="1528"/>
      <c r="AK34" s="1528"/>
      <c r="AL34" s="1528"/>
      <c r="AM34" s="1528"/>
      <c r="AN34" s="1528"/>
      <c r="AO34" s="1528"/>
      <c r="AP34" s="1528"/>
      <c r="AQ34" s="1528"/>
      <c r="AR34" s="1528"/>
      <c r="AS34" s="1528"/>
      <c r="AT34" s="1528"/>
      <c r="AU34" s="20"/>
      <c r="AV34" s="20"/>
      <c r="AW34" s="20"/>
      <c r="AX34" s="20"/>
      <c r="AY34" s="20"/>
      <c r="AZ34" s="20"/>
      <c r="BD34" s="1248" t="s">
        <v>2526</v>
      </c>
      <c r="BE34" s="1249" t="str">
        <f>Application!I185</f>
        <v>121, 155, 175, and 197 Marinwood Avenue</v>
      </c>
    </row>
    <row r="35" spans="1:57" ht="13" customHeight="1">
      <c r="A35" s="1528"/>
      <c r="B35" s="1528"/>
      <c r="C35" s="1528"/>
      <c r="D35" s="1528"/>
      <c r="E35" s="1528"/>
      <c r="F35" s="1528"/>
      <c r="G35" s="1528"/>
      <c r="H35" s="1528"/>
      <c r="I35" s="1528"/>
      <c r="J35" s="1528"/>
      <c r="K35" s="1528"/>
      <c r="L35" s="1528"/>
      <c r="M35" s="1528"/>
      <c r="N35" s="1528"/>
      <c r="O35" s="1528"/>
      <c r="P35" s="1528"/>
      <c r="Q35" s="1528"/>
      <c r="R35" s="1528"/>
      <c r="S35" s="1528"/>
      <c r="T35" s="1528"/>
      <c r="U35" s="1528"/>
      <c r="V35" s="1528"/>
      <c r="W35" s="1528"/>
      <c r="X35" s="1528"/>
      <c r="Y35" s="1528"/>
      <c r="Z35" s="1528"/>
      <c r="AA35" s="1528"/>
      <c r="AB35" s="1528"/>
      <c r="AC35" s="1528"/>
      <c r="AD35" s="1528"/>
      <c r="AE35" s="1528"/>
      <c r="AF35" s="1528"/>
      <c r="AG35" s="1528"/>
      <c r="AH35" s="1528"/>
      <c r="AI35" s="1528"/>
      <c r="AJ35" s="1528"/>
      <c r="AK35" s="1528"/>
      <c r="AL35" s="1528"/>
      <c r="AM35" s="1528"/>
      <c r="AN35" s="1528"/>
      <c r="AO35" s="1528"/>
      <c r="AP35" s="1528"/>
      <c r="AQ35" s="1528"/>
      <c r="AR35" s="1528"/>
      <c r="AS35" s="1528"/>
      <c r="AT35" s="1528"/>
      <c r="AU35" s="20"/>
      <c r="AV35" s="20"/>
      <c r="AW35" s="20"/>
      <c r="AX35" s="20"/>
      <c r="AY35" s="20"/>
      <c r="AZ35" s="20"/>
      <c r="BD35" s="1247" t="s">
        <v>2527</v>
      </c>
      <c r="BE35" s="1249" t="str">
        <f>IF(Application!E187="","",Application!E187)</f>
        <v/>
      </c>
    </row>
    <row r="36" spans="1:57" ht="13" customHeight="1">
      <c r="A36" s="1528"/>
      <c r="B36" s="1528"/>
      <c r="C36" s="1528"/>
      <c r="D36" s="1528"/>
      <c r="E36" s="1528"/>
      <c r="F36" s="1528"/>
      <c r="G36" s="1528"/>
      <c r="H36" s="1528"/>
      <c r="I36" s="1528"/>
      <c r="J36" s="1528"/>
      <c r="K36" s="1528"/>
      <c r="L36" s="1528"/>
      <c r="M36" s="1528"/>
      <c r="N36" s="1528"/>
      <c r="O36" s="1528"/>
      <c r="P36" s="1528"/>
      <c r="Q36" s="1528"/>
      <c r="R36" s="1528"/>
      <c r="S36" s="1528"/>
      <c r="T36" s="1528"/>
      <c r="U36" s="1528"/>
      <c r="V36" s="1528"/>
      <c r="W36" s="1528"/>
      <c r="X36" s="1528"/>
      <c r="Y36" s="1528"/>
      <c r="Z36" s="1528"/>
      <c r="AA36" s="1528"/>
      <c r="AB36" s="1528"/>
      <c r="AC36" s="1528"/>
      <c r="AD36" s="1528"/>
      <c r="AE36" s="1528"/>
      <c r="AF36" s="1528"/>
      <c r="AG36" s="1528"/>
      <c r="AH36" s="1528"/>
      <c r="AI36" s="1528"/>
      <c r="AJ36" s="1528"/>
      <c r="AK36" s="1528"/>
      <c r="AL36" s="1528"/>
      <c r="AM36" s="1528"/>
      <c r="AN36" s="1528"/>
      <c r="AO36" s="1528"/>
      <c r="AP36" s="1528"/>
      <c r="AQ36" s="1528"/>
      <c r="AR36" s="1528"/>
      <c r="AS36" s="1528"/>
      <c r="AT36" s="1528"/>
      <c r="AU36" s="20"/>
      <c r="AV36" s="20"/>
      <c r="AW36" s="20"/>
      <c r="AX36" s="20"/>
      <c r="AY36" s="20"/>
      <c r="AZ36" s="20"/>
      <c r="BD36" s="1248" t="s">
        <v>2528</v>
      </c>
      <c r="BE36" s="1249" t="str">
        <f>Application!I189</f>
        <v>San Rafael</v>
      </c>
    </row>
    <row r="37" spans="1:57" ht="13" customHeight="1">
      <c r="A37" s="1528"/>
      <c r="B37" s="1528"/>
      <c r="C37" s="1528"/>
      <c r="D37" s="1528"/>
      <c r="E37" s="1528"/>
      <c r="F37" s="1528"/>
      <c r="G37" s="1528"/>
      <c r="H37" s="1528"/>
      <c r="I37" s="1528"/>
      <c r="J37" s="1528"/>
      <c r="K37" s="1528"/>
      <c r="L37" s="1528"/>
      <c r="M37" s="1528"/>
      <c r="N37" s="1528"/>
      <c r="O37" s="1528"/>
      <c r="P37" s="1528"/>
      <c r="Q37" s="1528"/>
      <c r="R37" s="1528"/>
      <c r="S37" s="1528"/>
      <c r="T37" s="1528"/>
      <c r="U37" s="1528"/>
      <c r="V37" s="1528"/>
      <c r="W37" s="1528"/>
      <c r="X37" s="1528"/>
      <c r="Y37" s="1528"/>
      <c r="Z37" s="1528"/>
      <c r="AA37" s="1528"/>
      <c r="AB37" s="1528"/>
      <c r="AC37" s="1528"/>
      <c r="AD37" s="1528"/>
      <c r="AE37" s="1528"/>
      <c r="AF37" s="1528"/>
      <c r="AG37" s="1528"/>
      <c r="AH37" s="1528"/>
      <c r="AI37" s="1528"/>
      <c r="AJ37" s="1528"/>
      <c r="AK37" s="1528"/>
      <c r="AL37" s="1528"/>
      <c r="AM37" s="1528"/>
      <c r="AN37" s="1528"/>
      <c r="AO37" s="1528"/>
      <c r="AP37" s="1528"/>
      <c r="AQ37" s="1528"/>
      <c r="AR37" s="1528"/>
      <c r="AS37" s="1528"/>
      <c r="AT37" s="1528"/>
      <c r="AZ37" s="20"/>
      <c r="BD37" s="1247" t="s">
        <v>2529</v>
      </c>
      <c r="BE37" s="1249" t="str">
        <f>Application!T189</f>
        <v>Marin</v>
      </c>
    </row>
    <row r="38" spans="1:57" ht="13" customHeight="1">
      <c r="A38" s="3"/>
      <c r="AZ38" s="20"/>
      <c r="BD38" s="1248" t="s">
        <v>2530</v>
      </c>
      <c r="BE38" s="1249">
        <f>Application!I190</f>
        <v>94903</v>
      </c>
    </row>
    <row r="39" spans="1:57" ht="13" customHeight="1">
      <c r="A39" s="1264" t="s">
        <v>2150</v>
      </c>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Z39" s="20"/>
      <c r="BD39" s="1247" t="s">
        <v>2531</v>
      </c>
      <c r="BE39" s="1249">
        <f>Application!AG437</f>
        <v>125</v>
      </c>
    </row>
    <row r="40" spans="1:57" ht="13" customHeight="1">
      <c r="A40" s="1264"/>
      <c r="B40" s="1264"/>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
      <c r="AV40" s="20"/>
      <c r="AW40" s="20"/>
      <c r="AX40" s="20"/>
      <c r="AY40" s="20"/>
      <c r="AZ40" s="20"/>
      <c r="BD40" s="1248" t="s">
        <v>383</v>
      </c>
      <c r="BE40" s="1249">
        <f>Application!AG440</f>
        <v>124</v>
      </c>
    </row>
    <row r="41" spans="1:57" ht="13" customHeight="1">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20"/>
      <c r="AV41" s="20"/>
      <c r="AW41" s="20"/>
      <c r="AX41" s="20"/>
      <c r="AY41" s="20"/>
      <c r="AZ41" s="20"/>
      <c r="BD41" s="1247" t="s">
        <v>286</v>
      </c>
      <c r="BE41" s="1249">
        <f>Application!AG438</f>
        <v>0</v>
      </c>
    </row>
    <row r="42" spans="1:57" ht="13" customHeight="1">
      <c r="A42" s="1264"/>
      <c r="B42" s="1264"/>
      <c r="C42" s="1264"/>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Z42" s="20"/>
      <c r="BD42" s="1248" t="s">
        <v>2532</v>
      </c>
      <c r="BE42" s="1251">
        <f>Application!AC753</f>
        <v>0.57580645161290323</v>
      </c>
    </row>
    <row r="43" spans="1:57" ht="13" customHeight="1">
      <c r="A43" s="1264"/>
      <c r="B43" s="1264"/>
      <c r="C43" s="1264"/>
      <c r="D43" s="1264"/>
      <c r="E43" s="126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20"/>
      <c r="AV43" s="20"/>
      <c r="AW43" s="20"/>
      <c r="AX43" s="20"/>
      <c r="AY43" s="20"/>
      <c r="AZ43" s="20"/>
      <c r="BD43" s="1247" t="s">
        <v>2533</v>
      </c>
      <c r="BE43" s="1251">
        <f>Application!AH753</f>
        <v>0.57583268583338576</v>
      </c>
    </row>
    <row r="44" spans="1:57" ht="13" customHeight="1">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20"/>
      <c r="AV44" s="20"/>
      <c r="AW44" s="20"/>
      <c r="AX44" s="20"/>
      <c r="AY44" s="20"/>
      <c r="AZ44" s="20"/>
      <c r="BD44" s="1248" t="s">
        <v>2534</v>
      </c>
      <c r="BE44" s="1249">
        <f>Application!AC454</f>
        <v>570475.80799999996</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2535</v>
      </c>
      <c r="BE45" s="1249">
        <f>Application!AE424</f>
        <v>4</v>
      </c>
    </row>
    <row r="46" spans="1:57" ht="13" customHeight="1">
      <c r="A46" s="1332" t="s">
        <v>2151</v>
      </c>
      <c r="B46" s="1332"/>
      <c r="C46" s="1332"/>
      <c r="D46" s="1332"/>
      <c r="E46" s="1332"/>
      <c r="F46" s="1332"/>
      <c r="G46" s="1332"/>
      <c r="H46" s="1332"/>
      <c r="I46" s="1332"/>
      <c r="J46" s="1332"/>
      <c r="K46" s="1332"/>
      <c r="L46" s="1332"/>
      <c r="M46" s="1332"/>
      <c r="N46" s="1332"/>
      <c r="O46" s="1332"/>
      <c r="P46" s="1332"/>
      <c r="Q46" s="1332"/>
      <c r="R46" s="1332"/>
      <c r="S46" s="1332"/>
      <c r="T46" s="1332"/>
      <c r="U46" s="1332"/>
      <c r="V46" s="1332"/>
      <c r="W46" s="1332"/>
      <c r="X46" s="1332"/>
      <c r="Y46" s="1332"/>
      <c r="Z46" s="1332"/>
      <c r="AA46" s="1332"/>
      <c r="AB46" s="1332"/>
      <c r="AC46" s="1332"/>
      <c r="AD46" s="1332"/>
      <c r="AE46" s="1332"/>
      <c r="AF46" s="1332"/>
      <c r="AG46" s="1332"/>
      <c r="AH46" s="1332"/>
      <c r="AI46" s="1332"/>
      <c r="AJ46" s="1332"/>
      <c r="AK46" s="1332"/>
      <c r="AL46" s="1332"/>
      <c r="AM46" s="1332"/>
      <c r="AN46" s="1332"/>
      <c r="AO46" s="1332"/>
      <c r="AP46" s="1332"/>
      <c r="AQ46" s="1332"/>
      <c r="AR46" s="1332"/>
      <c r="AS46" s="1332"/>
      <c r="AT46" s="1332"/>
      <c r="AU46" s="20"/>
      <c r="AV46" s="20"/>
      <c r="AW46" s="20"/>
      <c r="AX46" s="20"/>
      <c r="AY46" s="20"/>
      <c r="AZ46" s="20"/>
      <c r="BD46" s="1248" t="s">
        <v>2536</v>
      </c>
      <c r="BE46" s="1249" t="b">
        <f>Application!T195="Yes"</f>
        <v>1</v>
      </c>
    </row>
    <row r="47" spans="1:57" ht="13" customHeight="1">
      <c r="A47" s="1332"/>
      <c r="B47" s="1332"/>
      <c r="C47" s="1332"/>
      <c r="D47" s="1332"/>
      <c r="E47" s="1332"/>
      <c r="F47" s="1332"/>
      <c r="G47" s="1332"/>
      <c r="H47" s="1332"/>
      <c r="I47" s="1332"/>
      <c r="J47" s="1332"/>
      <c r="K47" s="1332"/>
      <c r="L47" s="1332"/>
      <c r="M47" s="1332"/>
      <c r="N47" s="1332"/>
      <c r="O47" s="1332"/>
      <c r="P47" s="1332"/>
      <c r="Q47" s="1332"/>
      <c r="R47" s="1332"/>
      <c r="S47" s="1332"/>
      <c r="T47" s="1332"/>
      <c r="U47" s="1332"/>
      <c r="V47" s="1332"/>
      <c r="W47" s="1332"/>
      <c r="X47" s="1332"/>
      <c r="Y47" s="1332"/>
      <c r="Z47" s="1332"/>
      <c r="AA47" s="1332"/>
      <c r="AB47" s="1332"/>
      <c r="AC47" s="1332"/>
      <c r="AD47" s="1332"/>
      <c r="AE47" s="1332"/>
      <c r="AF47" s="1332"/>
      <c r="AG47" s="1332"/>
      <c r="AH47" s="1332"/>
      <c r="AI47" s="1332"/>
      <c r="AJ47" s="1332"/>
      <c r="AK47" s="1332"/>
      <c r="AL47" s="1332"/>
      <c r="AM47" s="1332"/>
      <c r="AN47" s="1332"/>
      <c r="AO47" s="1332"/>
      <c r="AP47" s="1332"/>
      <c r="AQ47" s="1332"/>
      <c r="AR47" s="1332"/>
      <c r="AS47" s="1332"/>
      <c r="AT47" s="1332"/>
      <c r="AU47" s="20"/>
      <c r="AV47" s="20"/>
      <c r="AW47" s="20"/>
      <c r="AX47" s="20"/>
      <c r="AY47" s="20"/>
      <c r="AZ47" s="20"/>
      <c r="BD47" s="1247" t="s">
        <v>2537</v>
      </c>
      <c r="BE47" s="1249" t="b">
        <f>Application!T196="Yes"</f>
        <v>0</v>
      </c>
    </row>
    <row r="48" spans="1:57" ht="13" customHeight="1">
      <c r="A48" s="1332"/>
      <c r="B48" s="1332"/>
      <c r="C48" s="1332"/>
      <c r="D48" s="1332"/>
      <c r="E48" s="1332"/>
      <c r="F48" s="1332"/>
      <c r="G48" s="1332"/>
      <c r="H48" s="1332"/>
      <c r="I48" s="1332"/>
      <c r="J48" s="1332"/>
      <c r="K48" s="1332"/>
      <c r="L48" s="1332"/>
      <c r="M48" s="1332"/>
      <c r="N48" s="1332"/>
      <c r="O48" s="1332"/>
      <c r="P48" s="1332"/>
      <c r="Q48" s="1332"/>
      <c r="R48" s="1332"/>
      <c r="S48" s="1332"/>
      <c r="T48" s="1332"/>
      <c r="U48" s="1332"/>
      <c r="V48" s="1332"/>
      <c r="W48" s="1332"/>
      <c r="X48" s="1332"/>
      <c r="Y48" s="1332"/>
      <c r="Z48" s="1332"/>
      <c r="AA48" s="1332"/>
      <c r="AB48" s="1332"/>
      <c r="AC48" s="1332"/>
      <c r="AD48" s="1332"/>
      <c r="AE48" s="1332"/>
      <c r="AF48" s="1332"/>
      <c r="AG48" s="1332"/>
      <c r="AH48" s="1332"/>
      <c r="AI48" s="1332"/>
      <c r="AJ48" s="1332"/>
      <c r="AK48" s="1332"/>
      <c r="AL48" s="1332"/>
      <c r="AM48" s="1332"/>
      <c r="AN48" s="1332"/>
      <c r="AO48" s="1332"/>
      <c r="AP48" s="1332"/>
      <c r="AQ48" s="1332"/>
      <c r="AR48" s="1332"/>
      <c r="AS48" s="1332"/>
      <c r="AT48" s="1332"/>
      <c r="AU48" s="20"/>
      <c r="AV48" s="20"/>
      <c r="AW48" s="20"/>
      <c r="AX48" s="20"/>
      <c r="AY48" s="20"/>
      <c r="AZ48" s="20"/>
      <c r="BD48" s="1248" t="s">
        <v>2538</v>
      </c>
      <c r="BE48" s="1249" t="str">
        <f>Application!M243</f>
        <v>Marinwood GP, L.L.C.</v>
      </c>
    </row>
    <row r="49" spans="1:57" ht="13" customHeight="1">
      <c r="A49" s="1332"/>
      <c r="B49" s="1332"/>
      <c r="C49" s="1332"/>
      <c r="D49" s="1332"/>
      <c r="E49" s="1332"/>
      <c r="F49" s="1332"/>
      <c r="G49" s="1332"/>
      <c r="H49" s="1332"/>
      <c r="I49" s="1332"/>
      <c r="J49" s="1332"/>
      <c r="K49" s="1332"/>
      <c r="L49" s="1332"/>
      <c r="M49" s="1332"/>
      <c r="N49" s="1332"/>
      <c r="O49" s="1332"/>
      <c r="P49" s="1332"/>
      <c r="Q49" s="1332"/>
      <c r="R49" s="1332"/>
      <c r="S49" s="1332"/>
      <c r="T49" s="1332"/>
      <c r="U49" s="1332"/>
      <c r="V49" s="1332"/>
      <c r="W49" s="1332"/>
      <c r="X49" s="1332"/>
      <c r="Y49" s="1332"/>
      <c r="Z49" s="1332"/>
      <c r="AA49" s="1332"/>
      <c r="AB49" s="1332"/>
      <c r="AC49" s="1332"/>
      <c r="AD49" s="1332"/>
      <c r="AE49" s="1332"/>
      <c r="AF49" s="1332"/>
      <c r="AG49" s="1332"/>
      <c r="AH49" s="1332"/>
      <c r="AI49" s="1332"/>
      <c r="AJ49" s="1332"/>
      <c r="AK49" s="1332"/>
      <c r="AL49" s="1332"/>
      <c r="AM49" s="1332"/>
      <c r="AN49" s="1332"/>
      <c r="AO49" s="1332"/>
      <c r="AP49" s="1332"/>
      <c r="AQ49" s="1332"/>
      <c r="AR49" s="1332"/>
      <c r="AS49" s="1332"/>
      <c r="AT49" s="1332"/>
      <c r="AU49" s="20"/>
      <c r="AV49" s="20"/>
      <c r="AW49" s="20"/>
      <c r="AX49" s="20"/>
      <c r="AY49" s="20"/>
      <c r="AZ49" s="20"/>
      <c r="BD49" s="1247" t="s">
        <v>2539</v>
      </c>
      <c r="BE49" s="1249" t="str">
        <f>Application!M246</f>
        <v>Kevin Fitzpatrick</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2540</v>
      </c>
      <c r="BE50" s="1249" t="str">
        <f>Application!AA249</f>
        <v>Impact Residential Development, LLC</v>
      </c>
    </row>
    <row r="51" spans="1:57" ht="13" customHeight="1">
      <c r="A51" s="1264" t="s">
        <v>2152</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
      <c r="AV51" s="20"/>
      <c r="AW51" s="20"/>
      <c r="AX51" s="20"/>
      <c r="AY51" s="20"/>
      <c r="AZ51" s="20"/>
      <c r="BD51" s="1247" t="s">
        <v>2541</v>
      </c>
      <c r="BE51" s="1249" t="str">
        <f>Application!M251</f>
        <v>PACH San Jose Holding LLC</v>
      </c>
    </row>
    <row r="52" spans="1:57" ht="13" customHeight="1">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
      <c r="AV52" s="20"/>
      <c r="AW52" s="20"/>
      <c r="AX52" s="20"/>
      <c r="AY52" s="20"/>
      <c r="AZ52" s="20"/>
      <c r="BD52" s="1248" t="s">
        <v>2542</v>
      </c>
      <c r="BE52" s="1249" t="str">
        <f>Application!M254</f>
        <v>Mark Wiese</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2543</v>
      </c>
      <c r="BE53" s="1249" t="str">
        <f>Application!AA257</f>
        <v>Pacific Housing, Inc.</v>
      </c>
    </row>
    <row r="54" spans="1:57" ht="13" customHeight="1">
      <c r="A54" s="1264" t="s">
        <v>2153</v>
      </c>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
      <c r="AV54" s="20"/>
      <c r="AW54" s="20"/>
      <c r="AX54" s="20"/>
      <c r="AY54" s="20"/>
      <c r="AZ54" s="21"/>
      <c r="BD54" s="1248" t="s">
        <v>2544</v>
      </c>
      <c r="BE54" s="1249">
        <f>Application!M259</f>
        <v>0</v>
      </c>
    </row>
    <row r="55" spans="1:57" ht="13" customHeight="1">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Z55" s="21"/>
      <c r="BD55" s="1247" t="s">
        <v>2545</v>
      </c>
      <c r="BE55" s="1249">
        <f>Application!M262</f>
        <v>0</v>
      </c>
    </row>
    <row r="56" spans="1:57" ht="13" customHeight="1">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c r="BD56" s="1248" t="s">
        <v>2546</v>
      </c>
      <c r="BE56" s="1249">
        <f>Application!AA265</f>
        <v>0</v>
      </c>
    </row>
    <row r="57" spans="1:57" ht="13" customHeight="1">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c r="BD57" s="1247" t="s">
        <v>2547</v>
      </c>
      <c r="BE57" s="1249" t="str">
        <f>Application!H287</f>
        <v xml:space="preserve">Impact Residential Development LLC										</v>
      </c>
    </row>
    <row r="58" spans="1:57" ht="13" customHeight="1">
      <c r="A58" s="1264"/>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c r="BD58" s="1248" t="s">
        <v>2548</v>
      </c>
      <c r="BE58" s="1249" t="str">
        <f>Application!H288</f>
        <v>2340 Collins Ave.</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2549</v>
      </c>
      <c r="BE59" s="1249" t="str">
        <f>Application!H289</f>
        <v>Miami Florida, 33139</v>
      </c>
    </row>
    <row r="60" spans="1:57" ht="13" customHeight="1">
      <c r="A60" s="1264" t="s">
        <v>2154</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20"/>
      <c r="AV60" s="20"/>
      <c r="AW60" s="20"/>
      <c r="AX60" s="20"/>
      <c r="AY60" s="20"/>
      <c r="AZ60" s="20"/>
      <c r="BD60" s="1248" t="s">
        <v>2550</v>
      </c>
      <c r="BE60" s="1249" t="str">
        <f>Application!H290</f>
        <v>Kevin Fitzpatrick</v>
      </c>
    </row>
    <row r="61" spans="1:57" ht="13" customHeight="1">
      <c r="A61" s="1264"/>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20"/>
      <c r="AV61" s="20"/>
      <c r="AW61" s="20"/>
      <c r="AX61" s="20"/>
      <c r="AY61" s="20"/>
      <c r="AZ61" s="20"/>
      <c r="BD61" s="1247" t="s">
        <v>2551</v>
      </c>
      <c r="BE61" s="1249" t="str">
        <f>Application!H293</f>
        <v>kfitzpatrick@impactresidential.com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2552</v>
      </c>
      <c r="BE62" s="1252">
        <f>'Basis &amp; Credits'!AB50</f>
        <v>0.89990993283799148</v>
      </c>
    </row>
    <row r="63" spans="1:57" ht="13"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2553</v>
      </c>
      <c r="BE64" s="1249" t="str">
        <f>Application!X180</f>
        <v>No</v>
      </c>
    </row>
    <row r="65" spans="1:57" ht="13" customHeight="1">
      <c r="A65" s="1532" t="s">
        <v>2156</v>
      </c>
      <c r="B65" s="1532"/>
      <c r="C65" s="1532"/>
      <c r="D65" s="1532"/>
      <c r="E65" s="1532"/>
      <c r="F65" s="1532"/>
      <c r="G65" s="1532"/>
      <c r="H65" s="1532"/>
      <c r="I65" s="1532"/>
      <c r="J65" s="1532"/>
      <c r="K65" s="1532"/>
      <c r="L65" s="1532"/>
      <c r="M65" s="1532"/>
      <c r="N65" s="1532"/>
      <c r="O65" s="1532"/>
      <c r="P65" s="1532"/>
      <c r="Q65" s="1532"/>
      <c r="R65" s="1532"/>
      <c r="S65" s="1532"/>
      <c r="T65" s="1532"/>
      <c r="U65" s="1532"/>
      <c r="V65" s="1532"/>
      <c r="W65" s="1532"/>
      <c r="X65" s="1532"/>
      <c r="Y65" s="1532"/>
      <c r="Z65" s="1532"/>
      <c r="AA65" s="1532"/>
      <c r="AB65" s="1532"/>
      <c r="AC65" s="1532"/>
      <c r="AD65" s="1532"/>
      <c r="AE65" s="1532"/>
      <c r="AF65" s="1532"/>
      <c r="AG65" s="1532"/>
      <c r="AH65" s="1532"/>
      <c r="AI65" s="1532"/>
      <c r="AJ65" s="1532"/>
      <c r="AK65" s="1532"/>
      <c r="AL65" s="1532"/>
      <c r="AM65" s="1532"/>
      <c r="AN65" s="1532"/>
      <c r="AO65" s="1532"/>
      <c r="AP65" s="1532"/>
      <c r="AQ65" s="1532"/>
      <c r="AR65" s="1532"/>
      <c r="AS65" s="1532"/>
      <c r="AT65" s="1532"/>
      <c r="AU65" s="21"/>
      <c r="AV65" s="21"/>
      <c r="AW65" s="21"/>
      <c r="AX65" s="21"/>
      <c r="AY65" s="21"/>
      <c r="AZ65" s="20"/>
      <c r="BD65" s="1247" t="s">
        <v>2589</v>
      </c>
      <c r="BE65" s="1249" t="str">
        <f>Z205</f>
        <v>(select)</v>
      </c>
    </row>
    <row r="66" spans="1:57" ht="13" customHeight="1">
      <c r="A66" s="1532"/>
      <c r="B66" s="1532"/>
      <c r="C66" s="1532"/>
      <c r="D66" s="1532"/>
      <c r="E66" s="1532"/>
      <c r="F66" s="1532"/>
      <c r="G66" s="1532"/>
      <c r="H66" s="1532"/>
      <c r="I66" s="1532"/>
      <c r="J66" s="1532"/>
      <c r="K66" s="1532"/>
      <c r="L66" s="1532"/>
      <c r="M66" s="1532"/>
      <c r="N66" s="1532"/>
      <c r="O66" s="1532"/>
      <c r="P66" s="1532"/>
      <c r="Q66" s="1532"/>
      <c r="R66" s="1532"/>
      <c r="S66" s="1532"/>
      <c r="T66" s="1532"/>
      <c r="U66" s="1532"/>
      <c r="V66" s="1532"/>
      <c r="W66" s="1532"/>
      <c r="X66" s="1532"/>
      <c r="Y66" s="1532"/>
      <c r="Z66" s="1532"/>
      <c r="AA66" s="1532"/>
      <c r="AB66" s="1532"/>
      <c r="AC66" s="1532"/>
      <c r="AD66" s="1532"/>
      <c r="AE66" s="1532"/>
      <c r="AF66" s="1532"/>
      <c r="AG66" s="1532"/>
      <c r="AH66" s="1532"/>
      <c r="AI66" s="1532"/>
      <c r="AJ66" s="1532"/>
      <c r="AK66" s="1532"/>
      <c r="AL66" s="1532"/>
      <c r="AM66" s="1532"/>
      <c r="AN66" s="1532"/>
      <c r="AO66" s="1532"/>
      <c r="AP66" s="1532"/>
      <c r="AQ66" s="1532"/>
      <c r="AR66" s="1532"/>
      <c r="AS66" s="1532"/>
      <c r="AT66" s="1532"/>
      <c r="AU66" s="21"/>
      <c r="AV66" s="21"/>
      <c r="AW66" s="21"/>
      <c r="AX66" s="21"/>
      <c r="AY66" s="21"/>
      <c r="AZ66" s="20"/>
      <c r="BD66" s="1248" t="s">
        <v>2554</v>
      </c>
      <c r="BE66" s="1249" t="b">
        <f>Application!Z205="State Farmworker Credit"</f>
        <v>0</v>
      </c>
    </row>
    <row r="67" spans="1:57" ht="13" customHeight="1">
      <c r="A67" s="1532"/>
      <c r="B67" s="1532"/>
      <c r="C67" s="1532"/>
      <c r="D67" s="1532"/>
      <c r="E67" s="1532"/>
      <c r="F67" s="1532"/>
      <c r="G67" s="1532"/>
      <c r="H67" s="1532"/>
      <c r="I67" s="1532"/>
      <c r="J67" s="1532"/>
      <c r="K67" s="1532"/>
      <c r="L67" s="1532"/>
      <c r="M67" s="1532"/>
      <c r="N67" s="1532"/>
      <c r="O67" s="1532"/>
      <c r="P67" s="1532"/>
      <c r="Q67" s="1532"/>
      <c r="R67" s="1532"/>
      <c r="S67" s="1532"/>
      <c r="T67" s="1532"/>
      <c r="U67" s="1532"/>
      <c r="V67" s="1532"/>
      <c r="W67" s="1532"/>
      <c r="X67" s="1532"/>
      <c r="Y67" s="1532"/>
      <c r="Z67" s="1532"/>
      <c r="AA67" s="1532"/>
      <c r="AB67" s="1532"/>
      <c r="AC67" s="1532"/>
      <c r="AD67" s="1532"/>
      <c r="AE67" s="1532"/>
      <c r="AF67" s="1532"/>
      <c r="AG67" s="1532"/>
      <c r="AH67" s="1532"/>
      <c r="AI67" s="1532"/>
      <c r="AJ67" s="1532"/>
      <c r="AK67" s="1532"/>
      <c r="AL67" s="1532"/>
      <c r="AM67" s="1532"/>
      <c r="AN67" s="1532"/>
      <c r="AO67" s="1532"/>
      <c r="AP67" s="1532"/>
      <c r="AQ67" s="1532"/>
      <c r="AR67" s="1532"/>
      <c r="AS67" s="1532"/>
      <c r="AT67" s="1532"/>
      <c r="AZ67" s="20"/>
      <c r="BD67" s="1247" t="s">
        <v>2555</v>
      </c>
      <c r="BE67" s="1249"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2556</v>
      </c>
      <c r="BE68" s="1249">
        <f>'Sources and Uses Budget'!D105</f>
        <v>150000</v>
      </c>
    </row>
    <row r="69" spans="1:57" ht="13" customHeight="1">
      <c r="A69" s="1532" t="s">
        <v>2157</v>
      </c>
      <c r="B69" s="1532"/>
      <c r="C69" s="1532"/>
      <c r="D69" s="1532"/>
      <c r="E69" s="1532"/>
      <c r="F69" s="1532"/>
      <c r="G69" s="1532"/>
      <c r="H69" s="1532"/>
      <c r="I69" s="1532"/>
      <c r="J69" s="1532"/>
      <c r="K69" s="1532"/>
      <c r="L69" s="1532"/>
      <c r="M69" s="1532"/>
      <c r="N69" s="1532"/>
      <c r="O69" s="1532"/>
      <c r="P69" s="1532"/>
      <c r="Q69" s="1532"/>
      <c r="R69" s="1532"/>
      <c r="S69" s="1532"/>
      <c r="T69" s="1532"/>
      <c r="U69" s="1532"/>
      <c r="V69" s="1532"/>
      <c r="W69" s="1532"/>
      <c r="X69" s="1532"/>
      <c r="Y69" s="1532"/>
      <c r="Z69" s="1532"/>
      <c r="AA69" s="1532"/>
      <c r="AB69" s="1532"/>
      <c r="AC69" s="1532"/>
      <c r="AD69" s="1532"/>
      <c r="AE69" s="1532"/>
      <c r="AF69" s="1532"/>
      <c r="AG69" s="1532"/>
      <c r="AH69" s="1532"/>
      <c r="AI69" s="1532"/>
      <c r="AJ69" s="1532"/>
      <c r="AK69" s="1532"/>
      <c r="AL69" s="1532"/>
      <c r="AM69" s="1532"/>
      <c r="AN69" s="1532"/>
      <c r="AO69" s="1532"/>
      <c r="AP69" s="1532"/>
      <c r="AQ69" s="1532"/>
      <c r="AR69" s="1532"/>
      <c r="AS69" s="1532"/>
      <c r="AT69" s="1532"/>
      <c r="AZ69" s="20"/>
      <c r="BD69" s="1247" t="s">
        <v>2557</v>
      </c>
      <c r="BE69" s="1249" t="str">
        <f>Application!W700</f>
        <v xml:space="preserve">CalHFA										</v>
      </c>
    </row>
    <row r="70" spans="1:57" ht="13" customHeight="1">
      <c r="A70" s="1532"/>
      <c r="B70" s="1532"/>
      <c r="C70" s="1532"/>
      <c r="D70" s="1532"/>
      <c r="E70" s="1532"/>
      <c r="F70" s="1532"/>
      <c r="G70" s="1532"/>
      <c r="H70" s="1532"/>
      <c r="I70" s="1532"/>
      <c r="J70" s="1532"/>
      <c r="K70" s="1532"/>
      <c r="L70" s="1532"/>
      <c r="M70" s="1532"/>
      <c r="N70" s="1532"/>
      <c r="O70" s="1532"/>
      <c r="P70" s="1532"/>
      <c r="Q70" s="1532"/>
      <c r="R70" s="1532"/>
      <c r="S70" s="1532"/>
      <c r="T70" s="1532"/>
      <c r="U70" s="1532"/>
      <c r="V70" s="1532"/>
      <c r="W70" s="1532"/>
      <c r="X70" s="1532"/>
      <c r="Y70" s="1532"/>
      <c r="Z70" s="1532"/>
      <c r="AA70" s="1532"/>
      <c r="AB70" s="1532"/>
      <c r="AC70" s="1532"/>
      <c r="AD70" s="1532"/>
      <c r="AE70" s="1532"/>
      <c r="AF70" s="1532"/>
      <c r="AG70" s="1532"/>
      <c r="AH70" s="1532"/>
      <c r="AI70" s="1532"/>
      <c r="AJ70" s="1532"/>
      <c r="AK70" s="1532"/>
      <c r="AL70" s="1532"/>
      <c r="AM70" s="1532"/>
      <c r="AN70" s="1532"/>
      <c r="AO70" s="1532"/>
      <c r="AP70" s="1532"/>
      <c r="AQ70" s="1532"/>
      <c r="AR70" s="1532"/>
      <c r="AS70" s="1532"/>
      <c r="AT70" s="1532"/>
      <c r="AU70" s="20"/>
      <c r="AV70" s="20"/>
      <c r="AW70" s="20"/>
      <c r="AX70" s="20"/>
      <c r="AY70" s="20"/>
      <c r="AZ70" s="20"/>
      <c r="BD70" s="1248" t="s">
        <v>2558</v>
      </c>
      <c r="BE70" s="1249">
        <f ca="1">'Points System'!AF821</f>
        <v>120</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2559</v>
      </c>
      <c r="BE71" s="1249">
        <f>'Points System'!AF804</f>
        <v>0</v>
      </c>
    </row>
    <row r="72" spans="1:57" ht="13" customHeight="1">
      <c r="A72" s="1528" t="s">
        <v>2158</v>
      </c>
      <c r="B72" s="1528"/>
      <c r="C72" s="1528"/>
      <c r="D72" s="1528"/>
      <c r="E72" s="1528"/>
      <c r="F72" s="1528"/>
      <c r="G72" s="1528"/>
      <c r="H72" s="1528"/>
      <c r="I72" s="1528"/>
      <c r="J72" s="1528"/>
      <c r="K72" s="1528"/>
      <c r="L72" s="1528"/>
      <c r="M72" s="1528"/>
      <c r="N72" s="1528"/>
      <c r="O72" s="1528"/>
      <c r="P72" s="1528"/>
      <c r="Q72" s="1528"/>
      <c r="R72" s="1528"/>
      <c r="S72" s="1528"/>
      <c r="T72" s="1528"/>
      <c r="U72" s="1528"/>
      <c r="V72" s="1528"/>
      <c r="W72" s="1528"/>
      <c r="X72" s="1528"/>
      <c r="Y72" s="1528"/>
      <c r="Z72" s="1528"/>
      <c r="AA72" s="1528"/>
      <c r="AB72" s="1528"/>
      <c r="AC72" s="1528"/>
      <c r="AD72" s="1528"/>
      <c r="AE72" s="1528"/>
      <c r="AF72" s="1528"/>
      <c r="AG72" s="1528"/>
      <c r="AH72" s="1528"/>
      <c r="AI72" s="1528"/>
      <c r="AJ72" s="1528"/>
      <c r="AK72" s="1528"/>
      <c r="AL72" s="1528"/>
      <c r="AM72" s="1528"/>
      <c r="AN72" s="1528"/>
      <c r="AO72" s="1528"/>
      <c r="AP72" s="1528"/>
      <c r="AQ72" s="1528"/>
      <c r="AR72" s="1528"/>
      <c r="AS72" s="1528"/>
      <c r="AT72" s="1528"/>
      <c r="AU72" s="20"/>
      <c r="AV72" s="20"/>
      <c r="AW72" s="20"/>
      <c r="AX72" s="20"/>
      <c r="AY72" s="20"/>
      <c r="AZ72" s="20"/>
      <c r="BD72" s="1248" t="s">
        <v>2560</v>
      </c>
      <c r="BE72" s="1249">
        <f>'Points System'!AF805</f>
        <v>10</v>
      </c>
    </row>
    <row r="73" spans="1:57" ht="13" customHeight="1">
      <c r="A73" s="1528"/>
      <c r="B73" s="1528"/>
      <c r="C73" s="1528"/>
      <c r="D73" s="1528"/>
      <c r="E73" s="1528"/>
      <c r="F73" s="1528"/>
      <c r="G73" s="1528"/>
      <c r="H73" s="1528"/>
      <c r="I73" s="1528"/>
      <c r="J73" s="1528"/>
      <c r="K73" s="1528"/>
      <c r="L73" s="1528"/>
      <c r="M73" s="1528"/>
      <c r="N73" s="1528"/>
      <c r="O73" s="1528"/>
      <c r="P73" s="1528"/>
      <c r="Q73" s="1528"/>
      <c r="R73" s="1528"/>
      <c r="S73" s="1528"/>
      <c r="T73" s="1528"/>
      <c r="U73" s="1528"/>
      <c r="V73" s="1528"/>
      <c r="W73" s="1528"/>
      <c r="X73" s="1528"/>
      <c r="Y73" s="1528"/>
      <c r="Z73" s="1528"/>
      <c r="AA73" s="1528"/>
      <c r="AB73" s="1528"/>
      <c r="AC73" s="1528"/>
      <c r="AD73" s="1528"/>
      <c r="AE73" s="1528"/>
      <c r="AF73" s="1528"/>
      <c r="AG73" s="1528"/>
      <c r="AH73" s="1528"/>
      <c r="AI73" s="1528"/>
      <c r="AJ73" s="1528"/>
      <c r="AK73" s="1528"/>
      <c r="AL73" s="1528"/>
      <c r="AM73" s="1528"/>
      <c r="AN73" s="1528"/>
      <c r="AO73" s="1528"/>
      <c r="AP73" s="1528"/>
      <c r="AQ73" s="1528"/>
      <c r="AR73" s="1528"/>
      <c r="AS73" s="1528"/>
      <c r="AT73" s="1528"/>
      <c r="AU73" s="20"/>
      <c r="AV73" s="20"/>
      <c r="AW73" s="20"/>
      <c r="AX73" s="20"/>
      <c r="AY73" s="20"/>
      <c r="AZ73" s="20"/>
      <c r="BD73" s="1247" t="s">
        <v>2561</v>
      </c>
      <c r="BE73" s="1249">
        <f ca="1">'Points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2562</v>
      </c>
      <c r="BE74" s="1249">
        <f>'Points System'!AF807</f>
        <v>10</v>
      </c>
    </row>
    <row r="75" spans="1:57" ht="13" customHeight="1">
      <c r="A75" s="1531" t="s">
        <v>2159</v>
      </c>
      <c r="B75" s="1531"/>
      <c r="C75" s="1531"/>
      <c r="D75" s="1531"/>
      <c r="E75" s="1531"/>
      <c r="F75" s="1531"/>
      <c r="G75" s="1531"/>
      <c r="H75" s="1531"/>
      <c r="I75" s="1531"/>
      <c r="J75" s="1531"/>
      <c r="K75" s="1531"/>
      <c r="L75" s="1531"/>
      <c r="M75" s="1531"/>
      <c r="N75" s="1531"/>
      <c r="O75" s="1531"/>
      <c r="P75" s="1531"/>
      <c r="Q75" s="1531"/>
      <c r="R75" s="1531"/>
      <c r="S75" s="1531"/>
      <c r="T75" s="1531"/>
      <c r="U75" s="1531"/>
      <c r="V75" s="1531"/>
      <c r="W75" s="1531"/>
      <c r="X75" s="1531"/>
      <c r="Y75" s="1531"/>
      <c r="Z75" s="1531"/>
      <c r="AA75" s="1531"/>
      <c r="AB75" s="1531"/>
      <c r="AC75" s="1531"/>
      <c r="AD75" s="1531"/>
      <c r="AE75" s="1531"/>
      <c r="AF75" s="1531"/>
      <c r="AG75" s="1531"/>
      <c r="AH75" s="1531"/>
      <c r="AI75" s="1531"/>
      <c r="AJ75" s="1531"/>
      <c r="AK75" s="1531"/>
      <c r="AL75" s="1531"/>
      <c r="AM75" s="1531"/>
      <c r="AN75" s="1531"/>
      <c r="AO75" s="1531"/>
      <c r="AP75" s="1531"/>
      <c r="AQ75" s="1531"/>
      <c r="AR75" s="1531"/>
      <c r="AS75" s="1531"/>
      <c r="AT75" s="1531"/>
      <c r="AU75" s="20"/>
      <c r="AV75" s="20"/>
      <c r="AW75" s="20"/>
      <c r="AX75" s="20"/>
      <c r="AY75" s="20"/>
      <c r="AZ75" s="20"/>
      <c r="BD75" s="1247" t="s">
        <v>2563</v>
      </c>
      <c r="BE75" s="1249">
        <f>'Points System'!AF808</f>
        <v>10</v>
      </c>
    </row>
    <row r="76" spans="1:57" ht="13" customHeight="1">
      <c r="A76" s="1531"/>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1531"/>
      <c r="AD76" s="1531"/>
      <c r="AE76" s="1531"/>
      <c r="AF76" s="1531"/>
      <c r="AG76" s="1531"/>
      <c r="AH76" s="1531"/>
      <c r="AI76" s="1531"/>
      <c r="AJ76" s="1531"/>
      <c r="AK76" s="1531"/>
      <c r="AL76" s="1531"/>
      <c r="AM76" s="1531"/>
      <c r="AN76" s="1531"/>
      <c r="AO76" s="1531"/>
      <c r="AP76" s="1531"/>
      <c r="AQ76" s="1531"/>
      <c r="AR76" s="1531"/>
      <c r="AS76" s="1531"/>
      <c r="AT76" s="1531"/>
      <c r="AU76" s="20"/>
      <c r="AV76" s="20"/>
      <c r="AW76" s="20"/>
      <c r="AX76" s="20"/>
      <c r="AY76" s="20"/>
      <c r="AZ76" s="17"/>
      <c r="BD76" s="1248" t="s">
        <v>2564</v>
      </c>
      <c r="BE76" s="1249">
        <f>'Points System'!AF811</f>
        <v>10</v>
      </c>
    </row>
    <row r="77" spans="1:57" ht="13" customHeight="1">
      <c r="A77" s="1531"/>
      <c r="B77" s="1531"/>
      <c r="C77" s="1531"/>
      <c r="D77" s="1531"/>
      <c r="E77" s="1531"/>
      <c r="F77" s="1531"/>
      <c r="G77" s="1531"/>
      <c r="H77" s="1531"/>
      <c r="I77" s="1531"/>
      <c r="J77" s="1531"/>
      <c r="K77" s="1531"/>
      <c r="L77" s="1531"/>
      <c r="M77" s="1531"/>
      <c r="N77" s="1531"/>
      <c r="O77" s="1531"/>
      <c r="P77" s="1531"/>
      <c r="Q77" s="1531"/>
      <c r="R77" s="1531"/>
      <c r="S77" s="1531"/>
      <c r="T77" s="1531"/>
      <c r="U77" s="1531"/>
      <c r="V77" s="1531"/>
      <c r="W77" s="1531"/>
      <c r="X77" s="1531"/>
      <c r="Y77" s="1531"/>
      <c r="Z77" s="1531"/>
      <c r="AA77" s="1531"/>
      <c r="AB77" s="1531"/>
      <c r="AC77" s="1531"/>
      <c r="AD77" s="1531"/>
      <c r="AE77" s="1531"/>
      <c r="AF77" s="1531"/>
      <c r="AG77" s="1531"/>
      <c r="AH77" s="1531"/>
      <c r="AI77" s="1531"/>
      <c r="AJ77" s="1531"/>
      <c r="AK77" s="1531"/>
      <c r="AL77" s="1531"/>
      <c r="AM77" s="1531"/>
      <c r="AN77" s="1531"/>
      <c r="AO77" s="1531"/>
      <c r="AP77" s="1531"/>
      <c r="AQ77" s="1531"/>
      <c r="AR77" s="1531"/>
      <c r="AS77" s="1531"/>
      <c r="AT77" s="1531"/>
      <c r="AU77" s="20"/>
      <c r="AV77" s="20"/>
      <c r="AW77" s="20"/>
      <c r="AX77" s="20"/>
      <c r="AY77" s="20"/>
      <c r="AZ77" s="17"/>
      <c r="BD77" s="1247" t="s">
        <v>2565</v>
      </c>
      <c r="BE77" s="1249">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2566</v>
      </c>
      <c r="BE78" s="1249">
        <f>'Points System'!AF814</f>
        <v>10</v>
      </c>
    </row>
    <row r="79" spans="1:57" ht="13" customHeight="1">
      <c r="A79" s="1532" t="s">
        <v>2160</v>
      </c>
      <c r="B79" s="1532"/>
      <c r="C79" s="1532"/>
      <c r="D79" s="1532"/>
      <c r="E79" s="1532"/>
      <c r="F79" s="1532"/>
      <c r="G79" s="1532"/>
      <c r="H79" s="1532"/>
      <c r="I79" s="1532"/>
      <c r="J79" s="1532"/>
      <c r="K79" s="1532"/>
      <c r="L79" s="1532"/>
      <c r="M79" s="1532"/>
      <c r="N79" s="1532"/>
      <c r="O79" s="1532"/>
      <c r="P79" s="1532"/>
      <c r="Q79" s="1532"/>
      <c r="R79" s="1532"/>
      <c r="S79" s="1532"/>
      <c r="T79" s="1532"/>
      <c r="U79" s="1532"/>
      <c r="V79" s="1532"/>
      <c r="W79" s="1532"/>
      <c r="X79" s="1532"/>
      <c r="Y79" s="1532"/>
      <c r="Z79" s="1532"/>
      <c r="AA79" s="1532"/>
      <c r="AB79" s="1532"/>
      <c r="AC79" s="1532"/>
      <c r="AD79" s="1532"/>
      <c r="AE79" s="1532"/>
      <c r="AF79" s="1532"/>
      <c r="AG79" s="1532"/>
      <c r="AH79" s="1532"/>
      <c r="AI79" s="1532"/>
      <c r="AJ79" s="1532"/>
      <c r="AK79" s="1532"/>
      <c r="AL79" s="1532"/>
      <c r="AM79" s="1532"/>
      <c r="AN79" s="1532"/>
      <c r="AO79" s="1532"/>
      <c r="AP79" s="1532"/>
      <c r="AQ79" s="1532"/>
      <c r="AR79" s="1532"/>
      <c r="AS79" s="1532"/>
      <c r="AT79" s="1532"/>
      <c r="AU79" s="20"/>
      <c r="AV79" s="20"/>
      <c r="AW79" s="20"/>
      <c r="AX79" s="20"/>
      <c r="AY79" s="20"/>
      <c r="AZ79" s="20"/>
      <c r="BD79" s="1247" t="s">
        <v>2567</v>
      </c>
      <c r="BE79" s="1249">
        <f>'Points System'!AF815</f>
        <v>10</v>
      </c>
    </row>
    <row r="80" spans="1:57" ht="13" customHeight="1">
      <c r="A80" s="1532"/>
      <c r="B80" s="1532"/>
      <c r="C80" s="1532"/>
      <c r="D80" s="1532"/>
      <c r="E80" s="1532"/>
      <c r="F80" s="1532"/>
      <c r="G80" s="1532"/>
      <c r="H80" s="1532"/>
      <c r="I80" s="1532"/>
      <c r="J80" s="1532"/>
      <c r="K80" s="1532"/>
      <c r="L80" s="1532"/>
      <c r="M80" s="1532"/>
      <c r="N80" s="1532"/>
      <c r="O80" s="1532"/>
      <c r="P80" s="1532"/>
      <c r="Q80" s="1532"/>
      <c r="R80" s="1532"/>
      <c r="S80" s="1532"/>
      <c r="T80" s="1532"/>
      <c r="U80" s="1532"/>
      <c r="V80" s="1532"/>
      <c r="W80" s="1532"/>
      <c r="X80" s="1532"/>
      <c r="Y80" s="1532"/>
      <c r="Z80" s="1532"/>
      <c r="AA80" s="1532"/>
      <c r="AB80" s="1532"/>
      <c r="AC80" s="1532"/>
      <c r="AD80" s="1532"/>
      <c r="AE80" s="1532"/>
      <c r="AF80" s="1532"/>
      <c r="AG80" s="1532"/>
      <c r="AH80" s="1532"/>
      <c r="AI80" s="1532"/>
      <c r="AJ80" s="1532"/>
      <c r="AK80" s="1532"/>
      <c r="AL80" s="1532"/>
      <c r="AM80" s="1532"/>
      <c r="AN80" s="1532"/>
      <c r="AO80" s="1532"/>
      <c r="AP80" s="1532"/>
      <c r="AQ80" s="1532"/>
      <c r="AR80" s="1532"/>
      <c r="AS80" s="1532"/>
      <c r="AT80" s="1532"/>
      <c r="AU80" s="20"/>
      <c r="AV80" s="20"/>
      <c r="AW80" s="20"/>
      <c r="AX80" s="20"/>
      <c r="AY80" s="20"/>
      <c r="AZ80" s="20"/>
      <c r="BD80" s="1248" t="s">
        <v>2568</v>
      </c>
      <c r="BE80" s="1249">
        <f>'Points System'!AF817</f>
        <v>10</v>
      </c>
    </row>
    <row r="81" spans="1:57" ht="13" customHeight="1">
      <c r="A81" s="1532"/>
      <c r="B81" s="1532"/>
      <c r="C81" s="1532"/>
      <c r="D81" s="1532"/>
      <c r="E81" s="1532"/>
      <c r="F81" s="1532"/>
      <c r="G81" s="1532"/>
      <c r="H81" s="1532"/>
      <c r="I81" s="1532"/>
      <c r="J81" s="1532"/>
      <c r="K81" s="1532"/>
      <c r="L81" s="1532"/>
      <c r="M81" s="1532"/>
      <c r="N81" s="1532"/>
      <c r="O81" s="1532"/>
      <c r="P81" s="1532"/>
      <c r="Q81" s="1532"/>
      <c r="R81" s="1532"/>
      <c r="S81" s="1532"/>
      <c r="T81" s="1532"/>
      <c r="U81" s="1532"/>
      <c r="V81" s="1532"/>
      <c r="W81" s="1532"/>
      <c r="X81" s="1532"/>
      <c r="Y81" s="1532"/>
      <c r="Z81" s="1532"/>
      <c r="AA81" s="1532"/>
      <c r="AB81" s="1532"/>
      <c r="AC81" s="1532"/>
      <c r="AD81" s="1532"/>
      <c r="AE81" s="1532"/>
      <c r="AF81" s="1532"/>
      <c r="AG81" s="1532"/>
      <c r="AH81" s="1532"/>
      <c r="AI81" s="1532"/>
      <c r="AJ81" s="1532"/>
      <c r="AK81" s="1532"/>
      <c r="AL81" s="1532"/>
      <c r="AM81" s="1532"/>
      <c r="AN81" s="1532"/>
      <c r="AO81" s="1532"/>
      <c r="AP81" s="1532"/>
      <c r="AQ81" s="1532"/>
      <c r="AR81" s="1532"/>
      <c r="AS81" s="1532"/>
      <c r="AT81" s="1532"/>
      <c r="AU81" s="20"/>
      <c r="AV81" s="20"/>
      <c r="AW81" s="20"/>
      <c r="AX81" s="20"/>
      <c r="AY81" s="20"/>
      <c r="AZ81" s="20"/>
      <c r="BD81" s="1247" t="s">
        <v>2569</v>
      </c>
      <c r="BE81" s="1249">
        <f>'Points System'!AF818</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2570</v>
      </c>
      <c r="BE82" s="1249">
        <f>'Points System'!AF819</f>
        <v>10</v>
      </c>
    </row>
    <row r="83" spans="1:57" ht="13" customHeight="1">
      <c r="A83" s="1264" t="s">
        <v>2161</v>
      </c>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20"/>
      <c r="AV83" s="20"/>
      <c r="AW83" s="20"/>
      <c r="AX83" s="20"/>
      <c r="AY83" s="20"/>
      <c r="AZ83" s="20"/>
      <c r="BD83" s="1247" t="s">
        <v>2571</v>
      </c>
      <c r="BE83" s="1253">
        <f>'Tie Breaker'!H5</f>
        <v>2.32508965389842</v>
      </c>
    </row>
    <row r="84" spans="1:57" ht="13" customHeight="1">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20"/>
      <c r="AV84" s="20"/>
      <c r="AW84" s="20"/>
      <c r="AX84" s="20"/>
      <c r="AY84" s="20"/>
      <c r="AZ84" s="20"/>
      <c r="BD84" s="1248" t="s">
        <v>2572</v>
      </c>
      <c r="BE84" s="1249" t="str">
        <f>Application!O153</f>
        <v>County of Marin</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2573</v>
      </c>
      <c r="BE85" s="1249" t="str">
        <f>Application!O154</f>
        <v>Sarah Jones</v>
      </c>
    </row>
    <row r="86" spans="1:57" ht="13" customHeight="1">
      <c r="A86" s="1264" t="s">
        <v>2162</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20"/>
      <c r="AV86" s="20"/>
      <c r="AW86" s="20"/>
      <c r="AX86" s="20"/>
      <c r="AY86" s="20"/>
      <c r="AZ86" s="20"/>
      <c r="BD86" s="1248" t="s">
        <v>2574</v>
      </c>
      <c r="BE86" s="1249" t="str">
        <f>Application!O155</f>
        <v>City Manager</v>
      </c>
    </row>
    <row r="87" spans="1:57" ht="13" customHeight="1">
      <c r="A87" s="1264"/>
      <c r="B87" s="1264"/>
      <c r="C87" s="1264"/>
      <c r="D87" s="1264"/>
      <c r="E87" s="126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20"/>
      <c r="AV87" s="20"/>
      <c r="AW87" s="20"/>
      <c r="AX87" s="20"/>
      <c r="AY87" s="20"/>
      <c r="AZ87" s="20"/>
      <c r="BD87" s="1247" t="s">
        <v>2575</v>
      </c>
      <c r="BE87" s="1249" t="str">
        <f>Application!O156</f>
        <v>3501 Civic Center Drive, Suite 308</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2576</v>
      </c>
      <c r="BE88" s="1249" t="str">
        <f>Application!O157</f>
        <v>San Rafael, CA</v>
      </c>
    </row>
    <row r="89" spans="1:57" ht="13" customHeight="1">
      <c r="A89" s="1540" t="s">
        <v>2163</v>
      </c>
      <c r="B89" s="1540"/>
      <c r="C89" s="1540"/>
      <c r="D89" s="1540"/>
      <c r="E89" s="1540"/>
      <c r="F89" s="1540"/>
      <c r="G89" s="1540"/>
      <c r="H89" s="1540"/>
      <c r="I89" s="1540"/>
      <c r="J89" s="1540"/>
      <c r="K89" s="1540"/>
      <c r="L89" s="1540"/>
      <c r="M89" s="1540"/>
      <c r="N89" s="1540"/>
      <c r="O89" s="1540"/>
      <c r="P89" s="1540"/>
      <c r="Q89" s="1540"/>
      <c r="R89" s="1540"/>
      <c r="S89" s="1540"/>
      <c r="T89" s="1540"/>
      <c r="U89" s="1540"/>
      <c r="V89" s="1540"/>
      <c r="W89" s="1540"/>
      <c r="X89" s="1540"/>
      <c r="Y89" s="1540"/>
      <c r="Z89" s="1540"/>
      <c r="AA89" s="1540"/>
      <c r="AB89" s="1540"/>
      <c r="AC89" s="1540"/>
      <c r="AD89" s="1540"/>
      <c r="AE89" s="1540"/>
      <c r="AF89" s="1540"/>
      <c r="AG89" s="1540"/>
      <c r="AH89" s="1540"/>
      <c r="AI89" s="1540"/>
      <c r="AJ89" s="1540"/>
      <c r="AK89" s="1540"/>
      <c r="AL89" s="1540"/>
      <c r="AM89" s="1540"/>
      <c r="AN89" s="1540"/>
      <c r="AO89" s="1540"/>
      <c r="AP89" s="1540"/>
      <c r="AQ89" s="1540"/>
      <c r="AR89" s="1540"/>
      <c r="AS89" s="1540"/>
      <c r="AT89" s="1540"/>
      <c r="AU89" s="17"/>
      <c r="AV89" s="17"/>
      <c r="AW89" s="17"/>
      <c r="AX89" s="17"/>
      <c r="AY89" s="17"/>
      <c r="AZ89" s="20"/>
      <c r="BD89" s="1247" t="s">
        <v>2577</v>
      </c>
      <c r="BE89" s="1249">
        <f>Application!O158</f>
        <v>94903</v>
      </c>
    </row>
    <row r="90" spans="1:57" ht="13" customHeight="1">
      <c r="A90" s="1540"/>
      <c r="B90" s="1540"/>
      <c r="C90" s="1540"/>
      <c r="D90" s="1540"/>
      <c r="E90" s="1540"/>
      <c r="F90" s="1540"/>
      <c r="G90" s="1540"/>
      <c r="H90" s="1540"/>
      <c r="I90" s="1540"/>
      <c r="J90" s="1540"/>
      <c r="K90" s="1540"/>
      <c r="L90" s="1540"/>
      <c r="M90" s="1540"/>
      <c r="N90" s="1540"/>
      <c r="O90" s="1540"/>
      <c r="P90" s="1540"/>
      <c r="Q90" s="1540"/>
      <c r="R90" s="1540"/>
      <c r="S90" s="1540"/>
      <c r="T90" s="1540"/>
      <c r="U90" s="1540"/>
      <c r="V90" s="1540"/>
      <c r="W90" s="1540"/>
      <c r="X90" s="1540"/>
      <c r="Y90" s="1540"/>
      <c r="Z90" s="1540"/>
      <c r="AA90" s="1540"/>
      <c r="AB90" s="1540"/>
      <c r="AC90" s="1540"/>
      <c r="AD90" s="1540"/>
      <c r="AE90" s="1540"/>
      <c r="AF90" s="1540"/>
      <c r="AG90" s="1540"/>
      <c r="AH90" s="1540"/>
      <c r="AI90" s="1540"/>
      <c r="AJ90" s="1540"/>
      <c r="AK90" s="1540"/>
      <c r="AL90" s="1540"/>
      <c r="AM90" s="1540"/>
      <c r="AN90" s="1540"/>
      <c r="AO90" s="1540"/>
      <c r="AP90" s="1540"/>
      <c r="AQ90" s="1540"/>
      <c r="AR90" s="1540"/>
      <c r="AS90" s="1540"/>
      <c r="AT90" s="1540"/>
      <c r="AU90" s="17"/>
      <c r="AV90" s="17"/>
      <c r="AW90" s="17"/>
      <c r="AX90" s="17"/>
      <c r="AY90" s="17"/>
      <c r="AZ90" s="20"/>
      <c r="BD90" s="1248" t="s">
        <v>2578</v>
      </c>
      <c r="BE90" s="1249" t="str">
        <f>Application!H16</f>
        <v>Marinwood Propco,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2579</v>
      </c>
      <c r="BE91" s="1249" t="str">
        <f>Application!M233</f>
        <v xml:space="preserve">2340 Collins Ave.																		</v>
      </c>
    </row>
    <row r="92" spans="1:57" ht="13" customHeight="1">
      <c r="A92" s="1531" t="s">
        <v>2164</v>
      </c>
      <c r="B92" s="1531"/>
      <c r="C92" s="1531"/>
      <c r="D92" s="1531"/>
      <c r="E92" s="1531"/>
      <c r="F92" s="1531"/>
      <c r="G92" s="1531"/>
      <c r="H92" s="1531"/>
      <c r="I92" s="1531"/>
      <c r="J92" s="1531"/>
      <c r="K92" s="1531"/>
      <c r="L92" s="1531"/>
      <c r="M92" s="1531"/>
      <c r="N92" s="1531"/>
      <c r="O92" s="1531"/>
      <c r="P92" s="1531"/>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20"/>
      <c r="AV92" s="20"/>
      <c r="AW92" s="20"/>
      <c r="AX92" s="20"/>
      <c r="AY92" s="20"/>
      <c r="AZ92" s="20"/>
      <c r="BD92" s="1248" t="s">
        <v>2580</v>
      </c>
      <c r="BE92" s="1249" t="str">
        <f>Application!M234</f>
        <v>Miami</v>
      </c>
    </row>
    <row r="93" spans="1:57" ht="13" customHeight="1">
      <c r="A93" s="1531"/>
      <c r="B93" s="1531"/>
      <c r="C93" s="1531"/>
      <c r="D93" s="1531"/>
      <c r="E93" s="1531"/>
      <c r="F93" s="1531"/>
      <c r="G93" s="1531"/>
      <c r="H93" s="1531"/>
      <c r="I93" s="1531"/>
      <c r="J93" s="1531"/>
      <c r="K93" s="1531"/>
      <c r="L93" s="1531"/>
      <c r="M93" s="1531"/>
      <c r="N93" s="1531"/>
      <c r="O93" s="1531"/>
      <c r="P93" s="1531"/>
      <c r="Q93" s="1531"/>
      <c r="R93" s="1531"/>
      <c r="S93" s="1531"/>
      <c r="T93" s="1531"/>
      <c r="U93" s="1531"/>
      <c r="V93" s="1531"/>
      <c r="W93" s="1531"/>
      <c r="X93" s="1531"/>
      <c r="Y93" s="1531"/>
      <c r="Z93" s="1531"/>
      <c r="AA93" s="1531"/>
      <c r="AB93" s="1531"/>
      <c r="AC93" s="1531"/>
      <c r="AD93" s="1531"/>
      <c r="AE93" s="1531"/>
      <c r="AF93" s="1531"/>
      <c r="AG93" s="1531"/>
      <c r="AH93" s="1531"/>
      <c r="AI93" s="1531"/>
      <c r="AJ93" s="1531"/>
      <c r="AK93" s="1531"/>
      <c r="AL93" s="1531"/>
      <c r="AM93" s="1531"/>
      <c r="AN93" s="1531"/>
      <c r="AO93" s="1531"/>
      <c r="AP93" s="1531"/>
      <c r="AQ93" s="1531"/>
      <c r="AR93" s="1531"/>
      <c r="AS93" s="1531"/>
      <c r="AT93" s="1531"/>
      <c r="AU93" s="20"/>
      <c r="AV93" s="20"/>
      <c r="AW93" s="20"/>
      <c r="AX93" s="20"/>
      <c r="AY93" s="20"/>
      <c r="AZ93" s="20"/>
      <c r="BD93" s="1247" t="s">
        <v>2581</v>
      </c>
      <c r="BE93" s="1249" t="str">
        <f>Application!W234</f>
        <v>FL</v>
      </c>
    </row>
    <row r="94" spans="1:57" ht="13" customHeight="1">
      <c r="A94" s="1531"/>
      <c r="B94" s="1531"/>
      <c r="C94" s="1531"/>
      <c r="D94" s="1531"/>
      <c r="E94" s="1531"/>
      <c r="F94" s="1531"/>
      <c r="G94" s="1531"/>
      <c r="H94" s="1531"/>
      <c r="I94" s="1531"/>
      <c r="J94" s="1531"/>
      <c r="K94" s="1531"/>
      <c r="L94" s="1531"/>
      <c r="M94" s="1531"/>
      <c r="N94" s="1531"/>
      <c r="O94" s="1531"/>
      <c r="P94" s="1531"/>
      <c r="Q94" s="1531"/>
      <c r="R94" s="1531"/>
      <c r="S94" s="1531"/>
      <c r="T94" s="1531"/>
      <c r="U94" s="1531"/>
      <c r="V94" s="1531"/>
      <c r="W94" s="1531"/>
      <c r="X94" s="1531"/>
      <c r="Y94" s="1531"/>
      <c r="Z94" s="1531"/>
      <c r="AA94" s="1531"/>
      <c r="AB94" s="1531"/>
      <c r="AC94" s="1531"/>
      <c r="AD94" s="1531"/>
      <c r="AE94" s="1531"/>
      <c r="AF94" s="1531"/>
      <c r="AG94" s="1531"/>
      <c r="AH94" s="1531"/>
      <c r="AI94" s="1531"/>
      <c r="AJ94" s="1531"/>
      <c r="AK94" s="1531"/>
      <c r="AL94" s="1531"/>
      <c r="AM94" s="1531"/>
      <c r="AN94" s="1531"/>
      <c r="AO94" s="1531"/>
      <c r="AP94" s="1531"/>
      <c r="AQ94" s="1531"/>
      <c r="AR94" s="1531"/>
      <c r="AS94" s="1531"/>
      <c r="AT94" s="1531"/>
      <c r="AU94" s="20"/>
      <c r="AV94" s="20"/>
      <c r="AW94" s="20"/>
      <c r="AX94" s="20"/>
      <c r="AY94" s="20"/>
      <c r="AZ94" s="20"/>
      <c r="BD94" s="1248" t="s">
        <v>2582</v>
      </c>
      <c r="BE94" s="1249">
        <f>Application!AC234</f>
        <v>33139</v>
      </c>
    </row>
    <row r="95" spans="1:57" ht="13" customHeight="1">
      <c r="A95" s="1531"/>
      <c r="B95" s="1531"/>
      <c r="C95" s="1531"/>
      <c r="D95" s="1531"/>
      <c r="E95" s="1531"/>
      <c r="F95" s="1531"/>
      <c r="G95" s="1531"/>
      <c r="H95" s="1531"/>
      <c r="I95" s="1531"/>
      <c r="J95" s="1531"/>
      <c r="K95" s="1531"/>
      <c r="L95" s="1531"/>
      <c r="M95" s="1531"/>
      <c r="N95" s="1531"/>
      <c r="O95" s="1531"/>
      <c r="P95" s="1531"/>
      <c r="Q95" s="1531"/>
      <c r="R95" s="1531"/>
      <c r="S95" s="1531"/>
      <c r="T95" s="1531"/>
      <c r="U95" s="1531"/>
      <c r="V95" s="1531"/>
      <c r="W95" s="1531"/>
      <c r="X95" s="1531"/>
      <c r="Y95" s="1531"/>
      <c r="Z95" s="1531"/>
      <c r="AA95" s="1531"/>
      <c r="AB95" s="1531"/>
      <c r="AC95" s="1531"/>
      <c r="AD95" s="1531"/>
      <c r="AE95" s="1531"/>
      <c r="AF95" s="1531"/>
      <c r="AG95" s="1531"/>
      <c r="AH95" s="1531"/>
      <c r="AI95" s="1531"/>
      <c r="AJ95" s="1531"/>
      <c r="AK95" s="1531"/>
      <c r="AL95" s="1531"/>
      <c r="AM95" s="1531"/>
      <c r="AN95" s="1531"/>
      <c r="AO95" s="1531"/>
      <c r="AP95" s="1531"/>
      <c r="AQ95" s="1531"/>
      <c r="AR95" s="1531"/>
      <c r="AS95" s="1531"/>
      <c r="AT95" s="1531"/>
      <c r="AU95" s="20"/>
      <c r="AV95" s="20"/>
      <c r="AW95" s="20"/>
      <c r="AX95" s="20"/>
      <c r="AY95" s="20"/>
      <c r="AZ95" s="20"/>
      <c r="BD95" s="1247" t="s">
        <v>2583</v>
      </c>
      <c r="BE95" s="1249" t="str">
        <f>Application!M235</f>
        <v>Jessica Mullins</v>
      </c>
    </row>
    <row r="96" spans="1:57" ht="13" customHeight="1">
      <c r="A96" s="1531"/>
      <c r="B96" s="1531"/>
      <c r="C96" s="1531"/>
      <c r="D96" s="1531"/>
      <c r="E96" s="1531"/>
      <c r="F96" s="1531"/>
      <c r="G96" s="1531"/>
      <c r="H96" s="1531"/>
      <c r="I96" s="1531"/>
      <c r="J96" s="1531"/>
      <c r="K96" s="1531"/>
      <c r="L96" s="1531"/>
      <c r="M96" s="1531"/>
      <c r="N96" s="1531"/>
      <c r="O96" s="1531"/>
      <c r="P96" s="1531"/>
      <c r="Q96" s="1531"/>
      <c r="R96" s="1531"/>
      <c r="S96" s="1531"/>
      <c r="T96" s="1531"/>
      <c r="U96" s="1531"/>
      <c r="V96" s="1531"/>
      <c r="W96" s="1531"/>
      <c r="X96" s="1531"/>
      <c r="Y96" s="1531"/>
      <c r="Z96" s="1531"/>
      <c r="AA96" s="1531"/>
      <c r="AB96" s="1531"/>
      <c r="AC96" s="1531"/>
      <c r="AD96" s="1531"/>
      <c r="AE96" s="1531"/>
      <c r="AF96" s="1531"/>
      <c r="AG96" s="1531"/>
      <c r="AH96" s="1531"/>
      <c r="AI96" s="1531"/>
      <c r="AJ96" s="1531"/>
      <c r="AK96" s="1531"/>
      <c r="AL96" s="1531"/>
      <c r="AM96" s="1531"/>
      <c r="AN96" s="1531"/>
      <c r="AO96" s="1531"/>
      <c r="AP96" s="1531"/>
      <c r="AQ96" s="1531"/>
      <c r="AR96" s="1531"/>
      <c r="AS96" s="1531"/>
      <c r="AT96" s="1531"/>
      <c r="AU96" s="20"/>
      <c r="AV96" s="20"/>
      <c r="AW96" s="20"/>
      <c r="AX96" s="20"/>
      <c r="AY96" s="20"/>
      <c r="AZ96" s="20"/>
      <c r="BD96" s="1248" t="s">
        <v>2584</v>
      </c>
      <c r="BE96" s="1249" t="str">
        <f>Application!M237</f>
        <v>jmullins@impactresidential.com</v>
      </c>
    </row>
    <row r="97" spans="1:57" ht="13" customHeight="1">
      <c r="A97" s="1531"/>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20"/>
      <c r="AV97" s="20"/>
      <c r="AW97" s="20"/>
      <c r="AX97" s="20"/>
      <c r="AY97" s="20"/>
      <c r="AZ97" s="20"/>
      <c r="BD97" s="1247" t="s">
        <v>2585</v>
      </c>
      <c r="BE97" s="1249" t="str">
        <f>Application!M248</f>
        <v>kfitzpatrick@impactresidential.com</v>
      </c>
    </row>
    <row r="98" spans="1:57" ht="13" customHeight="1">
      <c r="A98" s="1531"/>
      <c r="B98" s="1531"/>
      <c r="C98" s="1531"/>
      <c r="D98" s="1531"/>
      <c r="E98" s="1531"/>
      <c r="F98" s="1531"/>
      <c r="G98" s="1531"/>
      <c r="H98" s="1531"/>
      <c r="I98" s="1531"/>
      <c r="J98" s="1531"/>
      <c r="K98" s="1531"/>
      <c r="L98" s="1531"/>
      <c r="M98" s="1531"/>
      <c r="N98" s="1531"/>
      <c r="O98" s="1531"/>
      <c r="P98" s="1531"/>
      <c r="Q98" s="1531"/>
      <c r="R98" s="1531"/>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20"/>
      <c r="AV98" s="20"/>
      <c r="AW98" s="20"/>
      <c r="AX98" s="20"/>
      <c r="AY98" s="20"/>
      <c r="AZ98" s="20"/>
      <c r="BD98" s="1248" t="s">
        <v>2586</v>
      </c>
      <c r="BE98" s="1249" t="str">
        <f>Application!M256</f>
        <v>mwiese@pacifichousing.org</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2587</v>
      </c>
      <c r="BE99" s="1249">
        <f>Application!M264</f>
        <v>0</v>
      </c>
    </row>
    <row r="100" spans="1:57" ht="13" customHeight="1">
      <c r="A100" s="1541" t="s">
        <v>2165</v>
      </c>
      <c r="B100" s="1541"/>
      <c r="C100" s="1541"/>
      <c r="D100" s="1541"/>
      <c r="E100" s="1541"/>
      <c r="F100" s="1541"/>
      <c r="G100" s="1541"/>
      <c r="H100" s="1541"/>
      <c r="I100" s="1541"/>
      <c r="J100" s="1541"/>
      <c r="K100" s="1541"/>
      <c r="L100" s="1541"/>
      <c r="M100" s="1541"/>
      <c r="N100" s="1541"/>
      <c r="O100" s="1541"/>
      <c r="P100" s="1541"/>
      <c r="Q100" s="1541"/>
      <c r="R100" s="1541"/>
      <c r="S100" s="1541"/>
      <c r="T100" s="1541"/>
      <c r="U100" s="1541"/>
      <c r="V100" s="1541"/>
      <c r="W100" s="1541"/>
      <c r="X100" s="1541"/>
      <c r="Y100" s="1541"/>
      <c r="Z100" s="1541"/>
      <c r="AA100" s="1541"/>
      <c r="AB100" s="1541"/>
      <c r="AC100" s="1541"/>
      <c r="AD100" s="1541"/>
      <c r="AE100" s="1541"/>
      <c r="AF100" s="1541"/>
      <c r="AG100" s="1541"/>
      <c r="AH100" s="1541"/>
      <c r="AI100" s="1541"/>
      <c r="AJ100" s="1541"/>
      <c r="AK100" s="1541"/>
      <c r="AL100" s="1541"/>
      <c r="AM100" s="1541"/>
      <c r="AN100" s="1541"/>
      <c r="AO100" s="1541"/>
      <c r="AP100" s="1541"/>
      <c r="AQ100" s="1541"/>
      <c r="AR100" s="1541"/>
      <c r="AS100" s="1541"/>
      <c r="AT100" s="1541"/>
      <c r="AU100" s="20"/>
      <c r="AV100" s="20"/>
      <c r="AW100" s="20"/>
      <c r="AX100" s="20"/>
      <c r="AY100" s="20"/>
      <c r="AZ100" s="20"/>
      <c r="BD100" s="1248" t="s">
        <v>2588</v>
      </c>
      <c r="BE100" s="1249" t="str">
        <f>Application!L279</f>
        <v>Jack@tableaudev.com</v>
      </c>
    </row>
    <row r="101" spans="1:57" ht="13" customHeight="1">
      <c r="A101" s="1541"/>
      <c r="B101" s="1541"/>
      <c r="C101" s="1541"/>
      <c r="D101" s="1541"/>
      <c r="E101" s="1541"/>
      <c r="F101" s="1541"/>
      <c r="G101" s="1541"/>
      <c r="H101" s="1541"/>
      <c r="I101" s="1541"/>
      <c r="J101" s="1541"/>
      <c r="K101" s="1541"/>
      <c r="L101" s="1541"/>
      <c r="M101" s="1541"/>
      <c r="N101" s="1541"/>
      <c r="O101" s="1541"/>
      <c r="P101" s="1541"/>
      <c r="Q101" s="1541"/>
      <c r="R101" s="1541"/>
      <c r="S101" s="1541"/>
      <c r="T101" s="1541"/>
      <c r="U101" s="1541"/>
      <c r="V101" s="1541"/>
      <c r="W101" s="1541"/>
      <c r="X101" s="1541"/>
      <c r="Y101" s="1541"/>
      <c r="Z101" s="1541"/>
      <c r="AA101" s="1541"/>
      <c r="AB101" s="1541"/>
      <c r="AC101" s="1541"/>
      <c r="AD101" s="1541"/>
      <c r="AE101" s="1541"/>
      <c r="AF101" s="1541"/>
      <c r="AG101" s="1541"/>
      <c r="AH101" s="1541"/>
      <c r="AI101" s="1541"/>
      <c r="AJ101" s="1541"/>
      <c r="AK101" s="1541"/>
      <c r="AL101" s="1541"/>
      <c r="AM101" s="1541"/>
      <c r="AN101" s="1541"/>
      <c r="AO101" s="1541"/>
      <c r="AP101" s="1541"/>
      <c r="AQ101" s="1541"/>
      <c r="AR101" s="1541"/>
      <c r="AS101" s="1541"/>
      <c r="AT101" s="1541"/>
      <c r="AU101" s="20"/>
      <c r="AV101" s="20"/>
      <c r="AW101" s="20"/>
      <c r="AX101" s="20"/>
      <c r="AY101" s="20"/>
      <c r="AZ101" s="20"/>
      <c r="BD101" s="3" t="s">
        <v>2593</v>
      </c>
      <c r="BE101">
        <f>'Sources and Uses Budget'!C105</f>
        <v>71159476</v>
      </c>
    </row>
    <row r="102" spans="1:57" ht="13" customHeight="1">
      <c r="A102" s="1541"/>
      <c r="B102" s="1541"/>
      <c r="C102" s="1541"/>
      <c r="D102" s="1541"/>
      <c r="E102" s="1541"/>
      <c r="F102" s="1541"/>
      <c r="G102" s="1541"/>
      <c r="H102" s="1541"/>
      <c r="I102" s="1541"/>
      <c r="J102" s="1541"/>
      <c r="K102" s="1541"/>
      <c r="L102" s="1541"/>
      <c r="M102" s="1541"/>
      <c r="N102" s="1541"/>
      <c r="O102" s="1541"/>
      <c r="P102" s="1541"/>
      <c r="Q102" s="1541"/>
      <c r="R102" s="1541"/>
      <c r="S102" s="1541"/>
      <c r="T102" s="1541"/>
      <c r="U102" s="1541"/>
      <c r="V102" s="1541"/>
      <c r="W102" s="1541"/>
      <c r="X102" s="1541"/>
      <c r="Y102" s="1541"/>
      <c r="Z102" s="1541"/>
      <c r="AA102" s="1541"/>
      <c r="AB102" s="1541"/>
      <c r="AC102" s="1541"/>
      <c r="AD102" s="1541"/>
      <c r="AE102" s="1541"/>
      <c r="AF102" s="1541"/>
      <c r="AG102" s="1541"/>
      <c r="AH102" s="1541"/>
      <c r="AI102" s="1541"/>
      <c r="AJ102" s="1541"/>
      <c r="AK102" s="1541"/>
      <c r="AL102" s="1541"/>
      <c r="AM102" s="1541"/>
      <c r="AN102" s="1541"/>
      <c r="AO102" s="1541"/>
      <c r="AP102" s="1541"/>
      <c r="AQ102" s="1541"/>
      <c r="AR102" s="1541"/>
      <c r="AS102" s="1541"/>
      <c r="AT102" s="1541"/>
      <c r="AU102" s="20"/>
      <c r="AV102" s="20"/>
      <c r="AW102" s="20"/>
      <c r="AX102" s="20"/>
      <c r="AY102" s="20"/>
      <c r="AZ102" s="20"/>
      <c r="BD102" s="3" t="s">
        <v>2594</v>
      </c>
      <c r="BE102" t="b">
        <f>T197="Yes"</f>
        <v>0</v>
      </c>
    </row>
    <row r="103" spans="1:57" ht="13" customHeight="1">
      <c r="A103" s="1541"/>
      <c r="B103" s="1541"/>
      <c r="C103" s="1541"/>
      <c r="D103" s="1541"/>
      <c r="E103" s="1541"/>
      <c r="F103" s="1541"/>
      <c r="G103" s="1541"/>
      <c r="H103" s="1541"/>
      <c r="I103" s="1541"/>
      <c r="J103" s="1541"/>
      <c r="K103" s="1541"/>
      <c r="L103" s="1541"/>
      <c r="M103" s="1541"/>
      <c r="N103" s="1541"/>
      <c r="O103" s="1541"/>
      <c r="P103" s="1541"/>
      <c r="Q103" s="1541"/>
      <c r="R103" s="1541"/>
      <c r="S103" s="1541"/>
      <c r="T103" s="1541"/>
      <c r="U103" s="1541"/>
      <c r="V103" s="1541"/>
      <c r="W103" s="1541"/>
      <c r="X103" s="1541"/>
      <c r="Y103" s="1541"/>
      <c r="Z103" s="1541"/>
      <c r="AA103" s="1541"/>
      <c r="AB103" s="1541"/>
      <c r="AC103" s="1541"/>
      <c r="AD103" s="1541"/>
      <c r="AE103" s="1541"/>
      <c r="AF103" s="1541"/>
      <c r="AG103" s="1541"/>
      <c r="AH103" s="1541"/>
      <c r="AI103" s="1541"/>
      <c r="AJ103" s="1541"/>
      <c r="AK103" s="1541"/>
      <c r="AL103" s="1541"/>
      <c r="AM103" s="1541"/>
      <c r="AN103" s="1541"/>
      <c r="AO103" s="1541"/>
      <c r="AP103" s="1541"/>
      <c r="AQ103" s="1541"/>
      <c r="AR103" s="1541"/>
      <c r="AS103" s="1541"/>
      <c r="AT103" s="1541"/>
      <c r="AU103" s="20"/>
      <c r="AV103" s="20"/>
      <c r="AW103" s="20"/>
      <c r="AX103" s="20"/>
      <c r="AY103" s="20"/>
      <c r="BD103" t="s">
        <v>2175</v>
      </c>
      <c r="BE103" s="1249"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541" t="s">
        <v>2166</v>
      </c>
      <c r="B105" s="1541"/>
      <c r="C105" s="1541"/>
      <c r="D105" s="1541"/>
      <c r="E105" s="1541"/>
      <c r="F105" s="1541"/>
      <c r="G105" s="1541"/>
      <c r="H105" s="1541"/>
      <c r="I105" s="1541"/>
      <c r="J105" s="1541"/>
      <c r="K105" s="1541"/>
      <c r="L105" s="1541"/>
      <c r="M105" s="1541"/>
      <c r="N105" s="1541"/>
      <c r="O105" s="1541"/>
      <c r="P105" s="1541"/>
      <c r="Q105" s="1541"/>
      <c r="R105" s="1541"/>
      <c r="S105" s="1541"/>
      <c r="T105" s="1541"/>
      <c r="U105" s="1541"/>
      <c r="V105" s="1541"/>
      <c r="W105" s="1541"/>
      <c r="X105" s="1541"/>
      <c r="Y105" s="1541"/>
      <c r="Z105" s="1541"/>
      <c r="AA105" s="1541"/>
      <c r="AB105" s="1541"/>
      <c r="AC105" s="1541"/>
      <c r="AD105" s="1541"/>
      <c r="AE105" s="1541"/>
      <c r="AF105" s="1541"/>
      <c r="AG105" s="1541"/>
      <c r="AH105" s="1541"/>
      <c r="AI105" s="1541"/>
      <c r="AJ105" s="1541"/>
      <c r="AK105" s="1541"/>
      <c r="AL105" s="1541"/>
      <c r="AM105" s="1541"/>
      <c r="AN105" s="1541"/>
      <c r="AO105" s="1541"/>
      <c r="AP105" s="1541"/>
      <c r="AQ105" s="1541"/>
      <c r="AR105" s="1541"/>
      <c r="AS105" s="1541"/>
      <c r="AT105" s="1541"/>
      <c r="AU105" s="20"/>
      <c r="AV105" s="20"/>
      <c r="AW105" s="20"/>
      <c r="AX105" s="20"/>
      <c r="AY105" s="20"/>
    </row>
    <row r="106" spans="1:57" ht="13" customHeight="1">
      <c r="A106" s="1541"/>
      <c r="B106" s="1541"/>
      <c r="C106" s="1541"/>
      <c r="D106" s="1541"/>
      <c r="E106" s="1541"/>
      <c r="F106" s="1541"/>
      <c r="G106" s="1541"/>
      <c r="H106" s="1541"/>
      <c r="I106" s="1541"/>
      <c r="J106" s="1541"/>
      <c r="K106" s="1541"/>
      <c r="L106" s="1541"/>
      <c r="M106" s="1541"/>
      <c r="N106" s="1541"/>
      <c r="O106" s="1541"/>
      <c r="P106" s="1541"/>
      <c r="Q106" s="1541"/>
      <c r="R106" s="1541"/>
      <c r="S106" s="1541"/>
      <c r="T106" s="1541"/>
      <c r="U106" s="1541"/>
      <c r="V106" s="1541"/>
      <c r="W106" s="1541"/>
      <c r="X106" s="1541"/>
      <c r="Y106" s="1541"/>
      <c r="Z106" s="1541"/>
      <c r="AA106" s="1541"/>
      <c r="AB106" s="1541"/>
      <c r="AC106" s="1541"/>
      <c r="AD106" s="1541"/>
      <c r="AE106" s="1541"/>
      <c r="AF106" s="1541"/>
      <c r="AG106" s="1541"/>
      <c r="AH106" s="1541"/>
      <c r="AI106" s="1541"/>
      <c r="AJ106" s="1541"/>
      <c r="AK106" s="1541"/>
      <c r="AL106" s="1541"/>
      <c r="AM106" s="1541"/>
      <c r="AN106" s="1541"/>
      <c r="AO106" s="1541"/>
      <c r="AP106" s="1541"/>
      <c r="AQ106" s="1541"/>
      <c r="AR106" s="1541"/>
      <c r="AS106" s="1541"/>
      <c r="AT106" s="1541"/>
      <c r="AU106" s="20"/>
      <c r="AV106" s="20"/>
      <c r="AW106" s="20"/>
      <c r="AX106" s="20"/>
      <c r="AY106" s="20"/>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180</v>
      </c>
      <c r="G113" s="1534" t="s">
        <v>2816</v>
      </c>
      <c r="H113" s="1534"/>
      <c r="I113" s="3" t="s">
        <v>181</v>
      </c>
      <c r="L113" s="1534" t="s">
        <v>2817</v>
      </c>
      <c r="M113" s="1534"/>
      <c r="N113" s="1534"/>
      <c r="O113" s="1534"/>
      <c r="P113" s="1549" t="s">
        <v>2239</v>
      </c>
      <c r="Q113" s="1549"/>
      <c r="R113" s="1549"/>
      <c r="S113" s="1549"/>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535" t="s">
        <v>730</v>
      </c>
      <c r="D115" s="1535"/>
      <c r="E115" s="1535"/>
      <c r="F115" s="1535"/>
      <c r="G115" s="1535"/>
      <c r="H115" s="1535"/>
      <c r="I115" s="1535"/>
      <c r="J115" s="1535"/>
      <c r="K115" s="1535"/>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628</v>
      </c>
      <c r="Y117" s="1534"/>
      <c r="Z117" s="1534"/>
      <c r="AA117" s="1534"/>
      <c r="AB117" s="1534"/>
      <c r="AC117" s="1534"/>
      <c r="AD117" s="1534"/>
      <c r="AE117" s="1534"/>
      <c r="AF117" s="1534"/>
      <c r="AG117" s="1534"/>
      <c r="AH117" s="1534"/>
      <c r="AI117" s="1534"/>
      <c r="AJ117" s="1534"/>
      <c r="AK117" s="1534"/>
    </row>
    <row r="118" spans="1:117" ht="13" customHeight="1">
      <c r="X118" s="3"/>
      <c r="Y118" s="3"/>
      <c r="Z118" s="3" t="s">
        <v>629</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534" t="s">
        <v>2623</v>
      </c>
      <c r="Z120" s="1534"/>
      <c r="AA120" s="1534"/>
      <c r="AB120" s="1534"/>
      <c r="AC120" s="1534"/>
      <c r="AD120" s="1534"/>
      <c r="AE120" s="1534"/>
      <c r="AF120" s="1534"/>
      <c r="AG120" s="1534"/>
      <c r="AH120" s="1534"/>
      <c r="AI120" s="1534"/>
      <c r="AJ120" s="1534"/>
      <c r="AK120" s="1534"/>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78" t="s">
        <v>469</v>
      </c>
      <c r="CV122" s="1679"/>
      <c r="CW122" s="14"/>
      <c r="CX122" s="14" t="s">
        <v>634</v>
      </c>
      <c r="CY122" s="14"/>
      <c r="CZ122" s="14"/>
      <c r="DA122" s="14"/>
      <c r="DB122" s="14"/>
      <c r="DC122" s="14"/>
      <c r="DD122" s="14"/>
      <c r="DE122" s="14"/>
      <c r="DF122" s="14"/>
      <c r="DG122" s="1675" t="str">
        <f>T189</f>
        <v>Marin</v>
      </c>
      <c r="DH122" s="1676"/>
      <c r="DI122" s="1676"/>
      <c r="DJ122" s="1676"/>
      <c r="DK122" s="1676"/>
      <c r="DL122" s="1676"/>
      <c r="DM122" s="1677"/>
    </row>
    <row r="123" spans="1:117" ht="13" customHeight="1">
      <c r="A123" s="3"/>
      <c r="B123" s="3"/>
      <c r="T123" s="3"/>
      <c r="U123" s="3"/>
      <c r="V123" s="3"/>
      <c r="W123" s="3"/>
      <c r="X123" s="3"/>
      <c r="Y123" s="1534" t="s">
        <v>2815</v>
      </c>
      <c r="Z123" s="1534"/>
      <c r="AA123" s="1534"/>
      <c r="AB123" s="1534"/>
      <c r="AC123" s="1534"/>
      <c r="AD123" s="1534"/>
      <c r="AE123" s="1534"/>
      <c r="AF123" s="1534"/>
      <c r="AG123" s="1534"/>
      <c r="AH123" s="1534"/>
      <c r="AI123" s="1534"/>
      <c r="AJ123" s="1534"/>
      <c r="AK123" s="1534"/>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 customHeight="1">
      <c r="A150" s="3"/>
      <c r="B150" s="3"/>
      <c r="D150" s="3"/>
      <c r="E150" s="3"/>
      <c r="F150" s="1407"/>
      <c r="G150" s="1407"/>
      <c r="H150" s="1407"/>
      <c r="I150" s="1407"/>
      <c r="J150" s="1407"/>
      <c r="K150" s="1407"/>
      <c r="L150" s="1407"/>
      <c r="M150" s="1407"/>
      <c r="N150" s="1407"/>
      <c r="O150" s="1407"/>
      <c r="P150" s="1407"/>
      <c r="Q150" s="1407"/>
      <c r="R150" s="1407"/>
      <c r="S150" s="1407"/>
      <c r="T150" s="140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2461</v>
      </c>
    </row>
    <row r="152" spans="1:108" ht="13" customHeight="1">
      <c r="BM152">
        <v>4</v>
      </c>
      <c r="BN152" s="3" t="s">
        <v>2460</v>
      </c>
    </row>
    <row r="153" spans="1:108" ht="13" customHeight="1">
      <c r="D153" t="s">
        <v>645</v>
      </c>
      <c r="O153" s="1516" t="s">
        <v>2610</v>
      </c>
      <c r="P153" s="1516"/>
      <c r="Q153" s="1516"/>
      <c r="R153" s="1516"/>
      <c r="S153" s="1516"/>
      <c r="T153" s="1516"/>
      <c r="U153" s="1516"/>
      <c r="V153" s="1516"/>
      <c r="W153" s="1516"/>
      <c r="X153" s="1516"/>
      <c r="Y153" s="1516"/>
      <c r="Z153" s="1516"/>
      <c r="AA153" s="1516"/>
      <c r="AB153" s="1516"/>
      <c r="AC153" s="1516"/>
      <c r="AD153" s="1516"/>
      <c r="AE153" s="1516"/>
      <c r="AF153" s="1516"/>
      <c r="AG153" s="1516"/>
      <c r="AH153" s="1516"/>
      <c r="BM153">
        <v>5</v>
      </c>
      <c r="BN153" s="3" t="s">
        <v>2462</v>
      </c>
      <c r="CR153" s="31" t="s">
        <v>2595</v>
      </c>
      <c r="CS153" s="32"/>
      <c r="CT153" s="32"/>
      <c r="CU153" s="32"/>
      <c r="CV153" s="32"/>
      <c r="CW153" s="32"/>
      <c r="CX153" s="14"/>
      <c r="CY153" s="31" t="s">
        <v>2596</v>
      </c>
      <c r="CZ153" s="14"/>
      <c r="DA153" s="14"/>
      <c r="DB153" s="14"/>
      <c r="DC153" s="14"/>
      <c r="DD153" s="14"/>
    </row>
    <row r="154" spans="1:108" ht="13" customHeight="1">
      <c r="D154" s="303" t="s">
        <v>439</v>
      </c>
      <c r="O154" s="1454" t="s">
        <v>2611</v>
      </c>
      <c r="P154" s="1454"/>
      <c r="Q154" s="1454"/>
      <c r="R154" s="1454"/>
      <c r="S154" s="1454"/>
      <c r="T154" s="1454"/>
      <c r="U154" s="1454"/>
      <c r="V154" s="1454"/>
      <c r="W154" s="1454"/>
      <c r="X154" s="1454"/>
      <c r="Y154" s="1454"/>
      <c r="Z154" s="1454"/>
      <c r="AA154" s="1454"/>
      <c r="AB154" s="1454"/>
      <c r="AC154" s="1454"/>
      <c r="AD154" s="1454"/>
      <c r="AE154" s="1454"/>
      <c r="AF154" s="1454"/>
      <c r="AG154" s="1454"/>
      <c r="AH154" s="1454"/>
      <c r="BM154">
        <v>6</v>
      </c>
      <c r="BN154" s="3" t="s">
        <v>2463</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525" t="s">
        <v>440</v>
      </c>
      <c r="P155" s="1525"/>
      <c r="Q155" s="1525"/>
      <c r="R155" s="1525"/>
      <c r="S155" s="1525"/>
      <c r="T155" s="1525"/>
      <c r="U155" s="1525"/>
      <c r="V155" s="1525"/>
      <c r="W155" s="1525"/>
      <c r="X155" s="1525"/>
      <c r="Y155" s="1525"/>
      <c r="Z155" s="1525"/>
      <c r="AA155" s="1525"/>
      <c r="AB155" s="1525"/>
      <c r="AC155" s="1525"/>
      <c r="AD155" s="1525"/>
      <c r="AE155" s="1525"/>
      <c r="AF155" s="1525"/>
      <c r="AG155" s="1525"/>
      <c r="AH155" s="1525"/>
      <c r="BM155">
        <v>7</v>
      </c>
      <c r="BN155" s="3" t="s">
        <v>591</v>
      </c>
      <c r="CR155" s="31"/>
      <c r="CS155" s="32"/>
      <c r="CT155" s="32"/>
      <c r="CU155" s="32"/>
      <c r="CV155" s="32"/>
      <c r="CW155" s="32"/>
      <c r="CX155" s="14"/>
      <c r="CY155" s="31"/>
      <c r="CZ155" s="14"/>
      <c r="DA155" s="14"/>
      <c r="DB155" s="14"/>
      <c r="DC155" s="14"/>
      <c r="DD155" s="14"/>
    </row>
    <row r="156" spans="1:108" ht="13" customHeight="1">
      <c r="D156" t="s">
        <v>312</v>
      </c>
      <c r="O156" s="1409" t="s">
        <v>2612</v>
      </c>
      <c r="P156" s="1409"/>
      <c r="Q156" s="1409"/>
      <c r="R156" s="1409"/>
      <c r="S156" s="1409"/>
      <c r="T156" s="1409"/>
      <c r="U156" s="1409"/>
      <c r="V156" s="1409"/>
      <c r="W156" s="1409"/>
      <c r="X156" s="1409"/>
      <c r="Y156" s="1409"/>
      <c r="Z156" s="1409"/>
      <c r="AA156" s="1409"/>
      <c r="AB156" s="1409"/>
      <c r="AC156" s="1409"/>
      <c r="AD156" s="1409"/>
      <c r="AE156" s="1409"/>
      <c r="AF156" s="1409"/>
      <c r="AG156" s="1409"/>
      <c r="AH156" s="1409"/>
      <c r="BT156" t="s">
        <v>306</v>
      </c>
      <c r="CB156" s="195" t="s">
        <v>2605</v>
      </c>
      <c r="CC156" s="196"/>
      <c r="CD156" s="196"/>
      <c r="CE156" s="196"/>
      <c r="CF156" s="196"/>
      <c r="CG156" s="196"/>
      <c r="CH156" s="196"/>
      <c r="CI156" s="3"/>
      <c r="CJ156" s="195" t="s">
        <v>2603</v>
      </c>
      <c r="CK156" s="3"/>
      <c r="CL156" s="3"/>
      <c r="CM156" s="3"/>
      <c r="CN156" s="3"/>
      <c r="CR156" s="31"/>
      <c r="CS156" s="32"/>
      <c r="CT156" s="32"/>
      <c r="CU156" s="32"/>
      <c r="CV156" s="32"/>
      <c r="CW156" s="32"/>
      <c r="CX156" s="14"/>
      <c r="CY156" s="31"/>
      <c r="CZ156" s="14"/>
      <c r="DA156" s="14"/>
      <c r="DB156" s="14"/>
      <c r="DC156" s="14"/>
      <c r="DD156" s="14"/>
    </row>
    <row r="157" spans="1:108" ht="13" customHeight="1">
      <c r="D157" t="s">
        <v>313</v>
      </c>
      <c r="O157" s="1516" t="s">
        <v>2613</v>
      </c>
      <c r="P157" s="1516"/>
      <c r="Q157" s="1516"/>
      <c r="R157" s="1516"/>
      <c r="S157" s="1516"/>
      <c r="T157" s="1516"/>
      <c r="U157" s="1516"/>
      <c r="V157" s="1516"/>
      <c r="W157" s="1516"/>
      <c r="X157" s="1516"/>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3" customHeight="1">
      <c r="D158" t="s">
        <v>314</v>
      </c>
      <c r="O158" s="1544">
        <v>94903</v>
      </c>
      <c r="P158" s="1544"/>
      <c r="Q158" s="1544"/>
      <c r="R158" s="1544"/>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315</v>
      </c>
      <c r="O159" s="1539" t="s">
        <v>2614</v>
      </c>
      <c r="P159" s="1539"/>
      <c r="Q159" s="1539"/>
      <c r="R159" s="1539"/>
      <c r="S159" s="1539"/>
      <c r="T159" s="1539"/>
      <c r="V159" s="97" t="s">
        <v>270</v>
      </c>
      <c r="W159" s="1545"/>
      <c r="X159" s="1545"/>
      <c r="Y159" s="10"/>
      <c r="Z159" s="10"/>
      <c r="AA159" s="10"/>
      <c r="AB159" s="10"/>
      <c r="AC159" s="10"/>
      <c r="AD159" s="10"/>
      <c r="AE159" s="10"/>
      <c r="AF159" s="10"/>
      <c r="BN159" s="23" t="s">
        <v>338</v>
      </c>
      <c r="BS159">
        <v>7</v>
      </c>
      <c r="BT159" t="s">
        <v>478</v>
      </c>
      <c r="CB159" s="347" t="s">
        <v>648</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3" customHeight="1">
      <c r="D160" t="s">
        <v>316</v>
      </c>
      <c r="O160" s="1539" t="s">
        <v>591</v>
      </c>
      <c r="P160" s="1539"/>
      <c r="Q160" s="1539"/>
      <c r="R160" s="1539"/>
      <c r="S160" s="1539"/>
      <c r="T160" s="1539"/>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3" customHeight="1">
      <c r="D161" t="s">
        <v>317</v>
      </c>
      <c r="O161" s="1523" t="s">
        <v>2615</v>
      </c>
      <c r="P161" s="1523"/>
      <c r="Q161" s="1523"/>
      <c r="R161" s="1523"/>
      <c r="S161" s="1523"/>
      <c r="T161" s="1523"/>
      <c r="U161" s="1523"/>
      <c r="V161" s="1523"/>
      <c r="W161" s="1523"/>
      <c r="X161" s="1523"/>
      <c r="Y161" s="1523"/>
      <c r="Z161" s="1523"/>
      <c r="AA161" s="1523"/>
      <c r="AB161" s="1523"/>
      <c r="AC161" s="1523"/>
      <c r="AD161" s="1523"/>
      <c r="AE161" s="1523"/>
      <c r="AF161" s="1523"/>
      <c r="AG161" s="1523"/>
      <c r="AH161" s="1523"/>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3"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3" customHeight="1">
      <c r="C164" s="27"/>
      <c r="D164" s="1536" t="s">
        <v>2216</v>
      </c>
      <c r="E164" s="1536"/>
      <c r="F164" s="1536"/>
      <c r="G164" s="1536"/>
      <c r="H164" s="1536"/>
      <c r="I164" s="1536"/>
      <c r="J164" s="1536"/>
      <c r="K164" s="1536"/>
      <c r="L164" s="1536"/>
      <c r="M164" s="1536"/>
      <c r="N164" s="1536"/>
      <c r="O164" s="1536"/>
      <c r="P164" s="1536"/>
      <c r="Q164" s="1536"/>
      <c r="R164" s="1536"/>
      <c r="S164" s="1536"/>
      <c r="T164" s="1536"/>
      <c r="U164" s="1536"/>
      <c r="V164" s="1536"/>
      <c r="W164" s="1536"/>
      <c r="X164" s="1536"/>
      <c r="Y164" s="1536"/>
      <c r="Z164" s="1536"/>
      <c r="AA164" s="1536"/>
      <c r="AB164" s="1536"/>
      <c r="AC164" s="1536"/>
      <c r="AD164" s="1536"/>
      <c r="AE164" s="1536"/>
      <c r="AF164" s="1536"/>
      <c r="AG164" s="1536"/>
      <c r="AH164" s="1536"/>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3" customHeight="1">
      <c r="A169" s="1527" t="s">
        <v>539</v>
      </c>
      <c r="B169" s="1527"/>
      <c r="C169" s="1527"/>
      <c r="D169" s="1527"/>
      <c r="E169" s="1527"/>
      <c r="F169" s="1527"/>
      <c r="G169" s="1527"/>
      <c r="H169" s="1527"/>
      <c r="I169" s="1527"/>
      <c r="J169" s="1527"/>
      <c r="K169" s="1527"/>
      <c r="L169" s="1527"/>
      <c r="M169" s="1527"/>
      <c r="N169" s="1527"/>
      <c r="O169" s="1527"/>
      <c r="P169" s="1527"/>
      <c r="Q169" s="1527"/>
      <c r="R169" s="1527"/>
      <c r="S169" s="1527"/>
      <c r="T169" s="1527"/>
      <c r="U169" s="1527"/>
      <c r="V169" s="1527"/>
      <c r="W169" s="1527"/>
      <c r="X169" s="1527"/>
      <c r="Y169" s="1527"/>
      <c r="Z169" s="1527"/>
      <c r="AA169" s="1527"/>
      <c r="AB169" s="1527"/>
      <c r="AC169" s="1527"/>
      <c r="AD169" s="1527"/>
      <c r="AE169" s="1527"/>
      <c r="AF169" s="1527"/>
      <c r="AG169" s="1527"/>
      <c r="AH169" s="1527"/>
      <c r="AI169" s="1527"/>
      <c r="AJ169" s="1527"/>
      <c r="AK169" s="1527"/>
      <c r="AL169" s="1527"/>
      <c r="AM169" s="1527"/>
      <c r="AN169" s="1527"/>
      <c r="AO169" s="1527"/>
      <c r="AP169" s="1527"/>
      <c r="AQ169" s="1527"/>
      <c r="AR169" s="1527"/>
      <c r="AS169" s="1527"/>
      <c r="AT169" s="1527"/>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3" customHeight="1">
      <c r="A170" s="1527"/>
      <c r="B170" s="1527"/>
      <c r="C170" s="1527"/>
      <c r="D170" s="1527"/>
      <c r="E170" s="1527"/>
      <c r="F170" s="1527"/>
      <c r="G170" s="1527"/>
      <c r="H170" s="1527"/>
      <c r="I170" s="1527"/>
      <c r="J170" s="1527"/>
      <c r="K170" s="1527"/>
      <c r="L170" s="1527"/>
      <c r="M170" s="1527"/>
      <c r="N170" s="1527"/>
      <c r="O170" s="1527"/>
      <c r="P170" s="1527"/>
      <c r="Q170" s="1527"/>
      <c r="R170" s="1527"/>
      <c r="S170" s="1527"/>
      <c r="T170" s="1527"/>
      <c r="U170" s="1527"/>
      <c r="V170" s="1527"/>
      <c r="W170" s="1527"/>
      <c r="X170" s="1527"/>
      <c r="Y170" s="1527"/>
      <c r="Z170" s="1527"/>
      <c r="AA170" s="1527"/>
      <c r="AB170" s="1527"/>
      <c r="AC170" s="1527"/>
      <c r="AD170" s="1527"/>
      <c r="AE170" s="1527"/>
      <c r="AF170" s="1527"/>
      <c r="AG170" s="1527"/>
      <c r="AH170" s="1527"/>
      <c r="AI170" s="1527"/>
      <c r="AJ170" s="1527"/>
      <c r="AK170" s="1527"/>
      <c r="AL170" s="1527"/>
      <c r="AM170" s="1527"/>
      <c r="AN170" s="1527"/>
      <c r="AO170" s="1527"/>
      <c r="AP170" s="1527"/>
      <c r="AQ170" s="1527"/>
      <c r="AR170" s="1527"/>
      <c r="AS170" s="1527"/>
      <c r="AT170" s="1527"/>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3" customHeight="1">
      <c r="BN171" s="23" t="s">
        <v>210</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3" customHeight="1">
      <c r="A172" s="2" t="s">
        <v>318</v>
      </c>
      <c r="C172" s="2" t="s">
        <v>319</v>
      </c>
      <c r="BN172" s="23" t="s">
        <v>212</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3" customHeight="1">
      <c r="C173" s="24"/>
      <c r="D173" t="s">
        <v>320</v>
      </c>
      <c r="J173" s="1524" t="s">
        <v>370</v>
      </c>
      <c r="K173" s="1524"/>
      <c r="L173" s="1524"/>
      <c r="M173" s="1524"/>
      <c r="N173" s="1524"/>
      <c r="O173" s="1524"/>
      <c r="P173" s="1524"/>
      <c r="Q173" s="1524"/>
      <c r="R173" s="1524"/>
      <c r="S173" s="1524"/>
      <c r="U173" s="25"/>
      <c r="X173" s="25"/>
      <c r="BB173" s="3" t="s">
        <v>306</v>
      </c>
      <c r="BN173" s="23" t="s">
        <v>213</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3" customHeight="1">
      <c r="C174" s="24"/>
      <c r="D174" s="3" t="s">
        <v>1202</v>
      </c>
      <c r="J174" s="1409" t="s">
        <v>2101</v>
      </c>
      <c r="K174" s="1409"/>
      <c r="L174" s="1409"/>
      <c r="M174" s="1409"/>
      <c r="N174" s="1409"/>
      <c r="O174" s="1409"/>
      <c r="P174" s="1409"/>
      <c r="Q174" s="1409"/>
      <c r="R174" s="1409"/>
      <c r="S174" s="1409"/>
      <c r="T174" s="1409"/>
      <c r="U174" s="1409"/>
      <c r="V174" s="1409"/>
      <c r="W174" s="1409"/>
      <c r="X174" s="1409"/>
      <c r="Y174" s="1409"/>
      <c r="Z174" s="1409"/>
      <c r="AA174" s="1409"/>
      <c r="AB174" s="1409"/>
      <c r="BB174" t="s">
        <v>1969</v>
      </c>
      <c r="BN174" s="23" t="s">
        <v>215</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3" customHeight="1">
      <c r="C175" s="8"/>
      <c r="D175" s="3" t="s">
        <v>321</v>
      </c>
      <c r="O175" s="27"/>
      <c r="U175" s="1426" t="s">
        <v>545</v>
      </c>
      <c r="V175" s="1426"/>
      <c r="BB175" t="s">
        <v>1937</v>
      </c>
      <c r="BN175" s="23" t="s">
        <v>216</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3" customHeight="1">
      <c r="C176" s="8"/>
      <c r="D176" s="26"/>
      <c r="E176" t="s">
        <v>303</v>
      </c>
      <c r="O176" s="27"/>
      <c r="P176" t="s">
        <v>2079</v>
      </c>
      <c r="T176" s="27" t="s">
        <v>304</v>
      </c>
      <c r="U176" s="1484">
        <v>25</v>
      </c>
      <c r="V176" s="1484"/>
      <c r="W176" s="1" t="s">
        <v>305</v>
      </c>
      <c r="X176" s="1554">
        <v>602</v>
      </c>
      <c r="Y176" s="1554"/>
      <c r="BB176" t="s">
        <v>1970</v>
      </c>
      <c r="BN176" s="23" t="s">
        <v>218</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3" customHeight="1">
      <c r="C177" s="24"/>
      <c r="D177" t="s">
        <v>248</v>
      </c>
      <c r="R177" s="1426" t="s">
        <v>669</v>
      </c>
      <c r="S177" s="1426"/>
      <c r="BB177" t="s">
        <v>2213</v>
      </c>
      <c r="BN177" s="23" t="s">
        <v>219</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3" customHeight="1">
      <c r="C178" s="24"/>
      <c r="D178" s="3" t="s">
        <v>1203</v>
      </c>
      <c r="AA178" t="s">
        <v>2079</v>
      </c>
      <c r="AE178" s="27" t="s">
        <v>304</v>
      </c>
      <c r="AF178" s="1553"/>
      <c r="AG178" s="1553"/>
      <c r="AH178" s="1" t="s">
        <v>305</v>
      </c>
      <c r="AI178" s="1430"/>
      <c r="AJ178" s="1430"/>
      <c r="AK178" s="1430"/>
      <c r="BB178" t="s">
        <v>2214</v>
      </c>
      <c r="BN178" s="23" t="s">
        <v>220</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3" customHeight="1">
      <c r="C179" s="24"/>
      <c r="BN179" s="23" t="s">
        <v>221</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3" customHeight="1">
      <c r="C180" s="24"/>
      <c r="D180" t="s">
        <v>2080</v>
      </c>
      <c r="X180" s="1426" t="s">
        <v>669</v>
      </c>
      <c r="Y180" s="1426"/>
      <c r="BN180" s="23" t="s">
        <v>223</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3" customHeight="1">
      <c r="C181" s="8"/>
      <c r="E181" s="4" t="s">
        <v>976</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3"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3" customHeight="1">
      <c r="A183" s="2" t="s">
        <v>576</v>
      </c>
      <c r="C183" s="2" t="s">
        <v>577</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3" customHeight="1">
      <c r="C184" s="21"/>
      <c r="D184" t="s">
        <v>578</v>
      </c>
      <c r="I184" s="1468" t="str">
        <f>H18</f>
        <v>Marinwood Plaza</v>
      </c>
      <c r="J184" s="1468"/>
      <c r="K184" s="1468"/>
      <c r="L184" s="1468"/>
      <c r="M184" s="1468"/>
      <c r="N184" s="1468"/>
      <c r="O184" s="1468"/>
      <c r="P184" s="1468"/>
      <c r="Q184" s="1468"/>
      <c r="R184" s="1468"/>
      <c r="S184" s="1468"/>
      <c r="T184" s="1468"/>
      <c r="U184" s="1468"/>
      <c r="V184" s="1468"/>
      <c r="W184" s="1468"/>
      <c r="X184" s="1468"/>
      <c r="Y184" s="1468"/>
      <c r="Z184" s="1468"/>
      <c r="AA184" s="1468"/>
      <c r="AB184" s="1468"/>
      <c r="AC184" s="1468"/>
      <c r="AD184" s="1468"/>
      <c r="AE184" s="1468"/>
      <c r="BC184" t="s">
        <v>587</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3" customHeight="1">
      <c r="C185" s="21"/>
      <c r="D185" t="s">
        <v>579</v>
      </c>
      <c r="I185" s="1453" t="s">
        <v>2616</v>
      </c>
      <c r="J185" s="1453"/>
      <c r="K185" s="1453"/>
      <c r="L185" s="1453"/>
      <c r="M185" s="1453"/>
      <c r="N185" s="1453"/>
      <c r="O185" s="1453"/>
      <c r="P185" s="1453"/>
      <c r="Q185" s="1453"/>
      <c r="R185" s="1453"/>
      <c r="S185" s="1453"/>
      <c r="T185" s="1453"/>
      <c r="U185" s="1453"/>
      <c r="V185" s="1453"/>
      <c r="W185" s="1453"/>
      <c r="X185" s="1453"/>
      <c r="Y185" s="1453"/>
      <c r="Z185" s="1453"/>
      <c r="AA185" s="1453"/>
      <c r="AB185" s="1453"/>
      <c r="AC185" s="1453"/>
      <c r="AD185" s="1453"/>
      <c r="AE185" s="1453"/>
      <c r="BC185" t="s">
        <v>588</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3"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3" customHeight="1">
      <c r="C187" s="21"/>
      <c r="E187" s="1520"/>
      <c r="F187" s="1520"/>
      <c r="G187" s="1520"/>
      <c r="H187" s="1520"/>
      <c r="I187" s="1520"/>
      <c r="J187" s="1520"/>
      <c r="K187" s="1520"/>
      <c r="L187" s="1520"/>
      <c r="M187" s="1520"/>
      <c r="N187" s="1520"/>
      <c r="O187" s="1520"/>
      <c r="P187" s="1520"/>
      <c r="Q187" s="1520"/>
      <c r="R187" s="1520"/>
      <c r="S187" s="1520"/>
      <c r="T187" s="1520"/>
      <c r="U187" s="1520"/>
      <c r="V187" s="1520"/>
      <c r="W187" s="1520"/>
      <c r="X187" s="1520"/>
      <c r="Y187" s="1520"/>
      <c r="Z187" s="1520"/>
      <c r="AA187" s="1520"/>
      <c r="AB187" s="1520"/>
      <c r="AC187" s="1520"/>
      <c r="AD187" s="1520"/>
      <c r="AE187" s="1520"/>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3" customHeight="1">
      <c r="C188" s="21"/>
      <c r="E188" s="1521"/>
      <c r="F188" s="1521"/>
      <c r="G188" s="1521"/>
      <c r="H188" s="1521"/>
      <c r="I188" s="1521"/>
      <c r="J188" s="1521"/>
      <c r="K188" s="1521"/>
      <c r="L188" s="1521"/>
      <c r="M188" s="1521"/>
      <c r="N188" s="1521"/>
      <c r="O188" s="1521"/>
      <c r="P188" s="1521"/>
      <c r="Q188" s="1521"/>
      <c r="R188" s="1521"/>
      <c r="S188" s="1521"/>
      <c r="T188" s="1521"/>
      <c r="U188" s="1521"/>
      <c r="V188" s="1521"/>
      <c r="W188" s="1521"/>
      <c r="X188" s="1521"/>
      <c r="Y188" s="1521"/>
      <c r="Z188" s="1521"/>
      <c r="AA188" s="1521"/>
      <c r="AB188" s="1521"/>
      <c r="AC188" s="1521"/>
      <c r="AD188" s="1521"/>
      <c r="AE188" s="1521"/>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3" customHeight="1">
      <c r="C189" s="21"/>
      <c r="D189" t="s">
        <v>580</v>
      </c>
      <c r="I189" s="1436" t="s">
        <v>2617</v>
      </c>
      <c r="J189" s="1409"/>
      <c r="K189" s="1409"/>
      <c r="L189" s="1409"/>
      <c r="M189" s="1409"/>
      <c r="N189" s="1409"/>
      <c r="O189" s="1409"/>
      <c r="P189" s="1409"/>
      <c r="Q189" t="s">
        <v>582</v>
      </c>
      <c r="T189" s="1409" t="s">
        <v>496</v>
      </c>
      <c r="U189" s="1409"/>
      <c r="V189" s="1409"/>
      <c r="W189" s="1409"/>
      <c r="X189" s="1409"/>
      <c r="Y189" s="1409"/>
      <c r="Z189" s="1409"/>
      <c r="AA189" s="1409"/>
      <c r="AB189" s="1409"/>
      <c r="AC189" s="1409"/>
      <c r="AD189" s="1409"/>
      <c r="AE189" s="1409"/>
      <c r="BC189" t="s">
        <v>306</v>
      </c>
      <c r="BH189" s="3" t="s">
        <v>591</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3" customHeight="1">
      <c r="C190" s="21"/>
      <c r="D190" t="s">
        <v>583</v>
      </c>
      <c r="I190" s="1453">
        <v>94903</v>
      </c>
      <c r="J190" s="1453"/>
      <c r="K190" s="1453"/>
      <c r="L190" s="1453"/>
      <c r="M190" s="1453"/>
      <c r="N190" s="1453"/>
      <c r="O190" t="s">
        <v>585</v>
      </c>
      <c r="T190" s="1542">
        <v>1070</v>
      </c>
      <c r="U190" s="1542"/>
      <c r="V190" s="1542"/>
      <c r="W190" s="1542"/>
      <c r="X190" s="1542"/>
      <c r="Y190" s="1542"/>
      <c r="Z190" s="1542"/>
      <c r="AA190" s="1542"/>
      <c r="AB190" s="1542"/>
      <c r="AC190" s="1542"/>
      <c r="AD190" s="1542"/>
      <c r="AE190" s="1542"/>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3" customHeight="1">
      <c r="C191" s="21"/>
      <c r="D191" t="s">
        <v>462</v>
      </c>
      <c r="N191" s="1520" t="s">
        <v>2618</v>
      </c>
      <c r="O191" s="1520"/>
      <c r="P191" s="1520"/>
      <c r="Q191" s="1520"/>
      <c r="R191" s="1520"/>
      <c r="S191" s="1520"/>
      <c r="T191" s="1520"/>
      <c r="U191" s="1520"/>
      <c r="V191" s="1520"/>
      <c r="W191" s="1520"/>
      <c r="X191" s="1520"/>
      <c r="Y191" s="1520"/>
      <c r="Z191" s="1520"/>
      <c r="AA191" s="1520"/>
      <c r="AB191" s="1520"/>
      <c r="AC191" s="1520"/>
      <c r="AD191" s="1520"/>
      <c r="AE191" s="1520"/>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3" customHeight="1">
      <c r="C192" s="21"/>
      <c r="M192" s="40"/>
      <c r="N192" s="1521"/>
      <c r="O192" s="1521"/>
      <c r="P192" s="1521"/>
      <c r="Q192" s="1521"/>
      <c r="R192" s="1521"/>
      <c r="S192" s="1521"/>
      <c r="T192" s="1521"/>
      <c r="U192" s="1521"/>
      <c r="V192" s="1521"/>
      <c r="W192" s="1521"/>
      <c r="X192" s="1521"/>
      <c r="Y192" s="1521"/>
      <c r="Z192" s="1521"/>
      <c r="AA192" s="1521"/>
      <c r="AB192" s="1521"/>
      <c r="AC192" s="1521"/>
      <c r="AD192" s="1521"/>
      <c r="AE192" s="1521"/>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3" customHeight="1">
      <c r="C193" s="21"/>
      <c r="D193" t="s">
        <v>2081</v>
      </c>
      <c r="M193" s="40"/>
      <c r="N193" s="894"/>
      <c r="O193" s="894"/>
      <c r="P193" s="894"/>
      <c r="Q193" s="894"/>
      <c r="R193" s="894"/>
      <c r="S193" s="894"/>
      <c r="T193" s="1547" t="s">
        <v>1969</v>
      </c>
      <c r="U193" s="1547"/>
      <c r="V193" s="1547"/>
      <c r="W193" s="1547"/>
      <c r="X193" s="1547"/>
      <c r="Y193" s="1547"/>
      <c r="Z193" s="1547"/>
      <c r="AA193" s="1547"/>
      <c r="AB193" s="1547"/>
      <c r="AC193" s="1547"/>
      <c r="AD193" s="1547"/>
      <c r="AE193" s="1547"/>
      <c r="AF193" s="1547"/>
      <c r="AG193" s="1547"/>
      <c r="AH193" s="1547"/>
      <c r="AI193" s="1547"/>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3" customHeight="1">
      <c r="C194" s="21"/>
      <c r="D194" s="3" t="s">
        <v>2215</v>
      </c>
      <c r="M194" s="40"/>
      <c r="N194" s="894"/>
      <c r="O194" s="894"/>
      <c r="P194" s="894"/>
      <c r="Q194" s="894"/>
      <c r="R194" s="894"/>
      <c r="S194" s="894"/>
      <c r="AH194" s="1426" t="s">
        <v>669</v>
      </c>
      <c r="AI194" s="1426"/>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3" customHeight="1">
      <c r="C195" s="21"/>
      <c r="D195" t="s">
        <v>330</v>
      </c>
      <c r="T195" s="1426" t="s">
        <v>545</v>
      </c>
      <c r="U195" s="1426"/>
      <c r="W195" t="s">
        <v>684</v>
      </c>
      <c r="AH195" s="1426">
        <v>2</v>
      </c>
      <c r="AI195" s="1426"/>
      <c r="BC195" t="s">
        <v>1856</v>
      </c>
      <c r="BN195" s="23" t="s">
        <v>241</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3" customHeight="1">
      <c r="C196" s="21"/>
      <c r="D196" t="s">
        <v>385</v>
      </c>
      <c r="T196" s="1403" t="s">
        <v>669</v>
      </c>
      <c r="U196" s="1403"/>
      <c r="W196" t="s">
        <v>685</v>
      </c>
      <c r="AH196" s="1426">
        <v>12</v>
      </c>
      <c r="AI196" s="1426"/>
      <c r="BN196" s="23" t="s">
        <v>242</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3" customHeight="1">
      <c r="C197" s="21"/>
      <c r="D197" s="3" t="s">
        <v>168</v>
      </c>
      <c r="T197" s="1403" t="s">
        <v>669</v>
      </c>
      <c r="U197" s="1403"/>
      <c r="W197" t="s">
        <v>686</v>
      </c>
      <c r="AH197" s="1426">
        <v>2</v>
      </c>
      <c r="AI197" s="1426"/>
      <c r="BC197" t="s">
        <v>306</v>
      </c>
      <c r="BN197" s="23" t="s">
        <v>243</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3" customHeight="1">
      <c r="A198"/>
      <c r="B198"/>
      <c r="C198" s="21"/>
      <c r="D198" s="3" t="s">
        <v>1652</v>
      </c>
      <c r="E198"/>
      <c r="F198"/>
      <c r="G198"/>
      <c r="H198"/>
      <c r="I198"/>
      <c r="J198"/>
      <c r="K198"/>
      <c r="L198"/>
      <c r="M198"/>
      <c r="N198"/>
      <c r="O198"/>
      <c r="P198"/>
      <c r="Q198"/>
      <c r="R198"/>
      <c r="S198"/>
      <c r="T198" s="1403" t="s">
        <v>669</v>
      </c>
      <c r="U198" s="1403"/>
      <c r="V198"/>
      <c r="X198" s="1528" t="s">
        <v>2509</v>
      </c>
      <c r="Y198" s="1528"/>
      <c r="Z198" s="1528"/>
      <c r="AA198" s="1528"/>
      <c r="AB198" s="1528"/>
      <c r="AC198" s="1528"/>
      <c r="AD198" s="1528"/>
      <c r="AE198" s="1528"/>
      <c r="AF198" s="1528"/>
      <c r="AG198" s="1528"/>
      <c r="AH198" s="1528"/>
      <c r="AI198" s="1528"/>
      <c r="AJ198" s="1528"/>
      <c r="AK198" s="1528"/>
      <c r="AL198" s="1528"/>
      <c r="AM198" s="1528"/>
      <c r="AN198" s="1528"/>
      <c r="AO198" s="1528"/>
      <c r="AP198" s="1528"/>
      <c r="AQ198" s="1528"/>
      <c r="AR198" s="1528"/>
      <c r="AS198" s="1528"/>
      <c r="AT198" s="1528"/>
      <c r="AU198"/>
      <c r="AV198"/>
      <c r="AW198"/>
      <c r="AX198"/>
      <c r="AY198"/>
      <c r="AZ198" s="30"/>
      <c r="BA198" s="30"/>
      <c r="BC198" s="14" t="s">
        <v>591</v>
      </c>
      <c r="BD198"/>
      <c r="BN198" s="23" t="s">
        <v>697</v>
      </c>
      <c r="BO198"/>
      <c r="BP198"/>
      <c r="BQ198"/>
      <c r="BR198"/>
      <c r="BS198">
        <v>4</v>
      </c>
      <c r="BT198" t="s">
        <v>190</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3" customHeight="1">
      <c r="A199"/>
      <c r="B199"/>
      <c r="C199" s="21"/>
      <c r="D199" s="118" t="s">
        <v>2512</v>
      </c>
      <c r="E199"/>
      <c r="F199"/>
      <c r="G199"/>
      <c r="H199"/>
      <c r="I199"/>
      <c r="J199"/>
      <c r="K199"/>
      <c r="L199"/>
      <c r="M199"/>
      <c r="N199"/>
      <c r="O199"/>
      <c r="P199"/>
      <c r="Q199"/>
      <c r="R199"/>
      <c r="S199"/>
      <c r="T199" s="1426" t="s">
        <v>669</v>
      </c>
      <c r="U199" s="1426"/>
      <c r="V199"/>
      <c r="W199"/>
      <c r="X199" s="1528"/>
      <c r="Y199" s="1528"/>
      <c r="Z199" s="1528"/>
      <c r="AA199" s="1528"/>
      <c r="AB199" s="1528"/>
      <c r="AC199" s="1528"/>
      <c r="AD199" s="1528"/>
      <c r="AE199" s="1528"/>
      <c r="AF199" s="1528"/>
      <c r="AG199" s="1528"/>
      <c r="AH199" s="1528"/>
      <c r="AI199" s="1528"/>
      <c r="AJ199" s="1528"/>
      <c r="AK199" s="1528"/>
      <c r="AL199" s="1528"/>
      <c r="AM199" s="1528"/>
      <c r="AN199" s="1528"/>
      <c r="AO199" s="1528"/>
      <c r="AP199" s="1528"/>
      <c r="AQ199" s="1528"/>
      <c r="AR199" s="1528"/>
      <c r="AS199" s="1528"/>
      <c r="AT199" s="1528"/>
      <c r="AU199"/>
      <c r="AV199"/>
      <c r="AW199"/>
      <c r="AX199"/>
      <c r="AY199"/>
      <c r="AZ199" s="30"/>
      <c r="BA199" s="30"/>
      <c r="BC199" t="s">
        <v>875</v>
      </c>
      <c r="BD199"/>
      <c r="BN199" s="23" t="s">
        <v>698</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3" customHeight="1">
      <c r="A200"/>
      <c r="B200"/>
      <c r="C200" s="21"/>
      <c r="D200" s="14" t="s">
        <v>2510</v>
      </c>
      <c r="T200" s="1426" t="s">
        <v>669</v>
      </c>
      <c r="U200" s="1426"/>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3" customHeight="1">
      <c r="A201"/>
      <c r="B201"/>
      <c r="C201" s="21"/>
      <c r="E201" s="3" t="s">
        <v>2511</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3" customHeight="1">
      <c r="C202" s="21"/>
      <c r="AE202" s="8"/>
      <c r="BC202" t="s">
        <v>611</v>
      </c>
      <c r="BD202" s="436"/>
      <c r="BN202" s="23" t="s">
        <v>701</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3" customHeight="1">
      <c r="A203" s="2" t="s">
        <v>586</v>
      </c>
      <c r="C203" s="2" t="s">
        <v>136</v>
      </c>
      <c r="BC203" t="s">
        <v>1062</v>
      </c>
      <c r="BN203" s="23" t="s">
        <v>702</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3" customHeight="1">
      <c r="D204" s="1468" t="s">
        <v>384</v>
      </c>
      <c r="E204" s="1468"/>
      <c r="F204" s="1468"/>
      <c r="G204" s="1468"/>
      <c r="H204" s="1468"/>
      <c r="I204" s="1468"/>
      <c r="J204" s="1468"/>
      <c r="K204" s="1468"/>
      <c r="L204" s="1468"/>
      <c r="M204" s="1468"/>
      <c r="P204" s="1537">
        <f>M26</f>
        <v>3025520</v>
      </c>
      <c r="Q204" s="1538"/>
      <c r="R204" s="1538"/>
      <c r="S204" s="1538"/>
      <c r="T204" s="1538"/>
      <c r="U204" s="1538"/>
      <c r="BC204" t="s">
        <v>1063</v>
      </c>
      <c r="BN204" s="23" t="s">
        <v>703</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3" customHeight="1">
      <c r="C205" s="21"/>
      <c r="D205" s="1530" t="s">
        <v>1247</v>
      </c>
      <c r="E205" s="1468"/>
      <c r="F205" s="1468"/>
      <c r="G205" s="1468"/>
      <c r="H205" s="1468"/>
      <c r="I205" s="1468"/>
      <c r="J205" s="1468"/>
      <c r="K205" s="1468"/>
      <c r="L205" s="1468"/>
      <c r="M205" s="1468"/>
      <c r="P205" s="1538">
        <f>M27</f>
        <v>0</v>
      </c>
      <c r="Q205" s="1538"/>
      <c r="R205" s="1538"/>
      <c r="S205" s="1538"/>
      <c r="T205" s="1538"/>
      <c r="U205" s="1538"/>
      <c r="V205" s="28"/>
      <c r="W205" s="3" t="s">
        <v>1720</v>
      </c>
      <c r="Z205" s="1526" t="s">
        <v>1184</v>
      </c>
      <c r="AA205" s="1526"/>
      <c r="AB205" s="1526"/>
      <c r="AC205" s="1526"/>
      <c r="AD205" s="1526"/>
      <c r="AE205" s="1526"/>
      <c r="AF205" s="1526"/>
      <c r="AG205" s="1526"/>
      <c r="AH205" s="1526"/>
      <c r="AI205" s="1526"/>
      <c r="AJ205" s="1526"/>
      <c r="AK205" s="1526"/>
      <c r="AL205" s="1526"/>
      <c r="AM205" s="1526"/>
      <c r="AN205" s="1526"/>
      <c r="AP205" s="1407"/>
      <c r="AQ205" s="1407"/>
      <c r="BC205" t="s">
        <v>610</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3" customHeight="1">
      <c r="D206" s="29"/>
      <c r="E206" s="29"/>
      <c r="F206" s="29"/>
      <c r="G206" s="29"/>
      <c r="H206" s="29"/>
      <c r="I206" s="29"/>
      <c r="J206" s="29"/>
      <c r="K206" s="29"/>
      <c r="L206" s="29"/>
      <c r="M206" s="29"/>
      <c r="N206" s="29"/>
      <c r="O206" s="29"/>
      <c r="P206" s="29"/>
      <c r="BC206" t="s">
        <v>1026</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3" customHeight="1">
      <c r="A207" s="2" t="s">
        <v>589</v>
      </c>
      <c r="C207" s="2" t="s">
        <v>551</v>
      </c>
      <c r="BC207" s="437" t="s">
        <v>1064</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3" customHeight="1">
      <c r="C208" s="21"/>
      <c r="D208" s="1516" t="s">
        <v>2619</v>
      </c>
      <c r="E208" s="1516"/>
      <c r="F208" s="1516"/>
      <c r="G208" s="1516"/>
      <c r="H208" s="1516"/>
      <c r="I208" s="1516"/>
      <c r="J208" s="1516"/>
      <c r="K208" s="1516"/>
      <c r="L208" s="1516"/>
      <c r="M208" s="1516"/>
      <c r="BC208" s="3" t="s">
        <v>2206</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 customHeight="1">
      <c r="BC209" t="s">
        <v>1065</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 customHeight="1">
      <c r="A210" s="2" t="s">
        <v>590</v>
      </c>
      <c r="C210" s="2" t="s">
        <v>387</v>
      </c>
      <c r="BC210" t="s">
        <v>659</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 customHeight="1">
      <c r="C211" s="21"/>
      <c r="D211" s="1516" t="s">
        <v>1041</v>
      </c>
      <c r="E211" s="1516"/>
      <c r="F211" s="1516"/>
      <c r="G211" s="1516"/>
      <c r="H211" s="1516"/>
      <c r="I211" s="1516"/>
      <c r="J211" s="1516"/>
      <c r="K211" s="1516"/>
      <c r="L211" s="1516"/>
      <c r="M211" s="1516"/>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 customHeight="1">
      <c r="C212" s="21"/>
      <c r="D212" s="3" t="s">
        <v>2230</v>
      </c>
      <c r="Q212" s="1426">
        <v>0</v>
      </c>
      <c r="R212" s="1426"/>
      <c r="T212" s="1551">
        <f>IFERROR(Q212/AG440,0)</f>
        <v>0</v>
      </c>
      <c r="U212" s="1552"/>
      <c r="BC212" t="s">
        <v>306</v>
      </c>
      <c r="BI212" t="s">
        <v>1184</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 customHeight="1">
      <c r="D213" s="1145" t="s">
        <v>2469</v>
      </c>
      <c r="BC213" t="s">
        <v>526</v>
      </c>
      <c r="BI213" s="3" t="s">
        <v>2227</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 customHeight="1">
      <c r="D214" s="1533" t="s">
        <v>591</v>
      </c>
      <c r="E214" s="1533"/>
      <c r="F214" s="1533"/>
      <c r="G214" s="1533"/>
      <c r="H214" s="1533"/>
      <c r="I214" s="1533"/>
      <c r="J214" s="1533"/>
      <c r="K214" s="1533"/>
      <c r="L214" s="1533"/>
      <c r="M214" s="1533"/>
      <c r="N214" s="1533"/>
      <c r="O214" s="1533"/>
      <c r="P214" s="1533"/>
      <c r="Q214" s="1533"/>
      <c r="R214" s="1533"/>
      <c r="S214" s="1533"/>
      <c r="T214" s="1533"/>
      <c r="U214" s="1533"/>
      <c r="V214" s="1533"/>
      <c r="W214" s="1533"/>
      <c r="X214" s="1533"/>
      <c r="Y214" s="1533"/>
      <c r="Z214" s="1533"/>
      <c r="AU214" s="21"/>
      <c r="AV214" s="21"/>
      <c r="AW214" s="21"/>
      <c r="AX214" s="21"/>
      <c r="AY214" s="21"/>
      <c r="BC214" t="s">
        <v>530</v>
      </c>
      <c r="BI214" s="3" t="s">
        <v>2220</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 customHeight="1">
      <c r="D215" s="3" t="s">
        <v>1653</v>
      </c>
      <c r="Z215" s="40"/>
      <c r="AB215" s="1514"/>
      <c r="AC215" s="1514"/>
      <c r="AD215" s="1514"/>
      <c r="AE215" s="1514"/>
      <c r="AF215" s="1514"/>
      <c r="AG215" s="1514"/>
      <c r="AH215" s="1514"/>
      <c r="AI215" s="1514"/>
      <c r="AJ215" s="1514"/>
      <c r="AK215" s="1514"/>
      <c r="AL215" s="1514"/>
      <c r="AM215" s="21"/>
      <c r="AN215" s="21"/>
      <c r="AO215" s="21"/>
      <c r="AP215" s="21"/>
      <c r="AQ215" s="21"/>
      <c r="AR215" s="21"/>
      <c r="AS215" s="21"/>
      <c r="AT215" s="21"/>
      <c r="AU215" s="21"/>
      <c r="AV215" s="21"/>
      <c r="AW215" s="21"/>
      <c r="AX215" s="21"/>
      <c r="AY215" s="21"/>
      <c r="BC215" t="s">
        <v>527</v>
      </c>
      <c r="BI215" s="3" t="s">
        <v>2221</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 customHeight="1">
      <c r="D216" s="3" t="s">
        <v>1651</v>
      </c>
      <c r="Z216" s="40"/>
      <c r="AB216" s="1514"/>
      <c r="AC216" s="1514"/>
      <c r="AD216" s="1514"/>
      <c r="AE216" s="1514"/>
      <c r="AF216" s="1514"/>
      <c r="AG216" s="1514"/>
      <c r="AH216" s="1514"/>
      <c r="AI216" s="1514"/>
      <c r="AJ216" s="1514"/>
      <c r="AK216" s="1514"/>
      <c r="AL216" s="1514"/>
      <c r="AM216" s="21"/>
      <c r="AN216" s="21"/>
      <c r="AO216" s="21"/>
      <c r="AP216" s="21"/>
      <c r="AQ216" s="21"/>
      <c r="AR216" s="21"/>
      <c r="AS216" s="21"/>
      <c r="AT216" s="21"/>
      <c r="AU216" s="21"/>
      <c r="AV216" s="21"/>
      <c r="AW216" s="21"/>
      <c r="AX216" s="21"/>
      <c r="AY216" s="21"/>
      <c r="BC216" t="s">
        <v>566</v>
      </c>
      <c r="BI216" t="s">
        <v>2219</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2223</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3" customHeight="1">
      <c r="A218" s="2" t="s">
        <v>592</v>
      </c>
      <c r="C218" s="2" t="s">
        <v>2233</v>
      </c>
      <c r="D218" s="28"/>
      <c r="AC218" s="2" t="s">
        <v>2458</v>
      </c>
      <c r="BC218" t="s">
        <v>529</v>
      </c>
    </row>
    <row r="219" spans="1:108" ht="13" customHeight="1">
      <c r="A219" s="2"/>
      <c r="C219" s="2"/>
      <c r="D219" s="3" t="s">
        <v>2459</v>
      </c>
      <c r="AZ219" s="3"/>
      <c r="BA219" s="3"/>
      <c r="BC219" t="s">
        <v>376</v>
      </c>
    </row>
    <row r="220" spans="1:108" ht="13" customHeight="1">
      <c r="A220" s="2"/>
      <c r="C220" s="2"/>
      <c r="D220" s="1516" t="s">
        <v>1065</v>
      </c>
      <c r="E220" s="1516"/>
      <c r="F220" s="1516"/>
      <c r="G220" s="1516"/>
      <c r="H220" s="1516"/>
      <c r="I220" s="1516"/>
      <c r="J220" s="1516"/>
      <c r="K220" s="1516"/>
      <c r="L220" s="1516"/>
      <c r="M220" s="1516"/>
      <c r="N220" s="1516"/>
      <c r="O220" s="1516"/>
      <c r="P220" s="1516"/>
      <c r="Q220" s="1516"/>
      <c r="R220" s="1516"/>
      <c r="S220" s="1516"/>
      <c r="T220" s="1516"/>
      <c r="U220" s="1516"/>
      <c r="V220" s="1516"/>
      <c r="W220" s="1516"/>
      <c r="X220" s="1516"/>
      <c r="Y220" s="1516"/>
      <c r="Z220" s="1516"/>
      <c r="AC220" s="1529" t="s">
        <v>2461</v>
      </c>
      <c r="AD220" s="1529"/>
      <c r="AE220" s="1529"/>
      <c r="AF220" s="1529"/>
      <c r="AG220" s="1529"/>
      <c r="AH220" s="1529"/>
      <c r="AI220" s="1529"/>
      <c r="AJ220" s="1529"/>
      <c r="AK220" s="1529"/>
      <c r="AL220" s="1529"/>
      <c r="AM220" s="1529"/>
      <c r="AN220" s="1529"/>
      <c r="AO220" s="1529"/>
      <c r="AP220" s="1529"/>
      <c r="AQ220" s="1529"/>
      <c r="BA220" s="3"/>
      <c r="BC220" t="s">
        <v>299</v>
      </c>
    </row>
    <row r="221" spans="1:108" ht="13" customHeight="1">
      <c r="A221" s="2"/>
      <c r="B221" s="14"/>
      <c r="C221" s="2"/>
      <c r="BA221" s="3"/>
    </row>
    <row r="222" spans="1:108" ht="13" customHeight="1">
      <c r="A222" s="1527" t="s">
        <v>540</v>
      </c>
      <c r="B222" s="1527"/>
      <c r="C222" s="1527"/>
      <c r="D222" s="1527"/>
      <c r="E222" s="1527"/>
      <c r="F222" s="1527"/>
      <c r="G222" s="1527"/>
      <c r="H222" s="1527"/>
      <c r="I222" s="1527"/>
      <c r="J222" s="1527"/>
      <c r="K222" s="1527"/>
      <c r="L222" s="1527"/>
      <c r="M222" s="1527"/>
      <c r="N222" s="1527"/>
      <c r="O222" s="1527"/>
      <c r="P222" s="1527"/>
      <c r="Q222" s="1527"/>
      <c r="R222" s="1527"/>
      <c r="S222" s="1527"/>
      <c r="T222" s="1527"/>
      <c r="U222" s="1527"/>
      <c r="V222" s="1527"/>
      <c r="W222" s="1527"/>
      <c r="X222" s="1527"/>
      <c r="Y222" s="1527"/>
      <c r="Z222" s="1527"/>
      <c r="AA222" s="1527"/>
      <c r="AB222" s="1527"/>
      <c r="AC222" s="1527"/>
      <c r="AD222" s="1527"/>
      <c r="AE222" s="1527"/>
      <c r="AF222" s="1527"/>
      <c r="AG222" s="1527"/>
      <c r="AH222" s="1527"/>
      <c r="AI222" s="1527"/>
      <c r="AJ222" s="1527"/>
      <c r="AK222" s="1527"/>
      <c r="AL222" s="1527"/>
      <c r="AM222" s="1527"/>
      <c r="AN222" s="1527"/>
      <c r="AO222" s="1527"/>
      <c r="AP222" s="1527"/>
      <c r="AQ222" s="1527"/>
      <c r="AR222" s="1527"/>
      <c r="AS222" s="1527"/>
      <c r="AT222" s="1527"/>
      <c r="AU222" s="95"/>
      <c r="AV222" s="95"/>
      <c r="AW222" s="95"/>
      <c r="AX222" s="95"/>
      <c r="AY222" s="95"/>
      <c r="AZ222" s="3"/>
      <c r="BA222" s="3"/>
      <c r="BP222" s="34"/>
    </row>
    <row r="223" spans="1:108" ht="13" customHeight="1">
      <c r="A223" s="1527"/>
      <c r="B223" s="1527"/>
      <c r="C223" s="1527"/>
      <c r="D223" s="1527"/>
      <c r="E223" s="1527"/>
      <c r="F223" s="1527"/>
      <c r="G223" s="1527"/>
      <c r="H223" s="1527"/>
      <c r="I223" s="1527"/>
      <c r="J223" s="1527"/>
      <c r="K223" s="1527"/>
      <c r="L223" s="1527"/>
      <c r="M223" s="1527"/>
      <c r="N223" s="1527"/>
      <c r="O223" s="1527"/>
      <c r="P223" s="1527"/>
      <c r="Q223" s="1527"/>
      <c r="R223" s="1527"/>
      <c r="S223" s="1527"/>
      <c r="T223" s="1527"/>
      <c r="U223" s="1527"/>
      <c r="V223" s="1527"/>
      <c r="W223" s="1527"/>
      <c r="X223" s="1527"/>
      <c r="Y223" s="1527"/>
      <c r="Z223" s="1527"/>
      <c r="AA223" s="1527"/>
      <c r="AB223" s="1527"/>
      <c r="AC223" s="1527"/>
      <c r="AD223" s="1527"/>
      <c r="AE223" s="1527"/>
      <c r="AF223" s="1527"/>
      <c r="AG223" s="1527"/>
      <c r="AH223" s="1527"/>
      <c r="AI223" s="1527"/>
      <c r="AJ223" s="1527"/>
      <c r="AK223" s="1527"/>
      <c r="AL223" s="1527"/>
      <c r="AM223" s="1527"/>
      <c r="AN223" s="1527"/>
      <c r="AO223" s="1527"/>
      <c r="AP223" s="1527"/>
      <c r="AQ223" s="1527"/>
      <c r="AR223" s="1527"/>
      <c r="AS223" s="1527"/>
      <c r="AT223" s="1527"/>
      <c r="BA223" s="3"/>
      <c r="BB223" s="3"/>
      <c r="BQ223" s="34"/>
    </row>
    <row r="224" spans="1:108" ht="13" customHeight="1">
      <c r="AZ224" s="4"/>
      <c r="BA224" s="3"/>
      <c r="BB224" s="3"/>
      <c r="BQ224" s="34"/>
    </row>
    <row r="225" spans="1:59" ht="13" customHeight="1">
      <c r="A225" s="2" t="s">
        <v>318</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26" t="s">
        <v>591</v>
      </c>
      <c r="AJ226" s="1426"/>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3"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26" t="s">
        <v>545</v>
      </c>
      <c r="AJ227" s="1426"/>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3"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26" t="s">
        <v>545</v>
      </c>
      <c r="AJ228" s="1426"/>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3"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26" t="s">
        <v>591</v>
      </c>
      <c r="AJ229" s="1426"/>
      <c r="AL229" s="3"/>
      <c r="AM229" s="3"/>
      <c r="AN229" s="3"/>
      <c r="AO229" s="3"/>
      <c r="AP229" s="3"/>
      <c r="AQ229" s="3"/>
      <c r="AR229" s="3"/>
      <c r="AS229" s="3"/>
      <c r="AT229" s="3"/>
      <c r="AU229" s="3"/>
      <c r="AV229" s="3"/>
      <c r="AW229" s="3"/>
      <c r="AX229" s="3"/>
      <c r="AY229" s="3"/>
      <c r="BA229" s="3"/>
      <c r="BB229" s="204" t="s">
        <v>538</v>
      </c>
      <c r="BG229" s="241">
        <f>IF(AND(AND($M$249="for profit",$M$257="nonprofit",$M$265="(select one)")),2,0)</f>
        <v>2</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3" customHeight="1">
      <c r="A231" s="2" t="s">
        <v>576</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 customHeight="1">
      <c r="D232" s="4" t="s">
        <v>470</v>
      </c>
      <c r="E232" s="4"/>
      <c r="F232" s="4"/>
      <c r="G232" s="4"/>
      <c r="H232" s="4"/>
      <c r="I232" s="4"/>
      <c r="J232" s="4"/>
      <c r="K232" s="4"/>
      <c r="M232" s="1543" t="str">
        <f>H16</f>
        <v>Marinwood Propco, L.P.</v>
      </c>
      <c r="N232" s="1543"/>
      <c r="O232" s="1543"/>
      <c r="P232" s="1543"/>
      <c r="Q232" s="1543"/>
      <c r="R232" s="1543"/>
      <c r="S232" s="1543"/>
      <c r="T232" s="1543"/>
      <c r="U232" s="1543"/>
      <c r="V232" s="1543"/>
      <c r="W232" s="1543"/>
      <c r="X232" s="1543"/>
      <c r="Y232" s="1543"/>
      <c r="Z232" s="1543"/>
      <c r="AA232" s="1543"/>
      <c r="AB232" s="1543"/>
      <c r="AC232" s="1543"/>
      <c r="AD232" s="1543"/>
      <c r="AE232" s="1543"/>
      <c r="AF232" s="1543"/>
      <c r="AG232" s="1543"/>
      <c r="AH232" s="1543"/>
      <c r="AI232" s="1543"/>
      <c r="AJ232" s="1543"/>
      <c r="AK232" s="1543"/>
      <c r="AZ232" s="4"/>
      <c r="BA232" s="3"/>
      <c r="BB232" s="205" t="s">
        <v>538</v>
      </c>
      <c r="BG232" s="241">
        <f>IF(AND(AND($M$249="nonprofit",$M$257="nonprofit",$M$265="for profit")),2,0)</f>
        <v>0</v>
      </c>
    </row>
    <row r="233" spans="1:59" ht="13" customHeight="1">
      <c r="D233" s="4" t="s">
        <v>85</v>
      </c>
      <c r="E233" s="4"/>
      <c r="F233" s="4"/>
      <c r="G233" s="4"/>
      <c r="H233" s="4"/>
      <c r="I233" s="4"/>
      <c r="J233" s="4"/>
      <c r="K233" s="4"/>
      <c r="M233" s="1516" t="s">
        <v>2620</v>
      </c>
      <c r="N233" s="1516"/>
      <c r="O233" s="1516"/>
      <c r="P233" s="1516"/>
      <c r="Q233" s="1516"/>
      <c r="R233" s="1516"/>
      <c r="S233" s="1516"/>
      <c r="T233" s="1516"/>
      <c r="U233" s="1516"/>
      <c r="V233" s="1516"/>
      <c r="W233" s="1516"/>
      <c r="X233" s="1516"/>
      <c r="Y233" s="1516"/>
      <c r="Z233" s="1516"/>
      <c r="AA233" s="1516"/>
      <c r="AB233" s="1516"/>
      <c r="AC233" s="1516"/>
      <c r="AD233" s="1516"/>
      <c r="AE233" s="1516"/>
      <c r="BB233" s="205" t="s">
        <v>538</v>
      </c>
      <c r="BG233" s="241">
        <f>IF(AND(AND($M$249="nonprofit",$M$257="for profit",$M$265="nonprofit")),2,0)</f>
        <v>0</v>
      </c>
    </row>
    <row r="234" spans="1:59" ht="13" customHeight="1">
      <c r="D234" s="4" t="s">
        <v>580</v>
      </c>
      <c r="E234" s="4"/>
      <c r="M234" s="1516" t="s">
        <v>2621</v>
      </c>
      <c r="N234" s="1516"/>
      <c r="O234" s="1516"/>
      <c r="P234" s="1516"/>
      <c r="Q234" s="1516"/>
      <c r="R234" s="1516"/>
      <c r="S234" s="1516"/>
      <c r="T234" s="1516"/>
      <c r="V234" s="33" t="s">
        <v>86</v>
      </c>
      <c r="W234" s="1546" t="s">
        <v>2622</v>
      </c>
      <c r="X234" s="1454"/>
      <c r="Y234" s="4" t="s">
        <v>583</v>
      </c>
      <c r="AC234" s="1516">
        <v>33139</v>
      </c>
      <c r="AD234" s="1516"/>
      <c r="AE234" s="1516"/>
      <c r="AU234" s="4"/>
      <c r="AV234" s="4"/>
      <c r="AW234" s="4"/>
      <c r="AX234" s="4"/>
      <c r="AY234" s="4"/>
      <c r="AZ234" s="4"/>
      <c r="BB234" s="205" t="s">
        <v>538</v>
      </c>
      <c r="BG234" s="240">
        <f>IF(AND(AND($M$249="for profit",$M$257="nonprofit",$M$265="nonprofit")),2,0)</f>
        <v>0</v>
      </c>
    </row>
    <row r="235" spans="1:59" ht="13" customHeight="1">
      <c r="D235" s="4" t="s">
        <v>87</v>
      </c>
      <c r="E235" s="4"/>
      <c r="F235" s="4"/>
      <c r="G235" s="4"/>
      <c r="H235" s="4"/>
      <c r="I235" s="4"/>
      <c r="J235" s="4"/>
      <c r="K235" s="19"/>
      <c r="M235" s="1516" t="s">
        <v>2623</v>
      </c>
      <c r="N235" s="1516"/>
      <c r="O235" s="1516"/>
      <c r="P235" s="1516"/>
      <c r="Q235" s="1516"/>
      <c r="R235" s="1516"/>
      <c r="S235" s="1516"/>
      <c r="T235" s="1516"/>
      <c r="U235" s="1516"/>
      <c r="V235" s="1516"/>
      <c r="W235" s="1516"/>
      <c r="X235" s="1516"/>
      <c r="Y235" s="1516"/>
      <c r="Z235" s="1516"/>
      <c r="AA235" s="1516"/>
      <c r="AB235" s="1516"/>
      <c r="AC235" s="1516"/>
      <c r="AD235" s="1516"/>
      <c r="AE235" s="1516"/>
      <c r="AI235" s="4"/>
      <c r="AJ235" s="4"/>
      <c r="AK235" s="4"/>
      <c r="AL235" s="4"/>
      <c r="AM235" s="4"/>
      <c r="AN235" s="4"/>
      <c r="AO235" s="4"/>
      <c r="AP235" s="4"/>
      <c r="AQ235" s="4"/>
      <c r="AR235" s="4"/>
      <c r="AS235" s="4"/>
      <c r="AT235" s="4"/>
      <c r="BB235" s="205"/>
      <c r="BG235" s="204"/>
    </row>
    <row r="236" spans="1:59" ht="13" customHeight="1">
      <c r="D236" s="4" t="s">
        <v>88</v>
      </c>
      <c r="E236" s="4"/>
      <c r="F236" s="4"/>
      <c r="M236" s="1467" t="s">
        <v>2624</v>
      </c>
      <c r="N236" s="1467"/>
      <c r="O236" s="1467"/>
      <c r="P236" s="1467"/>
      <c r="Q236" s="1467"/>
      <c r="R236" s="1467"/>
      <c r="S236" s="4" t="s">
        <v>205</v>
      </c>
      <c r="T236" s="4"/>
      <c r="U236" s="1454"/>
      <c r="V236" s="1454"/>
      <c r="W236" s="1454"/>
      <c r="X236" s="4" t="s">
        <v>89</v>
      </c>
      <c r="Z236" s="1467"/>
      <c r="AA236" s="1467"/>
      <c r="AB236" s="1467"/>
      <c r="AC236" s="1467"/>
      <c r="AD236" s="1467"/>
      <c r="AE236" s="1467"/>
      <c r="AU236" s="4"/>
      <c r="AV236" s="4"/>
      <c r="AW236" s="4"/>
      <c r="AX236" s="4"/>
      <c r="AY236" s="4"/>
      <c r="AZ236" s="4"/>
      <c r="BB236" s="204" t="s">
        <v>537</v>
      </c>
      <c r="BG236" s="241">
        <f>IF(AND(AND($M$249="nonprofit",$M$257="nonprofit",$M$265="(select one)")),1,0)</f>
        <v>0</v>
      </c>
    </row>
    <row r="237" spans="1:59" ht="13" customHeight="1">
      <c r="D237" s="4" t="s">
        <v>90</v>
      </c>
      <c r="E237" s="4"/>
      <c r="F237" s="4"/>
      <c r="M237" s="1523" t="s">
        <v>2625</v>
      </c>
      <c r="N237" s="1523"/>
      <c r="O237" s="1523"/>
      <c r="P237" s="1523"/>
      <c r="Q237" s="1523"/>
      <c r="R237" s="1523"/>
      <c r="S237" s="1523"/>
      <c r="T237" s="1523"/>
      <c r="U237" s="1523"/>
      <c r="V237" s="1523"/>
      <c r="W237" s="1523"/>
      <c r="X237" s="1523"/>
      <c r="Y237" s="1523"/>
      <c r="Z237" s="1523"/>
      <c r="AA237" s="1523"/>
      <c r="AB237" s="1523"/>
      <c r="AC237" s="1523"/>
      <c r="AD237" s="1523"/>
      <c r="AE237" s="1523"/>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3" customHeight="1">
      <c r="A238" s="2" t="s">
        <v>586</v>
      </c>
      <c r="C238" s="2" t="s">
        <v>525</v>
      </c>
      <c r="M238" s="1453" t="s">
        <v>528</v>
      </c>
      <c r="N238" s="1453"/>
      <c r="O238" s="1453"/>
      <c r="P238" s="1453"/>
      <c r="Q238" s="1453"/>
      <c r="R238" s="1453"/>
      <c r="S238" s="1453"/>
      <c r="T238" s="1453"/>
      <c r="U238" s="204" t="s">
        <v>906</v>
      </c>
      <c r="V238" s="204"/>
      <c r="W238" s="204"/>
      <c r="X238" s="204"/>
      <c r="Y238" s="204"/>
      <c r="Z238" s="204"/>
      <c r="AA238" s="1548" t="s">
        <v>2626</v>
      </c>
      <c r="AB238" s="1548"/>
      <c r="AC238" s="1548"/>
      <c r="AD238" s="1548"/>
      <c r="AE238" s="1548"/>
      <c r="AF238" s="1548"/>
      <c r="AG238" s="1548"/>
      <c r="AH238" s="1548"/>
      <c r="AI238" s="1548"/>
      <c r="AJ238" s="1548"/>
      <c r="AK238" s="1548"/>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3" customHeight="1">
      <c r="D239" t="s">
        <v>531</v>
      </c>
      <c r="M239" s="1409"/>
      <c r="N239" s="1409"/>
      <c r="O239" s="1409"/>
      <c r="P239" s="1409"/>
      <c r="Q239" s="1409"/>
      <c r="R239" s="1409"/>
      <c r="S239" s="1409"/>
      <c r="T239" s="1409"/>
      <c r="U239" s="1409"/>
      <c r="V239" s="1409"/>
      <c r="W239" s="1409"/>
      <c r="X239" s="1409"/>
      <c r="Y239" s="1409"/>
      <c r="Z239" s="1409"/>
      <c r="AA239" s="1409"/>
      <c r="AB239" s="1409"/>
      <c r="AC239" s="1409"/>
      <c r="AD239" s="1409"/>
      <c r="AE239" s="1409"/>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3" customHeight="1">
      <c r="D240" s="4"/>
      <c r="BB240" s="204" t="s">
        <v>877</v>
      </c>
      <c r="BG240" s="241">
        <f>IF(AND(AND($M$249="for profit",$M$257="for profit",$M$265="for profit")),3,0)</f>
        <v>0</v>
      </c>
    </row>
    <row r="241" spans="1:67" ht="13"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473</v>
      </c>
      <c r="D243" s="4" t="s">
        <v>532</v>
      </c>
      <c r="E243" s="4"/>
      <c r="F243" s="4"/>
      <c r="G243" s="4"/>
      <c r="H243" s="4"/>
      <c r="I243" s="4"/>
      <c r="J243" s="4"/>
      <c r="K243" s="4"/>
      <c r="L243" s="4"/>
      <c r="M243" s="1550" t="s">
        <v>2627</v>
      </c>
      <c r="N243" s="1550"/>
      <c r="O243" s="1550"/>
      <c r="P243" s="1550"/>
      <c r="Q243" s="1550"/>
      <c r="R243" s="1550"/>
      <c r="S243" s="1550"/>
      <c r="T243" s="1550"/>
      <c r="U243" s="1550"/>
      <c r="V243" s="1550"/>
      <c r="W243" s="1550"/>
      <c r="X243" s="1550"/>
      <c r="Y243" s="1550"/>
      <c r="Z243" s="1550"/>
      <c r="AA243" s="1550"/>
      <c r="AB243" s="1550"/>
      <c r="AC243" s="1550"/>
      <c r="AD243" s="1550"/>
      <c r="AE243" s="1550"/>
      <c r="AF243" s="1550" t="s">
        <v>2629</v>
      </c>
      <c r="AG243" s="1550"/>
      <c r="AH243" s="1550"/>
      <c r="AI243" s="1550"/>
      <c r="AJ243" s="1550"/>
      <c r="AK243" s="1550"/>
      <c r="AU243" s="4"/>
      <c r="AV243" s="4"/>
      <c r="AW243" s="4"/>
      <c r="AX243" s="4"/>
      <c r="AY243" s="4"/>
      <c r="BG243">
        <f>SUM(BG226:BG241)</f>
        <v>2</v>
      </c>
    </row>
    <row r="244" spans="1:67" ht="13" customHeight="1">
      <c r="A244" s="19"/>
      <c r="B244" s="4"/>
      <c r="C244" s="4"/>
      <c r="D244" s="4" t="s">
        <v>85</v>
      </c>
      <c r="E244" s="4"/>
      <c r="F244" s="4"/>
      <c r="G244" s="4"/>
      <c r="H244" s="4"/>
      <c r="I244" s="4"/>
      <c r="J244" s="4"/>
      <c r="K244" s="4"/>
      <c r="L244" s="4"/>
      <c r="M244" s="1516" t="s">
        <v>2628</v>
      </c>
      <c r="N244" s="1516"/>
      <c r="O244" s="1516"/>
      <c r="P244" s="1516"/>
      <c r="Q244" s="1516"/>
      <c r="R244" s="1516"/>
      <c r="S244" s="1516"/>
      <c r="T244" s="1516"/>
      <c r="U244" s="1516"/>
      <c r="V244" s="1516"/>
      <c r="W244" s="1516"/>
      <c r="X244" s="1516"/>
      <c r="Y244" s="1516"/>
      <c r="Z244" s="1516"/>
      <c r="AA244" s="1516"/>
      <c r="AB244" s="1516"/>
      <c r="AC244" s="1516"/>
      <c r="AD244" s="1516"/>
      <c r="AE244" s="1516"/>
      <c r="AF244" s="3" t="s">
        <v>1179</v>
      </c>
      <c r="AL244" s="4"/>
      <c r="AM244" s="4"/>
      <c r="AN244" s="4"/>
      <c r="AO244" s="4"/>
      <c r="AP244" s="4"/>
      <c r="AQ244" s="4"/>
      <c r="AR244" s="4"/>
      <c r="AS244" s="4"/>
      <c r="AT244" s="4"/>
      <c r="BB244" t="s">
        <v>306</v>
      </c>
      <c r="BG244">
        <v>1</v>
      </c>
      <c r="BH244" t="s">
        <v>534</v>
      </c>
    </row>
    <row r="245" spans="1:67" ht="13" customHeight="1">
      <c r="A245" s="19"/>
      <c r="B245" s="4"/>
      <c r="C245" s="4"/>
      <c r="D245" s="4" t="s">
        <v>580</v>
      </c>
      <c r="E245" s="4"/>
      <c r="M245" s="1516" t="s">
        <v>2621</v>
      </c>
      <c r="N245" s="1516"/>
      <c r="O245" s="1516"/>
      <c r="P245" s="1516"/>
      <c r="Q245" s="1516"/>
      <c r="R245" s="1516"/>
      <c r="S245" s="1516"/>
      <c r="T245" s="1516"/>
      <c r="V245" s="33" t="s">
        <v>86</v>
      </c>
      <c r="W245" s="1546" t="s">
        <v>2622</v>
      </c>
      <c r="X245" s="1454"/>
      <c r="Y245" s="4" t="s">
        <v>583</v>
      </c>
      <c r="AC245" s="1516">
        <v>33139</v>
      </c>
      <c r="AD245" s="1516"/>
      <c r="AE245" s="1516"/>
      <c r="AF245" s="3" t="s">
        <v>1180</v>
      </c>
      <c r="AU245" s="4"/>
      <c r="AV245" s="4"/>
      <c r="AW245" s="4"/>
      <c r="AX245" s="4"/>
      <c r="AY245" s="4"/>
      <c r="BB245" s="4" t="s">
        <v>279</v>
      </c>
      <c r="BG245">
        <v>2</v>
      </c>
      <c r="BH245" t="s">
        <v>566</v>
      </c>
      <c r="BO245" s="239" t="str">
        <f>VLOOKUP(BG243,BG244:BH247,2,FALSE)</f>
        <v>Joint Venture</v>
      </c>
    </row>
    <row r="246" spans="1:67" ht="13" customHeight="1">
      <c r="A246" s="19"/>
      <c r="B246" s="4"/>
      <c r="C246" s="4"/>
      <c r="D246" s="4" t="s">
        <v>87</v>
      </c>
      <c r="E246" s="4"/>
      <c r="F246" s="4"/>
      <c r="G246" s="4"/>
      <c r="H246" s="4"/>
      <c r="I246" s="4"/>
      <c r="J246" s="4"/>
      <c r="K246" s="4"/>
      <c r="L246" s="19"/>
      <c r="M246" s="1516" t="s">
        <v>2630</v>
      </c>
      <c r="N246" s="1516"/>
      <c r="O246" s="1516"/>
      <c r="P246" s="1516"/>
      <c r="Q246" s="1516"/>
      <c r="R246" s="1516"/>
      <c r="S246" s="1516"/>
      <c r="T246" s="1516"/>
      <c r="U246" s="1516"/>
      <c r="V246" s="1516"/>
      <c r="W246" s="1516"/>
      <c r="X246" s="1516"/>
      <c r="Y246" s="1516"/>
      <c r="Z246" s="1516"/>
      <c r="AA246" s="1516"/>
      <c r="AB246" s="1516"/>
      <c r="AC246" s="1516"/>
      <c r="AD246" s="1516"/>
      <c r="AE246" s="1516"/>
      <c r="AH246" s="1515">
        <v>1.8E-3</v>
      </c>
      <c r="AI246" s="1515"/>
      <c r="AJ246" s="1515"/>
      <c r="AK246" s="1515"/>
      <c r="AL246" s="4"/>
      <c r="AM246" s="4"/>
      <c r="AN246" s="4"/>
      <c r="AO246" s="4"/>
      <c r="AP246" s="4"/>
      <c r="AQ246" s="4"/>
      <c r="AR246" s="4"/>
      <c r="AS246" s="4"/>
      <c r="AT246" s="4"/>
      <c r="BB246" s="4" t="s">
        <v>172</v>
      </c>
      <c r="BG246">
        <v>3</v>
      </c>
      <c r="BH246" t="s">
        <v>536</v>
      </c>
      <c r="BN246" s="34"/>
    </row>
    <row r="247" spans="1:67" ht="13" customHeight="1">
      <c r="A247" s="19"/>
      <c r="B247" s="4"/>
      <c r="C247" s="4"/>
      <c r="D247" s="4" t="s">
        <v>88</v>
      </c>
      <c r="E247" s="4"/>
      <c r="F247" s="4"/>
      <c r="M247" s="1467" t="s">
        <v>2631</v>
      </c>
      <c r="N247" s="1467"/>
      <c r="O247" s="1467"/>
      <c r="P247" s="1467"/>
      <c r="Q247" s="1467"/>
      <c r="R247" s="1467"/>
      <c r="S247" s="4" t="s">
        <v>205</v>
      </c>
      <c r="T247" s="4"/>
      <c r="U247" s="1454"/>
      <c r="V247" s="1454"/>
      <c r="W247" s="1454"/>
      <c r="X247" s="4" t="s">
        <v>89</v>
      </c>
      <c r="Z247" s="1467"/>
      <c r="AA247" s="1467"/>
      <c r="AB247" s="1467"/>
      <c r="AC247" s="1467"/>
      <c r="AD247" s="1467"/>
      <c r="AE247" s="1467"/>
      <c r="AU247" s="4"/>
      <c r="AV247" s="4"/>
      <c r="AW247" s="4"/>
      <c r="AX247" s="4"/>
      <c r="AY247" s="4"/>
      <c r="BG247">
        <v>0</v>
      </c>
      <c r="BH247" s="3" t="str">
        <f>""</f>
        <v/>
      </c>
      <c r="BN247" s="34"/>
    </row>
    <row r="248" spans="1:67" ht="13" customHeight="1">
      <c r="A248" s="19"/>
      <c r="B248" s="4"/>
      <c r="C248" s="4"/>
      <c r="D248" s="4" t="s">
        <v>90</v>
      </c>
      <c r="E248" s="4"/>
      <c r="F248" s="4"/>
      <c r="M248" s="1523" t="s">
        <v>2632</v>
      </c>
      <c r="N248" s="1523"/>
      <c r="O248" s="1523"/>
      <c r="P248" s="1523"/>
      <c r="Q248" s="1523"/>
      <c r="R248" s="1523"/>
      <c r="S248" s="1523"/>
      <c r="T248" s="1523"/>
      <c r="U248" s="1523"/>
      <c r="V248" s="1523"/>
      <c r="W248" s="1523"/>
      <c r="X248" s="1523"/>
      <c r="Y248" s="1523"/>
      <c r="Z248" s="1523"/>
      <c r="AA248" s="1523"/>
      <c r="AB248" s="1523"/>
      <c r="AC248" s="1523"/>
      <c r="AD248" s="1523"/>
      <c r="AE248" s="1523"/>
      <c r="AG248" s="4"/>
      <c r="AH248" s="4"/>
      <c r="AI248" s="4"/>
      <c r="AJ248" s="4"/>
      <c r="AK248" s="4"/>
      <c r="AL248" s="4"/>
      <c r="AM248" s="4"/>
      <c r="AN248" s="4"/>
      <c r="AO248" s="4"/>
      <c r="AP248" s="4"/>
      <c r="AQ248" s="4"/>
      <c r="AR248" s="4"/>
      <c r="AS248" s="4"/>
      <c r="AT248" s="4"/>
      <c r="BN248" s="34"/>
    </row>
    <row r="249" spans="1:67" ht="13" customHeight="1">
      <c r="A249" s="13"/>
      <c r="B249" s="4"/>
      <c r="C249" s="56"/>
      <c r="D249" s="4" t="s">
        <v>535</v>
      </c>
      <c r="E249" s="4"/>
      <c r="F249" s="4"/>
      <c r="G249" s="4"/>
      <c r="H249" s="4"/>
      <c r="I249" s="4"/>
      <c r="J249" s="4"/>
      <c r="K249" s="4"/>
      <c r="L249" s="4"/>
      <c r="M249" s="1453" t="s">
        <v>536</v>
      </c>
      <c r="N249" s="1453"/>
      <c r="O249" s="1453"/>
      <c r="P249" s="1453"/>
      <c r="Q249" s="1453"/>
      <c r="R249" s="1453"/>
      <c r="S249" s="1453"/>
      <c r="T249" s="1453"/>
      <c r="U249" s="204" t="s">
        <v>906</v>
      </c>
      <c r="V249" s="204"/>
      <c r="W249" s="204"/>
      <c r="X249" s="204"/>
      <c r="Y249" s="204"/>
      <c r="Z249" s="204"/>
      <c r="AA249" s="1548" t="s">
        <v>2626</v>
      </c>
      <c r="AB249" s="1548"/>
      <c r="AC249" s="1548"/>
      <c r="AD249" s="1548"/>
      <c r="AE249" s="1548"/>
      <c r="AF249" s="1548"/>
      <c r="AG249" s="1548"/>
      <c r="AH249" s="1548"/>
      <c r="AI249" s="1548"/>
      <c r="AJ249" s="1548"/>
      <c r="AK249" s="1548"/>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955</v>
      </c>
      <c r="E251" s="4"/>
      <c r="F251" s="4"/>
      <c r="G251" s="4"/>
      <c r="H251" s="4"/>
      <c r="I251" s="4"/>
      <c r="J251" s="4"/>
      <c r="K251" s="4"/>
      <c r="L251" s="4"/>
      <c r="M251" s="1550" t="s">
        <v>2633</v>
      </c>
      <c r="N251" s="1550"/>
      <c r="O251" s="1550"/>
      <c r="P251" s="1550"/>
      <c r="Q251" s="1550"/>
      <c r="R251" s="1550"/>
      <c r="S251" s="1550"/>
      <c r="T251" s="1550"/>
      <c r="U251" s="1550"/>
      <c r="V251" s="1550"/>
      <c r="W251" s="1550"/>
      <c r="X251" s="1550"/>
      <c r="Y251" s="1550"/>
      <c r="Z251" s="1550"/>
      <c r="AA251" s="1550"/>
      <c r="AB251" s="1550"/>
      <c r="AC251" s="1550"/>
      <c r="AD251" s="1550"/>
      <c r="AE251" s="1550"/>
      <c r="AF251" s="1550" t="s">
        <v>306</v>
      </c>
      <c r="AG251" s="1550"/>
      <c r="AH251" s="1550"/>
      <c r="AI251" s="1550"/>
      <c r="AJ251" s="1550"/>
      <c r="AK251" s="1550"/>
      <c r="AU251" s="4"/>
      <c r="AV251" s="4"/>
      <c r="AW251" s="4"/>
      <c r="AX251" s="4"/>
      <c r="AY251" s="4"/>
      <c r="BN251" s="34"/>
    </row>
    <row r="252" spans="1:67" ht="13" customHeight="1">
      <c r="A252" s="19"/>
      <c r="B252" s="4"/>
      <c r="C252" s="4"/>
      <c r="D252" s="4" t="s">
        <v>85</v>
      </c>
      <c r="E252" s="4"/>
      <c r="F252" s="4"/>
      <c r="G252" s="4"/>
      <c r="H252" s="4"/>
      <c r="I252" s="4"/>
      <c r="J252" s="4"/>
      <c r="K252" s="4"/>
      <c r="L252" s="4"/>
      <c r="M252" s="1516" t="s">
        <v>2634</v>
      </c>
      <c r="N252" s="1516"/>
      <c r="O252" s="1516"/>
      <c r="P252" s="1516"/>
      <c r="Q252" s="1516"/>
      <c r="R252" s="1516"/>
      <c r="S252" s="1516"/>
      <c r="T252" s="1516"/>
      <c r="U252" s="1516"/>
      <c r="V252" s="1516"/>
      <c r="W252" s="1516"/>
      <c r="X252" s="1516"/>
      <c r="Y252" s="1516"/>
      <c r="Z252" s="1516"/>
      <c r="AA252" s="1516"/>
      <c r="AB252" s="1516"/>
      <c r="AC252" s="1516"/>
      <c r="AD252" s="1516"/>
      <c r="AE252" s="1516"/>
      <c r="AF252" s="3" t="s">
        <v>1179</v>
      </c>
      <c r="AL252" s="4"/>
      <c r="AM252" s="4"/>
      <c r="AN252" s="4"/>
      <c r="AO252" s="4"/>
      <c r="AP252" s="4"/>
      <c r="AQ252" s="4"/>
      <c r="AR252" s="4"/>
      <c r="AS252" s="4"/>
      <c r="AT252" s="4"/>
      <c r="BN252" s="34"/>
    </row>
    <row r="253" spans="1:67" ht="13" customHeight="1">
      <c r="A253" s="19"/>
      <c r="B253" s="4"/>
      <c r="C253" s="4"/>
      <c r="D253" s="4" t="s">
        <v>580</v>
      </c>
      <c r="E253" s="4"/>
      <c r="M253" s="1516" t="s">
        <v>2635</v>
      </c>
      <c r="N253" s="1516"/>
      <c r="O253" s="1516"/>
      <c r="P253" s="1516"/>
      <c r="Q253" s="1516"/>
      <c r="R253" s="1516"/>
      <c r="S253" s="1516"/>
      <c r="T253" s="1516"/>
      <c r="V253" s="33" t="s">
        <v>86</v>
      </c>
      <c r="W253" s="1546" t="s">
        <v>2636</v>
      </c>
      <c r="X253" s="1454"/>
      <c r="Y253" s="4" t="s">
        <v>583</v>
      </c>
      <c r="AC253" s="1516">
        <v>95816</v>
      </c>
      <c r="AD253" s="1516"/>
      <c r="AE253" s="1516"/>
      <c r="AF253" s="3" t="s">
        <v>1180</v>
      </c>
      <c r="AU253" s="4"/>
      <c r="AV253" s="4"/>
      <c r="AW253" s="4"/>
      <c r="AX253" s="4"/>
      <c r="AY253" s="4"/>
      <c r="BN253" s="34"/>
    </row>
    <row r="254" spans="1:67" ht="13" customHeight="1">
      <c r="A254" s="19"/>
      <c r="B254" s="4"/>
      <c r="C254" s="4"/>
      <c r="D254" s="4" t="s">
        <v>87</v>
      </c>
      <c r="E254" s="4"/>
      <c r="F254" s="4"/>
      <c r="G254" s="4"/>
      <c r="H254" s="4"/>
      <c r="I254" s="4"/>
      <c r="J254" s="4"/>
      <c r="K254" s="4"/>
      <c r="L254" s="19"/>
      <c r="M254" s="1516" t="s">
        <v>2637</v>
      </c>
      <c r="N254" s="1516"/>
      <c r="O254" s="1516"/>
      <c r="P254" s="1516"/>
      <c r="Q254" s="1516"/>
      <c r="R254" s="1516"/>
      <c r="S254" s="1516"/>
      <c r="T254" s="1516"/>
      <c r="U254" s="1516"/>
      <c r="V254" s="1516"/>
      <c r="W254" s="1516"/>
      <c r="X254" s="1516"/>
      <c r="Y254" s="1516"/>
      <c r="Z254" s="1516"/>
      <c r="AA254" s="1516"/>
      <c r="AB254" s="1516"/>
      <c r="AC254" s="1516"/>
      <c r="AD254" s="1516"/>
      <c r="AE254" s="1516"/>
      <c r="AH254" s="1515">
        <v>2.0000000000000001E-4</v>
      </c>
      <c r="AI254" s="1515"/>
      <c r="AJ254" s="1515"/>
      <c r="AK254" s="1515"/>
      <c r="AL254" s="4"/>
      <c r="AM254" s="4"/>
      <c r="AN254" s="4"/>
      <c r="AO254" s="4"/>
      <c r="AP254" s="4"/>
      <c r="AQ254" s="4"/>
      <c r="AR254" s="4"/>
      <c r="AS254" s="4"/>
      <c r="AT254" s="4"/>
    </row>
    <row r="255" spans="1:67" ht="13" customHeight="1">
      <c r="A255" s="19"/>
      <c r="B255" s="4"/>
      <c r="C255" s="4"/>
      <c r="D255" s="4" t="s">
        <v>88</v>
      </c>
      <c r="E255" s="4"/>
      <c r="F255" s="4"/>
      <c r="M255" s="1467" t="s">
        <v>2638</v>
      </c>
      <c r="N255" s="1467"/>
      <c r="O255" s="1467"/>
      <c r="P255" s="1467"/>
      <c r="Q255" s="1467"/>
      <c r="R255" s="1467"/>
      <c r="S255" s="4" t="s">
        <v>205</v>
      </c>
      <c r="T255" s="4"/>
      <c r="U255" s="1454"/>
      <c r="V255" s="1454"/>
      <c r="W255" s="1454"/>
      <c r="X255" s="4" t="s">
        <v>89</v>
      </c>
      <c r="Z255" s="1467"/>
      <c r="AA255" s="1467"/>
      <c r="AB255" s="1467"/>
      <c r="AC255" s="1467"/>
      <c r="AD255" s="1467"/>
      <c r="AE255" s="1467"/>
      <c r="AU255" s="4"/>
      <c r="AV255" s="4"/>
      <c r="AW255" s="4"/>
      <c r="AX255" s="4"/>
      <c r="AY255" s="4"/>
      <c r="BN255" s="34"/>
    </row>
    <row r="256" spans="1:67" ht="13" customHeight="1">
      <c r="A256" s="19"/>
      <c r="B256" s="4"/>
      <c r="C256" s="4"/>
      <c r="D256" s="4" t="s">
        <v>90</v>
      </c>
      <c r="E256" s="4"/>
      <c r="F256" s="4"/>
      <c r="M256" s="1523" t="s">
        <v>2639</v>
      </c>
      <c r="N256" s="1523"/>
      <c r="O256" s="1523"/>
      <c r="P256" s="1523"/>
      <c r="Q256" s="1523"/>
      <c r="R256" s="1523"/>
      <c r="S256" s="1523"/>
      <c r="T256" s="1523"/>
      <c r="U256" s="1523"/>
      <c r="V256" s="1523"/>
      <c r="W256" s="1523"/>
      <c r="X256" s="1523"/>
      <c r="Y256" s="1523"/>
      <c r="Z256" s="1523"/>
      <c r="AA256" s="1523"/>
      <c r="AB256" s="1523"/>
      <c r="AC256" s="1523"/>
      <c r="AD256" s="1523"/>
      <c r="AE256" s="1523"/>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535</v>
      </c>
      <c r="E257" s="4"/>
      <c r="F257" s="4"/>
      <c r="G257" s="4"/>
      <c r="H257" s="4"/>
      <c r="I257" s="4"/>
      <c r="J257" s="4"/>
      <c r="K257" s="4"/>
      <c r="L257" s="4"/>
      <c r="M257" s="1453" t="s">
        <v>534</v>
      </c>
      <c r="N257" s="1453"/>
      <c r="O257" s="1453"/>
      <c r="P257" s="1453"/>
      <c r="Q257" s="1453"/>
      <c r="R257" s="1453"/>
      <c r="S257" s="1453"/>
      <c r="T257" s="1453"/>
      <c r="U257" s="204" t="s">
        <v>906</v>
      </c>
      <c r="V257" s="204"/>
      <c r="W257" s="204"/>
      <c r="X257" s="204"/>
      <c r="Y257" s="204"/>
      <c r="Z257" s="204"/>
      <c r="AA257" s="1548" t="s">
        <v>2640</v>
      </c>
      <c r="AB257" s="1548"/>
      <c r="AC257" s="1548"/>
      <c r="AD257" s="1548"/>
      <c r="AE257" s="1548"/>
      <c r="AF257" s="1548"/>
      <c r="AG257" s="1548"/>
      <c r="AH257" s="1548"/>
      <c r="AI257" s="1548"/>
      <c r="AJ257" s="1548"/>
      <c r="AK257" s="1548"/>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876</v>
      </c>
      <c r="D259" s="4" t="s">
        <v>532</v>
      </c>
      <c r="E259" s="4"/>
      <c r="F259" s="4"/>
      <c r="G259" s="4"/>
      <c r="H259" s="4"/>
      <c r="I259" s="4"/>
      <c r="J259" s="4"/>
      <c r="K259" s="4"/>
      <c r="L259" s="4"/>
      <c r="M259" s="1550"/>
      <c r="N259" s="1550"/>
      <c r="O259" s="1550"/>
      <c r="P259" s="1550"/>
      <c r="Q259" s="1550"/>
      <c r="R259" s="1550"/>
      <c r="S259" s="1550"/>
      <c r="T259" s="1550"/>
      <c r="U259" s="1550"/>
      <c r="V259" s="1550"/>
      <c r="W259" s="1550"/>
      <c r="X259" s="1550"/>
      <c r="Y259" s="1550"/>
      <c r="Z259" s="1550"/>
      <c r="AA259" s="1550"/>
      <c r="AB259" s="1550"/>
      <c r="AC259" s="1550"/>
      <c r="AD259" s="1550"/>
      <c r="AE259" s="1550"/>
      <c r="AF259" s="1550" t="s">
        <v>306</v>
      </c>
      <c r="AG259" s="1550"/>
      <c r="AH259" s="1550"/>
      <c r="AI259" s="1550"/>
      <c r="AJ259" s="1550"/>
      <c r="AK259" s="1550"/>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516"/>
      <c r="N260" s="1516"/>
      <c r="O260" s="1516"/>
      <c r="P260" s="1516"/>
      <c r="Q260" s="1516"/>
      <c r="R260" s="1516"/>
      <c r="S260" s="1516"/>
      <c r="T260" s="1516"/>
      <c r="U260" s="1516"/>
      <c r="V260" s="1516"/>
      <c r="W260" s="1516"/>
      <c r="X260" s="1516"/>
      <c r="Y260" s="1516"/>
      <c r="Z260" s="1516"/>
      <c r="AA260" s="1516"/>
      <c r="AB260" s="1516"/>
      <c r="AC260" s="1516"/>
      <c r="AD260" s="1516"/>
      <c r="AE260" s="1516"/>
      <c r="AF260" s="3" t="s">
        <v>1179</v>
      </c>
      <c r="AL260" s="3"/>
      <c r="AM260" s="3"/>
      <c r="AN260" s="3"/>
      <c r="AO260" s="3"/>
      <c r="AP260" s="3"/>
      <c r="AQ260" s="3"/>
      <c r="AR260" s="3"/>
      <c r="AS260" s="3"/>
      <c r="AT260" s="3"/>
      <c r="AU260" s="3"/>
      <c r="AV260" s="3"/>
      <c r="AW260" s="3"/>
      <c r="AX260" s="3"/>
      <c r="AY260" s="3"/>
    </row>
    <row r="261" spans="1:51" ht="13" customHeight="1">
      <c r="A261" s="13"/>
      <c r="B261" s="4"/>
      <c r="C261" s="4"/>
      <c r="D261" s="4" t="s">
        <v>580</v>
      </c>
      <c r="E261" s="4"/>
      <c r="M261" s="1516"/>
      <c r="N261" s="1516"/>
      <c r="O261" s="1516"/>
      <c r="P261" s="1516"/>
      <c r="Q261" s="1516"/>
      <c r="R261" s="1516"/>
      <c r="S261" s="1516"/>
      <c r="T261" s="1516"/>
      <c r="V261" s="33" t="s">
        <v>86</v>
      </c>
      <c r="W261" s="1454"/>
      <c r="X261" s="1454"/>
      <c r="Y261" s="4" t="s">
        <v>583</v>
      </c>
      <c r="AC261" s="1516"/>
      <c r="AD261" s="1516"/>
      <c r="AE261" s="1516"/>
      <c r="AF261" s="3" t="s">
        <v>1180</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516"/>
      <c r="N262" s="1516"/>
      <c r="O262" s="1516"/>
      <c r="P262" s="1516"/>
      <c r="Q262" s="1516"/>
      <c r="R262" s="1516"/>
      <c r="S262" s="1516"/>
      <c r="T262" s="1516"/>
      <c r="U262" s="1516"/>
      <c r="V262" s="1516"/>
      <c r="W262" s="1516"/>
      <c r="X262" s="1516"/>
      <c r="Y262" s="1516"/>
      <c r="Z262" s="1516"/>
      <c r="AA262" s="1516"/>
      <c r="AB262" s="1516"/>
      <c r="AC262" s="1516"/>
      <c r="AD262" s="1516"/>
      <c r="AE262" s="1516"/>
      <c r="AH262" s="1515"/>
      <c r="AI262" s="1515"/>
      <c r="AJ262" s="1515"/>
      <c r="AK262" s="1515"/>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467"/>
      <c r="N263" s="1467"/>
      <c r="O263" s="1467"/>
      <c r="P263" s="1467"/>
      <c r="Q263" s="1467"/>
      <c r="R263" s="1467"/>
      <c r="S263" s="4" t="s">
        <v>205</v>
      </c>
      <c r="T263" s="4"/>
      <c r="U263" s="1454"/>
      <c r="V263" s="1454"/>
      <c r="W263" s="1454"/>
      <c r="X263" s="4" t="s">
        <v>89</v>
      </c>
      <c r="Z263" s="1467"/>
      <c r="AA263" s="1467"/>
      <c r="AB263" s="1467"/>
      <c r="AC263" s="1467"/>
      <c r="AD263" s="1467"/>
      <c r="AE263" s="1467"/>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523"/>
      <c r="N264" s="1523"/>
      <c r="O264" s="1523"/>
      <c r="P264" s="1523"/>
      <c r="Q264" s="1523"/>
      <c r="R264" s="1523"/>
      <c r="S264" s="1523"/>
      <c r="T264" s="1523"/>
      <c r="U264" s="1523"/>
      <c r="V264" s="1523"/>
      <c r="W264" s="1523"/>
      <c r="X264" s="1523"/>
      <c r="Y264" s="1523"/>
      <c r="Z264" s="1523"/>
      <c r="AA264" s="1555"/>
      <c r="AB264" s="1555"/>
      <c r="AC264" s="1555"/>
      <c r="AD264" s="1555"/>
      <c r="AE264" s="1555"/>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535</v>
      </c>
      <c r="E265" s="4"/>
      <c r="F265" s="4"/>
      <c r="G265" s="4"/>
      <c r="H265" s="4"/>
      <c r="I265" s="4"/>
      <c r="J265" s="4"/>
      <c r="K265" s="4"/>
      <c r="L265" s="4"/>
      <c r="M265" s="1453" t="s">
        <v>306</v>
      </c>
      <c r="N265" s="1453"/>
      <c r="O265" s="1453"/>
      <c r="P265" s="1453"/>
      <c r="Q265" s="1453"/>
      <c r="R265" s="1453"/>
      <c r="S265" s="1453"/>
      <c r="T265" s="1453"/>
      <c r="U265" s="204" t="s">
        <v>906</v>
      </c>
      <c r="V265" s="204"/>
      <c r="W265" s="204"/>
      <c r="X265" s="204"/>
      <c r="Y265" s="204"/>
      <c r="Z265" s="204"/>
      <c r="AA265" s="1556"/>
      <c r="AB265" s="1556"/>
      <c r="AC265" s="1556"/>
      <c r="AD265" s="1556"/>
      <c r="AE265" s="1556"/>
      <c r="AF265" s="1556"/>
      <c r="AG265" s="1556"/>
      <c r="AH265" s="1556"/>
      <c r="AI265" s="1556"/>
      <c r="AJ265" s="1556"/>
      <c r="AK265" s="1556"/>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590</v>
      </c>
      <c r="B267" s="4"/>
      <c r="C267" s="2" t="s">
        <v>294</v>
      </c>
      <c r="D267" s="4"/>
      <c r="E267" s="4"/>
      <c r="F267" s="4"/>
      <c r="G267" s="4"/>
      <c r="H267" s="4"/>
      <c r="I267" s="4"/>
      <c r="J267" s="4"/>
      <c r="K267" s="4"/>
      <c r="L267" s="4"/>
      <c r="M267" s="35"/>
      <c r="N267" s="35"/>
      <c r="O267" s="35"/>
      <c r="P267" s="35"/>
      <c r="Q267" s="35"/>
      <c r="T267" s="1557" t="str">
        <f>IFERROR(BO245,"")</f>
        <v>Joint Venture</v>
      </c>
      <c r="U267" s="1557"/>
      <c r="V267" s="1557"/>
      <c r="W267" s="1557"/>
      <c r="X267" s="1557"/>
      <c r="Z267" s="307" t="s">
        <v>954</v>
      </c>
      <c r="AA267" s="308"/>
      <c r="AB267" s="308"/>
      <c r="AC267" s="308"/>
      <c r="AD267" s="105"/>
      <c r="AE267" s="105"/>
      <c r="AF267" s="105"/>
      <c r="AG267" s="105"/>
      <c r="AH267" s="105"/>
      <c r="AI267" s="105"/>
      <c r="AJ267" s="105"/>
      <c r="AK267" s="309"/>
      <c r="AL267" s="58"/>
    </row>
    <row r="268" spans="1:51" ht="13"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3"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3" customHeight="1">
      <c r="A270" s="4"/>
      <c r="B270" s="36">
        <v>0</v>
      </c>
      <c r="D270" s="1516" t="s">
        <v>279</v>
      </c>
      <c r="E270" s="1516"/>
      <c r="F270" s="1516"/>
      <c r="G270" s="1516"/>
      <c r="H270" s="1516"/>
      <c r="J270" t="s">
        <v>278</v>
      </c>
      <c r="X270" s="1504"/>
      <c r="Y270" s="1504"/>
      <c r="Z270" s="1504"/>
      <c r="AA270" s="1504"/>
      <c r="AB270" s="1504"/>
      <c r="AC270" s="1504"/>
      <c r="AU270" s="3"/>
      <c r="AV270" s="3"/>
      <c r="AW270" s="3"/>
      <c r="AX270" s="3"/>
      <c r="AY270" s="3"/>
    </row>
    <row r="271" spans="1:51" ht="13"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295</v>
      </c>
      <c r="E274" s="4"/>
      <c r="F274" s="4"/>
      <c r="G274" s="4"/>
      <c r="H274" s="4"/>
      <c r="I274" s="4"/>
      <c r="J274" s="4"/>
      <c r="K274" s="4"/>
      <c r="L274" s="1550" t="s">
        <v>2641</v>
      </c>
      <c r="M274" s="1550"/>
      <c r="N274" s="1550"/>
      <c r="O274" s="1550"/>
      <c r="P274" s="1550"/>
      <c r="Q274" s="1550"/>
      <c r="R274" s="1550"/>
      <c r="S274" s="1550"/>
      <c r="T274" s="1550"/>
      <c r="U274" s="1550"/>
      <c r="V274" s="1550"/>
      <c r="W274" s="1550"/>
      <c r="X274" s="1550"/>
      <c r="Y274" s="1550"/>
      <c r="Z274" s="1550"/>
      <c r="AA274" s="1550"/>
      <c r="AB274" s="1550"/>
      <c r="AC274" s="1550"/>
      <c r="AD274" s="1550"/>
      <c r="AE274" s="1550"/>
      <c r="AF274" s="1550"/>
      <c r="AG274" s="1550"/>
      <c r="AH274" s="1550"/>
      <c r="AI274" s="1550"/>
      <c r="AJ274" s="1550"/>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516" t="s">
        <v>2642</v>
      </c>
      <c r="M275" s="1516"/>
      <c r="N275" s="1516"/>
      <c r="O275" s="1516"/>
      <c r="P275" s="1516"/>
      <c r="Q275" s="1516"/>
      <c r="R275" s="1516"/>
      <c r="S275" s="1516"/>
      <c r="T275" s="1516"/>
      <c r="U275" s="1516"/>
      <c r="V275" s="1516"/>
      <c r="W275" s="1516"/>
      <c r="X275" s="1516"/>
      <c r="Y275" s="1516"/>
      <c r="Z275" s="1516"/>
      <c r="AA275" s="1516"/>
      <c r="AB275" s="1516"/>
      <c r="AC275" s="1516"/>
      <c r="AD275" s="1516"/>
      <c r="AK275" s="3"/>
      <c r="AL275" s="3"/>
      <c r="AM275" s="3"/>
      <c r="AN275" s="3"/>
      <c r="AO275" s="3"/>
      <c r="AP275" s="3"/>
      <c r="AQ275" s="3"/>
      <c r="AR275" s="3"/>
      <c r="AS275" s="3"/>
      <c r="AT275" s="3"/>
      <c r="AU275" s="3"/>
      <c r="AV275" s="3"/>
      <c r="AW275" s="3"/>
      <c r="AX275" s="3"/>
      <c r="AY275" s="3"/>
    </row>
    <row r="276" spans="1:51" ht="13" customHeight="1">
      <c r="D276" s="4" t="s">
        <v>580</v>
      </c>
      <c r="E276" s="4"/>
      <c r="L276" s="1516" t="s">
        <v>2617</v>
      </c>
      <c r="M276" s="1516"/>
      <c r="N276" s="1516"/>
      <c r="O276" s="1516"/>
      <c r="P276" s="1516"/>
      <c r="Q276" s="1516"/>
      <c r="R276" s="1516"/>
      <c r="S276" s="1516"/>
      <c r="U276" s="33" t="s">
        <v>86</v>
      </c>
      <c r="V276" s="1546" t="s">
        <v>2636</v>
      </c>
      <c r="W276" s="1454"/>
      <c r="X276" s="4" t="s">
        <v>583</v>
      </c>
      <c r="AB276" s="1516">
        <v>94901</v>
      </c>
      <c r="AC276" s="1516"/>
      <c r="AD276" s="1516"/>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516" t="s">
        <v>2643</v>
      </c>
      <c r="M277" s="1516"/>
      <c r="N277" s="1516"/>
      <c r="O277" s="1516"/>
      <c r="P277" s="1516"/>
      <c r="Q277" s="1516"/>
      <c r="R277" s="1516"/>
      <c r="S277" s="1516"/>
      <c r="T277" s="1516"/>
      <c r="U277" s="1516"/>
      <c r="V277" s="1516"/>
      <c r="W277" s="1516"/>
      <c r="X277" s="1516"/>
      <c r="Y277" s="1516"/>
      <c r="Z277" s="1516"/>
      <c r="AA277" s="1516"/>
      <c r="AB277" s="1516"/>
      <c r="AC277" s="1516"/>
      <c r="AD277" s="1516"/>
      <c r="AI277" s="4"/>
      <c r="AJ277" s="4"/>
      <c r="AK277" s="3"/>
      <c r="AL277" s="3"/>
      <c r="AM277" s="3"/>
      <c r="AN277" s="3"/>
      <c r="AO277" s="3"/>
      <c r="AP277" s="3"/>
      <c r="AQ277" s="3"/>
      <c r="AR277" s="3"/>
      <c r="AS277" s="3"/>
      <c r="AT277" s="3"/>
    </row>
    <row r="278" spans="1:51" ht="13" customHeight="1">
      <c r="D278" s="4" t="s">
        <v>88</v>
      </c>
      <c r="E278" s="4"/>
      <c r="F278" s="4"/>
      <c r="L278" s="1467" t="s">
        <v>2644</v>
      </c>
      <c r="M278" s="1467"/>
      <c r="N278" s="1467"/>
      <c r="O278" s="1467"/>
      <c r="P278" s="1467"/>
      <c r="Q278" s="1467"/>
      <c r="R278" s="4" t="s">
        <v>205</v>
      </c>
      <c r="S278" s="4"/>
      <c r="T278" s="1454"/>
      <c r="U278" s="1454"/>
      <c r="V278" s="1454"/>
      <c r="W278" s="4" t="s">
        <v>89</v>
      </c>
      <c r="Y278" s="1467"/>
      <c r="Z278" s="1467"/>
      <c r="AA278" s="1467"/>
      <c r="AB278" s="1467"/>
      <c r="AC278" s="1467"/>
      <c r="AD278" s="1467"/>
    </row>
    <row r="279" spans="1:51" ht="13" customHeight="1">
      <c r="D279" s="4" t="s">
        <v>90</v>
      </c>
      <c r="E279" s="4"/>
      <c r="F279" s="4"/>
      <c r="L279" s="1523" t="s">
        <v>2645</v>
      </c>
      <c r="M279" s="1523"/>
      <c r="N279" s="1523"/>
      <c r="O279" s="1523"/>
      <c r="P279" s="1523"/>
      <c r="Q279" s="1523"/>
      <c r="R279" s="1523"/>
      <c r="S279" s="1523"/>
      <c r="T279" s="1523"/>
      <c r="U279" s="1523"/>
      <c r="V279" s="1523"/>
      <c r="W279" s="1523"/>
      <c r="X279" s="1523"/>
      <c r="Y279" s="1523"/>
      <c r="Z279" s="1523"/>
      <c r="AA279" s="1523"/>
      <c r="AB279" s="1523"/>
      <c r="AC279" s="1523"/>
      <c r="AD279" s="1523"/>
      <c r="AF279" s="4"/>
      <c r="AG279" s="4"/>
      <c r="AH279" s="4"/>
      <c r="AI279" s="4"/>
      <c r="AJ279" s="4"/>
      <c r="AU279" s="3"/>
      <c r="AV279" s="3"/>
      <c r="AW279" s="3"/>
      <c r="AX279" s="3"/>
      <c r="AY279" s="3"/>
    </row>
    <row r="280" spans="1:51" ht="13" customHeight="1">
      <c r="D280" s="3" t="s">
        <v>623</v>
      </c>
      <c r="E280" s="3"/>
      <c r="F280" s="3"/>
      <c r="G280" s="3"/>
      <c r="H280" s="3"/>
      <c r="I280" s="3"/>
      <c r="L280" s="1546" t="s">
        <v>2646</v>
      </c>
      <c r="M280" s="1546"/>
      <c r="N280" s="1546"/>
      <c r="O280" s="1546"/>
      <c r="P280" s="1546"/>
      <c r="Q280" s="1546"/>
      <c r="R280" s="1546"/>
      <c r="S280" s="1546"/>
      <c r="T280" s="1546"/>
      <c r="U280" s="1546"/>
      <c r="V280" s="1546"/>
      <c r="W280" s="1546"/>
      <c r="X280" s="1546"/>
      <c r="Y280" s="1546"/>
      <c r="Z280" s="1546"/>
      <c r="AA280" s="1546"/>
      <c r="AB280" s="1546"/>
      <c r="AC280" s="1546"/>
      <c r="AD280" s="1546"/>
      <c r="AK280" s="3"/>
      <c r="AL280" s="3"/>
      <c r="AM280" s="3"/>
      <c r="AN280" s="3"/>
      <c r="AO280" s="3"/>
      <c r="AP280" s="3"/>
      <c r="AQ280" s="3"/>
      <c r="AR280" s="3"/>
      <c r="AS280" s="3"/>
      <c r="AT280" s="3"/>
    </row>
    <row r="281" spans="1:51" ht="13" customHeight="1">
      <c r="L281" s="22" t="s">
        <v>624</v>
      </c>
      <c r="AU281" s="95"/>
      <c r="AV281" s="95"/>
      <c r="AW281" s="95"/>
      <c r="AX281" s="95"/>
      <c r="AY281" s="95"/>
    </row>
    <row r="282" spans="1:51" ht="13" customHeight="1">
      <c r="A282" s="1527" t="s">
        <v>541</v>
      </c>
      <c r="B282" s="1527"/>
      <c r="C282" s="1527"/>
      <c r="D282" s="1527"/>
      <c r="E282" s="1527"/>
      <c r="F282" s="1527"/>
      <c r="G282" s="1527"/>
      <c r="H282" s="1527"/>
      <c r="I282" s="1527"/>
      <c r="J282" s="1527"/>
      <c r="K282" s="1527"/>
      <c r="L282" s="1527"/>
      <c r="M282" s="1527"/>
      <c r="N282" s="1527"/>
      <c r="O282" s="1527"/>
      <c r="P282" s="1527"/>
      <c r="Q282" s="1527"/>
      <c r="R282" s="1527"/>
      <c r="S282" s="1527"/>
      <c r="T282" s="1527"/>
      <c r="U282" s="1527"/>
      <c r="V282" s="1527"/>
      <c r="W282" s="1527"/>
      <c r="X282" s="1527"/>
      <c r="Y282" s="1527"/>
      <c r="Z282" s="1527"/>
      <c r="AA282" s="1527"/>
      <c r="AB282" s="1527"/>
      <c r="AC282" s="1527"/>
      <c r="AD282" s="1527"/>
      <c r="AE282" s="1527"/>
      <c r="AF282" s="1527"/>
      <c r="AG282" s="1527"/>
      <c r="AH282" s="1527"/>
      <c r="AI282" s="1527"/>
      <c r="AJ282" s="1527"/>
      <c r="AK282" s="1527"/>
      <c r="AL282" s="1527"/>
      <c r="AM282" s="1527"/>
      <c r="AN282" s="1527"/>
      <c r="AO282" s="1527"/>
      <c r="AP282" s="1527"/>
      <c r="AQ282" s="1527"/>
      <c r="AR282" s="1527"/>
      <c r="AS282" s="1527"/>
      <c r="AT282" s="1527"/>
      <c r="AU282" s="95"/>
      <c r="AV282" s="95"/>
      <c r="AW282" s="95"/>
      <c r="AX282" s="95"/>
      <c r="AY282" s="95"/>
    </row>
    <row r="283" spans="1:51" ht="13" customHeight="1">
      <c r="A283" s="1527"/>
      <c r="B283" s="1527"/>
      <c r="C283" s="1527"/>
      <c r="D283" s="1527"/>
      <c r="E283" s="1527"/>
      <c r="F283" s="1527"/>
      <c r="G283" s="1527"/>
      <c r="H283" s="1527"/>
      <c r="I283" s="1527"/>
      <c r="J283" s="1527"/>
      <c r="K283" s="1527"/>
      <c r="L283" s="1527"/>
      <c r="M283" s="1527"/>
      <c r="N283" s="1527"/>
      <c r="O283" s="1527"/>
      <c r="P283" s="1527"/>
      <c r="Q283" s="1527"/>
      <c r="R283" s="1527"/>
      <c r="S283" s="1527"/>
      <c r="T283" s="1527"/>
      <c r="U283" s="1527"/>
      <c r="V283" s="1527"/>
      <c r="W283" s="1527"/>
      <c r="X283" s="1527"/>
      <c r="Y283" s="1527"/>
      <c r="Z283" s="1527"/>
      <c r="AA283" s="1527"/>
      <c r="AB283" s="1527"/>
      <c r="AC283" s="1527"/>
      <c r="AD283" s="1527"/>
      <c r="AE283" s="1527"/>
      <c r="AF283" s="1527"/>
      <c r="AG283" s="1527"/>
      <c r="AH283" s="1527"/>
      <c r="AI283" s="1527"/>
      <c r="AJ283" s="1527"/>
      <c r="AK283" s="1527"/>
      <c r="AL283" s="1527"/>
      <c r="AM283" s="1527"/>
      <c r="AN283" s="1527"/>
      <c r="AO283" s="1527"/>
      <c r="AP283" s="1527"/>
      <c r="AQ283" s="1527"/>
      <c r="AR283" s="1527"/>
      <c r="AS283" s="1527"/>
      <c r="AT283" s="1527"/>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626</v>
      </c>
      <c r="C287" s="3"/>
      <c r="D287" s="3"/>
      <c r="E287" s="3"/>
      <c r="F287" s="3"/>
      <c r="H287" s="1409" t="s">
        <v>2647</v>
      </c>
      <c r="I287" s="1409"/>
      <c r="J287" s="1409"/>
      <c r="K287" s="1409"/>
      <c r="L287" s="1409"/>
      <c r="M287" s="1409"/>
      <c r="N287" s="1409"/>
      <c r="O287" s="1409"/>
      <c r="P287" s="1409"/>
      <c r="Q287" s="1409"/>
      <c r="R287" s="1409"/>
      <c r="T287" s="3" t="s">
        <v>567</v>
      </c>
      <c r="V287" s="3"/>
      <c r="W287" s="3"/>
      <c r="X287" s="3"/>
      <c r="Y287" s="3"/>
      <c r="AA287" s="1409" t="s">
        <v>2649</v>
      </c>
      <c r="AB287" s="1409"/>
      <c r="AC287" s="1409"/>
      <c r="AD287" s="1409"/>
      <c r="AE287" s="1409"/>
      <c r="AF287" s="1409"/>
      <c r="AG287" s="1409"/>
      <c r="AH287" s="1409"/>
      <c r="AI287" s="1409"/>
      <c r="AJ287" s="1409"/>
      <c r="AK287" s="1409"/>
    </row>
    <row r="288" spans="1:51" ht="13" customHeight="1">
      <c r="B288" s="3" t="s">
        <v>471</v>
      </c>
      <c r="C288" s="3"/>
      <c r="D288" s="3"/>
      <c r="E288" s="3"/>
      <c r="F288" s="3"/>
      <c r="H288" s="1453" t="s">
        <v>2628</v>
      </c>
      <c r="I288" s="1453"/>
      <c r="J288" s="1453"/>
      <c r="K288" s="1453"/>
      <c r="L288" s="1453"/>
      <c r="M288" s="1453"/>
      <c r="N288" s="1453"/>
      <c r="O288" s="1453"/>
      <c r="P288" s="1453"/>
      <c r="Q288" s="1453"/>
      <c r="R288" s="1453"/>
      <c r="T288" s="3" t="s">
        <v>471</v>
      </c>
      <c r="V288" s="3"/>
      <c r="W288" s="3"/>
      <c r="X288" s="3"/>
      <c r="Y288" s="3"/>
      <c r="AA288" s="1453" t="s">
        <v>2650</v>
      </c>
      <c r="AB288" s="1453"/>
      <c r="AC288" s="1453"/>
      <c r="AD288" s="1453"/>
      <c r="AE288" s="1453"/>
      <c r="AF288" s="1453"/>
      <c r="AG288" s="1453"/>
      <c r="AH288" s="1453"/>
      <c r="AI288" s="1453"/>
      <c r="AJ288" s="1453"/>
      <c r="AK288" s="1453"/>
    </row>
    <row r="289" spans="2:37" ht="13" customHeight="1">
      <c r="B289" s="3" t="s">
        <v>472</v>
      </c>
      <c r="C289" s="3"/>
      <c r="D289" s="3"/>
      <c r="E289" s="3"/>
      <c r="F289" s="3"/>
      <c r="H289" s="1453" t="s">
        <v>2648</v>
      </c>
      <c r="I289" s="1453"/>
      <c r="J289" s="1453"/>
      <c r="K289" s="1453"/>
      <c r="L289" s="1453"/>
      <c r="M289" s="1453"/>
      <c r="N289" s="1453"/>
      <c r="O289" s="1453"/>
      <c r="P289" s="1453"/>
      <c r="Q289" s="1453"/>
      <c r="R289" s="1453"/>
      <c r="T289" s="3" t="s">
        <v>75</v>
      </c>
      <c r="V289" s="3"/>
      <c r="W289" s="3"/>
      <c r="X289" s="3"/>
      <c r="Y289" s="3"/>
      <c r="AA289" s="1453" t="s">
        <v>2651</v>
      </c>
      <c r="AB289" s="1453"/>
      <c r="AC289" s="1453"/>
      <c r="AD289" s="1453"/>
      <c r="AE289" s="1453"/>
      <c r="AF289" s="1453"/>
      <c r="AG289" s="1453"/>
      <c r="AH289" s="1453"/>
      <c r="AI289" s="1453"/>
      <c r="AJ289" s="1453"/>
      <c r="AK289" s="1453"/>
    </row>
    <row r="290" spans="2:37" ht="13" customHeight="1">
      <c r="B290" s="3" t="s">
        <v>87</v>
      </c>
      <c r="C290" s="3"/>
      <c r="D290" s="3"/>
      <c r="E290" s="3"/>
      <c r="F290" s="3"/>
      <c r="H290" s="1453" t="s">
        <v>2630</v>
      </c>
      <c r="I290" s="1453"/>
      <c r="J290" s="1453"/>
      <c r="K290" s="1453"/>
      <c r="L290" s="1453"/>
      <c r="M290" s="1453"/>
      <c r="N290" s="1453"/>
      <c r="O290" s="1453"/>
      <c r="P290" s="1453"/>
      <c r="Q290" s="1453"/>
      <c r="R290" s="1453"/>
      <c r="T290" s="3" t="s">
        <v>87</v>
      </c>
      <c r="V290" s="3"/>
      <c r="W290" s="3"/>
      <c r="X290" s="3"/>
      <c r="Y290" s="3"/>
      <c r="AA290" s="1453" t="s">
        <v>2808</v>
      </c>
      <c r="AB290" s="1453"/>
      <c r="AC290" s="1453"/>
      <c r="AD290" s="1453"/>
      <c r="AE290" s="1453"/>
      <c r="AF290" s="1453"/>
      <c r="AG290" s="1453"/>
      <c r="AH290" s="1453"/>
      <c r="AI290" s="1453"/>
      <c r="AJ290" s="1453"/>
      <c r="AK290" s="1453"/>
    </row>
    <row r="291" spans="2:37" ht="13" customHeight="1">
      <c r="B291" s="3" t="s">
        <v>88</v>
      </c>
      <c r="C291" s="3"/>
      <c r="D291" s="3"/>
      <c r="E291" s="3"/>
      <c r="F291" s="3"/>
      <c r="G291" s="3"/>
      <c r="H291" s="1522" t="s">
        <v>2631</v>
      </c>
      <c r="I291" s="1522"/>
      <c r="J291" s="1522"/>
      <c r="K291" s="1522"/>
      <c r="L291" s="1522"/>
      <c r="M291" s="1522"/>
      <c r="N291" s="4" t="s">
        <v>205</v>
      </c>
      <c r="O291" s="4"/>
      <c r="P291" s="1516"/>
      <c r="Q291" s="1516"/>
      <c r="R291" s="1516"/>
      <c r="S291" s="3"/>
      <c r="T291" s="3" t="s">
        <v>88</v>
      </c>
      <c r="V291" s="3"/>
      <c r="W291" s="3"/>
      <c r="X291" s="3"/>
      <c r="Y291" s="3"/>
      <c r="AA291" s="1558" t="s">
        <v>2810</v>
      </c>
      <c r="AB291" s="1522"/>
      <c r="AC291" s="1522"/>
      <c r="AD291" s="1522"/>
      <c r="AE291" s="1522"/>
      <c r="AF291" s="1522"/>
      <c r="AG291" s="4" t="s">
        <v>205</v>
      </c>
      <c r="AH291" s="4"/>
      <c r="AI291" s="1516"/>
      <c r="AJ291" s="1516"/>
      <c r="AK291" s="1516"/>
    </row>
    <row r="292" spans="2:37" ht="13" customHeight="1">
      <c r="B292" s="3" t="s">
        <v>89</v>
      </c>
      <c r="C292" s="3"/>
      <c r="D292" s="3"/>
      <c r="E292" s="3"/>
      <c r="F292" s="3"/>
      <c r="G292" s="3"/>
      <c r="H292" s="1467"/>
      <c r="I292" s="1467"/>
      <c r="J292" s="1467"/>
      <c r="K292" s="1467"/>
      <c r="L292" s="1467"/>
      <c r="M292" s="1467"/>
      <c r="N292" s="4"/>
      <c r="O292" s="4"/>
      <c r="P292" s="35"/>
      <c r="Q292" s="35"/>
      <c r="R292" s="35"/>
      <c r="S292" s="3"/>
      <c r="T292" s="3" t="s">
        <v>89</v>
      </c>
      <c r="V292" s="3"/>
      <c r="W292" s="3"/>
      <c r="X292" s="3"/>
      <c r="Y292" s="3"/>
      <c r="AA292" s="1467"/>
      <c r="AB292" s="1467"/>
      <c r="AC292" s="1467"/>
      <c r="AD292" s="1467"/>
      <c r="AE292" s="1467"/>
      <c r="AF292" s="1467"/>
      <c r="AG292" s="4"/>
      <c r="AH292" s="4"/>
      <c r="AI292" s="35"/>
      <c r="AJ292" s="35"/>
      <c r="AK292" s="35"/>
    </row>
    <row r="293" spans="2:37" ht="13" customHeight="1">
      <c r="B293" s="3" t="s">
        <v>76</v>
      </c>
      <c r="C293" s="3"/>
      <c r="D293" s="3"/>
      <c r="E293" s="3"/>
      <c r="F293" s="3"/>
      <c r="G293" s="3"/>
      <c r="H293" s="1453" t="s">
        <v>2632</v>
      </c>
      <c r="I293" s="1453"/>
      <c r="J293" s="1453"/>
      <c r="K293" s="1453"/>
      <c r="L293" s="1453"/>
      <c r="M293" s="1453"/>
      <c r="N293" s="1409"/>
      <c r="O293" s="1409"/>
      <c r="P293" s="1409"/>
      <c r="Q293" s="1409"/>
      <c r="R293" s="1409"/>
      <c r="S293" s="3"/>
      <c r="T293" s="3" t="s">
        <v>76</v>
      </c>
      <c r="V293" s="3"/>
      <c r="W293" s="3"/>
      <c r="X293" s="3"/>
      <c r="Y293" s="3"/>
      <c r="AA293" s="1453" t="s">
        <v>2809</v>
      </c>
      <c r="AB293" s="1453"/>
      <c r="AC293" s="1453"/>
      <c r="AD293" s="1453"/>
      <c r="AE293" s="1453"/>
      <c r="AF293" s="1453"/>
      <c r="AG293" s="1409"/>
      <c r="AH293" s="1409"/>
      <c r="AI293" s="1409"/>
      <c r="AJ293" s="1409"/>
      <c r="AK293" s="1409"/>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322</v>
      </c>
      <c r="C295" s="3"/>
      <c r="D295" s="3"/>
      <c r="E295" s="3"/>
      <c r="F295" s="3"/>
      <c r="H295" s="1409" t="s">
        <v>2652</v>
      </c>
      <c r="I295" s="1409"/>
      <c r="J295" s="1409"/>
      <c r="K295" s="1409"/>
      <c r="L295" s="1409"/>
      <c r="M295" s="1409"/>
      <c r="N295" s="1409"/>
      <c r="O295" s="1409"/>
      <c r="P295" s="1409"/>
      <c r="Q295" s="1409"/>
      <c r="R295" s="1409"/>
      <c r="T295" s="3" t="s">
        <v>363</v>
      </c>
      <c r="V295" s="3"/>
      <c r="W295" s="3"/>
      <c r="X295" s="3"/>
      <c r="Y295" s="3"/>
      <c r="AA295" s="1409" t="s">
        <v>2658</v>
      </c>
      <c r="AB295" s="1409"/>
      <c r="AC295" s="1409"/>
      <c r="AD295" s="1409"/>
      <c r="AE295" s="1409"/>
      <c r="AF295" s="1409"/>
      <c r="AG295" s="1409"/>
      <c r="AH295" s="1409"/>
      <c r="AI295" s="1409"/>
      <c r="AJ295" s="1409"/>
      <c r="AK295" s="1409"/>
    </row>
    <row r="296" spans="2:37" ht="13" customHeight="1">
      <c r="B296" s="3" t="s">
        <v>471</v>
      </c>
      <c r="C296" s="3"/>
      <c r="D296" s="3"/>
      <c r="E296" s="3"/>
      <c r="F296" s="3"/>
      <c r="H296" s="1453" t="s">
        <v>2653</v>
      </c>
      <c r="I296" s="1453"/>
      <c r="J296" s="1453"/>
      <c r="K296" s="1453"/>
      <c r="L296" s="1453"/>
      <c r="M296" s="1453"/>
      <c r="N296" s="1453"/>
      <c r="O296" s="1453"/>
      <c r="P296" s="1453"/>
      <c r="Q296" s="1453"/>
      <c r="R296" s="1453"/>
      <c r="T296" s="3" t="s">
        <v>471</v>
      </c>
      <c r="V296" s="3"/>
      <c r="W296" s="3"/>
      <c r="X296" s="3"/>
      <c r="Y296" s="3"/>
      <c r="AA296" s="1453" t="s">
        <v>2659</v>
      </c>
      <c r="AB296" s="1453"/>
      <c r="AC296" s="1453"/>
      <c r="AD296" s="1453"/>
      <c r="AE296" s="1453"/>
      <c r="AF296" s="1453"/>
      <c r="AG296" s="1453"/>
      <c r="AH296" s="1453"/>
      <c r="AI296" s="1453"/>
      <c r="AJ296" s="1453"/>
      <c r="AK296" s="1453"/>
    </row>
    <row r="297" spans="2:37" ht="13" customHeight="1">
      <c r="B297" s="3" t="s">
        <v>472</v>
      </c>
      <c r="C297" s="3"/>
      <c r="D297" s="3"/>
      <c r="E297" s="3"/>
      <c r="F297" s="3"/>
      <c r="H297" s="1453" t="s">
        <v>2654</v>
      </c>
      <c r="I297" s="1453"/>
      <c r="J297" s="1453"/>
      <c r="K297" s="1453"/>
      <c r="L297" s="1453"/>
      <c r="M297" s="1453"/>
      <c r="N297" s="1453"/>
      <c r="O297" s="1453"/>
      <c r="P297" s="1453"/>
      <c r="Q297" s="1453"/>
      <c r="R297" s="1453"/>
      <c r="T297" s="3" t="s">
        <v>75</v>
      </c>
      <c r="V297" s="3"/>
      <c r="W297" s="3"/>
      <c r="X297" s="3"/>
      <c r="Y297" s="3"/>
      <c r="AA297" s="1453" t="s">
        <v>2660</v>
      </c>
      <c r="AB297" s="1453"/>
      <c r="AC297" s="1453"/>
      <c r="AD297" s="1453"/>
      <c r="AE297" s="1453"/>
      <c r="AF297" s="1453"/>
      <c r="AG297" s="1453"/>
      <c r="AH297" s="1453"/>
      <c r="AI297" s="1453"/>
      <c r="AJ297" s="1453"/>
      <c r="AK297" s="1453"/>
    </row>
    <row r="298" spans="2:37" ht="13" customHeight="1">
      <c r="B298" s="3" t="s">
        <v>87</v>
      </c>
      <c r="C298" s="3"/>
      <c r="D298" s="3"/>
      <c r="E298" s="3"/>
      <c r="F298" s="3"/>
      <c r="H298" s="1453" t="s">
        <v>2655</v>
      </c>
      <c r="I298" s="1453"/>
      <c r="J298" s="1453"/>
      <c r="K298" s="1453"/>
      <c r="L298" s="1453"/>
      <c r="M298" s="1453"/>
      <c r="N298" s="1453"/>
      <c r="O298" s="1453"/>
      <c r="P298" s="1453"/>
      <c r="Q298" s="1453"/>
      <c r="R298" s="1453"/>
      <c r="T298" s="3" t="s">
        <v>87</v>
      </c>
      <c r="V298" s="3"/>
      <c r="W298" s="3"/>
      <c r="X298" s="3"/>
      <c r="Y298" s="3"/>
      <c r="AA298" s="1453" t="s">
        <v>2661</v>
      </c>
      <c r="AB298" s="1453"/>
      <c r="AC298" s="1453"/>
      <c r="AD298" s="1453"/>
      <c r="AE298" s="1453"/>
      <c r="AF298" s="1453"/>
      <c r="AG298" s="1453"/>
      <c r="AH298" s="1453"/>
      <c r="AI298" s="1453"/>
      <c r="AJ298" s="1453"/>
      <c r="AK298" s="1453"/>
    </row>
    <row r="299" spans="2:37" ht="13" customHeight="1">
      <c r="B299" s="3" t="s">
        <v>88</v>
      </c>
      <c r="C299" s="3"/>
      <c r="D299" s="3"/>
      <c r="E299" s="3"/>
      <c r="F299" s="3"/>
      <c r="G299" s="3"/>
      <c r="H299" s="1522" t="s">
        <v>2656</v>
      </c>
      <c r="I299" s="1522"/>
      <c r="J299" s="1522"/>
      <c r="K299" s="1522"/>
      <c r="L299" s="1522"/>
      <c r="M299" s="1522"/>
      <c r="N299" s="4" t="s">
        <v>205</v>
      </c>
      <c r="O299" s="4"/>
      <c r="P299" s="1516"/>
      <c r="Q299" s="1516"/>
      <c r="R299" s="1516"/>
      <c r="S299" s="3"/>
      <c r="T299" s="3" t="s">
        <v>88</v>
      </c>
      <c r="V299" s="3"/>
      <c r="W299" s="3"/>
      <c r="X299" s="3"/>
      <c r="Y299" s="3"/>
      <c r="AA299" s="1522" t="s">
        <v>2662</v>
      </c>
      <c r="AB299" s="1522"/>
      <c r="AC299" s="1522"/>
      <c r="AD299" s="1522"/>
      <c r="AE299" s="1522"/>
      <c r="AF299" s="1522"/>
      <c r="AG299" s="4" t="s">
        <v>205</v>
      </c>
      <c r="AH299" s="4"/>
      <c r="AI299" s="1516"/>
      <c r="AJ299" s="1516"/>
      <c r="AK299" s="1516"/>
    </row>
    <row r="300" spans="2:37" ht="13" customHeight="1">
      <c r="B300" s="3" t="s">
        <v>89</v>
      </c>
      <c r="C300" s="3"/>
      <c r="D300" s="3"/>
      <c r="E300" s="3"/>
      <c r="F300" s="3"/>
      <c r="G300" s="3"/>
      <c r="H300" s="1467"/>
      <c r="I300" s="1467"/>
      <c r="J300" s="1467"/>
      <c r="K300" s="1467"/>
      <c r="L300" s="1467"/>
      <c r="M300" s="1467"/>
      <c r="N300" s="4"/>
      <c r="O300" s="4"/>
      <c r="P300" s="35"/>
      <c r="Q300" s="35"/>
      <c r="R300" s="35"/>
      <c r="S300" s="3"/>
      <c r="T300" s="3" t="s">
        <v>89</v>
      </c>
      <c r="V300" s="3"/>
      <c r="W300" s="3"/>
      <c r="X300" s="3"/>
      <c r="Y300" s="3"/>
      <c r="AA300" s="1467"/>
      <c r="AB300" s="1467"/>
      <c r="AC300" s="1467"/>
      <c r="AD300" s="1467"/>
      <c r="AE300" s="1467"/>
      <c r="AF300" s="1467"/>
      <c r="AG300" s="4"/>
      <c r="AH300" s="4"/>
      <c r="AI300" s="35"/>
      <c r="AJ300" s="35"/>
      <c r="AK300" s="35"/>
    </row>
    <row r="301" spans="2:37" ht="13" customHeight="1">
      <c r="B301" s="3" t="s">
        <v>76</v>
      </c>
      <c r="C301" s="3"/>
      <c r="D301" s="3"/>
      <c r="E301" s="3"/>
      <c r="F301" s="3"/>
      <c r="G301" s="3"/>
      <c r="H301" s="1453" t="s">
        <v>2657</v>
      </c>
      <c r="I301" s="1453"/>
      <c r="J301" s="1453"/>
      <c r="K301" s="1453"/>
      <c r="L301" s="1453"/>
      <c r="M301" s="1453"/>
      <c r="N301" s="1409"/>
      <c r="O301" s="1409"/>
      <c r="P301" s="1409"/>
      <c r="Q301" s="1409"/>
      <c r="R301" s="1409"/>
      <c r="S301" s="3"/>
      <c r="T301" s="3" t="s">
        <v>76</v>
      </c>
      <c r="V301" s="3"/>
      <c r="W301" s="3"/>
      <c r="X301" s="3"/>
      <c r="Y301" s="3"/>
      <c r="AA301" s="1453" t="s">
        <v>2663</v>
      </c>
      <c r="AB301" s="1453"/>
      <c r="AC301" s="1453"/>
      <c r="AD301" s="1453"/>
      <c r="AE301" s="1453"/>
      <c r="AF301" s="1453"/>
      <c r="AG301" s="1409"/>
      <c r="AH301" s="1409"/>
      <c r="AI301" s="1409"/>
      <c r="AJ301" s="1409"/>
      <c r="AK301" s="1409"/>
    </row>
    <row r="302" spans="2:37" ht="13" customHeight="1"/>
    <row r="303" spans="2:37" ht="13" customHeight="1">
      <c r="B303" s="3" t="s">
        <v>77</v>
      </c>
      <c r="C303" s="3"/>
      <c r="D303" s="3"/>
      <c r="E303" s="3"/>
      <c r="F303" s="3"/>
      <c r="H303" s="1409" t="s">
        <v>2664</v>
      </c>
      <c r="I303" s="1409"/>
      <c r="J303" s="1409"/>
      <c r="K303" s="1409"/>
      <c r="L303" s="1409"/>
      <c r="M303" s="1409"/>
      <c r="N303" s="1409"/>
      <c r="O303" s="1409"/>
      <c r="P303" s="1409"/>
      <c r="Q303" s="1409"/>
      <c r="R303" s="1409"/>
      <c r="T303" s="4" t="s">
        <v>878</v>
      </c>
      <c r="V303" s="3"/>
      <c r="W303" s="3"/>
      <c r="X303" s="3"/>
      <c r="Y303" s="3"/>
      <c r="AA303" s="1409" t="s">
        <v>2670</v>
      </c>
      <c r="AB303" s="1409"/>
      <c r="AC303" s="1409"/>
      <c r="AD303" s="1409"/>
      <c r="AE303" s="1409"/>
      <c r="AF303" s="1409"/>
      <c r="AG303" s="1409"/>
      <c r="AH303" s="1409"/>
      <c r="AI303" s="1409"/>
      <c r="AJ303" s="1409"/>
      <c r="AK303" s="1409"/>
    </row>
    <row r="304" spans="2:37" ht="13" customHeight="1">
      <c r="B304" s="3" t="s">
        <v>471</v>
      </c>
      <c r="C304" s="3"/>
      <c r="D304" s="3"/>
      <c r="E304" s="3"/>
      <c r="F304" s="3"/>
      <c r="H304" s="1453" t="s">
        <v>2665</v>
      </c>
      <c r="I304" s="1453"/>
      <c r="J304" s="1453"/>
      <c r="K304" s="1453"/>
      <c r="L304" s="1453"/>
      <c r="M304" s="1453"/>
      <c r="N304" s="1453"/>
      <c r="O304" s="1453"/>
      <c r="P304" s="1453"/>
      <c r="Q304" s="1453"/>
      <c r="R304" s="1453"/>
      <c r="T304" s="3" t="s">
        <v>471</v>
      </c>
      <c r="V304" s="3"/>
      <c r="W304" s="3"/>
      <c r="X304" s="3"/>
      <c r="Y304" s="3"/>
      <c r="AA304" s="1453" t="s">
        <v>2671</v>
      </c>
      <c r="AB304" s="1453"/>
      <c r="AC304" s="1453"/>
      <c r="AD304" s="1453"/>
      <c r="AE304" s="1453"/>
      <c r="AF304" s="1453"/>
      <c r="AG304" s="1453"/>
      <c r="AH304" s="1453"/>
      <c r="AI304" s="1453"/>
      <c r="AJ304" s="1453"/>
      <c r="AK304" s="1453"/>
    </row>
    <row r="305" spans="2:37" ht="13" customHeight="1">
      <c r="B305" s="3" t="s">
        <v>472</v>
      </c>
      <c r="C305" s="3"/>
      <c r="D305" s="3"/>
      <c r="E305" s="3"/>
      <c r="F305" s="3"/>
      <c r="H305" s="1453" t="s">
        <v>2666</v>
      </c>
      <c r="I305" s="1453"/>
      <c r="J305" s="1453"/>
      <c r="K305" s="1453"/>
      <c r="L305" s="1453"/>
      <c r="M305" s="1453"/>
      <c r="N305" s="1453"/>
      <c r="O305" s="1453"/>
      <c r="P305" s="1453"/>
      <c r="Q305" s="1453"/>
      <c r="R305" s="1453"/>
      <c r="T305" s="3" t="s">
        <v>75</v>
      </c>
      <c r="V305" s="3"/>
      <c r="W305" s="3"/>
      <c r="X305" s="3"/>
      <c r="Y305" s="3"/>
      <c r="AA305" s="1453" t="s">
        <v>2672</v>
      </c>
      <c r="AB305" s="1453"/>
      <c r="AC305" s="1453"/>
      <c r="AD305" s="1453"/>
      <c r="AE305" s="1453"/>
      <c r="AF305" s="1453"/>
      <c r="AG305" s="1453"/>
      <c r="AH305" s="1453"/>
      <c r="AI305" s="1453"/>
      <c r="AJ305" s="1453"/>
      <c r="AK305" s="1453"/>
    </row>
    <row r="306" spans="2:37" ht="13" customHeight="1">
      <c r="B306" s="3" t="s">
        <v>87</v>
      </c>
      <c r="C306" s="3"/>
      <c r="D306" s="3"/>
      <c r="E306" s="3"/>
      <c r="F306" s="3"/>
      <c r="H306" s="1453" t="s">
        <v>2667</v>
      </c>
      <c r="I306" s="1453"/>
      <c r="J306" s="1453"/>
      <c r="K306" s="1453"/>
      <c r="L306" s="1453"/>
      <c r="M306" s="1453"/>
      <c r="N306" s="1453"/>
      <c r="O306" s="1453"/>
      <c r="P306" s="1453"/>
      <c r="Q306" s="1453"/>
      <c r="R306" s="1453"/>
      <c r="T306" s="3" t="s">
        <v>87</v>
      </c>
      <c r="V306" s="3"/>
      <c r="W306" s="3"/>
      <c r="X306" s="3"/>
      <c r="Y306" s="3"/>
      <c r="AA306" s="1453" t="s">
        <v>2673</v>
      </c>
      <c r="AB306" s="1453"/>
      <c r="AC306" s="1453"/>
      <c r="AD306" s="1453"/>
      <c r="AE306" s="1453"/>
      <c r="AF306" s="1453"/>
      <c r="AG306" s="1453"/>
      <c r="AH306" s="1453"/>
      <c r="AI306" s="1453"/>
      <c r="AJ306" s="1453"/>
      <c r="AK306" s="1453"/>
    </row>
    <row r="307" spans="2:37" ht="13" customHeight="1">
      <c r="B307" s="3" t="s">
        <v>88</v>
      </c>
      <c r="C307" s="3"/>
      <c r="D307" s="3"/>
      <c r="E307" s="3"/>
      <c r="F307" s="3"/>
      <c r="G307" s="3"/>
      <c r="H307" s="1522" t="s">
        <v>2668</v>
      </c>
      <c r="I307" s="1522"/>
      <c r="J307" s="1522"/>
      <c r="K307" s="1522"/>
      <c r="L307" s="1522"/>
      <c r="M307" s="1522"/>
      <c r="N307" s="4" t="s">
        <v>205</v>
      </c>
      <c r="O307" s="4"/>
      <c r="P307" s="1516"/>
      <c r="Q307" s="1516"/>
      <c r="R307" s="1516"/>
      <c r="S307" s="3"/>
      <c r="T307" s="3" t="s">
        <v>88</v>
      </c>
      <c r="V307" s="3"/>
      <c r="W307" s="3"/>
      <c r="X307" s="3"/>
      <c r="Y307" s="3"/>
      <c r="AA307" s="1522" t="s">
        <v>2674</v>
      </c>
      <c r="AB307" s="1522"/>
      <c r="AC307" s="1522"/>
      <c r="AD307" s="1522"/>
      <c r="AE307" s="1522"/>
      <c r="AF307" s="1522"/>
      <c r="AG307" s="4" t="s">
        <v>205</v>
      </c>
      <c r="AH307" s="4"/>
      <c r="AI307" s="1516"/>
      <c r="AJ307" s="1516"/>
      <c r="AK307" s="1516"/>
    </row>
    <row r="308" spans="2:37" ht="13" customHeight="1">
      <c r="B308" s="3" t="s">
        <v>89</v>
      </c>
      <c r="C308" s="3"/>
      <c r="D308" s="3"/>
      <c r="E308" s="3"/>
      <c r="F308" s="3"/>
      <c r="G308" s="3"/>
      <c r="H308" s="1467"/>
      <c r="I308" s="1467"/>
      <c r="J308" s="1467"/>
      <c r="K308" s="1467"/>
      <c r="L308" s="1467"/>
      <c r="M308" s="1467"/>
      <c r="N308" s="4"/>
      <c r="O308" s="4"/>
      <c r="P308" s="35"/>
      <c r="Q308" s="35"/>
      <c r="R308" s="35"/>
      <c r="S308" s="3"/>
      <c r="T308" s="3" t="s">
        <v>89</v>
      </c>
      <c r="V308" s="3"/>
      <c r="W308" s="3"/>
      <c r="X308" s="3"/>
      <c r="Y308" s="3"/>
      <c r="AA308" s="1467"/>
      <c r="AB308" s="1467"/>
      <c r="AC308" s="1467"/>
      <c r="AD308" s="1467"/>
      <c r="AE308" s="1467"/>
      <c r="AF308" s="1467"/>
      <c r="AG308" s="4"/>
      <c r="AH308" s="4"/>
      <c r="AI308" s="35"/>
      <c r="AJ308" s="35"/>
      <c r="AK308" s="35"/>
    </row>
    <row r="309" spans="2:37" ht="13" customHeight="1">
      <c r="B309" s="3" t="s">
        <v>76</v>
      </c>
      <c r="C309" s="3"/>
      <c r="D309" s="3"/>
      <c r="E309" s="3"/>
      <c r="F309" s="3"/>
      <c r="G309" s="3"/>
      <c r="H309" s="1453" t="s">
        <v>2669</v>
      </c>
      <c r="I309" s="1453"/>
      <c r="J309" s="1453"/>
      <c r="K309" s="1453"/>
      <c r="L309" s="1453"/>
      <c r="M309" s="1453"/>
      <c r="N309" s="1409"/>
      <c r="O309" s="1409"/>
      <c r="P309" s="1409"/>
      <c r="Q309" s="1409"/>
      <c r="R309" s="1409"/>
      <c r="S309" s="3"/>
      <c r="T309" s="3" t="s">
        <v>76</v>
      </c>
      <c r="V309" s="3"/>
      <c r="W309" s="3"/>
      <c r="X309" s="3"/>
      <c r="Y309" s="3"/>
      <c r="AA309" s="1453" t="s">
        <v>2675</v>
      </c>
      <c r="AB309" s="1453"/>
      <c r="AC309" s="1453"/>
      <c r="AD309" s="1453"/>
      <c r="AE309" s="1453"/>
      <c r="AF309" s="1453"/>
      <c r="AG309" s="1409"/>
      <c r="AH309" s="1409"/>
      <c r="AI309" s="1409"/>
      <c r="AJ309" s="1409"/>
      <c r="AK309" s="1409"/>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907</v>
      </c>
      <c r="C311" s="3"/>
      <c r="D311" s="3"/>
      <c r="E311" s="3"/>
      <c r="F311" s="3"/>
      <c r="H311" s="1409" t="s">
        <v>2664</v>
      </c>
      <c r="I311" s="1409"/>
      <c r="J311" s="1409"/>
      <c r="K311" s="1409"/>
      <c r="L311" s="1409"/>
      <c r="M311" s="1409"/>
      <c r="N311" s="1409"/>
      <c r="O311" s="1409"/>
      <c r="P311" s="1409"/>
      <c r="Q311" s="1409"/>
      <c r="R311" s="1409"/>
      <c r="S311" s="3"/>
      <c r="T311" s="3" t="s">
        <v>364</v>
      </c>
      <c r="V311" s="3"/>
      <c r="W311" s="3"/>
      <c r="X311" s="3"/>
      <c r="Y311" s="3"/>
      <c r="AA311" s="1409" t="s">
        <v>2679</v>
      </c>
      <c r="AB311" s="1409"/>
      <c r="AC311" s="1409"/>
      <c r="AD311" s="1409"/>
      <c r="AE311" s="1409"/>
      <c r="AF311" s="1409"/>
      <c r="AG311" s="1409"/>
      <c r="AH311" s="1409"/>
      <c r="AI311" s="1409"/>
      <c r="AJ311" s="1409"/>
      <c r="AK311" s="1409"/>
    </row>
    <row r="312" spans="2:37" ht="13" customHeight="1">
      <c r="B312" s="3" t="s">
        <v>471</v>
      </c>
      <c r="C312" s="3"/>
      <c r="D312" s="3"/>
      <c r="E312" s="3"/>
      <c r="F312" s="3"/>
      <c r="H312" s="1453" t="s">
        <v>2676</v>
      </c>
      <c r="I312" s="1453"/>
      <c r="J312" s="1453"/>
      <c r="K312" s="1453"/>
      <c r="L312" s="1453"/>
      <c r="M312" s="1453"/>
      <c r="N312" s="1453"/>
      <c r="O312" s="1453"/>
      <c r="P312" s="1453"/>
      <c r="Q312" s="1453"/>
      <c r="R312" s="1453"/>
      <c r="S312" s="3"/>
      <c r="T312" s="3" t="s">
        <v>471</v>
      </c>
      <c r="V312" s="3"/>
      <c r="W312" s="3"/>
      <c r="X312" s="3"/>
      <c r="Y312" s="3"/>
      <c r="AA312" s="1453" t="s">
        <v>2680</v>
      </c>
      <c r="AB312" s="1453"/>
      <c r="AC312" s="1453"/>
      <c r="AD312" s="1453"/>
      <c r="AE312" s="1453"/>
      <c r="AF312" s="1453"/>
      <c r="AG312" s="1453"/>
      <c r="AH312" s="1453"/>
      <c r="AI312" s="1453"/>
      <c r="AJ312" s="1453"/>
      <c r="AK312" s="1453"/>
    </row>
    <row r="313" spans="2:37" ht="13" customHeight="1">
      <c r="B313" s="3" t="s">
        <v>472</v>
      </c>
      <c r="C313" s="3"/>
      <c r="D313" s="3"/>
      <c r="E313" s="3"/>
      <c r="F313" s="3"/>
      <c r="H313" s="1453" t="s">
        <v>2666</v>
      </c>
      <c r="I313" s="1453"/>
      <c r="J313" s="1453"/>
      <c r="K313" s="1453"/>
      <c r="L313" s="1453"/>
      <c r="M313" s="1453"/>
      <c r="N313" s="1453"/>
      <c r="O313" s="1453"/>
      <c r="P313" s="1453"/>
      <c r="Q313" s="1453"/>
      <c r="R313" s="1453"/>
      <c r="S313" s="3"/>
      <c r="T313" s="3" t="s">
        <v>75</v>
      </c>
      <c r="V313" s="3"/>
      <c r="W313" s="3"/>
      <c r="X313" s="3"/>
      <c r="Y313" s="3"/>
      <c r="AA313" s="1453" t="s">
        <v>2681</v>
      </c>
      <c r="AB313" s="1453"/>
      <c r="AC313" s="1453"/>
      <c r="AD313" s="1453"/>
      <c r="AE313" s="1453"/>
      <c r="AF313" s="1453"/>
      <c r="AG313" s="1453"/>
      <c r="AH313" s="1453"/>
      <c r="AI313" s="1453"/>
      <c r="AJ313" s="1453"/>
      <c r="AK313" s="1453"/>
    </row>
    <row r="314" spans="2:37" ht="13" customHeight="1">
      <c r="B314" s="3" t="s">
        <v>87</v>
      </c>
      <c r="C314" s="3"/>
      <c r="D314" s="3"/>
      <c r="E314" s="3"/>
      <c r="F314" s="3"/>
      <c r="H314" s="1453" t="s">
        <v>2677</v>
      </c>
      <c r="I314" s="1453"/>
      <c r="J314" s="1453"/>
      <c r="K314" s="1453"/>
      <c r="L314" s="1453"/>
      <c r="M314" s="1453"/>
      <c r="N314" s="1453"/>
      <c r="O314" s="1453"/>
      <c r="P314" s="1453"/>
      <c r="Q314" s="1453"/>
      <c r="R314" s="1453"/>
      <c r="S314" s="3"/>
      <c r="T314" s="3" t="s">
        <v>87</v>
      </c>
      <c r="V314" s="3"/>
      <c r="W314" s="3"/>
      <c r="X314" s="3"/>
      <c r="Y314" s="3"/>
      <c r="AA314" s="1453" t="s">
        <v>2682</v>
      </c>
      <c r="AB314" s="1453"/>
      <c r="AC314" s="1453"/>
      <c r="AD314" s="1453"/>
      <c r="AE314" s="1453"/>
      <c r="AF314" s="1453"/>
      <c r="AG314" s="1453"/>
      <c r="AH314" s="1453"/>
      <c r="AI314" s="1453"/>
      <c r="AJ314" s="1453"/>
      <c r="AK314" s="1453"/>
    </row>
    <row r="315" spans="2:37" ht="13" customHeight="1">
      <c r="B315" s="3" t="s">
        <v>88</v>
      </c>
      <c r="C315" s="3"/>
      <c r="D315" s="3"/>
      <c r="E315" s="3"/>
      <c r="F315" s="3"/>
      <c r="G315" s="3"/>
      <c r="H315" s="1522" t="s">
        <v>2668</v>
      </c>
      <c r="I315" s="1522"/>
      <c r="J315" s="1522"/>
      <c r="K315" s="1522"/>
      <c r="L315" s="1522"/>
      <c r="M315" s="1522"/>
      <c r="N315" s="4" t="s">
        <v>205</v>
      </c>
      <c r="O315" s="4"/>
      <c r="P315" s="1516"/>
      <c r="Q315" s="1516"/>
      <c r="R315" s="1516"/>
      <c r="S315" s="3"/>
      <c r="T315" s="3" t="s">
        <v>88</v>
      </c>
      <c r="V315" s="3"/>
      <c r="W315" s="3"/>
      <c r="X315" s="3"/>
      <c r="Y315" s="3"/>
      <c r="AA315" s="1522" t="s">
        <v>2683</v>
      </c>
      <c r="AB315" s="1522"/>
      <c r="AC315" s="1522"/>
      <c r="AD315" s="1522"/>
      <c r="AE315" s="1522"/>
      <c r="AF315" s="1522"/>
      <c r="AG315" s="4" t="s">
        <v>205</v>
      </c>
      <c r="AH315" s="4"/>
      <c r="AI315" s="1516"/>
      <c r="AJ315" s="1516"/>
      <c r="AK315" s="1516"/>
    </row>
    <row r="316" spans="2:37" ht="13" customHeight="1">
      <c r="B316" s="3" t="s">
        <v>89</v>
      </c>
      <c r="C316" s="3"/>
      <c r="D316" s="3"/>
      <c r="E316" s="3"/>
      <c r="F316" s="3"/>
      <c r="G316" s="3"/>
      <c r="H316" s="1467"/>
      <c r="I316" s="1467"/>
      <c r="J316" s="1467"/>
      <c r="K316" s="1467"/>
      <c r="L316" s="1467"/>
      <c r="M316" s="1467"/>
      <c r="N316" s="4"/>
      <c r="O316" s="4"/>
      <c r="P316" s="35"/>
      <c r="Q316" s="35"/>
      <c r="R316" s="35"/>
      <c r="S316" s="3"/>
      <c r="T316" s="3" t="s">
        <v>89</v>
      </c>
      <c r="V316" s="3"/>
      <c r="W316" s="3"/>
      <c r="X316" s="3"/>
      <c r="Y316" s="3"/>
      <c r="AA316" s="1467"/>
      <c r="AB316" s="1467"/>
      <c r="AC316" s="1467"/>
      <c r="AD316" s="1467"/>
      <c r="AE316" s="1467"/>
      <c r="AF316" s="1467"/>
      <c r="AG316" s="4"/>
      <c r="AH316" s="4"/>
      <c r="AI316" s="35"/>
      <c r="AJ316" s="35"/>
      <c r="AK316" s="35"/>
    </row>
    <row r="317" spans="2:37" ht="13" customHeight="1">
      <c r="B317" s="3" t="s">
        <v>76</v>
      </c>
      <c r="C317" s="3"/>
      <c r="D317" s="3"/>
      <c r="E317" s="3"/>
      <c r="F317" s="3"/>
      <c r="G317" s="3"/>
      <c r="H317" s="1453" t="s">
        <v>2678</v>
      </c>
      <c r="I317" s="1453"/>
      <c r="J317" s="1453"/>
      <c r="K317" s="1453"/>
      <c r="L317" s="1453"/>
      <c r="M317" s="1453"/>
      <c r="N317" s="1409"/>
      <c r="O317" s="1409"/>
      <c r="P317" s="1409"/>
      <c r="Q317" s="1409"/>
      <c r="R317" s="1409"/>
      <c r="S317" s="3"/>
      <c r="T317" s="3" t="s">
        <v>76</v>
      </c>
      <c r="V317" s="3"/>
      <c r="W317" s="3"/>
      <c r="X317" s="3"/>
      <c r="Y317" s="3"/>
      <c r="AA317" s="1453" t="s">
        <v>2684</v>
      </c>
      <c r="AB317" s="1453"/>
      <c r="AC317" s="1453"/>
      <c r="AD317" s="1453"/>
      <c r="AE317" s="1453"/>
      <c r="AF317" s="1453"/>
      <c r="AG317" s="1409"/>
      <c r="AH317" s="1409"/>
      <c r="AI317" s="1409"/>
      <c r="AJ317" s="1409"/>
      <c r="AK317" s="1409"/>
    </row>
    <row r="318" spans="2:37" ht="13" customHeight="1"/>
    <row r="319" spans="2:37" ht="13" customHeight="1">
      <c r="B319" s="4" t="s">
        <v>908</v>
      </c>
      <c r="C319" s="3"/>
      <c r="D319" s="3"/>
      <c r="E319" s="3"/>
      <c r="F319" s="3"/>
      <c r="H319" s="1409" t="s">
        <v>2685</v>
      </c>
      <c r="I319" s="1409"/>
      <c r="J319" s="1409"/>
      <c r="K319" s="1409"/>
      <c r="L319" s="1409"/>
      <c r="M319" s="1409"/>
      <c r="N319" s="1409"/>
      <c r="O319" s="1409"/>
      <c r="P319" s="1409"/>
      <c r="Q319" s="1409"/>
      <c r="R319" s="1409"/>
      <c r="T319" s="3" t="s">
        <v>365</v>
      </c>
      <c r="V319" s="3"/>
      <c r="W319" s="3"/>
      <c r="X319" s="3"/>
      <c r="Y319" s="3"/>
      <c r="AA319" s="1409" t="s">
        <v>2691</v>
      </c>
      <c r="AB319" s="1409"/>
      <c r="AC319" s="1409"/>
      <c r="AD319" s="1409"/>
      <c r="AE319" s="1409"/>
      <c r="AF319" s="1409"/>
      <c r="AG319" s="1409"/>
      <c r="AH319" s="1409"/>
      <c r="AI319" s="1409"/>
      <c r="AJ319" s="1409"/>
      <c r="AK319" s="1409"/>
    </row>
    <row r="320" spans="2:37" ht="13" customHeight="1">
      <c r="B320" s="3" t="s">
        <v>471</v>
      </c>
      <c r="C320" s="3"/>
      <c r="D320" s="3"/>
      <c r="E320" s="3"/>
      <c r="F320" s="3"/>
      <c r="H320" s="1453" t="s">
        <v>2686</v>
      </c>
      <c r="I320" s="1453"/>
      <c r="J320" s="1453"/>
      <c r="K320" s="1453"/>
      <c r="L320" s="1453"/>
      <c r="M320" s="1453"/>
      <c r="N320" s="1453"/>
      <c r="O320" s="1453"/>
      <c r="P320" s="1453"/>
      <c r="Q320" s="1453"/>
      <c r="R320" s="1453"/>
      <c r="T320" s="3" t="s">
        <v>471</v>
      </c>
      <c r="V320" s="3"/>
      <c r="W320" s="3"/>
      <c r="X320" s="3"/>
      <c r="Y320" s="3"/>
      <c r="AA320" s="1453" t="s">
        <v>2692</v>
      </c>
      <c r="AB320" s="1453"/>
      <c r="AC320" s="1453"/>
      <c r="AD320" s="1453"/>
      <c r="AE320" s="1453"/>
      <c r="AF320" s="1453"/>
      <c r="AG320" s="1453"/>
      <c r="AH320" s="1453"/>
      <c r="AI320" s="1453"/>
      <c r="AJ320" s="1453"/>
      <c r="AK320" s="1453"/>
    </row>
    <row r="321" spans="2:37" ht="13" customHeight="1">
      <c r="B321" s="3" t="s">
        <v>472</v>
      </c>
      <c r="C321" s="3"/>
      <c r="D321" s="3"/>
      <c r="E321" s="3"/>
      <c r="F321" s="3"/>
      <c r="H321" s="1453" t="s">
        <v>2687</v>
      </c>
      <c r="I321" s="1453"/>
      <c r="J321" s="1453"/>
      <c r="K321" s="1453"/>
      <c r="L321" s="1453"/>
      <c r="M321" s="1453"/>
      <c r="N321" s="1453"/>
      <c r="O321" s="1453"/>
      <c r="P321" s="1453"/>
      <c r="Q321" s="1453"/>
      <c r="R321" s="1453"/>
      <c r="T321" s="3" t="s">
        <v>75</v>
      </c>
      <c r="V321" s="3"/>
      <c r="W321" s="3"/>
      <c r="X321" s="3"/>
      <c r="Y321" s="3"/>
      <c r="AA321" s="1453" t="s">
        <v>2693</v>
      </c>
      <c r="AB321" s="1453"/>
      <c r="AC321" s="1453"/>
      <c r="AD321" s="1453"/>
      <c r="AE321" s="1453"/>
      <c r="AF321" s="1453"/>
      <c r="AG321" s="1453"/>
      <c r="AH321" s="1453"/>
      <c r="AI321" s="1453"/>
      <c r="AJ321" s="1453"/>
      <c r="AK321" s="1453"/>
    </row>
    <row r="322" spans="2:37" ht="13" customHeight="1">
      <c r="B322" s="3" t="s">
        <v>87</v>
      </c>
      <c r="C322" s="3"/>
      <c r="D322" s="3"/>
      <c r="E322" s="3"/>
      <c r="F322" s="3"/>
      <c r="H322" s="1453" t="s">
        <v>2688</v>
      </c>
      <c r="I322" s="1453"/>
      <c r="J322" s="1453"/>
      <c r="K322" s="1453"/>
      <c r="L322" s="1453"/>
      <c r="M322" s="1453"/>
      <c r="N322" s="1453"/>
      <c r="O322" s="1453"/>
      <c r="P322" s="1453"/>
      <c r="Q322" s="1453"/>
      <c r="R322" s="1453"/>
      <c r="T322" s="3" t="s">
        <v>87</v>
      </c>
      <c r="V322" s="3"/>
      <c r="W322" s="3"/>
      <c r="X322" s="3"/>
      <c r="Y322" s="3"/>
      <c r="AA322" s="1453" t="s">
        <v>2694</v>
      </c>
      <c r="AB322" s="1453"/>
      <c r="AC322" s="1453"/>
      <c r="AD322" s="1453"/>
      <c r="AE322" s="1453"/>
      <c r="AF322" s="1453"/>
      <c r="AG322" s="1453"/>
      <c r="AH322" s="1453"/>
      <c r="AI322" s="1453"/>
      <c r="AJ322" s="1453"/>
      <c r="AK322" s="1453"/>
    </row>
    <row r="323" spans="2:37" ht="13" customHeight="1">
      <c r="B323" s="3" t="s">
        <v>88</v>
      </c>
      <c r="C323" s="3"/>
      <c r="D323" s="3"/>
      <c r="E323" s="3"/>
      <c r="F323" s="3"/>
      <c r="G323" s="3"/>
      <c r="H323" s="1522" t="s">
        <v>2689</v>
      </c>
      <c r="I323" s="1522"/>
      <c r="J323" s="1522"/>
      <c r="K323" s="1522"/>
      <c r="L323" s="1522"/>
      <c r="M323" s="1522"/>
      <c r="N323" s="4" t="s">
        <v>205</v>
      </c>
      <c r="O323" s="4"/>
      <c r="P323" s="1516"/>
      <c r="Q323" s="1516"/>
      <c r="R323" s="1516"/>
      <c r="S323" s="3"/>
      <c r="T323" s="3" t="s">
        <v>88</v>
      </c>
      <c r="V323" s="3"/>
      <c r="W323" s="3"/>
      <c r="X323" s="3"/>
      <c r="Y323" s="3"/>
      <c r="AA323" s="1522" t="s">
        <v>2695</v>
      </c>
      <c r="AB323" s="1522"/>
      <c r="AC323" s="1522"/>
      <c r="AD323" s="1522"/>
      <c r="AE323" s="1522"/>
      <c r="AF323" s="1522"/>
      <c r="AG323" s="4" t="s">
        <v>205</v>
      </c>
      <c r="AH323" s="4"/>
      <c r="AI323" s="1516"/>
      <c r="AJ323" s="1516"/>
      <c r="AK323" s="1516"/>
    </row>
    <row r="324" spans="2:37" ht="13" customHeight="1">
      <c r="B324" s="3" t="s">
        <v>89</v>
      </c>
      <c r="C324" s="3"/>
      <c r="D324" s="3"/>
      <c r="E324" s="3"/>
      <c r="F324" s="3"/>
      <c r="G324" s="3"/>
      <c r="H324" s="1467"/>
      <c r="I324" s="1467"/>
      <c r="J324" s="1467"/>
      <c r="K324" s="1467"/>
      <c r="L324" s="1467"/>
      <c r="M324" s="1467"/>
      <c r="N324" s="4"/>
      <c r="O324" s="4"/>
      <c r="P324" s="35"/>
      <c r="Q324" s="35"/>
      <c r="R324" s="35"/>
      <c r="S324" s="3"/>
      <c r="T324" s="3" t="s">
        <v>89</v>
      </c>
      <c r="V324" s="3"/>
      <c r="W324" s="3"/>
      <c r="X324" s="3"/>
      <c r="Y324" s="3"/>
      <c r="AA324" s="1467" t="s">
        <v>2696</v>
      </c>
      <c r="AB324" s="1467"/>
      <c r="AC324" s="1467"/>
      <c r="AD324" s="1467"/>
      <c r="AE324" s="1467"/>
      <c r="AF324" s="1467"/>
      <c r="AG324" s="4"/>
      <c r="AH324" s="4"/>
      <c r="AI324" s="35"/>
      <c r="AJ324" s="35"/>
      <c r="AK324" s="35"/>
    </row>
    <row r="325" spans="2:37" ht="13" customHeight="1">
      <c r="B325" s="3" t="s">
        <v>76</v>
      </c>
      <c r="C325" s="3"/>
      <c r="D325" s="3"/>
      <c r="E325" s="3"/>
      <c r="F325" s="3"/>
      <c r="G325" s="3"/>
      <c r="H325" s="1453" t="s">
        <v>2690</v>
      </c>
      <c r="I325" s="1453"/>
      <c r="J325" s="1453"/>
      <c r="K325" s="1453"/>
      <c r="L325" s="1453"/>
      <c r="M325" s="1453"/>
      <c r="N325" s="1409"/>
      <c r="O325" s="1409"/>
      <c r="P325" s="1409"/>
      <c r="Q325" s="1409"/>
      <c r="R325" s="1409"/>
      <c r="S325" s="3"/>
      <c r="T325" s="3" t="s">
        <v>76</v>
      </c>
      <c r="V325" s="3"/>
      <c r="W325" s="3"/>
      <c r="X325" s="3"/>
      <c r="Y325" s="3"/>
      <c r="AA325" s="1453" t="s">
        <v>2697</v>
      </c>
      <c r="AB325" s="1453"/>
      <c r="AC325" s="1453"/>
      <c r="AD325" s="1453"/>
      <c r="AE325" s="1453"/>
      <c r="AF325" s="1453"/>
      <c r="AG325" s="1409"/>
      <c r="AH325" s="1409"/>
      <c r="AI325" s="1409"/>
      <c r="AJ325" s="1409"/>
      <c r="AK325" s="1409"/>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366</v>
      </c>
      <c r="C327" s="3"/>
      <c r="D327" s="3"/>
      <c r="E327" s="3"/>
      <c r="F327" s="3"/>
      <c r="H327" s="1409" t="s">
        <v>2698</v>
      </c>
      <c r="I327" s="1409"/>
      <c r="J327" s="1409"/>
      <c r="K327" s="1409"/>
      <c r="L327" s="1409"/>
      <c r="M327" s="1409"/>
      <c r="N327" s="1409"/>
      <c r="O327" s="1409"/>
      <c r="P327" s="1409"/>
      <c r="Q327" s="1409"/>
      <c r="R327" s="1409"/>
      <c r="T327" s="3" t="s">
        <v>367</v>
      </c>
      <c r="V327" s="3"/>
      <c r="W327" s="3"/>
      <c r="X327" s="3"/>
      <c r="Y327" s="3"/>
      <c r="AA327" s="1409"/>
      <c r="AB327" s="1409"/>
      <c r="AC327" s="1409"/>
      <c r="AD327" s="1409"/>
      <c r="AE327" s="1409"/>
      <c r="AF327" s="1409"/>
      <c r="AG327" s="1409"/>
      <c r="AH327" s="1409"/>
      <c r="AI327" s="1409"/>
      <c r="AJ327" s="1409"/>
      <c r="AK327" s="1409"/>
    </row>
    <row r="328" spans="2:37" ht="13" customHeight="1">
      <c r="B328" s="3" t="s">
        <v>471</v>
      </c>
      <c r="C328" s="3"/>
      <c r="D328" s="3"/>
      <c r="E328" s="3"/>
      <c r="F328" s="3"/>
      <c r="H328" s="1453" t="s">
        <v>2699</v>
      </c>
      <c r="I328" s="1453"/>
      <c r="J328" s="1453"/>
      <c r="K328" s="1453"/>
      <c r="L328" s="1453"/>
      <c r="M328" s="1453"/>
      <c r="N328" s="1453"/>
      <c r="O328" s="1453"/>
      <c r="P328" s="1453"/>
      <c r="Q328" s="1453"/>
      <c r="R328" s="1453"/>
      <c r="T328" s="3" t="s">
        <v>471</v>
      </c>
      <c r="V328" s="3"/>
      <c r="W328" s="3"/>
      <c r="X328" s="3"/>
      <c r="Y328" s="3"/>
      <c r="AA328" s="1453"/>
      <c r="AB328" s="1453"/>
      <c r="AC328" s="1453"/>
      <c r="AD328" s="1453"/>
      <c r="AE328" s="1453"/>
      <c r="AF328" s="1453"/>
      <c r="AG328" s="1453"/>
      <c r="AH328" s="1453"/>
      <c r="AI328" s="1453"/>
      <c r="AJ328" s="1453"/>
      <c r="AK328" s="1453"/>
    </row>
    <row r="329" spans="2:37" ht="13" customHeight="1">
      <c r="B329" s="3" t="s">
        <v>472</v>
      </c>
      <c r="C329" s="3"/>
      <c r="D329" s="3"/>
      <c r="E329" s="3"/>
      <c r="F329" s="3"/>
      <c r="H329" s="1453" t="s">
        <v>2700</v>
      </c>
      <c r="I329" s="1453"/>
      <c r="J329" s="1453"/>
      <c r="K329" s="1453"/>
      <c r="L329" s="1453"/>
      <c r="M329" s="1453"/>
      <c r="N329" s="1453"/>
      <c r="O329" s="1453"/>
      <c r="P329" s="1453"/>
      <c r="Q329" s="1453"/>
      <c r="R329" s="1453"/>
      <c r="T329" s="3" t="s">
        <v>75</v>
      </c>
      <c r="V329" s="3"/>
      <c r="W329" s="3"/>
      <c r="X329" s="3"/>
      <c r="Y329" s="3"/>
      <c r="AA329" s="1453"/>
      <c r="AB329" s="1453"/>
      <c r="AC329" s="1453"/>
      <c r="AD329" s="1453"/>
      <c r="AE329" s="1453"/>
      <c r="AF329" s="1453"/>
      <c r="AG329" s="1453"/>
      <c r="AH329" s="1453"/>
      <c r="AI329" s="1453"/>
      <c r="AJ329" s="1453"/>
      <c r="AK329" s="1453"/>
    </row>
    <row r="330" spans="2:37" ht="13" customHeight="1">
      <c r="B330" s="3" t="s">
        <v>87</v>
      </c>
      <c r="C330" s="3"/>
      <c r="D330" s="3"/>
      <c r="E330" s="3"/>
      <c r="F330" s="3"/>
      <c r="H330" s="1453" t="s">
        <v>2701</v>
      </c>
      <c r="I330" s="1453"/>
      <c r="J330" s="1453"/>
      <c r="K330" s="1453"/>
      <c r="L330" s="1453"/>
      <c r="M330" s="1453"/>
      <c r="N330" s="1453"/>
      <c r="O330" s="1453"/>
      <c r="P330" s="1453"/>
      <c r="Q330" s="1453"/>
      <c r="R330" s="1453"/>
      <c r="T330" s="3" t="s">
        <v>87</v>
      </c>
      <c r="V330" s="3"/>
      <c r="W330" s="3"/>
      <c r="X330" s="3"/>
      <c r="Y330" s="3"/>
      <c r="AA330" s="1453"/>
      <c r="AB330" s="1453"/>
      <c r="AC330" s="1453"/>
      <c r="AD330" s="1453"/>
      <c r="AE330" s="1453"/>
      <c r="AF330" s="1453"/>
      <c r="AG330" s="1453"/>
      <c r="AH330" s="1453"/>
      <c r="AI330" s="1453"/>
      <c r="AJ330" s="1453"/>
      <c r="AK330" s="1453"/>
    </row>
    <row r="331" spans="2:37" ht="13" customHeight="1">
      <c r="B331" s="3" t="s">
        <v>88</v>
      </c>
      <c r="C331" s="3"/>
      <c r="D331" s="3"/>
      <c r="E331" s="3"/>
      <c r="F331" s="3"/>
      <c r="G331" s="3"/>
      <c r="H331" s="1522" t="s">
        <v>2702</v>
      </c>
      <c r="I331" s="1522"/>
      <c r="J331" s="1522"/>
      <c r="K331" s="1522"/>
      <c r="L331" s="1522"/>
      <c r="M331" s="1522"/>
      <c r="N331" s="4" t="s">
        <v>205</v>
      </c>
      <c r="O331" s="4"/>
      <c r="P331" s="1516"/>
      <c r="Q331" s="1516"/>
      <c r="R331" s="1516"/>
      <c r="S331" s="3"/>
      <c r="T331" s="3" t="s">
        <v>88</v>
      </c>
      <c r="V331" s="3"/>
      <c r="W331" s="3"/>
      <c r="X331" s="3"/>
      <c r="Y331" s="3"/>
      <c r="AA331" s="1522"/>
      <c r="AB331" s="1522"/>
      <c r="AC331" s="1522"/>
      <c r="AD331" s="1522"/>
      <c r="AE331" s="1522"/>
      <c r="AF331" s="1522"/>
      <c r="AG331" s="4" t="s">
        <v>205</v>
      </c>
      <c r="AH331" s="4"/>
      <c r="AI331" s="1516"/>
      <c r="AJ331" s="1516"/>
      <c r="AK331" s="1516"/>
    </row>
    <row r="332" spans="2:37" ht="13" customHeight="1">
      <c r="B332" s="3" t="s">
        <v>89</v>
      </c>
      <c r="C332" s="3"/>
      <c r="D332" s="3"/>
      <c r="E332" s="3"/>
      <c r="F332" s="3"/>
      <c r="G332" s="3"/>
      <c r="H332" s="1467"/>
      <c r="I332" s="1467"/>
      <c r="J332" s="1467"/>
      <c r="K332" s="1467"/>
      <c r="L332" s="1467"/>
      <c r="M332" s="1467"/>
      <c r="N332" s="4"/>
      <c r="O332" s="4"/>
      <c r="P332" s="35"/>
      <c r="Q332" s="35"/>
      <c r="R332" s="35"/>
      <c r="S332" s="3"/>
      <c r="T332" s="3" t="s">
        <v>89</v>
      </c>
      <c r="V332" s="3"/>
      <c r="W332" s="3"/>
      <c r="X332" s="3"/>
      <c r="Y332" s="3"/>
      <c r="AA332" s="1467"/>
      <c r="AB332" s="1467"/>
      <c r="AC332" s="1467"/>
      <c r="AD332" s="1467"/>
      <c r="AE332" s="1467"/>
      <c r="AF332" s="1467"/>
      <c r="AG332" s="4"/>
      <c r="AH332" s="4"/>
      <c r="AI332" s="35"/>
      <c r="AJ332" s="35"/>
      <c r="AK332" s="35"/>
    </row>
    <row r="333" spans="2:37" ht="13" customHeight="1">
      <c r="B333" s="3" t="s">
        <v>76</v>
      </c>
      <c r="C333" s="3"/>
      <c r="D333" s="3"/>
      <c r="E333" s="3"/>
      <c r="F333" s="3"/>
      <c r="G333" s="3"/>
      <c r="H333" s="1453" t="s">
        <v>2807</v>
      </c>
      <c r="I333" s="1453"/>
      <c r="J333" s="1453"/>
      <c r="K333" s="1453"/>
      <c r="L333" s="1453"/>
      <c r="M333" s="1453"/>
      <c r="N333" s="1409"/>
      <c r="O333" s="1409"/>
      <c r="P333" s="1409"/>
      <c r="Q333" s="1409"/>
      <c r="R333" s="1409"/>
      <c r="S333" s="3"/>
      <c r="T333" s="3" t="s">
        <v>76</v>
      </c>
      <c r="V333" s="3"/>
      <c r="W333" s="3"/>
      <c r="X333" s="3"/>
      <c r="Y333" s="3"/>
      <c r="AA333" s="1453"/>
      <c r="AB333" s="1453"/>
      <c r="AC333" s="1453"/>
      <c r="AD333" s="1453"/>
      <c r="AE333" s="1453"/>
      <c r="AF333" s="1453"/>
      <c r="AG333" s="1409"/>
      <c r="AH333" s="1409"/>
      <c r="AI333" s="1409"/>
      <c r="AJ333" s="1409"/>
      <c r="AK333" s="1409"/>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328</v>
      </c>
      <c r="C335" s="3"/>
      <c r="D335" s="3"/>
      <c r="E335" s="3"/>
      <c r="F335" s="3"/>
      <c r="H335" s="1409" t="s">
        <v>2703</v>
      </c>
      <c r="I335" s="1409"/>
      <c r="J335" s="1409"/>
      <c r="K335" s="1409"/>
      <c r="L335" s="1409"/>
      <c r="M335" s="1409"/>
      <c r="N335" s="1409"/>
      <c r="O335" s="1409"/>
      <c r="P335" s="1409"/>
      <c r="Q335" s="1409"/>
      <c r="R335" s="1409"/>
      <c r="T335" s="204" t="s">
        <v>886</v>
      </c>
      <c r="V335" s="3"/>
      <c r="W335" s="3"/>
      <c r="X335" s="3"/>
      <c r="Y335" s="3"/>
      <c r="AA335" s="1409" t="s">
        <v>2707</v>
      </c>
      <c r="AB335" s="1409"/>
      <c r="AC335" s="1409"/>
      <c r="AD335" s="1409"/>
      <c r="AE335" s="1409"/>
      <c r="AF335" s="1409"/>
      <c r="AG335" s="1409"/>
      <c r="AH335" s="1409"/>
      <c r="AI335" s="1409"/>
      <c r="AJ335" s="1409"/>
      <c r="AK335" s="1409"/>
    </row>
    <row r="336" spans="2:37" ht="13" customHeight="1">
      <c r="B336" s="3" t="s">
        <v>471</v>
      </c>
      <c r="C336" s="3"/>
      <c r="D336" s="3"/>
      <c r="E336" s="3"/>
      <c r="F336" s="3"/>
      <c r="H336" s="1453" t="s">
        <v>2704</v>
      </c>
      <c r="I336" s="1453"/>
      <c r="J336" s="1453"/>
      <c r="K336" s="1453"/>
      <c r="L336" s="1453"/>
      <c r="M336" s="1453"/>
      <c r="N336" s="1453"/>
      <c r="O336" s="1453"/>
      <c r="P336" s="1453"/>
      <c r="Q336" s="1453"/>
      <c r="R336" s="1453"/>
      <c r="T336" s="3" t="s">
        <v>471</v>
      </c>
      <c r="V336" s="3"/>
      <c r="W336" s="3"/>
      <c r="X336" s="3"/>
      <c r="Y336" s="3"/>
      <c r="AA336" s="1453" t="s">
        <v>2708</v>
      </c>
      <c r="AB336" s="1453"/>
      <c r="AC336" s="1453"/>
      <c r="AD336" s="1453"/>
      <c r="AE336" s="1453"/>
      <c r="AF336" s="1453"/>
      <c r="AG336" s="1453"/>
      <c r="AH336" s="1453"/>
      <c r="AI336" s="1453"/>
      <c r="AJ336" s="1453"/>
      <c r="AK336" s="1453"/>
    </row>
    <row r="337" spans="1:66" ht="13" customHeight="1">
      <c r="B337" s="3" t="s">
        <v>75</v>
      </c>
      <c r="C337" s="3"/>
      <c r="D337" s="3"/>
      <c r="E337" s="3"/>
      <c r="F337" s="3"/>
      <c r="H337" s="1453" t="s">
        <v>2705</v>
      </c>
      <c r="I337" s="1453"/>
      <c r="J337" s="1453"/>
      <c r="K337" s="1453"/>
      <c r="L337" s="1453"/>
      <c r="M337" s="1453"/>
      <c r="N337" s="1453"/>
      <c r="O337" s="1453"/>
      <c r="P337" s="1453"/>
      <c r="Q337" s="1453"/>
      <c r="R337" s="1453"/>
      <c r="T337" s="3" t="s">
        <v>75</v>
      </c>
      <c r="V337" s="3"/>
      <c r="W337" s="3"/>
      <c r="X337" s="3"/>
      <c r="Y337" s="3"/>
      <c r="AA337" s="1453" t="s">
        <v>2709</v>
      </c>
      <c r="AB337" s="1453"/>
      <c r="AC337" s="1453"/>
      <c r="AD337" s="1453"/>
      <c r="AE337" s="1453"/>
      <c r="AF337" s="1453"/>
      <c r="AG337" s="1453"/>
      <c r="AH337" s="1453"/>
      <c r="AI337" s="1453"/>
      <c r="AJ337" s="1453"/>
      <c r="AK337" s="1453"/>
    </row>
    <row r="338" spans="1:66" ht="13" customHeight="1">
      <c r="B338" s="3" t="s">
        <v>87</v>
      </c>
      <c r="C338" s="3"/>
      <c r="D338" s="3"/>
      <c r="E338" s="3"/>
      <c r="F338" s="3"/>
      <c r="G338" s="3"/>
      <c r="H338" s="1453" t="s">
        <v>2797</v>
      </c>
      <c r="I338" s="1453"/>
      <c r="J338" s="1453"/>
      <c r="K338" s="1453"/>
      <c r="L338" s="1453"/>
      <c r="M338" s="1453"/>
      <c r="N338" s="1453"/>
      <c r="O338" s="1453"/>
      <c r="P338" s="1453"/>
      <c r="Q338" s="1453"/>
      <c r="R338" s="1453"/>
      <c r="T338" s="3" t="s">
        <v>87</v>
      </c>
      <c r="V338" s="3"/>
      <c r="W338" s="3"/>
      <c r="X338" s="3"/>
      <c r="Y338" s="3"/>
      <c r="AA338" s="1453" t="s">
        <v>2710</v>
      </c>
      <c r="AB338" s="1453"/>
      <c r="AC338" s="1453"/>
      <c r="AD338" s="1453"/>
      <c r="AE338" s="1453"/>
      <c r="AF338" s="1453"/>
      <c r="AG338" s="1453"/>
      <c r="AH338" s="1453"/>
      <c r="AI338" s="1453"/>
      <c r="AJ338" s="1453"/>
      <c r="AK338" s="1453"/>
    </row>
    <row r="339" spans="1:66" ht="13" customHeight="1">
      <c r="B339" s="3" t="s">
        <v>88</v>
      </c>
      <c r="C339" s="3"/>
      <c r="D339" s="3"/>
      <c r="E339" s="3"/>
      <c r="F339" s="3"/>
      <c r="G339" s="3"/>
      <c r="H339" s="1558" t="s">
        <v>2801</v>
      </c>
      <c r="I339" s="1522"/>
      <c r="J339" s="1522"/>
      <c r="K339" s="1522"/>
      <c r="L339" s="1522"/>
      <c r="M339" s="1522"/>
      <c r="N339" s="4" t="s">
        <v>205</v>
      </c>
      <c r="O339" s="4"/>
      <c r="P339" s="1516"/>
      <c r="Q339" s="1516"/>
      <c r="R339" s="1516"/>
      <c r="S339" s="3"/>
      <c r="T339" s="3" t="s">
        <v>88</v>
      </c>
      <c r="V339" s="3"/>
      <c r="W339" s="3"/>
      <c r="X339" s="3"/>
      <c r="Y339" s="3"/>
      <c r="AA339" s="1522" t="s">
        <v>2711</v>
      </c>
      <c r="AB339" s="1522"/>
      <c r="AC339" s="1522"/>
      <c r="AD339" s="1522"/>
      <c r="AE339" s="1522"/>
      <c r="AF339" s="1522"/>
      <c r="AG339" s="4" t="s">
        <v>205</v>
      </c>
      <c r="AH339" s="4"/>
      <c r="AI339" s="1516"/>
      <c r="AJ339" s="1516"/>
      <c r="AK339" s="1516"/>
    </row>
    <row r="340" spans="1:66" ht="13" customHeight="1">
      <c r="B340" s="3" t="s">
        <v>89</v>
      </c>
      <c r="C340" s="3"/>
      <c r="D340" s="3"/>
      <c r="E340" s="3"/>
      <c r="F340" s="3"/>
      <c r="G340" s="3"/>
      <c r="H340" s="1467" t="s">
        <v>2706</v>
      </c>
      <c r="I340" s="1467"/>
      <c r="J340" s="1467"/>
      <c r="K340" s="1467"/>
      <c r="L340" s="1467"/>
      <c r="M340" s="1467"/>
      <c r="N340" s="4"/>
      <c r="O340" s="4"/>
      <c r="P340" s="35"/>
      <c r="Q340" s="35"/>
      <c r="R340" s="35"/>
      <c r="S340" s="3"/>
      <c r="T340" s="3" t="s">
        <v>89</v>
      </c>
      <c r="V340" s="3"/>
      <c r="W340" s="3"/>
      <c r="X340" s="3"/>
      <c r="Y340" s="3"/>
      <c r="AA340" s="1467"/>
      <c r="AB340" s="1467"/>
      <c r="AC340" s="1467"/>
      <c r="AD340" s="1467"/>
      <c r="AE340" s="1467"/>
      <c r="AF340" s="1467"/>
      <c r="AG340" s="4"/>
      <c r="AH340" s="4"/>
      <c r="AI340" s="35"/>
      <c r="AJ340" s="35"/>
      <c r="AK340" s="35"/>
    </row>
    <row r="341" spans="1:66" ht="13" customHeight="1">
      <c r="B341" s="3" t="s">
        <v>76</v>
      </c>
      <c r="C341" s="3"/>
      <c r="D341" s="3"/>
      <c r="E341" s="3"/>
      <c r="F341" s="3"/>
      <c r="G341" s="3"/>
      <c r="H341" s="1453" t="s">
        <v>2799</v>
      </c>
      <c r="I341" s="1453"/>
      <c r="J341" s="1453"/>
      <c r="K341" s="1453"/>
      <c r="L341" s="1453"/>
      <c r="M341" s="1453"/>
      <c r="N341" s="1409"/>
      <c r="O341" s="1409"/>
      <c r="P341" s="1409"/>
      <c r="Q341" s="1409"/>
      <c r="R341" s="1409"/>
      <c r="S341" s="3"/>
      <c r="T341" s="3" t="s">
        <v>76</v>
      </c>
      <c r="V341" s="3"/>
      <c r="W341" s="3"/>
      <c r="X341" s="3"/>
      <c r="Y341" s="3"/>
      <c r="AA341" s="1453" t="s">
        <v>2712</v>
      </c>
      <c r="AB341" s="1453"/>
      <c r="AC341" s="1453"/>
      <c r="AD341" s="1453"/>
      <c r="AE341" s="1453"/>
      <c r="AF341" s="1453"/>
      <c r="AG341" s="1409"/>
      <c r="AH341" s="1409"/>
      <c r="AI341" s="1409"/>
      <c r="AJ341" s="1409"/>
      <c r="AK341" s="1409"/>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3" customHeight="1">
      <c r="B343" s="3"/>
      <c r="C343" s="4"/>
      <c r="D343" s="4"/>
      <c r="E343" s="4"/>
      <c r="F343" s="4"/>
      <c r="I343" s="204" t="s">
        <v>887</v>
      </c>
      <c r="P343" s="1409"/>
      <c r="Q343" s="1409"/>
      <c r="R343" s="1409"/>
      <c r="S343" s="1409"/>
      <c r="T343" s="1409"/>
      <c r="U343" s="1409"/>
      <c r="V343" s="1409"/>
      <c r="W343" s="1409"/>
      <c r="X343" s="1409"/>
      <c r="Y343" s="1409"/>
      <c r="Z343" s="1409"/>
      <c r="AA343" s="1409"/>
      <c r="AB343" s="1409"/>
      <c r="AC343" s="1409"/>
      <c r="AD343" s="1409"/>
      <c r="AE343" s="1409"/>
      <c r="BN343" t="s">
        <v>669</v>
      </c>
    </row>
    <row r="344" spans="1:66" ht="13" customHeight="1">
      <c r="B344" s="4"/>
      <c r="C344" s="4"/>
      <c r="D344" s="4"/>
      <c r="E344" s="4"/>
      <c r="F344" s="4"/>
      <c r="I344" s="4" t="s">
        <v>471</v>
      </c>
      <c r="P344" s="1453"/>
      <c r="Q344" s="1453"/>
      <c r="R344" s="1453"/>
      <c r="S344" s="1453"/>
      <c r="T344" s="1453"/>
      <c r="U344" s="1453"/>
      <c r="V344" s="1453"/>
      <c r="W344" s="1453"/>
      <c r="X344" s="1453"/>
      <c r="Y344" s="1453"/>
      <c r="Z344" s="1453"/>
      <c r="AA344" s="1453"/>
      <c r="AB344" s="1453"/>
      <c r="AC344" s="1453"/>
      <c r="AD344" s="1453"/>
      <c r="AE344" s="1453"/>
      <c r="BN344" t="s">
        <v>545</v>
      </c>
    </row>
    <row r="345" spans="1:66" ht="13" customHeight="1">
      <c r="B345" s="4"/>
      <c r="C345" s="4"/>
      <c r="D345" s="4"/>
      <c r="E345" s="4"/>
      <c r="F345" s="4"/>
      <c r="I345" s="4" t="s">
        <v>75</v>
      </c>
      <c r="P345" s="1453"/>
      <c r="Q345" s="1453"/>
      <c r="R345" s="1453"/>
      <c r="S345" s="1453"/>
      <c r="T345" s="1453"/>
      <c r="U345" s="1453"/>
      <c r="V345" s="1453"/>
      <c r="W345" s="1453"/>
      <c r="X345" s="1453"/>
      <c r="Y345" s="1453"/>
      <c r="Z345" s="1453"/>
      <c r="AA345" s="1453"/>
      <c r="AB345" s="1453"/>
      <c r="AC345" s="1453"/>
      <c r="AD345" s="1453"/>
      <c r="AE345" s="1453"/>
    </row>
    <row r="346" spans="1:66" ht="13" customHeight="1">
      <c r="B346" s="4"/>
      <c r="C346" s="4"/>
      <c r="D346" s="4"/>
      <c r="E346" s="4"/>
      <c r="F346" s="4"/>
      <c r="G346" s="4"/>
      <c r="I346" s="4" t="s">
        <v>87</v>
      </c>
      <c r="P346" s="1453"/>
      <c r="Q346" s="1453"/>
      <c r="R346" s="1453"/>
      <c r="S346" s="1453"/>
      <c r="T346" s="1453"/>
      <c r="U346" s="1453"/>
      <c r="V346" s="1453"/>
      <c r="W346" s="1453"/>
      <c r="X346" s="1453"/>
      <c r="Y346" s="1453"/>
      <c r="Z346" s="1453"/>
      <c r="AA346" s="1453"/>
      <c r="AB346" s="1453"/>
      <c r="AC346" s="1453"/>
      <c r="AD346" s="1453"/>
      <c r="AE346" s="1453"/>
    </row>
    <row r="347" spans="1:66" ht="13" customHeight="1">
      <c r="B347" s="4"/>
      <c r="C347" s="4"/>
      <c r="D347" s="4"/>
      <c r="E347" s="4"/>
      <c r="F347" s="4"/>
      <c r="G347" s="4"/>
      <c r="H347" s="302"/>
      <c r="I347" s="4" t="s">
        <v>88</v>
      </c>
      <c r="P347" s="1467"/>
      <c r="Q347" s="1467"/>
      <c r="R347" s="1467"/>
      <c r="S347" s="1467"/>
      <c r="T347" s="1467"/>
      <c r="U347" s="1467"/>
      <c r="V347" s="1467"/>
      <c r="W347" s="1467"/>
      <c r="X347" s="1467"/>
      <c r="Y347" s="1467"/>
      <c r="Z347" s="1467"/>
      <c r="AA347" s="4" t="s">
        <v>205</v>
      </c>
      <c r="AB347" s="4"/>
      <c r="AC347" s="1454"/>
      <c r="AD347" s="1454"/>
      <c r="AE347" s="1454"/>
      <c r="AF347" s="302"/>
      <c r="AG347" s="4"/>
      <c r="AH347" s="4"/>
      <c r="AI347" s="4"/>
      <c r="AJ347" s="4"/>
      <c r="AK347" s="4"/>
    </row>
    <row r="348" spans="1:66" ht="13" customHeight="1">
      <c r="B348" s="4"/>
      <c r="C348" s="4"/>
      <c r="D348" s="4"/>
      <c r="E348" s="4"/>
      <c r="F348" s="4"/>
      <c r="G348" s="4"/>
      <c r="H348" s="302"/>
      <c r="I348" s="4" t="s">
        <v>89</v>
      </c>
      <c r="P348" s="1467"/>
      <c r="Q348" s="1467"/>
      <c r="R348" s="1467"/>
      <c r="S348" s="1467"/>
      <c r="T348" s="1467"/>
      <c r="U348" s="1467"/>
      <c r="V348" s="1467"/>
      <c r="W348" s="1467"/>
      <c r="X348" s="1467"/>
      <c r="Y348" s="1467"/>
      <c r="Z348" s="1467"/>
      <c r="AF348" s="302"/>
      <c r="AG348" s="4"/>
      <c r="AH348" s="4"/>
      <c r="AI348" s="35"/>
      <c r="AJ348" s="35"/>
      <c r="AK348" s="35"/>
    </row>
    <row r="349" spans="1:66" ht="13" customHeight="1">
      <c r="B349" s="4"/>
      <c r="C349" s="4"/>
      <c r="D349" s="4"/>
      <c r="E349" s="4"/>
      <c r="F349" s="4"/>
      <c r="G349" s="4"/>
      <c r="I349" s="4" t="s">
        <v>76</v>
      </c>
      <c r="P349" s="1409"/>
      <c r="Q349" s="1409"/>
      <c r="R349" s="1409"/>
      <c r="S349" s="1409"/>
      <c r="T349" s="1409"/>
      <c r="U349" s="1409"/>
      <c r="V349" s="1409"/>
      <c r="W349" s="1409"/>
      <c r="X349" s="1409"/>
      <c r="Y349" s="1409"/>
      <c r="Z349" s="1409"/>
      <c r="AA349" s="1409"/>
      <c r="AB349" s="1409"/>
      <c r="AC349" s="1409"/>
      <c r="AD349" s="1409"/>
      <c r="AE349" s="1409"/>
    </row>
    <row r="350" spans="1:66" ht="13" customHeight="1">
      <c r="T350" s="8"/>
      <c r="U350" s="8"/>
      <c r="V350" s="8"/>
      <c r="W350" s="8"/>
      <c r="X350" s="8"/>
      <c r="Y350" s="8"/>
      <c r="Z350" s="8"/>
      <c r="AU350" s="95"/>
      <c r="AV350" s="95"/>
      <c r="AW350" s="95"/>
      <c r="AX350" s="95"/>
      <c r="AY350" s="95"/>
    </row>
    <row r="351" spans="1:66" ht="13" customHeight="1">
      <c r="A351" s="1527" t="s">
        <v>542</v>
      </c>
      <c r="B351" s="1527"/>
      <c r="C351" s="1527"/>
      <c r="D351" s="1527"/>
      <c r="E351" s="1527"/>
      <c r="F351" s="1527"/>
      <c r="G351" s="1527"/>
      <c r="H351" s="1527"/>
      <c r="I351" s="1527"/>
      <c r="J351" s="1527"/>
      <c r="K351" s="1527"/>
      <c r="L351" s="1527"/>
      <c r="M351" s="1527"/>
      <c r="N351" s="1527"/>
      <c r="O351" s="1527"/>
      <c r="P351" s="1527"/>
      <c r="Q351" s="1527"/>
      <c r="R351" s="1527"/>
      <c r="S351" s="1527"/>
      <c r="T351" s="1527"/>
      <c r="U351" s="1527"/>
      <c r="V351" s="1527"/>
      <c r="W351" s="1527"/>
      <c r="X351" s="1527"/>
      <c r="Y351" s="1527"/>
      <c r="Z351" s="1527"/>
      <c r="AA351" s="1527"/>
      <c r="AB351" s="1527"/>
      <c r="AC351" s="1527"/>
      <c r="AD351" s="1527"/>
      <c r="AE351" s="1527"/>
      <c r="AF351" s="1527"/>
      <c r="AG351" s="1527"/>
      <c r="AH351" s="1527"/>
      <c r="AI351" s="1527"/>
      <c r="AJ351" s="1527"/>
      <c r="AK351" s="1527"/>
      <c r="AL351" s="1527"/>
      <c r="AM351" s="1527"/>
      <c r="AN351" s="1527"/>
      <c r="AO351" s="1527"/>
      <c r="AP351" s="1527"/>
      <c r="AQ351" s="1527"/>
      <c r="AR351" s="1527"/>
      <c r="AS351" s="1527"/>
      <c r="AT351" s="1527"/>
      <c r="AU351" s="95"/>
      <c r="AV351" s="95"/>
      <c r="AW351" s="95"/>
      <c r="AX351" s="95"/>
      <c r="AY351" s="95"/>
    </row>
    <row r="352" spans="1:66" ht="13" customHeight="1">
      <c r="A352" s="1527"/>
      <c r="B352" s="1527"/>
      <c r="C352" s="1527"/>
      <c r="D352" s="1527"/>
      <c r="E352" s="1527"/>
      <c r="F352" s="1527"/>
      <c r="G352" s="1527"/>
      <c r="H352" s="1527"/>
      <c r="I352" s="1527"/>
      <c r="J352" s="1527"/>
      <c r="K352" s="1527"/>
      <c r="L352" s="1527"/>
      <c r="M352" s="1527"/>
      <c r="N352" s="1527"/>
      <c r="O352" s="1527"/>
      <c r="P352" s="1527"/>
      <c r="Q352" s="1527"/>
      <c r="R352" s="1527"/>
      <c r="S352" s="1527"/>
      <c r="T352" s="1527"/>
      <c r="U352" s="1527"/>
      <c r="V352" s="1527"/>
      <c r="W352" s="1527"/>
      <c r="X352" s="1527"/>
      <c r="Y352" s="1527"/>
      <c r="Z352" s="1527"/>
      <c r="AA352" s="1527"/>
      <c r="AB352" s="1527"/>
      <c r="AC352" s="1527"/>
      <c r="AD352" s="1527"/>
      <c r="AE352" s="1527"/>
      <c r="AF352" s="1527"/>
      <c r="AG352" s="1527"/>
      <c r="AH352" s="1527"/>
      <c r="AI352" s="1527"/>
      <c r="AJ352" s="1527"/>
      <c r="AK352" s="1527"/>
      <c r="AL352" s="1527"/>
      <c r="AM352" s="1527"/>
      <c r="AN352" s="1527"/>
      <c r="AO352" s="1527"/>
      <c r="AP352" s="1527"/>
      <c r="AQ352" s="1527"/>
      <c r="AR352" s="1527"/>
      <c r="AS352" s="1527"/>
      <c r="AT352" s="1527"/>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318</v>
      </c>
      <c r="B354" s="2"/>
      <c r="C354" s="2" t="s">
        <v>782</v>
      </c>
    </row>
    <row r="355" spans="1:46" ht="13" customHeight="1">
      <c r="D355" s="3" t="s">
        <v>2098</v>
      </c>
      <c r="M355" s="1426" t="s">
        <v>545</v>
      </c>
      <c r="N355" s="1426"/>
      <c r="P355" t="s">
        <v>1650</v>
      </c>
      <c r="AJ355" s="1426" t="s">
        <v>669</v>
      </c>
      <c r="AK355" s="1426"/>
    </row>
    <row r="356" spans="1:46" ht="13" customHeight="1">
      <c r="D356" s="3" t="s">
        <v>1639</v>
      </c>
      <c r="M356" s="1426" t="s">
        <v>591</v>
      </c>
      <c r="N356" s="1426"/>
      <c r="P356" s="3" t="s">
        <v>1719</v>
      </c>
      <c r="AJ356" s="1380"/>
      <c r="AK356" s="1380"/>
    </row>
    <row r="357" spans="1:46" ht="13" customHeight="1">
      <c r="D357" s="3" t="s">
        <v>704</v>
      </c>
      <c r="M357" s="1426" t="s">
        <v>591</v>
      </c>
      <c r="N357" s="1426"/>
      <c r="P357" t="s">
        <v>1649</v>
      </c>
      <c r="AJ357" s="1426" t="s">
        <v>669</v>
      </c>
      <c r="AK357" s="1426"/>
    </row>
    <row r="358" spans="1:46" ht="13" customHeight="1">
      <c r="D358" s="3" t="s">
        <v>705</v>
      </c>
      <c r="M358" s="1426" t="s">
        <v>591</v>
      </c>
      <c r="N358" s="1426"/>
      <c r="Q358" s="4"/>
    </row>
    <row r="359" spans="1:46" ht="13" customHeight="1">
      <c r="Q359" s="4"/>
    </row>
    <row r="360" spans="1:46" ht="13" customHeight="1">
      <c r="Q360" s="4"/>
    </row>
    <row r="361" spans="1:46" ht="13" customHeight="1">
      <c r="A361" s="2" t="s">
        <v>576</v>
      </c>
      <c r="B361" s="2"/>
      <c r="C361" s="2" t="s">
        <v>552</v>
      </c>
      <c r="D361" s="2"/>
    </row>
    <row r="362" spans="1:46" ht="13"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185</v>
      </c>
      <c r="E363" s="40"/>
      <c r="F363" s="40"/>
      <c r="G363" s="40"/>
      <c r="H363" s="40"/>
      <c r="I363" s="40"/>
      <c r="J363" s="40"/>
      <c r="K363" s="40"/>
      <c r="L363" s="40"/>
      <c r="M363" s="40"/>
      <c r="N363" s="1426" t="s">
        <v>591</v>
      </c>
      <c r="O363" s="1426"/>
      <c r="P363" s="40"/>
      <c r="Q363" s="40"/>
      <c r="R363" s="40"/>
      <c r="S363" s="40"/>
      <c r="T363" s="40"/>
      <c r="U363" s="40"/>
      <c r="V363" s="40"/>
      <c r="W363" s="40"/>
      <c r="X363" s="40"/>
      <c r="Y363" s="40"/>
      <c r="Z363" s="40"/>
      <c r="AC363" s="40"/>
      <c r="AD363" s="40"/>
      <c r="AE363" s="40"/>
    </row>
    <row r="364" spans="1:46" ht="13" customHeight="1">
      <c r="E364" t="s">
        <v>369</v>
      </c>
      <c r="Y364" s="1426" t="s">
        <v>591</v>
      </c>
      <c r="Z364" s="1426"/>
    </row>
    <row r="365" spans="1:46" ht="13" customHeight="1">
      <c r="D365" s="4" t="s">
        <v>978</v>
      </c>
      <c r="Q365" s="1409"/>
      <c r="R365" s="1409"/>
      <c r="S365" s="1409"/>
      <c r="T365" s="1409"/>
      <c r="U365" s="1409"/>
      <c r="V365" s="1409"/>
      <c r="W365" s="1409"/>
      <c r="X365" s="1409"/>
      <c r="Y365" s="1409"/>
      <c r="Z365" s="1409"/>
      <c r="AA365" s="1409"/>
      <c r="AB365" s="1409"/>
      <c r="AC365" s="1409"/>
      <c r="AD365" s="1409"/>
      <c r="AE365" s="1409"/>
      <c r="AF365" s="1409"/>
      <c r="AG365" s="1409"/>
    </row>
    <row r="366" spans="1:46" ht="13"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187</v>
      </c>
      <c r="E367" s="40"/>
      <c r="F367" s="40"/>
      <c r="G367" s="40"/>
      <c r="H367" s="40"/>
      <c r="I367" s="40"/>
      <c r="J367" s="1426" t="s">
        <v>591</v>
      </c>
      <c r="K367" s="1426"/>
      <c r="L367" s="40"/>
      <c r="M367" s="40"/>
      <c r="N367" s="40"/>
      <c r="O367" s="40"/>
      <c r="P367" s="40"/>
      <c r="Q367" s="40"/>
      <c r="R367" s="40"/>
      <c r="S367" s="40"/>
      <c r="T367" s="40"/>
      <c r="U367" s="40"/>
      <c r="V367" s="40"/>
      <c r="W367" s="40"/>
      <c r="X367" s="40"/>
      <c r="Y367" s="40"/>
      <c r="Z367" s="40"/>
      <c r="AC367" s="40"/>
      <c r="AD367" s="40"/>
      <c r="AE367" s="40"/>
    </row>
    <row r="368" spans="1:46" ht="13" customHeight="1">
      <c r="E368" s="1532" t="s">
        <v>706</v>
      </c>
      <c r="F368" s="1532"/>
      <c r="G368" s="1532"/>
      <c r="H368" s="1532"/>
      <c r="I368" s="1532"/>
      <c r="J368" s="1532"/>
      <c r="K368" s="1532"/>
      <c r="L368" s="1532"/>
      <c r="M368" s="1532"/>
      <c r="N368" s="1532"/>
      <c r="O368" s="1532"/>
      <c r="P368" s="1532"/>
      <c r="Q368" s="1532"/>
      <c r="R368" s="1532"/>
      <c r="S368" s="1532"/>
      <c r="T368" s="1532"/>
      <c r="U368" s="1532"/>
      <c r="V368" s="1532"/>
      <c r="W368" s="1532"/>
      <c r="X368" s="1532"/>
      <c r="Y368" s="1532"/>
      <c r="Z368" s="1532"/>
      <c r="AA368" s="1532"/>
      <c r="AB368" s="1532"/>
      <c r="AC368" s="1532"/>
      <c r="AD368" s="1532"/>
      <c r="AE368" s="1532"/>
      <c r="AF368" s="1532"/>
      <c r="AG368" s="1532"/>
      <c r="AH368" s="1532"/>
    </row>
    <row r="369" spans="1:34" ht="13" customHeight="1">
      <c r="E369" s="1532"/>
      <c r="F369" s="1532"/>
      <c r="G369" s="1532"/>
      <c r="H369" s="1532"/>
      <c r="I369" s="1532"/>
      <c r="J369" s="1532"/>
      <c r="K369" s="1532"/>
      <c r="L369" s="1532"/>
      <c r="M369" s="1532"/>
      <c r="N369" s="1532"/>
      <c r="O369" s="1532"/>
      <c r="P369" s="1532"/>
      <c r="Q369" s="1532"/>
      <c r="R369" s="1532"/>
      <c r="S369" s="1532"/>
      <c r="T369" s="1532"/>
      <c r="U369" s="1532"/>
      <c r="V369" s="1532"/>
      <c r="W369" s="1532"/>
      <c r="X369" s="1532"/>
      <c r="Y369" s="1532"/>
      <c r="Z369" s="1532"/>
      <c r="AA369" s="1532"/>
      <c r="AB369" s="1532"/>
      <c r="AC369" s="1532"/>
      <c r="AD369" s="1532"/>
      <c r="AE369" s="1532"/>
      <c r="AF369" s="1532"/>
      <c r="AG369" s="1532"/>
      <c r="AH369" s="1532"/>
    </row>
    <row r="370" spans="1:34" ht="13" customHeight="1">
      <c r="E370" s="4" t="s">
        <v>448</v>
      </c>
      <c r="F370" s="4"/>
      <c r="G370" s="4"/>
      <c r="H370" s="4"/>
      <c r="I370" s="4"/>
      <c r="J370" s="4"/>
      <c r="K370" s="4"/>
      <c r="L370" s="4"/>
      <c r="N370" s="1388"/>
      <c r="O370" s="1388"/>
      <c r="P370" s="1388"/>
      <c r="Q370" s="1388"/>
      <c r="R370" s="4"/>
      <c r="U370" s="4" t="s">
        <v>449</v>
      </c>
      <c r="V370" s="4"/>
      <c r="W370" s="4"/>
      <c r="X370" s="4"/>
      <c r="Y370" s="4"/>
      <c r="Z370" s="4"/>
      <c r="AA370" s="4"/>
      <c r="AB370" s="4"/>
      <c r="AC370" s="1388"/>
      <c r="AD370" s="1388"/>
      <c r="AE370" s="1388"/>
      <c r="AF370" s="1388"/>
    </row>
    <row r="371" spans="1:34" ht="13" customHeight="1">
      <c r="E371" s="4" t="s">
        <v>450</v>
      </c>
      <c r="F371" s="4"/>
      <c r="G371" s="4"/>
      <c r="H371" s="4"/>
      <c r="I371" s="4"/>
      <c r="J371" s="4"/>
      <c r="K371" s="4"/>
      <c r="L371" s="4"/>
      <c r="N371" s="1388"/>
      <c r="O371" s="1388"/>
      <c r="P371" s="1388"/>
      <c r="Q371" s="1388"/>
      <c r="R371" s="4"/>
      <c r="U371" s="4" t="s">
        <v>0</v>
      </c>
      <c r="V371" s="4"/>
      <c r="W371" s="4"/>
      <c r="X371" s="4"/>
      <c r="Y371" s="4"/>
      <c r="Z371" s="4"/>
      <c r="AA371" s="4"/>
      <c r="AB371" s="4"/>
      <c r="AC371" s="1388"/>
      <c r="AD371" s="1388"/>
      <c r="AE371" s="1388"/>
      <c r="AF371" s="1388"/>
    </row>
    <row r="372" spans="1:34" ht="13" customHeight="1">
      <c r="E372" s="4" t="s">
        <v>1</v>
      </c>
      <c r="F372" s="4"/>
      <c r="G372" s="4"/>
      <c r="H372" s="4"/>
      <c r="I372" s="4"/>
      <c r="J372" s="4"/>
      <c r="K372" s="4"/>
      <c r="L372" s="4"/>
      <c r="N372" s="1388"/>
      <c r="O372" s="1388"/>
      <c r="P372" s="1388"/>
      <c r="Q372" s="1388"/>
      <c r="R372" s="4"/>
      <c r="V372" s="4"/>
      <c r="W372" s="4"/>
      <c r="X372" s="4"/>
      <c r="Y372" s="4"/>
      <c r="Z372" s="4"/>
      <c r="AA372" s="4"/>
      <c r="AB372" s="4"/>
    </row>
    <row r="373" spans="1:34" ht="13" customHeight="1">
      <c r="E373" s="4" t="s">
        <v>2</v>
      </c>
      <c r="F373" s="4"/>
      <c r="G373" s="4"/>
      <c r="H373" s="4"/>
      <c r="I373" s="4"/>
      <c r="J373" s="4"/>
      <c r="K373" s="4"/>
      <c r="L373" s="4"/>
      <c r="N373" s="1518"/>
      <c r="O373" s="1518"/>
      <c r="P373" s="1518"/>
      <c r="Q373" s="1518"/>
      <c r="R373" s="1518"/>
      <c r="S373" s="1518"/>
      <c r="T373" s="1518"/>
      <c r="U373" s="1518"/>
      <c r="V373" s="1518"/>
      <c r="W373" s="1518"/>
      <c r="X373" s="1518"/>
      <c r="Y373" s="1518"/>
      <c r="Z373" s="1518"/>
      <c r="AA373" s="1518"/>
      <c r="AB373" s="1518"/>
      <c r="AC373" s="1518"/>
      <c r="AD373" s="1518"/>
      <c r="AE373" s="1518"/>
      <c r="AF373" s="1518"/>
    </row>
    <row r="374" spans="1:34" ht="13" customHeight="1">
      <c r="E374" s="4"/>
      <c r="F374" s="4"/>
      <c r="G374" s="4"/>
      <c r="H374" s="4"/>
      <c r="I374" s="4"/>
      <c r="J374" s="4"/>
      <c r="K374" s="4"/>
      <c r="L374" s="4"/>
      <c r="N374" s="1519"/>
      <c r="O374" s="1519"/>
      <c r="P374" s="1519"/>
      <c r="Q374" s="1519"/>
      <c r="R374" s="1519"/>
      <c r="S374" s="1519"/>
      <c r="T374" s="1519"/>
      <c r="U374" s="1519"/>
      <c r="V374" s="1519"/>
      <c r="W374" s="1519"/>
      <c r="X374" s="1519"/>
      <c r="Y374" s="1519"/>
      <c r="Z374" s="1519"/>
      <c r="AA374" s="1519"/>
      <c r="AB374" s="1519"/>
      <c r="AC374" s="1519"/>
      <c r="AD374" s="1519"/>
      <c r="AE374" s="1519"/>
      <c r="AF374" s="1519"/>
    </row>
    <row r="375" spans="1:34" ht="13" customHeight="1">
      <c r="C375" s="512"/>
      <c r="E375" s="4"/>
      <c r="F375" s="4"/>
      <c r="G375" s="4"/>
      <c r="H375" s="4"/>
      <c r="I375" s="4"/>
      <c r="J375" s="4"/>
      <c r="K375" s="4"/>
      <c r="L375" s="4"/>
    </row>
    <row r="376" spans="1:34" ht="13" customHeight="1">
      <c r="D376" s="2" t="s">
        <v>975</v>
      </c>
      <c r="E376" s="2"/>
      <c r="F376" s="4"/>
      <c r="G376" s="4"/>
      <c r="H376" s="4"/>
      <c r="I376" s="4"/>
      <c r="J376" s="4"/>
      <c r="K376" s="4"/>
      <c r="L376" s="4"/>
    </row>
    <row r="377" spans="1:34" ht="13" customHeight="1">
      <c r="E377" s="4" t="s">
        <v>2084</v>
      </c>
      <c r="F377" s="4"/>
      <c r="G377" s="4"/>
      <c r="H377" s="4"/>
      <c r="I377" s="4"/>
      <c r="J377" s="4"/>
      <c r="K377" s="4"/>
      <c r="L377" s="4"/>
      <c r="N377" t="s">
        <v>2079</v>
      </c>
      <c r="R377" s="27" t="s">
        <v>304</v>
      </c>
      <c r="S377" s="1427"/>
      <c r="T377" s="1427"/>
      <c r="U377" s="1" t="s">
        <v>305</v>
      </c>
      <c r="V377" s="1427"/>
      <c r="W377" s="1427"/>
      <c r="Y377" t="s">
        <v>2079</v>
      </c>
      <c r="AC377" s="27" t="s">
        <v>304</v>
      </c>
      <c r="AD377" s="1427"/>
      <c r="AE377" s="1427"/>
      <c r="AF377" s="1" t="s">
        <v>305</v>
      </c>
      <c r="AG377" s="1427"/>
      <c r="AH377" s="1427"/>
    </row>
    <row r="378" spans="1:34" ht="13" customHeight="1">
      <c r="E378" s="4" t="s">
        <v>987</v>
      </c>
      <c r="F378" s="4"/>
      <c r="G378" s="4"/>
      <c r="H378" s="4"/>
      <c r="I378" s="4"/>
      <c r="J378" s="4"/>
      <c r="K378" s="4"/>
      <c r="L378" s="4"/>
      <c r="N378" s="1427"/>
      <c r="O378" s="1427"/>
      <c r="P378" s="1427"/>
    </row>
    <row r="379" spans="1:34" ht="13" customHeight="1">
      <c r="E379" s="204" t="s">
        <v>2085</v>
      </c>
      <c r="F379" s="4"/>
      <c r="G379" s="4"/>
      <c r="H379" s="4"/>
      <c r="I379" s="4"/>
      <c r="J379" s="4"/>
      <c r="K379" s="4"/>
      <c r="L379" s="4"/>
      <c r="AG379" s="1430" t="s">
        <v>591</v>
      </c>
      <c r="AH379" s="1430"/>
    </row>
    <row r="380" spans="1:34" ht="13" customHeight="1">
      <c r="E380" s="4"/>
      <c r="F380" s="4"/>
      <c r="G380" s="4" t="s">
        <v>2086</v>
      </c>
      <c r="H380" s="4"/>
      <c r="I380" s="4"/>
      <c r="J380" s="4"/>
      <c r="K380" s="4"/>
      <c r="L380" s="4"/>
      <c r="AG380" s="1430" t="s">
        <v>591</v>
      </c>
      <c r="AH380" s="1430"/>
    </row>
    <row r="381" spans="1:34" ht="13" customHeight="1">
      <c r="E381" s="4"/>
      <c r="F381" s="4"/>
      <c r="G381" s="320" t="s">
        <v>988</v>
      </c>
      <c r="H381" s="4"/>
      <c r="I381" s="4"/>
      <c r="J381" s="4"/>
      <c r="K381" s="4"/>
      <c r="L381" s="4"/>
      <c r="V381" s="1426" t="s">
        <v>591</v>
      </c>
      <c r="W381" s="1426"/>
      <c r="Y381" s="22" t="s">
        <v>980</v>
      </c>
    </row>
    <row r="382" spans="1:34" ht="13" customHeight="1">
      <c r="E382" s="4" t="s">
        <v>981</v>
      </c>
      <c r="F382" s="4"/>
      <c r="G382" s="4"/>
      <c r="H382" s="4"/>
      <c r="I382" s="4"/>
      <c r="J382" s="4"/>
      <c r="K382" s="4"/>
      <c r="L382" s="4"/>
      <c r="V382" s="1426" t="s">
        <v>591</v>
      </c>
      <c r="W382" s="1426"/>
      <c r="Y382" s="4" t="s">
        <v>982</v>
      </c>
    </row>
    <row r="383" spans="1:34" ht="13" customHeight="1"/>
    <row r="384" spans="1:34" ht="13" customHeight="1">
      <c r="A384" s="2" t="s">
        <v>78</v>
      </c>
      <c r="B384" s="2"/>
    </row>
    <row r="385" spans="4:36" ht="13" customHeight="1">
      <c r="D385" t="s">
        <v>427</v>
      </c>
      <c r="J385" s="1409" t="s">
        <v>2713</v>
      </c>
      <c r="K385" s="1409"/>
      <c r="L385" s="1409"/>
      <c r="M385" s="1409"/>
      <c r="N385" s="1409"/>
      <c r="O385" s="1409"/>
      <c r="P385" s="1409"/>
      <c r="Q385" s="1409"/>
      <c r="R385" s="1409"/>
      <c r="S385" s="1409"/>
      <c r="T385" s="1409"/>
      <c r="U385" s="1409"/>
      <c r="V385" s="8" t="s">
        <v>83</v>
      </c>
      <c r="W385" s="8"/>
      <c r="X385" s="8"/>
      <c r="Y385" s="8"/>
      <c r="Z385" s="8"/>
      <c r="AA385" s="8"/>
      <c r="AB385" s="8"/>
      <c r="AC385" s="1409" t="s">
        <v>2717</v>
      </c>
      <c r="AD385" s="1409"/>
      <c r="AE385" s="1409"/>
      <c r="AF385" s="1409"/>
      <c r="AG385" s="1409"/>
      <c r="AH385" s="1409"/>
      <c r="AI385" s="1409"/>
      <c r="AJ385" s="1409"/>
    </row>
    <row r="386" spans="4:36" ht="13" customHeight="1">
      <c r="D386" s="3" t="s">
        <v>1182</v>
      </c>
      <c r="J386" s="1453" t="s">
        <v>2714</v>
      </c>
      <c r="K386" s="1453"/>
      <c r="L386" s="1453"/>
      <c r="M386" s="1453"/>
      <c r="N386" s="1453"/>
      <c r="O386" s="1453"/>
      <c r="P386" s="1453"/>
      <c r="Q386" s="1453"/>
      <c r="R386" s="1453"/>
      <c r="S386" s="1453"/>
      <c r="T386" s="1453"/>
      <c r="U386" s="1453"/>
      <c r="V386" s="3" t="s">
        <v>1182</v>
      </c>
      <c r="W386" s="8"/>
      <c r="X386" s="8"/>
      <c r="Y386" s="8"/>
      <c r="Z386" s="8"/>
      <c r="AA386" s="8"/>
      <c r="AB386" s="8"/>
      <c r="AC386" s="1409"/>
      <c r="AD386" s="1409"/>
      <c r="AE386" s="1409"/>
      <c r="AF386" s="1409"/>
      <c r="AG386" s="1409"/>
      <c r="AH386" s="1409"/>
      <c r="AI386" s="1409"/>
      <c r="AJ386" s="1409"/>
    </row>
    <row r="387" spans="4:36" ht="13" customHeight="1">
      <c r="D387" s="3" t="s">
        <v>441</v>
      </c>
      <c r="J387" s="1453" t="s">
        <v>2715</v>
      </c>
      <c r="K387" s="1453"/>
      <c r="L387" s="1453"/>
      <c r="M387" s="1453"/>
      <c r="N387" s="1453"/>
      <c r="O387" s="1453"/>
      <c r="P387" s="1453"/>
      <c r="Q387" s="1453"/>
      <c r="R387" s="1453"/>
      <c r="S387" s="1453"/>
      <c r="T387" s="1453"/>
      <c r="U387" s="1453"/>
      <c r="V387" s="3" t="s">
        <v>441</v>
      </c>
      <c r="W387" s="8"/>
      <c r="X387" s="8"/>
      <c r="Y387" s="8"/>
      <c r="Z387" s="8"/>
      <c r="AA387" s="8"/>
      <c r="AB387" s="8"/>
      <c r="AC387" s="1409" t="s">
        <v>2811</v>
      </c>
      <c r="AD387" s="1409"/>
      <c r="AE387" s="1409"/>
      <c r="AF387" s="1409"/>
      <c r="AG387" s="1409"/>
      <c r="AH387" s="1409"/>
      <c r="AI387" s="1409"/>
      <c r="AJ387" s="1409"/>
    </row>
    <row r="388" spans="4:36" ht="13" customHeight="1">
      <c r="D388" t="s">
        <v>1178</v>
      </c>
      <c r="J388" s="1403" t="s">
        <v>2716</v>
      </c>
      <c r="K388" s="1403"/>
      <c r="L388" s="1403"/>
      <c r="M388" s="1403"/>
      <c r="N388" s="1403"/>
      <c r="O388" s="1403"/>
      <c r="P388" s="1403"/>
      <c r="Q388" s="1403"/>
      <c r="R388" s="1403"/>
      <c r="S388" s="1403"/>
      <c r="T388" s="1403"/>
      <c r="U388" s="1403"/>
      <c r="V388" s="1409"/>
      <c r="W388" s="1409"/>
      <c r="X388" s="1409"/>
      <c r="Y388" s="1409"/>
      <c r="Z388" s="1409"/>
      <c r="AA388" s="1409"/>
      <c r="AB388" s="1409"/>
      <c r="AC388" s="1409"/>
      <c r="AD388" s="1409"/>
      <c r="AE388" s="1409"/>
      <c r="AF388" s="1409"/>
      <c r="AG388" s="1409"/>
      <c r="AH388" s="1409"/>
      <c r="AI388" s="1409"/>
      <c r="AJ388" s="1409"/>
    </row>
    <row r="389" spans="4:36" ht="13" customHeight="1">
      <c r="D389" t="s">
        <v>4</v>
      </c>
      <c r="Q389" s="1574" t="s">
        <v>2718</v>
      </c>
      <c r="R389" s="1574"/>
      <c r="S389" s="1574"/>
      <c r="T389" s="1574"/>
      <c r="U389" s="1574"/>
      <c r="V389" t="s">
        <v>308</v>
      </c>
      <c r="AI389" s="1426" t="s">
        <v>669</v>
      </c>
      <c r="AJ389" s="1426"/>
    </row>
    <row r="390" spans="4:36" ht="13" customHeight="1">
      <c r="D390" t="s">
        <v>5</v>
      </c>
      <c r="Q390" s="1434">
        <v>46181</v>
      </c>
      <c r="R390" s="1435"/>
      <c r="S390" s="1435"/>
      <c r="T390" s="1435"/>
      <c r="U390" s="1435"/>
      <c r="W390" s="21" t="s">
        <v>74</v>
      </c>
      <c r="AG390" s="1432"/>
      <c r="AH390" s="1432"/>
      <c r="AI390" s="1432"/>
      <c r="AJ390" s="1432"/>
    </row>
    <row r="391" spans="4:36" ht="13" customHeight="1">
      <c r="D391" t="s">
        <v>426</v>
      </c>
      <c r="Q391" s="1433">
        <v>8800000</v>
      </c>
      <c r="R391" s="1433"/>
      <c r="S391" s="1433"/>
      <c r="T391" s="1433"/>
      <c r="U391" s="1433"/>
      <c r="V391" s="3" t="s">
        <v>1181</v>
      </c>
      <c r="AG391" s="1513">
        <v>46157</v>
      </c>
      <c r="AH391" s="1513"/>
      <c r="AI391" s="1513"/>
      <c r="AJ391" s="1513"/>
    </row>
    <row r="392" spans="4:36" ht="13" customHeight="1">
      <c r="D392" t="s">
        <v>88</v>
      </c>
      <c r="I392" s="1522" t="s">
        <v>2719</v>
      </c>
      <c r="J392" s="1522"/>
      <c r="K392" s="1522"/>
      <c r="L392" s="1522"/>
      <c r="M392" s="1522"/>
      <c r="N392" s="1522"/>
      <c r="Q392" s="4" t="s">
        <v>205</v>
      </c>
      <c r="S392" s="1431"/>
      <c r="T392" s="1431"/>
      <c r="U392" s="1431"/>
      <c r="V392" t="s">
        <v>73</v>
      </c>
      <c r="AI392" s="1426" t="s">
        <v>669</v>
      </c>
      <c r="AJ392" s="1426"/>
    </row>
    <row r="393" spans="4:36" ht="13" customHeight="1">
      <c r="D393" t="s">
        <v>309</v>
      </c>
      <c r="Q393" s="1517">
        <v>0</v>
      </c>
      <c r="R393" s="1517"/>
      <c r="S393" s="1517"/>
      <c r="T393" s="1517"/>
      <c r="U393" s="1517"/>
      <c r="V393" t="s">
        <v>310</v>
      </c>
      <c r="AG393" s="1432">
        <v>0</v>
      </c>
      <c r="AH393" s="1432"/>
      <c r="AI393" s="1432"/>
      <c r="AJ393" s="1432"/>
    </row>
    <row r="394" spans="4:36" ht="13" customHeight="1">
      <c r="D394" t="s">
        <v>311</v>
      </c>
      <c r="Q394" s="1575">
        <v>1E-4</v>
      </c>
      <c r="R394" s="1575"/>
      <c r="S394" s="1575"/>
      <c r="T394" s="1575"/>
      <c r="U394" s="1575"/>
      <c r="V394" t="s">
        <v>1163</v>
      </c>
      <c r="AG394" s="1432">
        <v>0</v>
      </c>
      <c r="AH394" s="1432"/>
      <c r="AI394" s="1432"/>
      <c r="AJ394" s="1432"/>
    </row>
    <row r="395" spans="4:36" ht="13" customHeight="1">
      <c r="D395" t="s">
        <v>1162</v>
      </c>
      <c r="AG395" s="1432">
        <v>0</v>
      </c>
      <c r="AH395" s="1432"/>
      <c r="AI395" s="1432"/>
      <c r="AJ395" s="1432"/>
    </row>
    <row r="396" spans="4:36" ht="13" customHeight="1">
      <c r="AG396" s="456"/>
      <c r="AH396" s="456"/>
      <c r="AI396" s="456"/>
      <c r="AJ396" s="456"/>
    </row>
    <row r="397" spans="4:36" ht="13" customHeight="1">
      <c r="D397" s="3" t="s">
        <v>2142</v>
      </c>
      <c r="AG397" s="456"/>
      <c r="AH397" s="456"/>
      <c r="AI397" s="1426" t="s">
        <v>669</v>
      </c>
      <c r="AJ397" s="1426"/>
    </row>
    <row r="398" spans="4:36" ht="13" customHeight="1">
      <c r="D398" s="3" t="s">
        <v>1667</v>
      </c>
      <c r="T398" s="1464" t="s">
        <v>591</v>
      </c>
      <c r="U398" s="1464"/>
      <c r="V398" s="1464"/>
      <c r="W398" s="1464"/>
      <c r="X398" s="1464"/>
      <c r="Y398" s="1464"/>
      <c r="Z398" s="1464"/>
      <c r="AA398" s="1464"/>
      <c r="AB398" s="1464"/>
      <c r="AC398" s="1464"/>
      <c r="AD398" s="1464"/>
      <c r="AE398" s="1464"/>
      <c r="AF398" s="1464"/>
      <c r="AG398" s="1464"/>
      <c r="AH398" s="1464"/>
      <c r="AI398" s="1464"/>
      <c r="AJ398" s="1464"/>
    </row>
    <row r="399" spans="4:36" ht="13" customHeight="1">
      <c r="D399" s="3" t="s">
        <v>1666</v>
      </c>
      <c r="T399" s="1464" t="s">
        <v>591</v>
      </c>
      <c r="U399" s="1464"/>
      <c r="V399" s="1464"/>
      <c r="W399" s="1464"/>
      <c r="X399" s="1464"/>
      <c r="Y399" s="1464"/>
      <c r="Z399" s="1464"/>
      <c r="AA399" s="1464"/>
      <c r="AB399" s="1464"/>
      <c r="AC399" s="1464"/>
      <c r="AD399" s="1464"/>
      <c r="AE399" s="1464"/>
      <c r="AF399" s="1464"/>
      <c r="AG399" s="1464"/>
      <c r="AH399" s="1464"/>
      <c r="AI399" s="1464"/>
      <c r="AJ399" s="1464"/>
    </row>
    <row r="400" spans="4:36" ht="13" customHeight="1">
      <c r="AG400" s="456"/>
      <c r="AH400" s="456"/>
      <c r="AI400" s="456"/>
      <c r="AJ400" s="456"/>
    </row>
    <row r="401" spans="1:36" ht="13" customHeight="1">
      <c r="D401" s="3" t="s">
        <v>1660</v>
      </c>
      <c r="S401" s="1464" t="s">
        <v>669</v>
      </c>
      <c r="T401" s="1464"/>
      <c r="U401" s="1464"/>
      <c r="V401" t="s">
        <v>1661</v>
      </c>
      <c r="AG401" s="1500"/>
      <c r="AH401" s="1500"/>
      <c r="AI401" s="1500"/>
      <c r="AJ401" s="1500"/>
    </row>
    <row r="402" spans="1:36" ht="13" customHeight="1">
      <c r="D402" s="3" t="s">
        <v>1658</v>
      </c>
      <c r="S402" s="1464" t="s">
        <v>591</v>
      </c>
      <c r="T402" s="1464"/>
      <c r="U402" s="1464"/>
      <c r="V402" t="s">
        <v>1663</v>
      </c>
      <c r="AE402" s="1512"/>
      <c r="AF402" s="1512"/>
      <c r="AG402" s="1512"/>
      <c r="AH402" s="1512"/>
      <c r="AI402" s="1512"/>
      <c r="AJ402" s="1512"/>
    </row>
    <row r="403" spans="1:36" ht="13" customHeight="1">
      <c r="D403" s="3" t="s">
        <v>1659</v>
      </c>
      <c r="K403" s="1514"/>
      <c r="L403" s="1514"/>
      <c r="M403" s="1514"/>
      <c r="N403" s="1514"/>
      <c r="O403" s="1514"/>
      <c r="P403" s="1514"/>
      <c r="Q403" s="1514"/>
      <c r="R403" s="1514"/>
      <c r="S403" s="1514"/>
      <c r="T403" s="1514"/>
      <c r="U403" s="1514"/>
      <c r="V403" s="1514"/>
      <c r="W403" s="1514"/>
      <c r="X403" s="1514"/>
      <c r="Y403" s="1514"/>
      <c r="Z403" s="1514"/>
      <c r="AA403" s="1514"/>
      <c r="AB403" s="1514"/>
      <c r="AC403" s="1514"/>
      <c r="AD403" s="1514"/>
      <c r="AE403" s="1514"/>
      <c r="AF403" s="1514"/>
      <c r="AG403" s="1514"/>
      <c r="AH403" s="1514"/>
      <c r="AI403" s="1514"/>
      <c r="AJ403" s="1514"/>
    </row>
    <row r="404" spans="1:36" ht="13" customHeight="1">
      <c r="D404" s="3" t="s">
        <v>1662</v>
      </c>
      <c r="K404" s="1514"/>
      <c r="L404" s="1514"/>
      <c r="M404" s="1514"/>
      <c r="N404" s="1514"/>
      <c r="O404" s="1514"/>
      <c r="P404" s="1514"/>
      <c r="Q404" s="1514"/>
      <c r="R404" s="1514"/>
      <c r="S404" s="1514"/>
      <c r="T404" s="1514"/>
      <c r="U404" s="1514"/>
      <c r="V404" s="1514"/>
      <c r="W404" s="1514"/>
      <c r="X404" s="1514"/>
      <c r="Y404" s="1514"/>
      <c r="Z404" s="1514"/>
      <c r="AA404" s="1514"/>
      <c r="AB404" s="1514"/>
      <c r="AC404" s="1514"/>
      <c r="AD404" s="1514"/>
      <c r="AE404" s="1514"/>
      <c r="AF404" s="1514"/>
      <c r="AG404" s="1514"/>
      <c r="AH404" s="1514"/>
      <c r="AI404" s="1514"/>
      <c r="AJ404" s="1514"/>
    </row>
    <row r="405" spans="1:36" ht="13" customHeight="1">
      <c r="D405" s="3" t="s">
        <v>1665</v>
      </c>
      <c r="E405" s="477"/>
      <c r="F405" s="477"/>
      <c r="G405" s="477"/>
      <c r="H405" s="477"/>
      <c r="I405" s="477"/>
      <c r="J405" s="477"/>
      <c r="K405" s="477"/>
      <c r="L405" s="477"/>
      <c r="M405" s="477"/>
      <c r="N405" s="477"/>
      <c r="O405" s="477"/>
      <c r="P405" s="477"/>
      <c r="Q405" s="477"/>
      <c r="R405" s="477"/>
      <c r="S405" s="1429" t="s">
        <v>2720</v>
      </c>
      <c r="T405" s="1429"/>
      <c r="U405" s="1429"/>
      <c r="V405" s="1429"/>
      <c r="W405" s="1429"/>
      <c r="X405" s="1429"/>
      <c r="Y405" s="1429"/>
      <c r="Z405" s="1429"/>
      <c r="AA405" s="1429"/>
      <c r="AB405" s="1429"/>
      <c r="AC405" s="1429"/>
      <c r="AD405" s="1429"/>
      <c r="AE405" s="1429"/>
      <c r="AF405" s="1429"/>
      <c r="AG405" s="1429"/>
      <c r="AH405" s="1429"/>
      <c r="AI405" s="1429"/>
      <c r="AJ405" s="1429"/>
    </row>
    <row r="406" spans="1:36" ht="13" customHeight="1">
      <c r="D406" s="1270" t="s">
        <v>1664</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3"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3" customHeight="1">
      <c r="AG408" s="456"/>
      <c r="AH408" s="456"/>
      <c r="AI408" s="456"/>
      <c r="AJ408" s="456"/>
    </row>
    <row r="409" spans="1:36" ht="13" customHeight="1">
      <c r="A409" s="2" t="s">
        <v>589</v>
      </c>
      <c r="B409" s="2"/>
      <c r="C409" s="2" t="s">
        <v>111</v>
      </c>
    </row>
    <row r="410" spans="1:36" ht="13" customHeight="1">
      <c r="B410" s="2"/>
      <c r="C410" s="2"/>
      <c r="D410" s="2" t="s">
        <v>1204</v>
      </c>
      <c r="I410" s="1436" t="s">
        <v>2721</v>
      </c>
      <c r="J410" s="1436"/>
      <c r="K410" s="1436"/>
      <c r="L410" s="1436"/>
      <c r="M410" s="1436"/>
      <c r="N410" s="1436"/>
      <c r="O410" s="1436"/>
      <c r="P410" s="1436"/>
      <c r="Q410" s="1436"/>
      <c r="R410" s="1436"/>
      <c r="S410" s="1436"/>
      <c r="T410" s="1436"/>
      <c r="U410" s="1436"/>
      <c r="V410" s="1436"/>
      <c r="W410" s="1436"/>
      <c r="X410" s="1436"/>
      <c r="Y410" s="1436"/>
      <c r="Z410" s="1436"/>
      <c r="AA410" s="1436"/>
      <c r="AB410" s="1436"/>
      <c r="AC410" s="1436"/>
      <c r="AD410" s="1436"/>
      <c r="AE410" s="1436"/>
    </row>
    <row r="411" spans="1:36" ht="13" customHeight="1">
      <c r="E411" t="s">
        <v>106</v>
      </c>
      <c r="R411" s="1426" t="s">
        <v>591</v>
      </c>
      <c r="S411" s="1426"/>
      <c r="AC411" s="27" t="s">
        <v>570</v>
      </c>
      <c r="AD411" s="1388"/>
      <c r="AE411" s="1388"/>
    </row>
    <row r="412" spans="1:36" ht="13" customHeight="1">
      <c r="E412" t="s">
        <v>107</v>
      </c>
      <c r="R412" s="1426" t="s">
        <v>545</v>
      </c>
      <c r="S412" s="1426"/>
      <c r="AC412" s="27" t="s">
        <v>570</v>
      </c>
      <c r="AD412" s="1388">
        <v>3</v>
      </c>
      <c r="AE412" s="1388"/>
    </row>
    <row r="413" spans="1:36" ht="13" customHeight="1">
      <c r="E413" t="s">
        <v>108</v>
      </c>
      <c r="S413" s="1426" t="s">
        <v>591</v>
      </c>
      <c r="T413" s="1426"/>
    </row>
    <row r="414" spans="1:36" ht="13" customHeight="1">
      <c r="E414" t="s">
        <v>169</v>
      </c>
      <c r="H414" s="1576" t="s">
        <v>333</v>
      </c>
      <c r="I414" s="1576"/>
      <c r="J414" s="1576"/>
      <c r="K414" s="1576"/>
      <c r="L414" s="1576"/>
      <c r="M414" s="1576"/>
      <c r="N414" s="1576"/>
      <c r="O414" s="1576"/>
      <c r="P414" s="1576"/>
      <c r="Q414" s="1576"/>
      <c r="R414" s="1576"/>
      <c r="S414" s="1576"/>
      <c r="T414" s="1576"/>
      <c r="U414" s="1576"/>
      <c r="V414" s="1576"/>
      <c r="W414" s="1576"/>
      <c r="X414" s="1576"/>
      <c r="Y414" s="1576"/>
      <c r="Z414" s="1576"/>
      <c r="AA414" s="1576"/>
      <c r="AB414" s="1576"/>
      <c r="AC414" s="1576"/>
      <c r="AD414" s="1576"/>
      <c r="AE414" s="1576"/>
    </row>
    <row r="415" spans="1:36" ht="13" customHeight="1">
      <c r="H415" s="1577"/>
      <c r="I415" s="1577"/>
      <c r="J415" s="1577"/>
      <c r="K415" s="1577"/>
      <c r="L415" s="1577"/>
      <c r="M415" s="1577"/>
      <c r="N415" s="1577"/>
      <c r="O415" s="1577"/>
      <c r="P415" s="1577"/>
      <c r="Q415" s="1577"/>
      <c r="R415" s="1577"/>
      <c r="S415" s="1577"/>
      <c r="T415" s="1577"/>
      <c r="U415" s="1577"/>
      <c r="V415" s="1577"/>
      <c r="W415" s="1577"/>
      <c r="X415" s="1577"/>
      <c r="Y415" s="1577"/>
      <c r="Z415" s="1577"/>
      <c r="AA415" s="1577"/>
      <c r="AB415" s="1577"/>
      <c r="AC415" s="1577"/>
      <c r="AD415" s="1577"/>
      <c r="AE415" s="1577"/>
    </row>
    <row r="416" spans="1:36" ht="13" customHeight="1"/>
    <row r="417" spans="1:39" ht="13" customHeight="1">
      <c r="A417" s="2" t="s">
        <v>590</v>
      </c>
      <c r="B417" s="2"/>
      <c r="C417" s="2"/>
      <c r="D417" s="2" t="s">
        <v>114</v>
      </c>
      <c r="AF417" s="2" t="s">
        <v>957</v>
      </c>
    </row>
    <row r="418" spans="1:39" ht="13" customHeight="1">
      <c r="E418" s="1427"/>
      <c r="F418" s="1427"/>
      <c r="G418" s="1427"/>
      <c r="H418" s="13" t="s">
        <v>115</v>
      </c>
      <c r="I418" s="1427"/>
      <c r="J418" s="1427"/>
      <c r="K418" s="1427"/>
      <c r="L418" t="s">
        <v>116</v>
      </c>
      <c r="N418" s="27" t="s">
        <v>575</v>
      </c>
      <c r="P418" s="1563">
        <v>3.67</v>
      </c>
      <c r="Q418" s="1563"/>
      <c r="R418" s="1563"/>
      <c r="S418" t="s">
        <v>117</v>
      </c>
      <c r="W418" s="1428">
        <f>IF(E418&gt;0,(E418*I418),(P418*43560))</f>
        <v>159865.19999999998</v>
      </c>
      <c r="X418" s="1428"/>
      <c r="Y418" s="1428"/>
      <c r="Z418" t="s">
        <v>118</v>
      </c>
      <c r="AF418" s="1564">
        <f>IFERROR(IF(P418&gt;0,(AG437/P418),(AG437/(W418/43560))),0)</f>
        <v>34.059945504087196</v>
      </c>
      <c r="AG418" s="1564"/>
      <c r="AH418" s="1564"/>
      <c r="AM418" s="3"/>
    </row>
    <row r="419" spans="1:39" ht="13" customHeight="1">
      <c r="E419" t="s">
        <v>51</v>
      </c>
    </row>
    <row r="420" spans="1:39" ht="13" customHeight="1">
      <c r="E420" s="1501"/>
      <c r="F420" s="1501"/>
      <c r="G420" s="1501"/>
      <c r="H420" s="1501"/>
      <c r="I420" s="1501"/>
      <c r="J420" s="1501"/>
      <c r="K420" s="1501"/>
      <c r="L420" s="1501"/>
      <c r="M420" s="1501"/>
      <c r="N420" s="1501"/>
      <c r="O420" s="1501"/>
      <c r="P420" s="1501"/>
      <c r="Q420" s="1501"/>
      <c r="R420" s="1501"/>
      <c r="S420" s="1501"/>
      <c r="T420" s="1501"/>
      <c r="U420" s="1501"/>
      <c r="V420" s="1501"/>
      <c r="W420" s="1501"/>
      <c r="X420" s="1501"/>
      <c r="Y420" s="1501"/>
      <c r="Z420" s="1501"/>
      <c r="AA420" s="1501"/>
      <c r="AB420" s="1501"/>
      <c r="AC420" s="1501"/>
      <c r="AD420" s="1501"/>
      <c r="AE420" s="1501"/>
      <c r="AF420" s="1501"/>
      <c r="AG420" s="1501"/>
      <c r="AH420" s="1501"/>
      <c r="AI420" s="1501"/>
      <c r="AJ420" s="1501"/>
    </row>
    <row r="421" spans="1:39" ht="13" customHeight="1">
      <c r="E421" s="118" t="s">
        <v>1736</v>
      </c>
      <c r="F421" s="1013"/>
      <c r="G421" s="1013"/>
      <c r="H421" s="1013"/>
      <c r="I421" s="1562">
        <v>3.11</v>
      </c>
      <c r="J421" s="1562"/>
      <c r="K421" s="1562"/>
      <c r="L421" s="1013"/>
      <c r="M421" s="118"/>
      <c r="N421" s="1013"/>
      <c r="O421" s="1013"/>
      <c r="P421" s="1822">
        <f>(DU755+DU778+DU800)/I421</f>
        <v>76.20578778135048</v>
      </c>
      <c r="Q421" s="1822"/>
      <c r="R421" s="1822"/>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3" customHeight="1"/>
    <row r="423" spans="1:39" ht="13" customHeight="1">
      <c r="A423" s="2" t="s">
        <v>592</v>
      </c>
      <c r="B423" s="2"/>
      <c r="C423" s="2"/>
      <c r="D423" s="2" t="s">
        <v>120</v>
      </c>
    </row>
    <row r="424" spans="1:39" ht="13" customHeight="1">
      <c r="E424" t="s">
        <v>121</v>
      </c>
      <c r="P424" s="1426">
        <v>4</v>
      </c>
      <c r="Q424" s="1426"/>
      <c r="S424" t="s">
        <v>188</v>
      </c>
      <c r="AE424" s="1426">
        <v>4</v>
      </c>
      <c r="AF424" s="1426"/>
    </row>
    <row r="425" spans="1:39" ht="13" customHeight="1">
      <c r="E425" t="s">
        <v>189</v>
      </c>
      <c r="P425" s="1426">
        <v>0</v>
      </c>
      <c r="Q425" s="1426"/>
      <c r="S425" t="s">
        <v>131</v>
      </c>
      <c r="AE425" s="1426" t="s">
        <v>545</v>
      </c>
      <c r="AF425" s="1426"/>
    </row>
    <row r="426" spans="1:39" ht="13" customHeight="1">
      <c r="F426" s="28" t="s">
        <v>132</v>
      </c>
    </row>
    <row r="427" spans="1:39" ht="13" customHeight="1">
      <c r="F427" s="1520" t="s">
        <v>2722</v>
      </c>
      <c r="G427" s="1520"/>
      <c r="H427" s="1520"/>
      <c r="I427" s="1520"/>
      <c r="J427" s="1520"/>
      <c r="K427" s="1520"/>
      <c r="L427" s="1520"/>
      <c r="M427" s="1520"/>
      <c r="N427" s="1520"/>
      <c r="O427" s="1520"/>
      <c r="P427" s="1520"/>
      <c r="Q427" s="1520"/>
      <c r="R427" s="1520"/>
      <c r="S427" s="1520"/>
      <c r="T427" s="1520"/>
      <c r="U427" s="1520"/>
      <c r="V427" s="1520"/>
      <c r="W427" s="1520"/>
      <c r="X427" s="1520"/>
      <c r="Y427" s="1520"/>
      <c r="Z427" s="1520"/>
      <c r="AA427" s="1520"/>
      <c r="AB427" s="1520"/>
      <c r="AC427" s="1520"/>
      <c r="AD427" s="1520"/>
      <c r="AE427" s="1520"/>
      <c r="AF427" s="1520"/>
      <c r="AG427" s="1520"/>
      <c r="AH427" s="1520"/>
    </row>
    <row r="428" spans="1:39" ht="13" customHeight="1">
      <c r="F428" s="1521"/>
      <c r="G428" s="1521"/>
      <c r="H428" s="1521"/>
      <c r="I428" s="1521"/>
      <c r="J428" s="1521"/>
      <c r="K428" s="1521"/>
      <c r="L428" s="1521"/>
      <c r="M428" s="1521"/>
      <c r="N428" s="1521"/>
      <c r="O428" s="1521"/>
      <c r="P428" s="1521"/>
      <c r="Q428" s="1521"/>
      <c r="R428" s="1521"/>
      <c r="S428" s="1521"/>
      <c r="T428" s="1521"/>
      <c r="U428" s="1521"/>
      <c r="V428" s="1521"/>
      <c r="W428" s="1521"/>
      <c r="X428" s="1521"/>
      <c r="Y428" s="1521"/>
      <c r="Z428" s="1521"/>
      <c r="AA428" s="1521"/>
      <c r="AB428" s="1521"/>
      <c r="AC428" s="1521"/>
      <c r="AD428" s="1521"/>
      <c r="AE428" s="1521"/>
      <c r="AF428" s="1521"/>
      <c r="AG428" s="1521"/>
      <c r="AH428" s="1521"/>
    </row>
    <row r="429" spans="1:39" ht="13" customHeight="1">
      <c r="E429" t="s">
        <v>608</v>
      </c>
      <c r="P429" s="1"/>
      <c r="Q429" s="1426" t="s">
        <v>545</v>
      </c>
      <c r="R429" s="1426"/>
    </row>
    <row r="430" spans="1:39" ht="13" customHeight="1">
      <c r="F430" t="s">
        <v>609</v>
      </c>
      <c r="P430" s="1"/>
      <c r="Q430" s="1"/>
      <c r="AF430" s="1426" t="s">
        <v>591</v>
      </c>
      <c r="AG430" s="1503"/>
    </row>
    <row r="431" spans="1:39" ht="13" customHeight="1"/>
    <row r="432" spans="1:39" ht="13" customHeight="1">
      <c r="A432" s="2"/>
      <c r="B432" s="2"/>
      <c r="C432" s="2"/>
      <c r="E432" s="4" t="s">
        <v>307</v>
      </c>
      <c r="Z432" s="1426" t="s">
        <v>669</v>
      </c>
      <c r="AA432" s="1426"/>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707</v>
      </c>
      <c r="G434" s="40"/>
      <c r="I434" s="40"/>
      <c r="J434" s="40"/>
      <c r="K434" s="40"/>
      <c r="L434" s="40"/>
      <c r="M434" s="40"/>
      <c r="N434" s="40"/>
      <c r="O434" s="28"/>
      <c r="P434" s="40"/>
      <c r="Q434" s="40"/>
      <c r="R434" s="40"/>
      <c r="S434" s="40"/>
      <c r="T434" s="40"/>
      <c r="U434" s="40"/>
      <c r="V434" s="40"/>
      <c r="W434" s="40"/>
      <c r="Z434" s="1426" t="s">
        <v>591</v>
      </c>
      <c r="AA434" s="1426"/>
    </row>
    <row r="435" spans="1:55" ht="13" customHeight="1"/>
    <row r="436" spans="1:55" ht="13" customHeight="1">
      <c r="A436" s="2" t="s">
        <v>467</v>
      </c>
      <c r="B436" s="2"/>
      <c r="C436" s="2"/>
      <c r="D436" s="2" t="s">
        <v>764</v>
      </c>
      <c r="AF436" s="48"/>
    </row>
    <row r="437" spans="1:55" ht="13" customHeight="1">
      <c r="D437" s="1502" t="s">
        <v>43</v>
      </c>
      <c r="E437" s="1424"/>
      <c r="F437" s="1424"/>
      <c r="G437" s="1424"/>
      <c r="H437" s="1424"/>
      <c r="I437" s="1424"/>
      <c r="J437" s="1424"/>
      <c r="K437" s="1424"/>
      <c r="L437" s="1424"/>
      <c r="M437" s="1424"/>
      <c r="N437" s="1424"/>
      <c r="O437" s="1424"/>
      <c r="P437" s="1424"/>
      <c r="Q437" s="1424"/>
      <c r="R437" s="1424"/>
      <c r="S437" s="1424"/>
      <c r="T437" s="1424"/>
      <c r="U437" s="1424"/>
      <c r="V437" s="1424"/>
      <c r="W437" s="1424"/>
      <c r="X437" s="1424"/>
      <c r="Y437" s="1424"/>
      <c r="Z437" s="1424"/>
      <c r="AA437" s="1424"/>
      <c r="AB437" s="1424"/>
      <c r="AC437" s="1424"/>
      <c r="AD437" s="1424"/>
      <c r="AE437" s="1424"/>
      <c r="AF437" s="1425"/>
      <c r="AG437" s="1383">
        <v>125</v>
      </c>
      <c r="AH437" s="1383"/>
      <c r="AI437" s="1383"/>
      <c r="AJ437" s="1383"/>
    </row>
    <row r="438" spans="1:55" ht="13" customHeight="1">
      <c r="D438" s="1410" t="s">
        <v>1222</v>
      </c>
      <c r="E438" s="1411"/>
      <c r="F438" s="1411"/>
      <c r="G438" s="1411"/>
      <c r="H438" s="1411"/>
      <c r="I438" s="1411"/>
      <c r="J438" s="1411"/>
      <c r="K438" s="1411"/>
      <c r="L438" s="1411"/>
      <c r="M438" s="1411"/>
      <c r="N438" s="1411"/>
      <c r="O438" s="1411"/>
      <c r="P438" s="1411"/>
      <c r="Q438" s="1411"/>
      <c r="R438" s="1411"/>
      <c r="S438" s="1411"/>
      <c r="T438" s="1411"/>
      <c r="U438" s="1411"/>
      <c r="V438" s="1411"/>
      <c r="W438" s="1411"/>
      <c r="X438" s="1411"/>
      <c r="Y438" s="1411"/>
      <c r="Z438" s="1411"/>
      <c r="AA438" s="1411"/>
      <c r="AB438" s="1411"/>
      <c r="AC438" s="1411"/>
      <c r="AD438" s="1411"/>
      <c r="AE438" s="1411"/>
      <c r="AF438" s="1412"/>
      <c r="AG438" s="1565">
        <v>0</v>
      </c>
      <c r="AH438" s="1566"/>
      <c r="AI438" s="1566"/>
      <c r="AJ438" s="1566"/>
    </row>
    <row r="439" spans="1:55" ht="13" customHeight="1">
      <c r="D439" s="1410" t="s">
        <v>1031</v>
      </c>
      <c r="E439" s="1411"/>
      <c r="F439" s="1411"/>
      <c r="G439" s="1411"/>
      <c r="H439" s="1411"/>
      <c r="I439" s="1411"/>
      <c r="J439" s="1411"/>
      <c r="K439" s="1411"/>
      <c r="L439" s="1411"/>
      <c r="M439" s="1411"/>
      <c r="N439" s="1411"/>
      <c r="O439" s="1411"/>
      <c r="P439" s="1411"/>
      <c r="Q439" s="1411"/>
      <c r="R439" s="1411"/>
      <c r="S439" s="1411"/>
      <c r="T439" s="1411"/>
      <c r="U439" s="1411"/>
      <c r="V439" s="1411"/>
      <c r="W439" s="1411"/>
      <c r="X439" s="1411"/>
      <c r="Y439" s="1411"/>
      <c r="Z439" s="1411"/>
      <c r="AA439" s="1411"/>
      <c r="AB439" s="1411"/>
      <c r="AC439" s="1411"/>
      <c r="AD439" s="1411"/>
      <c r="AE439" s="1411"/>
      <c r="AF439" s="1412"/>
      <c r="AG439" s="1383">
        <v>124</v>
      </c>
      <c r="AH439" s="1383"/>
      <c r="AI439" s="1383"/>
      <c r="AJ439" s="1383"/>
    </row>
    <row r="440" spans="1:55" ht="13" customHeight="1">
      <c r="D440" s="1410" t="s">
        <v>1032</v>
      </c>
      <c r="E440" s="1411"/>
      <c r="F440" s="1411"/>
      <c r="G440" s="1411"/>
      <c r="H440" s="1411"/>
      <c r="I440" s="1411"/>
      <c r="J440" s="1411"/>
      <c r="K440" s="1411"/>
      <c r="L440" s="1411"/>
      <c r="M440" s="1411"/>
      <c r="N440" s="1411"/>
      <c r="O440" s="1411"/>
      <c r="P440" s="1411"/>
      <c r="Q440" s="1411"/>
      <c r="R440" s="1411"/>
      <c r="S440" s="1411"/>
      <c r="T440" s="1411"/>
      <c r="U440" s="1411"/>
      <c r="V440" s="1411"/>
      <c r="W440" s="1411"/>
      <c r="X440" s="1411"/>
      <c r="Y440" s="1411"/>
      <c r="Z440" s="1411"/>
      <c r="AA440" s="1411"/>
      <c r="AB440" s="1411"/>
      <c r="AC440" s="1411"/>
      <c r="AD440" s="1411"/>
      <c r="AE440" s="1411"/>
      <c r="AF440" s="1412"/>
      <c r="AG440" s="1383">
        <v>124</v>
      </c>
      <c r="AH440" s="1383"/>
      <c r="AI440" s="1383"/>
      <c r="AJ440" s="1383"/>
    </row>
    <row r="441" spans="1:55" ht="13" customHeight="1">
      <c r="D441" s="1410" t="s">
        <v>1034</v>
      </c>
      <c r="E441" s="1411"/>
      <c r="F441" s="1411"/>
      <c r="G441" s="1411"/>
      <c r="H441" s="1411"/>
      <c r="I441" s="1411"/>
      <c r="J441" s="1411"/>
      <c r="K441" s="1411"/>
      <c r="L441" s="1411"/>
      <c r="M441" s="1411"/>
      <c r="N441" s="1411"/>
      <c r="O441" s="1411"/>
      <c r="P441" s="1411"/>
      <c r="Q441" s="1411"/>
      <c r="R441" s="1411"/>
      <c r="S441" s="1411"/>
      <c r="T441" s="1411"/>
      <c r="U441" s="1411"/>
      <c r="V441" s="1411"/>
      <c r="W441" s="1411"/>
      <c r="X441" s="1411"/>
      <c r="Y441" s="1411"/>
      <c r="Z441" s="1411"/>
      <c r="AA441" s="1411"/>
      <c r="AB441" s="1411"/>
      <c r="AC441" s="1411"/>
      <c r="AD441" s="1411"/>
      <c r="AE441" s="1411"/>
      <c r="AF441" s="1412"/>
      <c r="AG441" s="1423">
        <f>IF(ISERROR(AG440/AG439),0,AG440/AG439)</f>
        <v>1</v>
      </c>
      <c r="AH441" s="1423"/>
      <c r="AI441" s="1423"/>
      <c r="AJ441" s="1423"/>
    </row>
    <row r="442" spans="1:55" ht="13" customHeight="1">
      <c r="D442" s="1410" t="s">
        <v>1033</v>
      </c>
      <c r="E442" s="1411"/>
      <c r="F442" s="1411"/>
      <c r="G442" s="1411"/>
      <c r="H442" s="1411"/>
      <c r="I442" s="1411"/>
      <c r="J442" s="1411"/>
      <c r="K442" s="1411"/>
      <c r="L442" s="1411"/>
      <c r="M442" s="1411"/>
      <c r="N442" s="1411"/>
      <c r="O442" s="1411"/>
      <c r="P442" s="1411"/>
      <c r="Q442" s="1411"/>
      <c r="R442" s="1411"/>
      <c r="S442" s="1411"/>
      <c r="T442" s="1411"/>
      <c r="U442" s="1411"/>
      <c r="V442" s="1411"/>
      <c r="W442" s="1411"/>
      <c r="X442" s="1411"/>
      <c r="Y442" s="1411"/>
      <c r="Z442" s="1411"/>
      <c r="AA442" s="1411"/>
      <c r="AB442" s="1411"/>
      <c r="AC442" s="1411"/>
      <c r="AD442" s="1411"/>
      <c r="AE442" s="1411"/>
      <c r="AF442" s="1412"/>
      <c r="AG442" s="1437">
        <v>107759</v>
      </c>
      <c r="AH442" s="1437"/>
      <c r="AI442" s="1437"/>
      <c r="AJ442" s="1437"/>
    </row>
    <row r="443" spans="1:55" ht="13" customHeight="1">
      <c r="D443" s="1410" t="s">
        <v>1035</v>
      </c>
      <c r="E443" s="1411"/>
      <c r="F443" s="1411"/>
      <c r="G443" s="1411"/>
      <c r="H443" s="1411"/>
      <c r="I443" s="1411"/>
      <c r="J443" s="1411"/>
      <c r="K443" s="1411"/>
      <c r="L443" s="1411"/>
      <c r="M443" s="1411"/>
      <c r="N443" s="1411"/>
      <c r="O443" s="1411"/>
      <c r="P443" s="1411"/>
      <c r="Q443" s="1411"/>
      <c r="R443" s="1411"/>
      <c r="S443" s="1411"/>
      <c r="T443" s="1411"/>
      <c r="U443" s="1411"/>
      <c r="V443" s="1411"/>
      <c r="W443" s="1411"/>
      <c r="X443" s="1411"/>
      <c r="Y443" s="1411"/>
      <c r="Z443" s="1411"/>
      <c r="AA443" s="1411"/>
      <c r="AB443" s="1411"/>
      <c r="AC443" s="1411"/>
      <c r="AD443" s="1411"/>
      <c r="AE443" s="1411"/>
      <c r="AF443" s="1412"/>
      <c r="AG443" s="1437">
        <v>107759</v>
      </c>
      <c r="AH443" s="1437"/>
      <c r="AI443" s="1437"/>
      <c r="AJ443" s="1437"/>
    </row>
    <row r="444" spans="1:55" ht="13" customHeight="1">
      <c r="D444" s="1410" t="s">
        <v>1036</v>
      </c>
      <c r="E444" s="1411"/>
      <c r="F444" s="1411"/>
      <c r="G444" s="1411"/>
      <c r="H444" s="1411"/>
      <c r="I444" s="1411"/>
      <c r="J444" s="1411"/>
      <c r="K444" s="1411"/>
      <c r="L444" s="1411"/>
      <c r="M444" s="1411"/>
      <c r="N444" s="1411"/>
      <c r="O444" s="1411"/>
      <c r="P444" s="1411"/>
      <c r="Q444" s="1411"/>
      <c r="R444" s="1411"/>
      <c r="S444" s="1411"/>
      <c r="T444" s="1411"/>
      <c r="U444" s="1411"/>
      <c r="V444" s="1411"/>
      <c r="W444" s="1411"/>
      <c r="X444" s="1411"/>
      <c r="Y444" s="1411"/>
      <c r="Z444" s="1411"/>
      <c r="AA444" s="1411"/>
      <c r="AB444" s="1411"/>
      <c r="AC444" s="1411"/>
      <c r="AD444" s="1411"/>
      <c r="AE444" s="1411"/>
      <c r="AF444" s="1412"/>
      <c r="AG444" s="1423">
        <f>IF(ISERROR(AG443/AG442),0,AG443/AG442)</f>
        <v>1</v>
      </c>
      <c r="AH444" s="1423"/>
      <c r="AI444" s="1423"/>
      <c r="AJ444" s="1423"/>
    </row>
    <row r="445" spans="1:55" ht="13" customHeight="1">
      <c r="D445" s="1410" t="s">
        <v>1037</v>
      </c>
      <c r="E445" s="1411"/>
      <c r="F445" s="1411"/>
      <c r="G445" s="1411"/>
      <c r="H445" s="1411"/>
      <c r="I445" s="1411"/>
      <c r="J445" s="1411"/>
      <c r="K445" s="1411"/>
      <c r="L445" s="1411"/>
      <c r="M445" s="1411"/>
      <c r="N445" s="1411"/>
      <c r="O445" s="1411"/>
      <c r="P445" s="1411"/>
      <c r="Q445" s="1411"/>
      <c r="R445" s="1411"/>
      <c r="S445" s="1411"/>
      <c r="T445" s="1411"/>
      <c r="U445" s="1411"/>
      <c r="V445" s="1411"/>
      <c r="W445" s="1411"/>
      <c r="X445" s="1411"/>
      <c r="Y445" s="1411"/>
      <c r="Z445" s="1411"/>
      <c r="AA445" s="1411"/>
      <c r="AB445" s="1411"/>
      <c r="AC445" s="1411"/>
      <c r="AD445" s="1411"/>
      <c r="AE445" s="1411"/>
      <c r="AF445" s="1412"/>
      <c r="AG445" s="1423">
        <f>MIN(IF(AG441&gt;AG444,AG444,AG441),1)</f>
        <v>1</v>
      </c>
      <c r="AH445" s="1423"/>
      <c r="AI445" s="1423"/>
      <c r="AJ445" s="1423"/>
    </row>
    <row r="446" spans="1:55" ht="13" customHeight="1">
      <c r="D446" s="1410" t="s">
        <v>2087</v>
      </c>
      <c r="E446" s="1424"/>
      <c r="F446" s="1424"/>
      <c r="G446" s="1424"/>
      <c r="H446" s="1424"/>
      <c r="I446" s="1424"/>
      <c r="J446" s="1424"/>
      <c r="K446" s="1424"/>
      <c r="L446" s="1424"/>
      <c r="M446" s="1424"/>
      <c r="N446" s="1424"/>
      <c r="O446" s="1424"/>
      <c r="P446" s="1424"/>
      <c r="Q446" s="1424"/>
      <c r="R446" s="1424"/>
      <c r="S446" s="1424"/>
      <c r="T446" s="1424"/>
      <c r="U446" s="1424"/>
      <c r="V446" s="1424"/>
      <c r="W446" s="1424"/>
      <c r="X446" s="1424"/>
      <c r="Y446" s="1424"/>
      <c r="Z446" s="1424"/>
      <c r="AA446" s="1424"/>
      <c r="AB446" s="1424"/>
      <c r="AC446" s="1424"/>
      <c r="AD446" s="1424"/>
      <c r="AE446" s="1424"/>
      <c r="AF446" s="1425"/>
      <c r="AG446" s="1437">
        <v>4521</v>
      </c>
      <c r="AH446" s="1437"/>
      <c r="AI446" s="1437"/>
      <c r="AJ446" s="1437"/>
      <c r="AZ446" s="34"/>
      <c r="BA446" s="34"/>
      <c r="BB446" s="34"/>
      <c r="BC446" s="34"/>
    </row>
    <row r="447" spans="1:55" ht="13" customHeight="1">
      <c r="D447" s="1502" t="s">
        <v>569</v>
      </c>
      <c r="E447" s="1424"/>
      <c r="F447" s="1424"/>
      <c r="G447" s="1424"/>
      <c r="H447" s="1424"/>
      <c r="I447" s="1424"/>
      <c r="J447" s="1424"/>
      <c r="K447" s="1424"/>
      <c r="L447" s="1424"/>
      <c r="M447" s="1424"/>
      <c r="N447" s="1424"/>
      <c r="O447" s="1424"/>
      <c r="P447" s="1424"/>
      <c r="Q447" s="1424"/>
      <c r="R447" s="1424"/>
      <c r="S447" s="1424"/>
      <c r="T447" s="1424"/>
      <c r="U447" s="1424"/>
      <c r="V447" s="1424"/>
      <c r="W447" s="1424"/>
      <c r="X447" s="1424"/>
      <c r="Y447" s="1424"/>
      <c r="Z447" s="1424"/>
      <c r="AA447" s="1424"/>
      <c r="AB447" s="1424"/>
      <c r="AC447" s="1424"/>
      <c r="AD447" s="1424"/>
      <c r="AE447" s="1424"/>
      <c r="AF447" s="1425"/>
      <c r="AG447" s="1437">
        <v>1040</v>
      </c>
      <c r="AH447" s="1437"/>
      <c r="AI447" s="1437"/>
      <c r="AJ447" s="1437"/>
      <c r="AZ447" s="3"/>
      <c r="BA447" s="3"/>
      <c r="BB447" s="3"/>
      <c r="BC447" s="3"/>
    </row>
    <row r="448" spans="1:55" ht="13" customHeight="1">
      <c r="D448" s="1410" t="s">
        <v>1205</v>
      </c>
      <c r="E448" s="1424"/>
      <c r="F448" s="1424"/>
      <c r="G448" s="1424"/>
      <c r="H448" s="1424"/>
      <c r="I448" s="1424"/>
      <c r="J448" s="1424"/>
      <c r="K448" s="1424"/>
      <c r="L448" s="1424"/>
      <c r="M448" s="1424"/>
      <c r="N448" s="1424"/>
      <c r="O448" s="1424"/>
      <c r="P448" s="1424"/>
      <c r="Q448" s="1424"/>
      <c r="R448" s="1424"/>
      <c r="S448" s="1424"/>
      <c r="T448" s="1424"/>
      <c r="U448" s="1424"/>
      <c r="V448" s="1424"/>
      <c r="W448" s="1424"/>
      <c r="X448" s="1424"/>
      <c r="Y448" s="1424"/>
      <c r="Z448" s="1424"/>
      <c r="AA448" s="1424"/>
      <c r="AB448" s="1424"/>
      <c r="AC448" s="1424"/>
      <c r="AD448" s="1424"/>
      <c r="AE448" s="1424"/>
      <c r="AF448" s="1425"/>
      <c r="AG448" s="1437">
        <v>5402</v>
      </c>
      <c r="AH448" s="1437"/>
      <c r="AI448" s="1437"/>
      <c r="AJ448" s="1437"/>
      <c r="AZ448" s="3"/>
      <c r="BA448" s="3"/>
      <c r="BB448" s="3"/>
      <c r="BC448" s="3"/>
    </row>
    <row r="449" spans="1:55" ht="13" customHeight="1">
      <c r="D449" s="1410" t="s">
        <v>1038</v>
      </c>
      <c r="E449" s="1424"/>
      <c r="F449" s="1424"/>
      <c r="G449" s="1424"/>
      <c r="H449" s="1424"/>
      <c r="I449" s="1424"/>
      <c r="J449" s="1424"/>
      <c r="K449" s="1424"/>
      <c r="L449" s="1424"/>
      <c r="M449" s="1424"/>
      <c r="N449" s="1424"/>
      <c r="O449" s="1424"/>
      <c r="P449" s="1424"/>
      <c r="Q449" s="1424"/>
      <c r="R449" s="1424"/>
      <c r="S449" s="1424"/>
      <c r="T449" s="1424"/>
      <c r="U449" s="1424"/>
      <c r="V449" s="1424"/>
      <c r="W449" s="1424"/>
      <c r="X449" s="1424"/>
      <c r="Y449" s="1424"/>
      <c r="Z449" s="1424"/>
      <c r="AA449" s="1424"/>
      <c r="AB449" s="1424"/>
      <c r="AC449" s="1424"/>
      <c r="AD449" s="1424"/>
      <c r="AE449" s="1424"/>
      <c r="AF449" s="1425"/>
      <c r="AG449" s="1437">
        <v>0</v>
      </c>
      <c r="AH449" s="1437"/>
      <c r="AI449" s="1437"/>
      <c r="AJ449" s="1437"/>
      <c r="BB449" s="3"/>
      <c r="BC449" s="3"/>
    </row>
    <row r="450" spans="1:55" ht="13" customHeight="1">
      <c r="D450" s="1559" t="s">
        <v>1039</v>
      </c>
      <c r="E450" s="1560"/>
      <c r="F450" s="1560"/>
      <c r="G450" s="1560"/>
      <c r="H450" s="1560"/>
      <c r="I450" s="1560"/>
      <c r="J450" s="1560"/>
      <c r="K450" s="1560"/>
      <c r="L450" s="1560"/>
      <c r="M450" s="1560"/>
      <c r="N450" s="1560"/>
      <c r="O450" s="1560"/>
      <c r="P450" s="1560"/>
      <c r="Q450" s="1560"/>
      <c r="R450" s="1560"/>
      <c r="S450" s="1560"/>
      <c r="T450" s="1560"/>
      <c r="U450" s="1560"/>
      <c r="V450" s="1560"/>
      <c r="W450" s="1560"/>
      <c r="X450" s="1560"/>
      <c r="Y450" s="1560"/>
      <c r="Z450" s="1560"/>
      <c r="AA450" s="1560"/>
      <c r="AB450" s="1560"/>
      <c r="AC450" s="1560"/>
      <c r="AD450" s="1560"/>
      <c r="AE450" s="1560"/>
      <c r="AF450" s="1561"/>
      <c r="AG450" s="1422">
        <f>AG442+AG446+AG448+AG449</f>
        <v>117682</v>
      </c>
      <c r="AH450" s="1422"/>
      <c r="AI450" s="1422"/>
      <c r="AJ450" s="1422"/>
      <c r="AZ450" s="3"/>
      <c r="BA450" s="3"/>
      <c r="BB450" s="3"/>
      <c r="BC450" s="3"/>
    </row>
    <row r="451" spans="1:55" ht="13" customHeight="1">
      <c r="D451" s="1570" t="s">
        <v>1206</v>
      </c>
      <c r="E451" s="1570"/>
      <c r="F451" s="1570"/>
      <c r="G451" s="1570"/>
      <c r="H451" s="1570"/>
      <c r="I451" s="1570"/>
      <c r="J451" s="1570"/>
      <c r="K451" s="1570"/>
      <c r="L451" s="1570"/>
      <c r="M451" s="1570"/>
      <c r="N451" s="1570"/>
      <c r="O451" s="1570"/>
      <c r="P451" s="1570"/>
      <c r="Q451" s="1570"/>
      <c r="R451" s="1570"/>
      <c r="S451" s="1570"/>
      <c r="T451" s="1570"/>
      <c r="U451" s="1570"/>
      <c r="V451" s="1570"/>
      <c r="W451" s="1570"/>
      <c r="X451" s="1570"/>
      <c r="Y451" s="1570"/>
      <c r="Z451" s="1570"/>
      <c r="AA451" s="1570"/>
      <c r="AB451" s="1570"/>
      <c r="AC451" s="1570"/>
      <c r="AD451" s="1570"/>
      <c r="AE451" s="1570"/>
      <c r="AF451" s="1570"/>
      <c r="AG451" s="1570"/>
      <c r="AH451" s="1570"/>
      <c r="AI451" s="1570"/>
      <c r="AJ451" s="1570"/>
      <c r="AZ451" s="3"/>
      <c r="BA451" s="3"/>
      <c r="BB451" s="3"/>
      <c r="BC451" s="3"/>
    </row>
    <row r="452" spans="1:55" ht="13" customHeight="1">
      <c r="D452" s="1571"/>
      <c r="E452" s="1571"/>
      <c r="F452" s="1571"/>
      <c r="G452" s="1571"/>
      <c r="H452" s="1571"/>
      <c r="I452" s="1571"/>
      <c r="J452" s="1571"/>
      <c r="K452" s="1571"/>
      <c r="L452" s="1571"/>
      <c r="M452" s="1571"/>
      <c r="N452" s="1571"/>
      <c r="O452" s="1571"/>
      <c r="P452" s="1571"/>
      <c r="Q452" s="1571"/>
      <c r="R452" s="1571"/>
      <c r="S452" s="1571"/>
      <c r="T452" s="1571"/>
      <c r="U452" s="1571"/>
      <c r="V452" s="1571"/>
      <c r="W452" s="1571"/>
      <c r="X452" s="1571"/>
      <c r="Y452" s="1571"/>
      <c r="Z452" s="1571"/>
      <c r="AA452" s="1571"/>
      <c r="AB452" s="1571"/>
      <c r="AC452" s="1571"/>
      <c r="AD452" s="1571"/>
      <c r="AE452" s="1571"/>
      <c r="AF452" s="1571"/>
      <c r="AG452" s="1571"/>
      <c r="AH452" s="1571"/>
      <c r="AI452" s="1571"/>
      <c r="AJ452" s="1571"/>
      <c r="AZ452" s="3"/>
      <c r="BA452" s="3"/>
      <c r="BB452" s="3"/>
      <c r="BC452" s="3"/>
    </row>
    <row r="453" spans="1:55" ht="13"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4">
        <f>IF(AG437=0,"",'Sources and Uses Budget'!B105/Application!AG437)</f>
        <v>570475.80799999996</v>
      </c>
      <c r="AD454" s="1374"/>
      <c r="AE454" s="1374"/>
      <c r="AF454" s="1374"/>
      <c r="AG454" s="177"/>
      <c r="AH454" s="177"/>
      <c r="AI454" s="177"/>
      <c r="AJ454" s="183"/>
      <c r="AZ454" s="3"/>
      <c r="BA454" s="3" t="str">
        <f>AG575</f>
        <v>Yes</v>
      </c>
      <c r="BB454" s="3"/>
      <c r="BC454" s="3"/>
    </row>
    <row r="455" spans="1:55" ht="13"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4">
        <f>IF(AG437=0,"",'Sources and Uses Budget'!C105/Application!AG437)</f>
        <v>569275.80799999996</v>
      </c>
      <c r="AD455" s="1374"/>
      <c r="AE455" s="1374"/>
      <c r="AF455" s="1374"/>
      <c r="AG455" s="177"/>
      <c r="AH455" s="177"/>
      <c r="AI455" s="177"/>
      <c r="AJ455" s="183"/>
      <c r="AZ455" s="3"/>
      <c r="BA455" s="3"/>
      <c r="BB455" s="3"/>
      <c r="BC455" s="3"/>
    </row>
    <row r="456" spans="1:55" ht="13"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4">
        <f>IF(AG437=0,"",('Sources and Uses Budget'!$S$107+'Sources and Uses Budget'!$T$107)/Application!AG437)</f>
        <v>465464.58399999997</v>
      </c>
      <c r="AD456" s="1374"/>
      <c r="AE456" s="1374"/>
      <c r="AF456" s="1374"/>
      <c r="AG456" s="177"/>
      <c r="AH456" s="177"/>
      <c r="AI456" s="177"/>
      <c r="AJ456" s="183"/>
      <c r="AZ456" s="3"/>
      <c r="BA456" s="3"/>
      <c r="BB456" s="3"/>
      <c r="BC456" s="3"/>
    </row>
    <row r="457" spans="1:55" ht="13" customHeight="1">
      <c r="D457" s="177"/>
      <c r="E457" s="177"/>
      <c r="F457" s="1375" t="str">
        <f>IFERROR(IF(AC454&gt;650000,"Please provide a justification of cost per unit in Tab 12 for all projects with per unit costs of greater than $650,000.",""),"")</f>
        <v/>
      </c>
      <c r="G457" s="1375"/>
      <c r="H457" s="1375"/>
      <c r="I457" s="1375"/>
      <c r="J457" s="1375"/>
      <c r="K457" s="1375"/>
      <c r="L457" s="1375"/>
      <c r="M457" s="1375"/>
      <c r="N457" s="1375"/>
      <c r="O457" s="1375"/>
      <c r="P457" s="1375"/>
      <c r="Q457" s="1375"/>
      <c r="R457" s="1375"/>
      <c r="S457" s="1375"/>
      <c r="T457" s="1375"/>
      <c r="U457" s="1375"/>
      <c r="V457" s="1375"/>
      <c r="W457" s="1375"/>
      <c r="X457" s="1375"/>
      <c r="Y457" s="1375"/>
      <c r="Z457" s="1375"/>
      <c r="AA457" s="1375"/>
      <c r="AB457" s="1375"/>
      <c r="AC457" s="515"/>
      <c r="AD457" s="177"/>
      <c r="AE457" s="177"/>
      <c r="AF457" s="177"/>
      <c r="AG457" s="177"/>
      <c r="AH457" s="177"/>
      <c r="AI457" s="177"/>
      <c r="AJ457" s="183"/>
      <c r="AZ457" s="3"/>
      <c r="BA457" s="3"/>
      <c r="BB457" s="3"/>
      <c r="BC457" s="3"/>
    </row>
    <row r="458" spans="1:55" ht="13" customHeight="1">
      <c r="A458" s="2"/>
      <c r="D458" s="2"/>
      <c r="E458" s="177"/>
      <c r="F458" s="1375"/>
      <c r="G458" s="1375"/>
      <c r="H458" s="1375"/>
      <c r="I458" s="1375"/>
      <c r="J458" s="1375"/>
      <c r="K458" s="1375"/>
      <c r="L458" s="1375"/>
      <c r="M458" s="1375"/>
      <c r="N458" s="1375"/>
      <c r="O458" s="1375"/>
      <c r="P458" s="1375"/>
      <c r="Q458" s="1375"/>
      <c r="R458" s="1375"/>
      <c r="S458" s="1375"/>
      <c r="T458" s="1375"/>
      <c r="U458" s="1375"/>
      <c r="V458" s="1375"/>
      <c r="W458" s="1375"/>
      <c r="X458" s="1375"/>
      <c r="Y458" s="1375"/>
      <c r="Z458" s="1375"/>
      <c r="AA458" s="1375"/>
      <c r="AB458" s="1375"/>
      <c r="AC458" s="177"/>
      <c r="AD458" s="177"/>
      <c r="AE458" s="177"/>
      <c r="AF458" s="177"/>
      <c r="AG458" s="177"/>
      <c r="AH458" s="177"/>
      <c r="AI458" s="177"/>
      <c r="AJ458" s="183"/>
      <c r="AZ458" s="3"/>
      <c r="BA458" s="3"/>
      <c r="BB458" s="3"/>
      <c r="BC458" s="3"/>
    </row>
    <row r="459" spans="1:55" ht="13"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382" t="s">
        <v>2099</v>
      </c>
      <c r="E465" s="1377"/>
      <c r="F465" s="1377"/>
      <c r="G465" s="1377"/>
      <c r="H465" s="1377"/>
      <c r="I465" s="1377"/>
      <c r="J465" s="1377"/>
      <c r="K465" s="1377"/>
      <c r="L465" s="1377"/>
      <c r="M465" s="1377"/>
      <c r="N465" s="1377"/>
      <c r="O465" s="1377"/>
      <c r="P465" s="1377"/>
      <c r="Q465" s="1377"/>
      <c r="R465" s="1377"/>
      <c r="S465" s="1377"/>
      <c r="T465" s="1377"/>
      <c r="U465" s="1377"/>
      <c r="V465" s="1378"/>
      <c r="W465" s="1389">
        <v>0</v>
      </c>
      <c r="X465" s="1390"/>
      <c r="Y465" s="1391"/>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376" t="s">
        <v>693</v>
      </c>
      <c r="E466" s="1377"/>
      <c r="F466" s="1377"/>
      <c r="G466" s="1377"/>
      <c r="H466" s="1377"/>
      <c r="I466" s="1377"/>
      <c r="J466" s="1377"/>
      <c r="K466" s="1377"/>
      <c r="L466" s="1377"/>
      <c r="M466" s="1377"/>
      <c r="N466" s="1377"/>
      <c r="O466" s="1377"/>
      <c r="P466" s="1377"/>
      <c r="Q466" s="1377"/>
      <c r="R466" s="1377"/>
      <c r="S466" s="1377"/>
      <c r="T466" s="1377"/>
      <c r="U466" s="1377"/>
      <c r="V466" s="1378"/>
      <c r="W466" s="1389">
        <v>0</v>
      </c>
      <c r="X466" s="1390"/>
      <c r="Y466" s="1391"/>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376" t="s">
        <v>694</v>
      </c>
      <c r="E467" s="1377"/>
      <c r="F467" s="1377"/>
      <c r="G467" s="1377"/>
      <c r="H467" s="1377"/>
      <c r="I467" s="1377"/>
      <c r="J467" s="1377"/>
      <c r="K467" s="1377"/>
      <c r="L467" s="1377"/>
      <c r="M467" s="1377"/>
      <c r="N467" s="1377"/>
      <c r="O467" s="1377"/>
      <c r="P467" s="1377"/>
      <c r="Q467" s="1377"/>
      <c r="R467" s="1377"/>
      <c r="S467" s="1377"/>
      <c r="T467" s="1377"/>
      <c r="U467" s="1377"/>
      <c r="V467" s="1378"/>
      <c r="W467" s="1389">
        <v>0</v>
      </c>
      <c r="X467" s="1390"/>
      <c r="Y467" s="1391"/>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376" t="s">
        <v>695</v>
      </c>
      <c r="E468" s="1377"/>
      <c r="F468" s="1377"/>
      <c r="G468" s="1377"/>
      <c r="H468" s="1377"/>
      <c r="I468" s="1377"/>
      <c r="J468" s="1377"/>
      <c r="K468" s="1377"/>
      <c r="L468" s="1377"/>
      <c r="M468" s="1377"/>
      <c r="N468" s="1377"/>
      <c r="O468" s="1377"/>
      <c r="P468" s="1377"/>
      <c r="Q468" s="1377"/>
      <c r="R468" s="1377"/>
      <c r="S468" s="1377"/>
      <c r="T468" s="1377"/>
      <c r="U468" s="1377"/>
      <c r="V468" s="1378"/>
      <c r="W468" s="1389">
        <v>0</v>
      </c>
      <c r="X468" s="1390"/>
      <c r="Y468" s="1391"/>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376" t="s">
        <v>881</v>
      </c>
      <c r="E469" s="1377"/>
      <c r="F469" s="1377"/>
      <c r="G469" s="1377"/>
      <c r="H469" s="1377"/>
      <c r="I469" s="1377"/>
      <c r="J469" s="1377"/>
      <c r="K469" s="1377"/>
      <c r="L469" s="1377"/>
      <c r="M469" s="1377"/>
      <c r="N469" s="1377"/>
      <c r="O469" s="1377"/>
      <c r="P469" s="1377"/>
      <c r="Q469" s="1377"/>
      <c r="R469" s="1377"/>
      <c r="S469" s="1377"/>
      <c r="T469" s="1377"/>
      <c r="U469" s="1377"/>
      <c r="V469" s="1378"/>
      <c r="W469" s="1389">
        <v>0</v>
      </c>
      <c r="X469" s="1390"/>
      <c r="Y469" s="1391"/>
      <c r="Z469" s="184"/>
      <c r="AA469" s="184"/>
      <c r="AB469" s="184"/>
      <c r="AC469" s="184"/>
      <c r="AD469" s="177"/>
      <c r="AE469" s="177"/>
      <c r="AF469" s="177"/>
      <c r="AG469" s="177"/>
      <c r="AH469" s="177"/>
      <c r="AI469" s="177"/>
      <c r="AJ469" s="183"/>
      <c r="AZ469" s="3"/>
      <c r="BA469" s="3" t="str">
        <f>N591</f>
        <v>No</v>
      </c>
      <c r="BB469" s="3"/>
      <c r="BC469" s="3"/>
    </row>
    <row r="470" spans="1:55" ht="13" customHeight="1">
      <c r="A470" s="3"/>
      <c r="B470" s="3"/>
      <c r="C470" s="3"/>
      <c r="D470" s="1376" t="s">
        <v>696</v>
      </c>
      <c r="E470" s="1377"/>
      <c r="F470" s="1377"/>
      <c r="G470" s="1377"/>
      <c r="H470" s="1377"/>
      <c r="I470" s="1377"/>
      <c r="J470" s="1377"/>
      <c r="K470" s="1377"/>
      <c r="L470" s="1377"/>
      <c r="M470" s="1377"/>
      <c r="N470" s="1377"/>
      <c r="O470" s="1377"/>
      <c r="P470" s="1377"/>
      <c r="Q470" s="1377"/>
      <c r="R470" s="1377"/>
      <c r="S470" s="1377"/>
      <c r="T470" s="1377"/>
      <c r="U470" s="1377"/>
      <c r="V470" s="1378"/>
      <c r="W470" s="1389">
        <v>0</v>
      </c>
      <c r="X470" s="1390"/>
      <c r="Y470" s="1391"/>
      <c r="Z470" s="184"/>
      <c r="AA470" s="184"/>
      <c r="AB470" s="184"/>
      <c r="AC470" s="184"/>
      <c r="AD470" s="177"/>
      <c r="AE470" s="177"/>
      <c r="AF470" s="177"/>
      <c r="AG470" s="177"/>
      <c r="AH470" s="177"/>
      <c r="AI470" s="177"/>
      <c r="AJ470" s="183"/>
      <c r="AZ470" s="3"/>
      <c r="BA470" s="3" t="str">
        <f>AG591</f>
        <v>No</v>
      </c>
      <c r="BB470" s="3"/>
      <c r="BC470" s="3"/>
    </row>
    <row r="471" spans="1:55" ht="13" customHeight="1">
      <c r="A471" s="3"/>
      <c r="B471" s="3"/>
      <c r="C471" s="3"/>
      <c r="D471" s="1376" t="s">
        <v>1012</v>
      </c>
      <c r="E471" s="1377"/>
      <c r="F471" s="1377"/>
      <c r="G471" s="1377"/>
      <c r="H471" s="1377"/>
      <c r="I471" s="1377"/>
      <c r="J471" s="1377"/>
      <c r="K471" s="1377"/>
      <c r="L471" s="1377"/>
      <c r="M471" s="1377"/>
      <c r="N471" s="1377"/>
      <c r="O471" s="1377"/>
      <c r="P471" s="1377"/>
      <c r="Q471" s="1377"/>
      <c r="R471" s="1377"/>
      <c r="S471" s="1377"/>
      <c r="T471" s="1377"/>
      <c r="U471" s="1377"/>
      <c r="V471" s="1378"/>
      <c r="W471" s="1389">
        <v>0</v>
      </c>
      <c r="X471" s="1390"/>
      <c r="Y471" s="1391"/>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382" t="s">
        <v>2190</v>
      </c>
      <c r="E472" s="1392"/>
      <c r="F472" s="1392"/>
      <c r="G472" s="1392"/>
      <c r="H472" s="1392"/>
      <c r="I472" s="1392"/>
      <c r="J472" s="1392"/>
      <c r="K472" s="1392"/>
      <c r="L472" s="1392"/>
      <c r="M472" s="1392"/>
      <c r="N472" s="1392"/>
      <c r="O472" s="1392"/>
      <c r="P472" s="1392"/>
      <c r="Q472" s="1392"/>
      <c r="R472" s="1392"/>
      <c r="S472" s="1392"/>
      <c r="T472" s="1392"/>
      <c r="U472" s="1392"/>
      <c r="V472" s="1393"/>
      <c r="W472" s="1389">
        <v>0</v>
      </c>
      <c r="X472" s="1390"/>
      <c r="Y472" s="1391"/>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382" t="s">
        <v>1654</v>
      </c>
      <c r="E473" s="1377"/>
      <c r="F473" s="1377"/>
      <c r="G473" s="1377"/>
      <c r="H473" s="1377"/>
      <c r="I473" s="1377"/>
      <c r="J473" s="1377"/>
      <c r="K473" s="1377"/>
      <c r="L473" s="1377"/>
      <c r="M473" s="1377"/>
      <c r="N473" s="1377"/>
      <c r="O473" s="1377"/>
      <c r="P473" s="1377"/>
      <c r="Q473" s="1377"/>
      <c r="R473" s="1377"/>
      <c r="S473" s="1377"/>
      <c r="T473" s="1377"/>
      <c r="U473" s="1377"/>
      <c r="V473" s="1378"/>
      <c r="W473" s="1389">
        <v>19</v>
      </c>
      <c r="X473" s="1390"/>
      <c r="Y473" s="1391"/>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3" t="s">
        <v>169</v>
      </c>
      <c r="E474" s="244"/>
      <c r="F474" s="245"/>
      <c r="G474" s="1567"/>
      <c r="H474" s="1568"/>
      <c r="I474" s="1568"/>
      <c r="J474" s="1568"/>
      <c r="K474" s="1568"/>
      <c r="L474" s="1568"/>
      <c r="M474" s="1568"/>
      <c r="N474" s="1568"/>
      <c r="O474" s="1568"/>
      <c r="P474" s="1568"/>
      <c r="Q474" s="1568"/>
      <c r="R474" s="1568"/>
      <c r="S474" s="1568"/>
      <c r="T474" s="1568"/>
      <c r="U474" s="1568"/>
      <c r="V474" s="1569"/>
      <c r="W474" s="1389">
        <v>0</v>
      </c>
      <c r="X474" s="1390"/>
      <c r="Y474" s="1391"/>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3" customHeight="1">
      <c r="AU479" s="95"/>
      <c r="AV479" s="95"/>
      <c r="AW479" s="95"/>
      <c r="AX479" s="95"/>
      <c r="AY479" s="95"/>
      <c r="AZ479" s="3"/>
      <c r="BA479" s="3" t="str">
        <f>AG599</f>
        <v>No</v>
      </c>
      <c r="BB479" s="3"/>
      <c r="BC479" s="3"/>
    </row>
    <row r="480" spans="1:55" ht="13" customHeight="1">
      <c r="A480" s="1527" t="s">
        <v>810</v>
      </c>
      <c r="B480" s="1527"/>
      <c r="C480" s="1527"/>
      <c r="D480" s="1527"/>
      <c r="E480" s="1527"/>
      <c r="F480" s="1527"/>
      <c r="G480" s="1527"/>
      <c r="H480" s="1527"/>
      <c r="I480" s="1527"/>
      <c r="J480" s="1527"/>
      <c r="K480" s="1527"/>
      <c r="L480" s="1527"/>
      <c r="M480" s="1527"/>
      <c r="N480" s="1527"/>
      <c r="O480" s="1527"/>
      <c r="P480" s="1527"/>
      <c r="Q480" s="1527"/>
      <c r="R480" s="1527"/>
      <c r="S480" s="1527"/>
      <c r="T480" s="1527"/>
      <c r="U480" s="1527"/>
      <c r="V480" s="1527"/>
      <c r="W480" s="1527"/>
      <c r="X480" s="1527"/>
      <c r="Y480" s="1527"/>
      <c r="Z480" s="1527"/>
      <c r="AA480" s="1527"/>
      <c r="AB480" s="1527"/>
      <c r="AC480" s="1527"/>
      <c r="AD480" s="1527"/>
      <c r="AE480" s="1527"/>
      <c r="AF480" s="1527"/>
      <c r="AG480" s="1527"/>
      <c r="AH480" s="1527"/>
      <c r="AI480" s="1527"/>
      <c r="AJ480" s="1527"/>
      <c r="AK480" s="1527"/>
      <c r="AL480" s="1527"/>
      <c r="AM480" s="1527"/>
      <c r="AN480" s="1527"/>
      <c r="AO480" s="1527"/>
      <c r="AP480" s="1527"/>
      <c r="AQ480" s="1527"/>
      <c r="AR480" s="1527"/>
      <c r="AS480" s="1527"/>
      <c r="AT480" s="1527"/>
      <c r="AU480" s="95"/>
      <c r="AV480" s="95"/>
      <c r="AW480" s="95"/>
      <c r="AX480" s="95"/>
      <c r="AY480" s="95"/>
      <c r="AZ480" s="3"/>
      <c r="BB480" s="3"/>
      <c r="BC480" s="3"/>
    </row>
    <row r="481" spans="1:55" ht="13" customHeight="1">
      <c r="A481" s="1527"/>
      <c r="B481" s="1527"/>
      <c r="C481" s="1527"/>
      <c r="D481" s="1527"/>
      <c r="E481" s="1527"/>
      <c r="F481" s="1527"/>
      <c r="G481" s="1527"/>
      <c r="H481" s="1527"/>
      <c r="I481" s="1527"/>
      <c r="J481" s="1527"/>
      <c r="K481" s="1527"/>
      <c r="L481" s="1527"/>
      <c r="M481" s="1527"/>
      <c r="N481" s="1527"/>
      <c r="O481" s="1527"/>
      <c r="P481" s="1527"/>
      <c r="Q481" s="1527"/>
      <c r="R481" s="1527"/>
      <c r="S481" s="1527"/>
      <c r="T481" s="1527"/>
      <c r="U481" s="1527"/>
      <c r="V481" s="1527"/>
      <c r="W481" s="1527"/>
      <c r="X481" s="1527"/>
      <c r="Y481" s="1527"/>
      <c r="Z481" s="1527"/>
      <c r="AA481" s="1527"/>
      <c r="AB481" s="1527"/>
      <c r="AC481" s="1527"/>
      <c r="AD481" s="1527"/>
      <c r="AE481" s="1527"/>
      <c r="AF481" s="1527"/>
      <c r="AG481" s="1527"/>
      <c r="AH481" s="1527"/>
      <c r="AI481" s="1527"/>
      <c r="AJ481" s="1527"/>
      <c r="AK481" s="1527"/>
      <c r="AL481" s="1527"/>
      <c r="AM481" s="1527"/>
      <c r="AN481" s="1527"/>
      <c r="AO481" s="1527"/>
      <c r="AP481" s="1527"/>
      <c r="AQ481" s="1527"/>
      <c r="AR481" s="1527"/>
      <c r="AS481" s="1527"/>
      <c r="AT481" s="1527"/>
      <c r="AZ481" s="3"/>
      <c r="BB481" s="3"/>
      <c r="BC481" s="3"/>
    </row>
    <row r="482" spans="1:55" ht="13" customHeight="1">
      <c r="AZ482" s="3"/>
      <c r="BB482" s="3"/>
      <c r="BC482" s="3"/>
    </row>
    <row r="483" spans="1:55" ht="13" customHeight="1">
      <c r="A483" s="2" t="s">
        <v>318</v>
      </c>
      <c r="C483" s="2" t="s">
        <v>808</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384" t="s">
        <v>392</v>
      </c>
      <c r="R485" s="1385"/>
      <c r="S485" s="1385"/>
      <c r="T485" s="1385"/>
      <c r="U485" s="1385"/>
      <c r="V485" s="1385"/>
      <c r="W485" s="1385"/>
      <c r="X485" s="1385"/>
      <c r="Y485" s="1385"/>
      <c r="Z485" s="1385"/>
      <c r="AA485" s="1385"/>
      <c r="AB485" s="1385"/>
      <c r="AC485" s="1385"/>
      <c r="AD485" s="1385"/>
      <c r="AE485" s="1385"/>
      <c r="AF485" s="1385"/>
      <c r="AG485" s="1385"/>
      <c r="AH485" s="1385"/>
      <c r="AI485" s="1385"/>
      <c r="AJ485" s="1385"/>
      <c r="AK485" s="1386"/>
      <c r="AZ485" s="3"/>
      <c r="BB485" s="3"/>
      <c r="BC485" s="3"/>
    </row>
    <row r="486" spans="1:55" ht="13" customHeight="1">
      <c r="B486" s="45" t="s">
        <v>393</v>
      </c>
      <c r="C486" s="5"/>
      <c r="D486" s="5"/>
      <c r="E486" s="5"/>
      <c r="F486" s="5"/>
      <c r="G486" s="5"/>
      <c r="H486" s="5"/>
      <c r="I486" s="5"/>
      <c r="J486" s="5"/>
      <c r="K486" s="5"/>
      <c r="L486" s="5"/>
      <c r="M486" s="5"/>
      <c r="N486" s="5"/>
      <c r="O486" s="5"/>
      <c r="P486" s="5"/>
      <c r="Q486" s="1786" t="s">
        <v>2723</v>
      </c>
      <c r="R486" s="1453"/>
      <c r="S486" s="1453"/>
      <c r="T486" s="1453"/>
      <c r="U486" s="1453"/>
      <c r="V486" s="1453"/>
      <c r="W486" s="1453"/>
      <c r="X486" s="1453"/>
      <c r="Y486" s="1453"/>
      <c r="Z486" s="1453"/>
      <c r="AA486" s="1453"/>
      <c r="AB486" s="1453"/>
      <c r="AC486" s="1453"/>
      <c r="AD486" s="1453"/>
      <c r="AE486" s="1453"/>
      <c r="AF486" s="1453"/>
      <c r="AG486" s="1453"/>
      <c r="AH486" s="1453"/>
      <c r="AI486" s="1453"/>
      <c r="AJ486" s="1453"/>
      <c r="AK486" s="1787"/>
      <c r="AZ486" s="3"/>
      <c r="BB486" s="3"/>
      <c r="BC486" s="3"/>
    </row>
    <row r="487" spans="1:55" ht="13" customHeight="1">
      <c r="B487" s="45" t="s">
        <v>394</v>
      </c>
      <c r="C487" s="5"/>
      <c r="D487" s="5"/>
      <c r="E487" s="5"/>
      <c r="F487" s="5"/>
      <c r="G487" s="5"/>
      <c r="H487" s="5"/>
      <c r="I487" s="5"/>
      <c r="J487" s="5"/>
      <c r="K487" s="5"/>
      <c r="L487" s="5"/>
      <c r="M487" s="5"/>
      <c r="N487" s="5"/>
      <c r="O487" s="5"/>
      <c r="P487" s="5"/>
      <c r="Q487" s="1786" t="s">
        <v>2724</v>
      </c>
      <c r="R487" s="1453"/>
      <c r="S487" s="1453"/>
      <c r="T487" s="1453"/>
      <c r="U487" s="1453"/>
      <c r="V487" s="1453"/>
      <c r="W487" s="1453"/>
      <c r="X487" s="1453"/>
      <c r="Y487" s="1453"/>
      <c r="Z487" s="1453"/>
      <c r="AA487" s="1453"/>
      <c r="AB487" s="1453"/>
      <c r="AC487" s="1453"/>
      <c r="AD487" s="1453"/>
      <c r="AE487" s="1453"/>
      <c r="AF487" s="1453"/>
      <c r="AG487" s="1453"/>
      <c r="AH487" s="1453"/>
      <c r="AI487" s="1453"/>
      <c r="AJ487" s="1453"/>
      <c r="AK487" s="1787"/>
      <c r="AZ487" s="3"/>
      <c r="BB487" s="3"/>
      <c r="BC487" s="3"/>
    </row>
    <row r="488" spans="1:55" ht="13" customHeight="1">
      <c r="B488" s="45" t="s">
        <v>395</v>
      </c>
      <c r="C488" s="5"/>
      <c r="D488" s="5"/>
      <c r="E488" s="5"/>
      <c r="F488" s="5"/>
      <c r="G488" s="5"/>
      <c r="H488" s="5"/>
      <c r="I488" s="5"/>
      <c r="J488" s="5"/>
      <c r="K488" s="5"/>
      <c r="L488" s="5"/>
      <c r="M488" s="5"/>
      <c r="N488" s="5"/>
      <c r="O488" s="5"/>
      <c r="P488" s="5"/>
      <c r="Q488" s="1786" t="s">
        <v>2725</v>
      </c>
      <c r="R488" s="1453"/>
      <c r="S488" s="1453"/>
      <c r="T488" s="1453"/>
      <c r="U488" s="1453"/>
      <c r="V488" s="1453"/>
      <c r="W488" s="1453"/>
      <c r="X488" s="1453"/>
      <c r="Y488" s="1453"/>
      <c r="Z488" s="1453"/>
      <c r="AA488" s="1453"/>
      <c r="AB488" s="1453"/>
      <c r="AC488" s="1453"/>
      <c r="AD488" s="1453"/>
      <c r="AE488" s="1453"/>
      <c r="AF488" s="1453"/>
      <c r="AG488" s="1453"/>
      <c r="AH488" s="1453"/>
      <c r="AI488" s="1453"/>
      <c r="AJ488" s="1453"/>
      <c r="AK488" s="1787"/>
      <c r="AZ488" s="3"/>
      <c r="BA488" s="3"/>
      <c r="BB488" s="3"/>
      <c r="BC488" s="3"/>
    </row>
    <row r="489" spans="1:55" ht="13" customHeight="1">
      <c r="B489" s="1441" t="s">
        <v>396</v>
      </c>
      <c r="C489" s="1442"/>
      <c r="D489" s="1442"/>
      <c r="E489" s="1442"/>
      <c r="F489" s="1442"/>
      <c r="G489" s="1442"/>
      <c r="H489" s="1442"/>
      <c r="I489" s="1442"/>
      <c r="J489" s="1442"/>
      <c r="K489" s="1442"/>
      <c r="L489" s="1442"/>
      <c r="M489" s="1442"/>
      <c r="N489" s="1442"/>
      <c r="O489" s="1442"/>
      <c r="P489" s="1443"/>
      <c r="Q489" s="1848" t="s">
        <v>545</v>
      </c>
      <c r="R489" s="1849"/>
      <c r="S489" s="1855" t="s">
        <v>2726</v>
      </c>
      <c r="T489" s="1856"/>
      <c r="U489" s="1856"/>
      <c r="V489" s="1856"/>
      <c r="W489" s="1856"/>
      <c r="X489" s="1856"/>
      <c r="Y489" s="1856"/>
      <c r="Z489" s="1856"/>
      <c r="AA489" s="1856"/>
      <c r="AB489" s="1856"/>
      <c r="AC489" s="1856"/>
      <c r="AD489" s="1856"/>
      <c r="AE489" s="1856"/>
      <c r="AF489" s="1856"/>
      <c r="AG489" s="1856"/>
      <c r="AH489" s="1856"/>
      <c r="AI489" s="1856"/>
      <c r="AJ489" s="1856"/>
      <c r="AK489" s="1857"/>
      <c r="AZ489" s="3"/>
      <c r="BA489" s="3"/>
      <c r="BB489" s="3"/>
      <c r="BC489" s="3"/>
    </row>
    <row r="490" spans="1:55" ht="13" customHeight="1">
      <c r="B490" s="1444"/>
      <c r="C490" s="1445"/>
      <c r="D490" s="1445"/>
      <c r="E490" s="1445"/>
      <c r="F490" s="1445"/>
      <c r="G490" s="1445"/>
      <c r="H490" s="1445"/>
      <c r="I490" s="1445"/>
      <c r="J490" s="1445"/>
      <c r="K490" s="1445"/>
      <c r="L490" s="1445"/>
      <c r="M490" s="1445"/>
      <c r="N490" s="1445"/>
      <c r="O490" s="1445"/>
      <c r="P490" s="1446"/>
      <c r="Q490" s="1850"/>
      <c r="R490" s="1851"/>
      <c r="S490" s="1858"/>
      <c r="T490" s="1521"/>
      <c r="U490" s="1521"/>
      <c r="V490" s="1521"/>
      <c r="W490" s="1521"/>
      <c r="X490" s="1521"/>
      <c r="Y490" s="1521"/>
      <c r="Z490" s="1521"/>
      <c r="AA490" s="1521"/>
      <c r="AB490" s="1521"/>
      <c r="AC490" s="1521"/>
      <c r="AD490" s="1521"/>
      <c r="AE490" s="1521"/>
      <c r="AF490" s="1521"/>
      <c r="AG490" s="1521"/>
      <c r="AH490" s="1521"/>
      <c r="AI490" s="1521"/>
      <c r="AJ490" s="1521"/>
      <c r="AK490" s="1859"/>
      <c r="AZ490" s="3"/>
      <c r="BA490" s="3"/>
      <c r="BB490" s="3"/>
      <c r="BC490" s="3"/>
    </row>
    <row r="491" spans="1:55" ht="13" customHeight="1">
      <c r="B491" s="895" t="s">
        <v>1671</v>
      </c>
      <c r="C491" s="873"/>
      <c r="D491" s="873"/>
      <c r="E491" s="873"/>
      <c r="F491" s="873"/>
      <c r="G491" s="873"/>
      <c r="H491" s="873"/>
      <c r="I491" s="873"/>
      <c r="J491" s="873"/>
      <c r="K491" s="873"/>
      <c r="L491" s="873"/>
      <c r="M491" s="873"/>
      <c r="N491" s="873"/>
      <c r="O491" s="873"/>
      <c r="P491" s="873"/>
      <c r="Q491" s="1852" t="s">
        <v>2727</v>
      </c>
      <c r="R491" s="1853"/>
      <c r="S491" s="1853"/>
      <c r="T491" s="1853"/>
      <c r="U491" s="1853"/>
      <c r="V491" s="1853"/>
      <c r="W491" s="1853"/>
      <c r="X491" s="1853"/>
      <c r="Y491" s="1853"/>
      <c r="Z491" s="1853"/>
      <c r="AA491" s="1853"/>
      <c r="AB491" s="1853"/>
      <c r="AC491" s="1853"/>
      <c r="AD491" s="1853"/>
      <c r="AE491" s="1853"/>
      <c r="AF491" s="1853"/>
      <c r="AG491" s="1853"/>
      <c r="AH491" s="1853"/>
      <c r="AI491" s="1853"/>
      <c r="AJ491" s="1853"/>
      <c r="AK491" s="1854"/>
      <c r="AZ491" s="3"/>
      <c r="BA491" s="3"/>
      <c r="BB491" s="3"/>
      <c r="BC491" s="3"/>
    </row>
    <row r="492" spans="1:55" ht="13" customHeight="1">
      <c r="B492" s="45" t="s">
        <v>397</v>
      </c>
      <c r="C492" s="5"/>
      <c r="D492" s="5"/>
      <c r="E492" s="5"/>
      <c r="F492" s="5"/>
      <c r="G492" s="5"/>
      <c r="H492" s="5"/>
      <c r="I492" s="5"/>
      <c r="J492" s="5"/>
      <c r="K492" s="5"/>
      <c r="L492" s="5"/>
      <c r="M492" s="5"/>
      <c r="N492" s="5"/>
      <c r="O492" s="5"/>
      <c r="P492" s="5"/>
      <c r="Q492" s="1786" t="s">
        <v>2803</v>
      </c>
      <c r="R492" s="1453"/>
      <c r="S492" s="1453"/>
      <c r="T492" s="1453"/>
      <c r="U492" s="1453"/>
      <c r="V492" s="1453"/>
      <c r="W492" s="1453"/>
      <c r="X492" s="1453"/>
      <c r="Y492" s="1453"/>
      <c r="Z492" s="1453"/>
      <c r="AA492" s="1453"/>
      <c r="AB492" s="1453"/>
      <c r="AC492" s="1453"/>
      <c r="AD492" s="1453"/>
      <c r="AE492" s="1453"/>
      <c r="AF492" s="1453"/>
      <c r="AG492" s="1453"/>
      <c r="AH492" s="1453"/>
      <c r="AI492" s="1453"/>
      <c r="AJ492" s="1453"/>
      <c r="AK492" s="1787"/>
      <c r="AZ492" s="3"/>
      <c r="BA492" s="3"/>
      <c r="BB492" s="3"/>
      <c r="BC492" s="3"/>
    </row>
    <row r="493" spans="1:55" ht="13" customHeight="1">
      <c r="B493" s="45" t="s">
        <v>398</v>
      </c>
      <c r="C493" s="5"/>
      <c r="D493" s="5"/>
      <c r="E493" s="5"/>
      <c r="F493" s="5"/>
      <c r="G493" s="5"/>
      <c r="H493" s="5"/>
      <c r="I493" s="5"/>
      <c r="J493" s="5"/>
      <c r="K493" s="5"/>
      <c r="L493" s="5"/>
      <c r="M493" s="5"/>
      <c r="N493" s="5"/>
      <c r="O493" s="5"/>
      <c r="P493" s="5"/>
      <c r="Q493" s="1786">
        <v>124</v>
      </c>
      <c r="R493" s="1453"/>
      <c r="S493" s="1453"/>
      <c r="T493" s="1453"/>
      <c r="U493" s="1453"/>
      <c r="V493" s="1453"/>
      <c r="W493" s="1453"/>
      <c r="X493" s="1453"/>
      <c r="Y493" s="1453"/>
      <c r="Z493" s="1453"/>
      <c r="AA493" s="1453"/>
      <c r="AB493" s="1453"/>
      <c r="AC493" s="1453"/>
      <c r="AD493" s="1453"/>
      <c r="AE493" s="1453"/>
      <c r="AF493" s="1453"/>
      <c r="AG493" s="1453"/>
      <c r="AH493" s="1453"/>
      <c r="AI493" s="1453"/>
      <c r="AJ493" s="1453"/>
      <c r="AK493" s="1787"/>
      <c r="AZ493" s="3"/>
      <c r="BA493" s="3"/>
      <c r="BB493" s="3"/>
      <c r="BC493" s="3"/>
    </row>
    <row r="494" spans="1:55" ht="13" customHeight="1">
      <c r="B494" s="121" t="s">
        <v>1668</v>
      </c>
      <c r="C494" s="5"/>
      <c r="D494" s="5"/>
      <c r="E494" s="5"/>
      <c r="F494" s="5"/>
      <c r="G494" s="5"/>
      <c r="H494" s="5"/>
      <c r="I494" s="5"/>
      <c r="J494" s="5"/>
      <c r="K494" s="5"/>
      <c r="L494" s="5"/>
      <c r="M494" s="5"/>
      <c r="N494" s="5"/>
      <c r="O494" s="5"/>
      <c r="P494" s="5"/>
      <c r="Q494" s="1786">
        <v>124</v>
      </c>
      <c r="R494" s="1453"/>
      <c r="S494" s="1453"/>
      <c r="T494" s="1453"/>
      <c r="U494" s="1453"/>
      <c r="V494" s="1453"/>
      <c r="W494" s="1453"/>
      <c r="X494" s="1453"/>
      <c r="Y494" s="1453"/>
      <c r="Z494" s="1453"/>
      <c r="AA494" s="1453"/>
      <c r="AB494" s="1453"/>
      <c r="AC494" s="1453"/>
      <c r="AD494" s="1453"/>
      <c r="AE494" s="1453"/>
      <c r="AF494" s="1453"/>
      <c r="AG494" s="1453"/>
      <c r="AH494" s="1453"/>
      <c r="AI494" s="1453"/>
      <c r="AJ494" s="1453"/>
      <c r="AK494" s="1787"/>
      <c r="AZ494" s="3"/>
      <c r="BA494" s="3"/>
      <c r="BB494" s="3"/>
      <c r="BC494" s="3"/>
    </row>
    <row r="495" spans="1:55" ht="13" customHeight="1">
      <c r="B495" s="121" t="s">
        <v>1669</v>
      </c>
      <c r="C495" s="5"/>
      <c r="D495" s="5"/>
      <c r="E495" s="5"/>
      <c r="F495" s="5"/>
      <c r="G495" s="5"/>
      <c r="H495" s="5"/>
      <c r="I495" s="5"/>
      <c r="J495" s="5"/>
      <c r="K495" s="5"/>
      <c r="L495" s="5"/>
      <c r="M495" s="1379">
        <v>0</v>
      </c>
      <c r="N495" s="1380"/>
      <c r="O495" s="1380"/>
      <c r="P495" s="1381"/>
      <c r="Q495" s="121" t="s">
        <v>1670</v>
      </c>
      <c r="R495" s="5"/>
      <c r="S495" s="5"/>
      <c r="T495" s="5"/>
      <c r="U495" s="5"/>
      <c r="V495" s="5"/>
      <c r="W495" s="5"/>
      <c r="X495" s="5"/>
      <c r="Y495" s="5"/>
      <c r="Z495" s="5"/>
      <c r="AA495" s="5"/>
      <c r="AB495" s="5"/>
      <c r="AC495" s="5"/>
      <c r="AD495" s="5"/>
      <c r="AE495" s="5"/>
      <c r="AF495" s="5"/>
      <c r="AG495" s="5"/>
      <c r="AH495" s="1379">
        <v>124</v>
      </c>
      <c r="AI495" s="1380"/>
      <c r="AJ495" s="1380"/>
      <c r="AK495" s="1381"/>
      <c r="AZ495" s="3"/>
      <c r="BA495" s="3"/>
      <c r="BB495" s="3"/>
      <c r="BC495" s="3"/>
    </row>
    <row r="496" spans="1:55" ht="13"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4" t="s">
        <v>400</v>
      </c>
      <c r="AD499" s="1385"/>
      <c r="AE499" s="1385"/>
      <c r="AF499" s="1385"/>
      <c r="AG499" s="1385"/>
      <c r="AH499" s="1385"/>
      <c r="AI499" s="1385"/>
      <c r="AJ499" s="1385"/>
      <c r="AK499" s="1386"/>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4" t="s">
        <v>401</v>
      </c>
      <c r="AD500" s="1385"/>
      <c r="AE500" s="1385"/>
      <c r="AF500" s="1385"/>
      <c r="AG500" s="50" t="s">
        <v>402</v>
      </c>
      <c r="AH500" s="1385" t="s">
        <v>403</v>
      </c>
      <c r="AI500" s="1385"/>
      <c r="AJ500" s="1385"/>
      <c r="AK500" s="1386"/>
      <c r="AZ500" s="3"/>
      <c r="BA500" s="3"/>
      <c r="BB500" s="3"/>
      <c r="BC500" s="3"/>
      <c r="BD500" s="3"/>
      <c r="BE500" s="3"/>
      <c r="BF500" s="3"/>
      <c r="BG500" s="3"/>
      <c r="BH500" s="3"/>
      <c r="BI500" s="3"/>
      <c r="BJ500" s="3"/>
      <c r="BK500" s="3"/>
      <c r="BL500" s="3"/>
      <c r="BM500" s="3"/>
      <c r="BN500" s="3"/>
    </row>
    <row r="501" spans="1:66" ht="13" customHeight="1">
      <c r="B501" s="1394" t="s">
        <v>404</v>
      </c>
      <c r="C501" s="1395"/>
      <c r="D501" s="1395"/>
      <c r="E501" s="1395"/>
      <c r="F501" s="1395"/>
      <c r="G501" s="1395"/>
      <c r="H501" s="1396"/>
      <c r="I501" s="42" t="s">
        <v>405</v>
      </c>
      <c r="J501" s="42"/>
      <c r="K501" s="42"/>
      <c r="L501" s="42"/>
      <c r="M501" s="42"/>
      <c r="N501" s="42"/>
      <c r="O501" s="42"/>
      <c r="P501" s="42"/>
      <c r="Q501" s="42"/>
      <c r="R501" s="42"/>
      <c r="S501" s="42"/>
      <c r="T501" s="42"/>
      <c r="U501" s="42"/>
      <c r="V501" s="42"/>
      <c r="W501" s="42"/>
      <c r="AC501" s="1387" t="s">
        <v>591</v>
      </c>
      <c r="AD501" s="1388"/>
      <c r="AE501" s="1388"/>
      <c r="AF501" s="1388"/>
      <c r="AG501" s="13" t="s">
        <v>402</v>
      </c>
      <c r="AH501" s="1403">
        <v>0</v>
      </c>
      <c r="AI501" s="1403"/>
      <c r="AJ501" s="1403"/>
      <c r="AK501" s="1404"/>
      <c r="AZ501" s="3"/>
      <c r="BA501" s="3"/>
      <c r="BB501" s="3"/>
      <c r="BC501" s="3"/>
      <c r="BD501" s="3"/>
      <c r="BE501" s="3"/>
      <c r="BF501" s="3"/>
      <c r="BG501" s="3"/>
      <c r="BH501" s="3"/>
      <c r="BI501" s="3"/>
      <c r="BJ501" s="3"/>
      <c r="BK501" s="3"/>
      <c r="BL501" s="3"/>
      <c r="BM501" s="3"/>
      <c r="BN501" s="3"/>
    </row>
    <row r="502" spans="1:66" ht="13" customHeight="1">
      <c r="B502" s="1397"/>
      <c r="C502" s="1398"/>
      <c r="D502" s="1398"/>
      <c r="E502" s="1398"/>
      <c r="F502" s="1398"/>
      <c r="G502" s="1398"/>
      <c r="H502" s="1399"/>
      <c r="I502" s="48" t="s">
        <v>406</v>
      </c>
      <c r="J502" s="48"/>
      <c r="K502" s="48"/>
      <c r="L502" s="48"/>
      <c r="M502" s="48"/>
      <c r="N502" s="48"/>
      <c r="O502" s="48"/>
      <c r="P502" s="48"/>
      <c r="Q502" s="48"/>
      <c r="R502" s="48"/>
      <c r="S502" s="48"/>
      <c r="T502" s="48"/>
      <c r="U502" s="48"/>
      <c r="V502" s="48"/>
      <c r="W502" s="48"/>
      <c r="X502" s="48"/>
      <c r="Y502" s="48"/>
      <c r="Z502" s="48"/>
      <c r="AA502" s="48"/>
      <c r="AB502" s="48"/>
      <c r="AC502" s="1387">
        <v>5</v>
      </c>
      <c r="AD502" s="1388"/>
      <c r="AE502" s="1388"/>
      <c r="AF502" s="1388"/>
      <c r="AG502" s="38" t="s">
        <v>402</v>
      </c>
      <c r="AH502" s="1403">
        <v>2026</v>
      </c>
      <c r="AI502" s="1403"/>
      <c r="AJ502" s="1403"/>
      <c r="AK502" s="1404"/>
      <c r="AZ502" s="3"/>
      <c r="BA502" s="3"/>
      <c r="BB502" s="3"/>
      <c r="BC502" s="3"/>
      <c r="BD502" s="3"/>
      <c r="BE502" s="3"/>
      <c r="BF502" s="3"/>
      <c r="BG502" s="3"/>
      <c r="BH502" s="3"/>
      <c r="BI502" s="3"/>
      <c r="BJ502" s="3"/>
      <c r="BK502" s="3"/>
      <c r="BL502" s="3"/>
      <c r="BM502" s="3"/>
      <c r="BN502" s="3"/>
    </row>
    <row r="503" spans="1:66" ht="13" customHeight="1">
      <c r="B503" s="1394" t="s">
        <v>407</v>
      </c>
      <c r="C503" s="1395"/>
      <c r="D503" s="1395"/>
      <c r="E503" s="1395"/>
      <c r="F503" s="1395"/>
      <c r="G503" s="1395"/>
      <c r="H503" s="1396"/>
      <c r="I503" s="42" t="s">
        <v>408</v>
      </c>
      <c r="J503" s="42"/>
      <c r="K503" s="42"/>
      <c r="L503" s="42"/>
      <c r="M503" s="42"/>
      <c r="N503" s="42"/>
      <c r="O503" s="42"/>
      <c r="P503" s="42"/>
      <c r="Q503" s="42"/>
      <c r="R503" s="42"/>
      <c r="S503" s="42"/>
      <c r="T503" s="42"/>
      <c r="U503" s="42"/>
      <c r="V503" s="42"/>
      <c r="W503" s="42"/>
      <c r="AC503" s="1387" t="s">
        <v>591</v>
      </c>
      <c r="AD503" s="1388"/>
      <c r="AE503" s="1388"/>
      <c r="AF503" s="1388"/>
      <c r="AG503" s="13" t="s">
        <v>402</v>
      </c>
      <c r="AH503" s="1403"/>
      <c r="AI503" s="1403"/>
      <c r="AJ503" s="1403"/>
      <c r="AK503" s="1404"/>
      <c r="AZ503" s="3"/>
      <c r="BA503" s="3"/>
      <c r="BB503" s="3"/>
      <c r="BC503" s="3"/>
      <c r="BD503" s="3"/>
      <c r="BE503" s="3"/>
      <c r="BF503" s="3"/>
      <c r="BG503" s="3"/>
      <c r="BH503" s="3"/>
      <c r="BI503" s="3"/>
      <c r="BJ503" s="3"/>
      <c r="BK503" s="3"/>
      <c r="BL503" s="3"/>
      <c r="BM503" s="3"/>
      <c r="BN503" s="3"/>
    </row>
    <row r="504" spans="1:66" ht="13" customHeight="1">
      <c r="B504" s="1397"/>
      <c r="C504" s="1398"/>
      <c r="D504" s="1398"/>
      <c r="E504" s="1398"/>
      <c r="F504" s="1398"/>
      <c r="G504" s="1398"/>
      <c r="H504" s="1399"/>
      <c r="I504" t="s">
        <v>409</v>
      </c>
      <c r="AC504" s="1387" t="s">
        <v>591</v>
      </c>
      <c r="AD504" s="1388"/>
      <c r="AE504" s="1388"/>
      <c r="AF504" s="1388"/>
      <c r="AG504" s="13" t="s">
        <v>402</v>
      </c>
      <c r="AH504" s="1403"/>
      <c r="AI504" s="1403"/>
      <c r="AJ504" s="1403"/>
      <c r="AK504" s="1404"/>
      <c r="AZ504" s="3"/>
      <c r="BA504" s="3"/>
      <c r="BB504" s="3"/>
      <c r="BC504" s="3"/>
      <c r="BD504" s="3"/>
      <c r="BE504" s="3"/>
      <c r="BF504" s="3"/>
      <c r="BG504" s="3"/>
      <c r="BH504" s="3"/>
      <c r="BI504" s="3"/>
      <c r="BJ504" s="3"/>
      <c r="BK504" s="3"/>
      <c r="BL504" s="3"/>
      <c r="BM504" s="3"/>
      <c r="BN504" s="3"/>
    </row>
    <row r="505" spans="1:66" ht="13" customHeight="1">
      <c r="B505" s="1397"/>
      <c r="C505" s="1398"/>
      <c r="D505" s="1398"/>
      <c r="E505" s="1398"/>
      <c r="F505" s="1398"/>
      <c r="G505" s="1398"/>
      <c r="H505" s="1399"/>
      <c r="I505" t="s">
        <v>410</v>
      </c>
      <c r="AC505" s="1387" t="s">
        <v>591</v>
      </c>
      <c r="AD505" s="1388"/>
      <c r="AE505" s="1388"/>
      <c r="AF505" s="1388"/>
      <c r="AG505" s="13" t="s">
        <v>402</v>
      </c>
      <c r="AH505" s="1403"/>
      <c r="AI505" s="1403"/>
      <c r="AJ505" s="1403"/>
      <c r="AK505" s="1404"/>
      <c r="AZ505" s="3"/>
      <c r="BA505" s="3"/>
      <c r="BB505" s="3"/>
      <c r="BC505" s="3"/>
      <c r="BD505" s="3"/>
      <c r="BE505" s="3"/>
      <c r="BF505" s="3"/>
      <c r="BG505" s="3"/>
      <c r="BH505" s="3"/>
      <c r="BI505" s="3"/>
      <c r="BJ505" s="3"/>
      <c r="BK505" s="3"/>
      <c r="BL505" s="3"/>
      <c r="BM505" s="3"/>
      <c r="BN505" s="3"/>
    </row>
    <row r="506" spans="1:66" ht="13" customHeight="1">
      <c r="B506" s="1397"/>
      <c r="C506" s="1398"/>
      <c r="D506" s="1398"/>
      <c r="E506" s="1398"/>
      <c r="F506" s="1398"/>
      <c r="G506" s="1398"/>
      <c r="H506" s="1399"/>
      <c r="I506" t="s">
        <v>411</v>
      </c>
      <c r="AC506" s="1387">
        <v>2</v>
      </c>
      <c r="AD506" s="1388"/>
      <c r="AE506" s="1388"/>
      <c r="AF506" s="1388"/>
      <c r="AG506" s="13" t="s">
        <v>402</v>
      </c>
      <c r="AH506" s="1403">
        <v>2026</v>
      </c>
      <c r="AI506" s="1403"/>
      <c r="AJ506" s="1403"/>
      <c r="AK506" s="1404"/>
      <c r="AZ506" s="3"/>
      <c r="BA506" s="3"/>
      <c r="BB506" s="3"/>
      <c r="BC506" s="3"/>
      <c r="BD506" s="3"/>
      <c r="BE506" s="3"/>
      <c r="BF506" s="3"/>
      <c r="BG506" s="3"/>
      <c r="BH506" s="3"/>
      <c r="BI506" s="3"/>
      <c r="BJ506" s="3"/>
      <c r="BK506" s="3"/>
      <c r="BL506" s="3"/>
      <c r="BM506" s="3"/>
      <c r="BN506" s="3"/>
    </row>
    <row r="507" spans="1:66" ht="13" customHeight="1">
      <c r="B507" s="1397"/>
      <c r="C507" s="1398"/>
      <c r="D507" s="1398"/>
      <c r="E507" s="1398"/>
      <c r="F507" s="1398"/>
      <c r="G507" s="1398"/>
      <c r="H507" s="1399"/>
      <c r="I507" s="3" t="s">
        <v>412</v>
      </c>
      <c r="AC507" s="1359">
        <v>2</v>
      </c>
      <c r="AD507" s="1360"/>
      <c r="AE507" s="1360"/>
      <c r="AF507" s="1360"/>
      <c r="AG507" s="13" t="s">
        <v>402</v>
      </c>
      <c r="AH507" s="1403">
        <v>2026</v>
      </c>
      <c r="AI507" s="1403"/>
      <c r="AJ507" s="1403"/>
      <c r="AK507" s="1404"/>
      <c r="AZ507" s="3"/>
      <c r="BA507" s="3"/>
      <c r="BB507" s="3"/>
      <c r="BC507" s="3"/>
      <c r="BD507" s="3"/>
      <c r="BE507" s="3"/>
      <c r="BF507" s="3"/>
      <c r="BG507" s="3"/>
      <c r="BH507" s="3"/>
      <c r="BI507" s="3"/>
      <c r="BJ507" s="3"/>
      <c r="BK507" s="3"/>
      <c r="BL507" s="3"/>
      <c r="BM507" s="3"/>
      <c r="BN507" s="3"/>
    </row>
    <row r="508" spans="1:66" ht="13" customHeight="1">
      <c r="B508" s="1397"/>
      <c r="C508" s="1398"/>
      <c r="D508" s="1398"/>
      <c r="E508" s="1398"/>
      <c r="F508" s="1398"/>
      <c r="G508" s="1398"/>
      <c r="H508" s="1399"/>
      <c r="I508" s="896" t="s">
        <v>169</v>
      </c>
      <c r="J508" s="48"/>
      <c r="K508" s="48"/>
      <c r="L508" s="1463" t="s">
        <v>2728</v>
      </c>
      <c r="M508" s="1464"/>
      <c r="N508" s="1464"/>
      <c r="O508" s="1464"/>
      <c r="P508" s="1464"/>
      <c r="Q508" s="1464"/>
      <c r="R508" s="1464"/>
      <c r="S508" s="1464"/>
      <c r="T508" s="1464"/>
      <c r="U508" s="1464"/>
      <c r="V508" s="1464"/>
      <c r="W508" s="1464"/>
      <c r="X508" s="1464"/>
      <c r="Y508" s="1464"/>
      <c r="Z508" s="1464"/>
      <c r="AA508" s="1464"/>
      <c r="AB508" s="1860"/>
      <c r="AC508" s="1387">
        <v>12</v>
      </c>
      <c r="AD508" s="1388"/>
      <c r="AE508" s="1388"/>
      <c r="AF508" s="1388"/>
      <c r="AG508" s="38" t="s">
        <v>402</v>
      </c>
      <c r="AH508" s="1403">
        <v>2024</v>
      </c>
      <c r="AI508" s="1403"/>
      <c r="AJ508" s="1403"/>
      <c r="AK508" s="1404"/>
      <c r="AZ508" s="3"/>
      <c r="BA508" s="3"/>
      <c r="BB508" s="3"/>
      <c r="BC508" s="3"/>
      <c r="BD508" s="3"/>
      <c r="BE508" s="3"/>
      <c r="BF508" s="3"/>
      <c r="BG508" s="3"/>
      <c r="BH508" s="3"/>
      <c r="BI508" s="3"/>
      <c r="BJ508" s="3"/>
      <c r="BK508" s="3"/>
      <c r="BL508" s="3"/>
      <c r="BM508" s="3"/>
      <c r="BN508" s="3"/>
    </row>
    <row r="509" spans="1:66" ht="13" customHeight="1">
      <c r="B509" s="871"/>
      <c r="C509" s="130"/>
      <c r="D509" s="130"/>
      <c r="E509" s="130"/>
      <c r="F509" s="130"/>
      <c r="G509" s="130"/>
      <c r="H509" s="872"/>
      <c r="I509" s="3" t="s">
        <v>1675</v>
      </c>
      <c r="AC509" s="1383" t="s">
        <v>545</v>
      </c>
      <c r="AD509" s="1383"/>
      <c r="AE509" s="1383"/>
      <c r="AF509" s="1383"/>
      <c r="AG509" s="13"/>
      <c r="AH509" s="1407"/>
      <c r="AI509" s="1407"/>
      <c r="AJ509" s="1407"/>
      <c r="AK509" s="1408"/>
      <c r="AZ509" s="3"/>
      <c r="BA509" s="3"/>
      <c r="BB509" s="3"/>
      <c r="BC509" s="3"/>
      <c r="BD509" s="3"/>
      <c r="BE509" s="3"/>
      <c r="BF509" s="3"/>
      <c r="BG509" s="3"/>
      <c r="BH509" s="3"/>
      <c r="BI509" s="3"/>
      <c r="BJ509" s="3"/>
      <c r="BK509" s="3"/>
      <c r="BL509" s="3"/>
      <c r="BM509" s="3"/>
      <c r="BN509" s="3"/>
    </row>
    <row r="510" spans="1:66" ht="13" customHeight="1">
      <c r="B510" s="871"/>
      <c r="C510" s="130"/>
      <c r="D510" s="130"/>
      <c r="E510" s="130"/>
      <c r="F510" s="130"/>
      <c r="G510" s="130"/>
      <c r="H510" s="872"/>
      <c r="I510" t="s">
        <v>1672</v>
      </c>
      <c r="AC510" s="1359"/>
      <c r="AD510" s="1360"/>
      <c r="AE510" s="1360"/>
      <c r="AF510" s="1361"/>
      <c r="AG510" s="13"/>
      <c r="AH510" s="1407"/>
      <c r="AI510" s="1407"/>
      <c r="AJ510" s="1407"/>
      <c r="AK510" s="1408"/>
      <c r="AZ510" s="3"/>
      <c r="BA510" s="3"/>
      <c r="BB510" s="3"/>
      <c r="BC510" s="3"/>
      <c r="BD510" s="3"/>
      <c r="BE510" s="3"/>
      <c r="BF510" s="3"/>
      <c r="BG510" s="3"/>
      <c r="BH510" s="3"/>
      <c r="BI510" s="3"/>
      <c r="BJ510" s="3"/>
      <c r="BK510" s="3"/>
      <c r="BL510" s="3"/>
      <c r="BM510" s="3"/>
      <c r="BN510" s="3"/>
    </row>
    <row r="511" spans="1:66" ht="13"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438">
        <v>0.7</v>
      </c>
      <c r="AD512" s="1439"/>
      <c r="AE512" s="1439"/>
      <c r="AF512" s="1440"/>
      <c r="AG512" s="38"/>
      <c r="AH512" s="1572"/>
      <c r="AI512" s="1572"/>
      <c r="AJ512" s="1572"/>
      <c r="AK512" s="1573"/>
      <c r="AZ512" s="3"/>
      <c r="BA512" s="3"/>
      <c r="BB512" s="3"/>
      <c r="BC512" s="3"/>
      <c r="BD512" s="3"/>
      <c r="BE512" s="3"/>
      <c r="BF512" s="3"/>
      <c r="BG512" s="3"/>
      <c r="BH512" s="3"/>
      <c r="BI512" s="3"/>
      <c r="BJ512" s="3"/>
      <c r="BK512" s="3"/>
      <c r="BL512" s="3"/>
      <c r="BM512" s="3"/>
      <c r="BN512" s="3" t="s">
        <v>1184</v>
      </c>
    </row>
    <row r="513" spans="2:66" ht="13"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8" t="s">
        <v>401</v>
      </c>
      <c r="AD513" s="1465"/>
      <c r="AE513" s="1465"/>
      <c r="AF513" s="1465"/>
      <c r="AG513" s="38" t="s">
        <v>402</v>
      </c>
      <c r="AH513" s="1465" t="s">
        <v>403</v>
      </c>
      <c r="AI513" s="1465"/>
      <c r="AJ513" s="1465"/>
      <c r="AK513" s="1466"/>
      <c r="AZ513" s="3"/>
      <c r="BA513" s="3"/>
      <c r="BB513" s="3"/>
      <c r="BC513" s="3"/>
      <c r="BD513" s="3"/>
      <c r="BE513" s="3"/>
      <c r="BF513" s="3"/>
      <c r="BG513" s="3"/>
      <c r="BH513" s="3"/>
      <c r="BI513" s="3"/>
      <c r="BJ513" s="3"/>
      <c r="BK513" s="3"/>
      <c r="BL513" s="3"/>
      <c r="BM513" s="3"/>
      <c r="BN513" s="3" t="s">
        <v>2104</v>
      </c>
    </row>
    <row r="514" spans="2:66" ht="13" customHeight="1">
      <c r="B514" s="1394" t="s">
        <v>413</v>
      </c>
      <c r="C514" s="1395"/>
      <c r="D514" s="1395"/>
      <c r="E514" s="1395"/>
      <c r="F514" s="1395"/>
      <c r="G514" s="1395"/>
      <c r="H514" s="1396"/>
      <c r="I514" s="42" t="s">
        <v>414</v>
      </c>
      <c r="J514" s="42"/>
      <c r="K514" s="42"/>
      <c r="L514" s="42"/>
      <c r="M514" s="42"/>
      <c r="N514" s="42"/>
      <c r="O514" s="42"/>
      <c r="P514" s="42"/>
      <c r="Q514" s="42"/>
      <c r="R514" s="42"/>
      <c r="S514" s="42"/>
      <c r="T514" s="42"/>
      <c r="U514" s="42"/>
      <c r="V514" s="42"/>
      <c r="W514" s="42"/>
      <c r="AC514" s="1387">
        <v>2</v>
      </c>
      <c r="AD514" s="1388"/>
      <c r="AE514" s="1388"/>
      <c r="AF514" s="1388"/>
      <c r="AG514" s="13" t="s">
        <v>402</v>
      </c>
      <c r="AH514" s="1403">
        <v>2025</v>
      </c>
      <c r="AI514" s="1403"/>
      <c r="AJ514" s="1403"/>
      <c r="AK514" s="1404"/>
      <c r="AZ514" s="3"/>
      <c r="BA514" s="3"/>
      <c r="BB514" s="3"/>
      <c r="BC514" s="3"/>
      <c r="BD514" s="3"/>
      <c r="BE514" s="3"/>
      <c r="BF514" s="3"/>
      <c r="BG514" s="3"/>
      <c r="BH514" s="3"/>
      <c r="BI514" s="3"/>
      <c r="BJ514" s="3"/>
      <c r="BK514" s="3"/>
      <c r="BL514" s="3"/>
      <c r="BM514" s="3"/>
      <c r="BN514" s="3" t="s">
        <v>2105</v>
      </c>
    </row>
    <row r="515" spans="2:66" ht="13" customHeight="1">
      <c r="B515" s="1397"/>
      <c r="C515" s="1398"/>
      <c r="D515" s="1398"/>
      <c r="E515" s="1398"/>
      <c r="F515" s="1398"/>
      <c r="G515" s="1398"/>
      <c r="H515" s="1399"/>
      <c r="I515" t="s">
        <v>415</v>
      </c>
      <c r="AC515" s="1387">
        <v>9</v>
      </c>
      <c r="AD515" s="1388"/>
      <c r="AE515" s="1388"/>
      <c r="AF515" s="1388"/>
      <c r="AG515" s="13" t="s">
        <v>402</v>
      </c>
      <c r="AH515" s="1403">
        <v>2025</v>
      </c>
      <c r="AI515" s="1403"/>
      <c r="AJ515" s="1403"/>
      <c r="AK515" s="1404"/>
      <c r="AZ515" s="3"/>
      <c r="BA515" s="3"/>
      <c r="BB515" s="3"/>
      <c r="BC515" s="3"/>
      <c r="BD515" s="3"/>
      <c r="BE515" s="3"/>
      <c r="BF515" s="3"/>
      <c r="BG515" s="3"/>
      <c r="BH515" s="3"/>
      <c r="BI515" s="3"/>
      <c r="BJ515" s="3"/>
      <c r="BK515" s="3"/>
      <c r="BL515" s="3"/>
      <c r="BM515" s="3"/>
      <c r="BN515" s="3" t="s">
        <v>2106</v>
      </c>
    </row>
    <row r="516" spans="2:66" ht="13" customHeight="1">
      <c r="B516" s="1397"/>
      <c r="C516" s="1398"/>
      <c r="D516" s="1398"/>
      <c r="E516" s="1398"/>
      <c r="F516" s="1398"/>
      <c r="G516" s="1398"/>
      <c r="H516" s="1399"/>
      <c r="I516" s="48" t="s">
        <v>416</v>
      </c>
      <c r="J516" s="48"/>
      <c r="K516" s="48"/>
      <c r="L516" s="48"/>
      <c r="M516" s="48"/>
      <c r="N516" s="48"/>
      <c r="O516" s="48"/>
      <c r="P516" s="48"/>
      <c r="Q516" s="48"/>
      <c r="R516" s="48"/>
      <c r="S516" s="48"/>
      <c r="T516" s="48"/>
      <c r="U516" s="48"/>
      <c r="V516" s="48"/>
      <c r="W516" s="48"/>
      <c r="X516" s="48"/>
      <c r="Y516" s="48"/>
      <c r="Z516" s="48"/>
      <c r="AA516" s="48"/>
      <c r="AB516" s="48"/>
      <c r="AC516" s="1387">
        <v>5</v>
      </c>
      <c r="AD516" s="1388"/>
      <c r="AE516" s="1388"/>
      <c r="AF516" s="1388"/>
      <c r="AG516" s="38" t="s">
        <v>402</v>
      </c>
      <c r="AH516" s="1403">
        <v>2026</v>
      </c>
      <c r="AI516" s="1403"/>
      <c r="AJ516" s="1403"/>
      <c r="AK516" s="1404"/>
      <c r="AZ516" s="3"/>
      <c r="BA516" s="3"/>
      <c r="BB516" s="3"/>
      <c r="BC516" s="3"/>
      <c r="BD516" s="3"/>
      <c r="BE516" s="3"/>
      <c r="BF516" s="3"/>
      <c r="BG516" s="3"/>
      <c r="BH516" s="3"/>
      <c r="BI516" s="3"/>
      <c r="BJ516" s="3"/>
      <c r="BK516" s="3"/>
      <c r="BL516" s="3"/>
      <c r="BM516" s="3"/>
      <c r="BN516" s="3" t="s">
        <v>2107</v>
      </c>
    </row>
    <row r="517" spans="2:66" ht="13" customHeight="1">
      <c r="B517" s="1394" t="s">
        <v>417</v>
      </c>
      <c r="C517" s="1395"/>
      <c r="D517" s="1395"/>
      <c r="E517" s="1395"/>
      <c r="F517" s="1395"/>
      <c r="G517" s="1395"/>
      <c r="H517" s="1396"/>
      <c r="I517" s="42" t="s">
        <v>414</v>
      </c>
      <c r="J517" s="42"/>
      <c r="K517" s="42"/>
      <c r="L517" s="42"/>
      <c r="M517" s="42"/>
      <c r="N517" s="42"/>
      <c r="O517" s="42"/>
      <c r="P517" s="42"/>
      <c r="Q517" s="42"/>
      <c r="R517" s="42"/>
      <c r="S517" s="42"/>
      <c r="T517" s="42"/>
      <c r="U517" s="42"/>
      <c r="V517" s="42"/>
      <c r="W517" s="42"/>
      <c r="X517" s="42"/>
      <c r="Y517" s="42"/>
      <c r="Z517" s="42"/>
      <c r="AA517" s="42"/>
      <c r="AB517" s="42"/>
      <c r="AC517" s="1359">
        <v>3</v>
      </c>
      <c r="AD517" s="1360"/>
      <c r="AE517" s="1360"/>
      <c r="AF517" s="1360"/>
      <c r="AG517" s="129" t="s">
        <v>402</v>
      </c>
      <c r="AH517" s="1403">
        <v>2025</v>
      </c>
      <c r="AI517" s="1403"/>
      <c r="AJ517" s="1403"/>
      <c r="AK517" s="1404"/>
      <c r="AZ517" s="3"/>
      <c r="BB517" s="3"/>
      <c r="BC517" s="3"/>
      <c r="BD517" s="3"/>
      <c r="BE517" s="3"/>
      <c r="BF517" s="3"/>
      <c r="BG517" s="3"/>
      <c r="BH517" s="3"/>
      <c r="BI517" s="3"/>
      <c r="BJ517" s="3"/>
      <c r="BK517" s="3"/>
      <c r="BL517" s="3"/>
      <c r="BM517" s="3"/>
      <c r="BN517" s="3" t="s">
        <v>2108</v>
      </c>
    </row>
    <row r="518" spans="2:66" ht="13" customHeight="1">
      <c r="B518" s="1397"/>
      <c r="C518" s="1398"/>
      <c r="D518" s="1398"/>
      <c r="E518" s="1398"/>
      <c r="F518" s="1398"/>
      <c r="G518" s="1398"/>
      <c r="H518" s="1399"/>
      <c r="I518" t="s">
        <v>415</v>
      </c>
      <c r="AC518" s="1387">
        <v>5</v>
      </c>
      <c r="AD518" s="1388"/>
      <c r="AE518" s="1388"/>
      <c r="AF518" s="1388"/>
      <c r="AG518" s="13" t="s">
        <v>402</v>
      </c>
      <c r="AH518" s="1403">
        <v>2025</v>
      </c>
      <c r="AI518" s="1403"/>
      <c r="AJ518" s="1403"/>
      <c r="AK518" s="1404"/>
      <c r="BB518" s="3"/>
      <c r="BC518" s="3"/>
      <c r="BD518" s="3"/>
      <c r="BE518" s="3"/>
      <c r="BF518" s="3"/>
      <c r="BG518" s="3"/>
      <c r="BH518" s="3"/>
      <c r="BI518" s="3"/>
      <c r="BJ518" s="3"/>
      <c r="BK518" s="3"/>
      <c r="BL518" s="3"/>
      <c r="BM518" s="3"/>
      <c r="BN518" s="3" t="s">
        <v>2109</v>
      </c>
    </row>
    <row r="519" spans="2:66" ht="13" customHeight="1">
      <c r="B519" s="1400"/>
      <c r="C519" s="1401"/>
      <c r="D519" s="1401"/>
      <c r="E519" s="1401"/>
      <c r="F519" s="1401"/>
      <c r="G519" s="1401"/>
      <c r="H519" s="1402"/>
      <c r="I519" s="48" t="s">
        <v>416</v>
      </c>
      <c r="J519" s="48"/>
      <c r="K519" s="48"/>
      <c r="L519" s="48"/>
      <c r="M519" s="48"/>
      <c r="N519" s="48"/>
      <c r="O519" s="48"/>
      <c r="P519" s="48"/>
      <c r="Q519" s="48"/>
      <c r="R519" s="48"/>
      <c r="S519" s="48"/>
      <c r="T519" s="48"/>
      <c r="U519" s="48"/>
      <c r="V519" s="48"/>
      <c r="W519" s="48"/>
      <c r="X519" s="48"/>
      <c r="Y519" s="48"/>
      <c r="Z519" s="48"/>
      <c r="AA519" s="48"/>
      <c r="AB519" s="48"/>
      <c r="AC519" s="1387">
        <v>7</v>
      </c>
      <c r="AD519" s="1388"/>
      <c r="AE519" s="1388"/>
      <c r="AF519" s="1388"/>
      <c r="AG519" s="38" t="s">
        <v>402</v>
      </c>
      <c r="AH519" s="1403">
        <v>2028</v>
      </c>
      <c r="AI519" s="1403"/>
      <c r="AJ519" s="1403"/>
      <c r="AK519" s="1404"/>
      <c r="BB519" s="3"/>
      <c r="BC519" s="3"/>
      <c r="BD519" s="3"/>
      <c r="BE519" s="3"/>
      <c r="BF519" s="3"/>
      <c r="BG519" s="3"/>
      <c r="BH519" s="3"/>
      <c r="BI519" s="3"/>
      <c r="BJ519" s="3"/>
      <c r="BK519" s="3"/>
      <c r="BL519" s="3"/>
      <c r="BM519" s="3"/>
      <c r="BN519" s="3" t="s">
        <v>2110</v>
      </c>
    </row>
    <row r="520" spans="2:66" ht="13" customHeight="1">
      <c r="B520" s="1394" t="s">
        <v>418</v>
      </c>
      <c r="C520" s="1395"/>
      <c r="D520" s="1395"/>
      <c r="E520" s="1395"/>
      <c r="F520" s="1395"/>
      <c r="G520" s="1395"/>
      <c r="H520" s="1396"/>
      <c r="I520" s="41" t="s">
        <v>419</v>
      </c>
      <c r="J520" s="42"/>
      <c r="K520" s="42"/>
      <c r="L520" s="42"/>
      <c r="M520" s="42"/>
      <c r="N520" s="42"/>
      <c r="O520" s="1463" t="s">
        <v>2729</v>
      </c>
      <c r="P520" s="1464"/>
      <c r="Q520" s="1464"/>
      <c r="R520" s="1464"/>
      <c r="S520" s="1464"/>
      <c r="T520" s="1464"/>
      <c r="U520" s="1464"/>
      <c r="V520" s="1464"/>
      <c r="W520" s="1464"/>
      <c r="X520" s="1464"/>
      <c r="Y520" s="1464"/>
      <c r="Z520" s="1464"/>
      <c r="AA520" s="1464"/>
      <c r="AB520" s="58"/>
      <c r="AC520" s="1359" t="s">
        <v>591</v>
      </c>
      <c r="AD520" s="1360"/>
      <c r="AE520" s="1360"/>
      <c r="AF520" s="1360"/>
      <c r="AG520" s="129" t="s">
        <v>402</v>
      </c>
      <c r="AH520" s="1403"/>
      <c r="AI520" s="1403"/>
      <c r="AJ520" s="1403"/>
      <c r="AK520" s="1404"/>
      <c r="AZ520" s="3"/>
      <c r="BB520" s="3"/>
      <c r="BC520" s="3"/>
      <c r="BD520" s="3"/>
      <c r="BE520" s="3"/>
      <c r="BF520" s="3"/>
      <c r="BG520" s="3"/>
      <c r="BH520" s="3"/>
      <c r="BI520" s="3"/>
      <c r="BJ520" s="3"/>
      <c r="BK520" s="3"/>
      <c r="BL520" s="3"/>
      <c r="BM520" s="3"/>
      <c r="BN520" s="3" t="s">
        <v>2111</v>
      </c>
    </row>
    <row r="521" spans="2:66" ht="13" customHeight="1">
      <c r="B521" s="1397"/>
      <c r="C521" s="1398"/>
      <c r="D521" s="1398"/>
      <c r="E521" s="1398"/>
      <c r="F521" s="1398"/>
      <c r="G521" s="1398"/>
      <c r="H521" s="1399"/>
      <c r="I521" s="114" t="s">
        <v>420</v>
      </c>
      <c r="AB521" s="65"/>
      <c r="AC521" s="1387">
        <v>5</v>
      </c>
      <c r="AD521" s="1388"/>
      <c r="AE521" s="1388"/>
      <c r="AF521" s="1388"/>
      <c r="AG521" s="13" t="s">
        <v>402</v>
      </c>
      <c r="AH521" s="1403">
        <v>2025</v>
      </c>
      <c r="AI521" s="1403"/>
      <c r="AJ521" s="1403"/>
      <c r="AK521" s="1404"/>
      <c r="AZ521" s="3"/>
      <c r="BB521" s="3"/>
      <c r="BC521" s="3"/>
      <c r="BD521" s="3"/>
      <c r="BE521" s="3"/>
      <c r="BF521" s="3"/>
      <c r="BG521" s="3"/>
      <c r="BH521" s="3"/>
      <c r="BI521" s="3"/>
      <c r="BJ521" s="3"/>
      <c r="BK521" s="3"/>
      <c r="BL521" s="3"/>
      <c r="BM521" s="3"/>
      <c r="BN521" s="3" t="s">
        <v>2112</v>
      </c>
    </row>
    <row r="522" spans="2:66" ht="13" customHeight="1">
      <c r="B522" s="1397"/>
      <c r="C522" s="1398"/>
      <c r="D522" s="1398"/>
      <c r="E522" s="1398"/>
      <c r="F522" s="1398"/>
      <c r="G522" s="1398"/>
      <c r="H522" s="1399"/>
      <c r="I522" s="47" t="s">
        <v>421</v>
      </c>
      <c r="J522" s="48"/>
      <c r="K522" s="48"/>
      <c r="L522" s="48"/>
      <c r="M522" s="48"/>
      <c r="N522" s="48"/>
      <c r="O522" s="48"/>
      <c r="P522" s="48"/>
      <c r="Q522" s="48"/>
      <c r="R522" s="48"/>
      <c r="S522" s="48"/>
      <c r="T522" s="48"/>
      <c r="U522" s="48"/>
      <c r="V522" s="48"/>
      <c r="W522" s="48"/>
      <c r="X522" s="48"/>
      <c r="Y522" s="48"/>
      <c r="Z522" s="48"/>
      <c r="AA522" s="48"/>
      <c r="AB522" s="49"/>
      <c r="AC522" s="1387">
        <v>8</v>
      </c>
      <c r="AD522" s="1388"/>
      <c r="AE522" s="1388"/>
      <c r="AF522" s="1388"/>
      <c r="AG522" s="38" t="s">
        <v>402</v>
      </c>
      <c r="AH522" s="1403">
        <v>2025</v>
      </c>
      <c r="AI522" s="1403"/>
      <c r="AJ522" s="1403"/>
      <c r="AK522" s="1404"/>
      <c r="AZ522" s="3"/>
      <c r="BA522" s="3"/>
      <c r="BB522" s="3"/>
      <c r="BC522" s="3"/>
      <c r="BD522" s="3"/>
      <c r="BE522" s="3"/>
      <c r="BF522" s="3"/>
      <c r="BG522" s="3"/>
      <c r="BH522" s="3"/>
      <c r="BI522" s="3"/>
      <c r="BJ522" s="3"/>
      <c r="BK522" s="3"/>
      <c r="BL522" s="3"/>
      <c r="BM522" s="3"/>
      <c r="BN522" s="3" t="s">
        <v>2113</v>
      </c>
    </row>
    <row r="523" spans="2:66" ht="13" customHeight="1">
      <c r="B523" s="1397"/>
      <c r="C523" s="1398"/>
      <c r="D523" s="1398"/>
      <c r="E523" s="1398"/>
      <c r="F523" s="1398"/>
      <c r="G523" s="1398"/>
      <c r="H523" s="1399"/>
      <c r="I523" s="42" t="s">
        <v>422</v>
      </c>
      <c r="J523" s="42"/>
      <c r="K523" s="42"/>
      <c r="L523" s="42"/>
      <c r="M523" s="42"/>
      <c r="N523" s="42"/>
      <c r="O523" s="1463" t="s">
        <v>2415</v>
      </c>
      <c r="P523" s="1464"/>
      <c r="Q523" s="1464"/>
      <c r="R523" s="1464"/>
      <c r="S523" s="1464"/>
      <c r="T523" s="1464"/>
      <c r="U523" s="1464"/>
      <c r="V523" s="1464"/>
      <c r="W523" s="1464"/>
      <c r="X523" s="1464"/>
      <c r="Y523" s="1464"/>
      <c r="Z523" s="1464"/>
      <c r="AA523" s="1464"/>
      <c r="AC523" s="1387" t="s">
        <v>591</v>
      </c>
      <c r="AD523" s="1388"/>
      <c r="AE523" s="1388"/>
      <c r="AF523" s="1388"/>
      <c r="AG523" s="13" t="s">
        <v>402</v>
      </c>
      <c r="AH523" s="1403"/>
      <c r="AI523" s="1403"/>
      <c r="AJ523" s="1403"/>
      <c r="AK523" s="1404"/>
      <c r="AZ523" s="3"/>
      <c r="BA523" s="3"/>
      <c r="BB523" s="3"/>
      <c r="BC523" s="3"/>
      <c r="BD523" s="3"/>
      <c r="BE523" s="3"/>
      <c r="BF523" s="3"/>
      <c r="BG523" s="3"/>
      <c r="BH523" s="3"/>
      <c r="BI523" s="3"/>
      <c r="BJ523" s="3"/>
      <c r="BK523" s="3"/>
      <c r="BL523" s="3"/>
      <c r="BM523" s="3"/>
      <c r="BN523" s="3" t="s">
        <v>2114</v>
      </c>
    </row>
    <row r="524" spans="2:66" ht="13" customHeight="1">
      <c r="B524" s="1397"/>
      <c r="C524" s="1398"/>
      <c r="D524" s="1398"/>
      <c r="E524" s="1398"/>
      <c r="F524" s="1398"/>
      <c r="G524" s="1398"/>
      <c r="H524" s="1399"/>
      <c r="I524" t="s">
        <v>420</v>
      </c>
      <c r="AC524" s="1387">
        <v>3</v>
      </c>
      <c r="AD524" s="1388"/>
      <c r="AE524" s="1388"/>
      <c r="AF524" s="1388"/>
      <c r="AG524" s="13" t="s">
        <v>402</v>
      </c>
      <c r="AH524" s="1403">
        <v>2025</v>
      </c>
      <c r="AI524" s="1403"/>
      <c r="AJ524" s="1403"/>
      <c r="AK524" s="1404"/>
      <c r="AZ524" s="3"/>
      <c r="BA524" s="3"/>
      <c r="BB524" s="3"/>
      <c r="BC524" s="3"/>
      <c r="BD524" s="3"/>
      <c r="BE524" s="3"/>
      <c r="BF524" s="3"/>
      <c r="BG524" s="3"/>
      <c r="BH524" s="3"/>
      <c r="BI524" s="3"/>
      <c r="BJ524" s="3"/>
      <c r="BK524" s="3"/>
      <c r="BL524" s="3"/>
      <c r="BM524" s="3"/>
      <c r="BN524" s="3" t="s">
        <v>2115</v>
      </c>
    </row>
    <row r="525" spans="2:66" ht="13" customHeight="1">
      <c r="B525" s="1397"/>
      <c r="C525" s="1398"/>
      <c r="D525" s="1398"/>
      <c r="E525" s="1398"/>
      <c r="F525" s="1398"/>
      <c r="G525" s="1398"/>
      <c r="H525" s="1399"/>
      <c r="I525" s="48" t="s">
        <v>421</v>
      </c>
      <c r="J525" s="48"/>
      <c r="K525" s="48"/>
      <c r="L525" s="48"/>
      <c r="M525" s="48"/>
      <c r="N525" s="48"/>
      <c r="O525" s="48"/>
      <c r="P525" s="48"/>
      <c r="Q525" s="48"/>
      <c r="R525" s="48"/>
      <c r="S525" s="48"/>
      <c r="T525" s="48"/>
      <c r="U525" s="48"/>
      <c r="V525" s="48"/>
      <c r="W525" s="48"/>
      <c r="X525" s="48"/>
      <c r="Y525" s="48"/>
      <c r="Z525" s="48"/>
      <c r="AA525" s="48"/>
      <c r="AB525" s="48"/>
      <c r="AC525" s="1387">
        <v>5</v>
      </c>
      <c r="AD525" s="1388"/>
      <c r="AE525" s="1388"/>
      <c r="AF525" s="1388"/>
      <c r="AG525" s="38" t="s">
        <v>402</v>
      </c>
      <c r="AH525" s="1403">
        <v>2025</v>
      </c>
      <c r="AI525" s="1403"/>
      <c r="AJ525" s="1403"/>
      <c r="AK525" s="1404"/>
      <c r="AZ525" s="3"/>
      <c r="BA525" s="3"/>
      <c r="BB525" s="3"/>
      <c r="BC525" s="3"/>
      <c r="BD525" s="3"/>
      <c r="BE525" s="3"/>
      <c r="BF525" s="3"/>
      <c r="BG525" s="3"/>
      <c r="BH525" s="3"/>
      <c r="BI525" s="3"/>
      <c r="BJ525" s="3"/>
      <c r="BK525" s="3"/>
      <c r="BL525" s="3"/>
      <c r="BM525" s="3"/>
      <c r="BN525" s="3" t="s">
        <v>2116</v>
      </c>
    </row>
    <row r="526" spans="2:66" ht="13" customHeight="1">
      <c r="B526" s="1397"/>
      <c r="C526" s="1398"/>
      <c r="D526" s="1398"/>
      <c r="E526" s="1398"/>
      <c r="F526" s="1398"/>
      <c r="G526" s="1398"/>
      <c r="H526" s="1399"/>
      <c r="I526" s="42" t="s">
        <v>422</v>
      </c>
      <c r="J526" s="42"/>
      <c r="K526" s="42"/>
      <c r="L526" s="42"/>
      <c r="M526" s="42"/>
      <c r="N526" s="42"/>
      <c r="O526" s="1463" t="s">
        <v>333</v>
      </c>
      <c r="P526" s="1464"/>
      <c r="Q526" s="1464"/>
      <c r="R526" s="1464"/>
      <c r="S526" s="1464"/>
      <c r="T526" s="1464"/>
      <c r="U526" s="1464"/>
      <c r="V526" s="1464"/>
      <c r="W526" s="1464"/>
      <c r="X526" s="1464"/>
      <c r="Y526" s="1464"/>
      <c r="Z526" s="1464"/>
      <c r="AA526" s="1464"/>
      <c r="AC526" s="1387" t="s">
        <v>591</v>
      </c>
      <c r="AD526" s="1388"/>
      <c r="AE526" s="1388"/>
      <c r="AF526" s="1388"/>
      <c r="AG526" s="13" t="s">
        <v>402</v>
      </c>
      <c r="AH526" s="1403"/>
      <c r="AI526" s="1403"/>
      <c r="AJ526" s="1403"/>
      <c r="AK526" s="1404"/>
      <c r="AZ526" s="3"/>
      <c r="BA526" s="3"/>
      <c r="BB526" s="3"/>
      <c r="BC526" s="3"/>
      <c r="BD526" s="3"/>
      <c r="BE526" s="3"/>
      <c r="BF526" s="3"/>
      <c r="BG526" s="3"/>
      <c r="BH526" s="3"/>
      <c r="BI526" s="3"/>
      <c r="BJ526" s="3"/>
      <c r="BK526" s="3"/>
      <c r="BL526" s="3"/>
      <c r="BM526" s="3"/>
      <c r="BN526" s="3" t="s">
        <v>2117</v>
      </c>
    </row>
    <row r="527" spans="2:66" ht="13" customHeight="1">
      <c r="B527" s="1397"/>
      <c r="C527" s="1398"/>
      <c r="D527" s="1398"/>
      <c r="E527" s="1398"/>
      <c r="F527" s="1398"/>
      <c r="G527" s="1398"/>
      <c r="H527" s="1399"/>
      <c r="I527" t="s">
        <v>420</v>
      </c>
      <c r="AC527" s="1387" t="s">
        <v>591</v>
      </c>
      <c r="AD527" s="1388"/>
      <c r="AE527" s="1388"/>
      <c r="AF527" s="1388"/>
      <c r="AG527" s="13" t="s">
        <v>402</v>
      </c>
      <c r="AH527" s="1403"/>
      <c r="AI527" s="1403"/>
      <c r="AJ527" s="1403"/>
      <c r="AK527" s="1404"/>
      <c r="AZ527" s="3"/>
      <c r="BA527" s="3"/>
      <c r="BB527" s="3"/>
      <c r="BC527" s="3"/>
      <c r="BD527" s="3"/>
      <c r="BE527" s="3"/>
      <c r="BF527" s="3"/>
      <c r="BG527" s="3"/>
      <c r="BH527" s="3"/>
      <c r="BI527" s="3"/>
      <c r="BJ527" s="3"/>
      <c r="BK527" s="3"/>
      <c r="BL527" s="3"/>
      <c r="BM527" s="3"/>
      <c r="BN527" s="3" t="s">
        <v>2118</v>
      </c>
    </row>
    <row r="528" spans="2:66" ht="13" customHeight="1">
      <c r="B528" s="1397"/>
      <c r="C528" s="1398"/>
      <c r="D528" s="1398"/>
      <c r="E528" s="1398"/>
      <c r="F528" s="1398"/>
      <c r="G528" s="1398"/>
      <c r="H528" s="1399"/>
      <c r="I528" s="48" t="s">
        <v>421</v>
      </c>
      <c r="J528" s="48"/>
      <c r="K528" s="48"/>
      <c r="L528" s="48"/>
      <c r="M528" s="48"/>
      <c r="N528" s="48"/>
      <c r="O528" s="48"/>
      <c r="P528" s="48"/>
      <c r="Q528" s="48"/>
      <c r="R528" s="48"/>
      <c r="S528" s="48"/>
      <c r="T528" s="48"/>
      <c r="U528" s="48"/>
      <c r="V528" s="48"/>
      <c r="W528" s="48"/>
      <c r="X528" s="48"/>
      <c r="Y528" s="48"/>
      <c r="Z528" s="48"/>
      <c r="AA528" s="48"/>
      <c r="AB528" s="48"/>
      <c r="AC528" s="1387" t="s">
        <v>591</v>
      </c>
      <c r="AD528" s="1388"/>
      <c r="AE528" s="1388"/>
      <c r="AF528" s="1388"/>
      <c r="AG528" s="38" t="s">
        <v>402</v>
      </c>
      <c r="AH528" s="1403"/>
      <c r="AI528" s="1403"/>
      <c r="AJ528" s="1403"/>
      <c r="AK528" s="1404"/>
      <c r="AZ528" s="3"/>
      <c r="BA528" s="3"/>
      <c r="BB528" s="3"/>
      <c r="BC528" s="3"/>
      <c r="BD528" s="3"/>
      <c r="BE528" s="3"/>
      <c r="BF528" s="3"/>
      <c r="BG528" s="3"/>
      <c r="BH528" s="3"/>
      <c r="BI528" s="3"/>
      <c r="BJ528" s="3"/>
      <c r="BK528" s="3"/>
      <c r="BL528" s="3"/>
      <c r="BM528" s="3"/>
      <c r="BN528" s="3" t="s">
        <v>2119</v>
      </c>
    </row>
    <row r="529" spans="1:66" ht="13" customHeight="1">
      <c r="B529" s="1397"/>
      <c r="C529" s="1398"/>
      <c r="D529" s="1398"/>
      <c r="E529" s="1398"/>
      <c r="F529" s="1398"/>
      <c r="G529" s="1398"/>
      <c r="H529" s="1399"/>
      <c r="I529" s="42" t="s">
        <v>422</v>
      </c>
      <c r="J529" s="42"/>
      <c r="K529" s="42"/>
      <c r="L529" s="42"/>
      <c r="M529" s="42"/>
      <c r="N529" s="42"/>
      <c r="O529" s="1463" t="s">
        <v>333</v>
      </c>
      <c r="P529" s="1464"/>
      <c r="Q529" s="1464"/>
      <c r="R529" s="1464"/>
      <c r="S529" s="1464"/>
      <c r="T529" s="1464"/>
      <c r="U529" s="1464"/>
      <c r="V529" s="1464"/>
      <c r="W529" s="1464"/>
      <c r="X529" s="1464"/>
      <c r="Y529" s="1464"/>
      <c r="Z529" s="1464"/>
      <c r="AA529" s="1464"/>
      <c r="AC529" s="1387" t="s">
        <v>591</v>
      </c>
      <c r="AD529" s="1388"/>
      <c r="AE529" s="1388"/>
      <c r="AF529" s="1388"/>
      <c r="AG529" s="13" t="s">
        <v>402</v>
      </c>
      <c r="AH529" s="1403"/>
      <c r="AI529" s="1403"/>
      <c r="AJ529" s="1403"/>
      <c r="AK529" s="1404"/>
      <c r="AZ529" s="3"/>
      <c r="BA529" s="3"/>
      <c r="BB529" s="3"/>
      <c r="BC529" s="3"/>
      <c r="BD529" s="3"/>
      <c r="BE529" s="3"/>
      <c r="BF529" s="3"/>
      <c r="BG529" s="3"/>
      <c r="BH529" s="3"/>
      <c r="BI529" s="3"/>
      <c r="BJ529" s="3"/>
      <c r="BK529" s="3"/>
      <c r="BL529" s="3"/>
      <c r="BM529" s="3"/>
      <c r="BN529" s="3" t="s">
        <v>2120</v>
      </c>
    </row>
    <row r="530" spans="1:66" ht="13" customHeight="1">
      <c r="B530" s="1397"/>
      <c r="C530" s="1398"/>
      <c r="D530" s="1398"/>
      <c r="E530" s="1398"/>
      <c r="F530" s="1398"/>
      <c r="G530" s="1398"/>
      <c r="H530" s="1399"/>
      <c r="I530" t="s">
        <v>420</v>
      </c>
      <c r="AC530" s="1387" t="s">
        <v>591</v>
      </c>
      <c r="AD530" s="1388"/>
      <c r="AE530" s="1388"/>
      <c r="AF530" s="1388"/>
      <c r="AG530" s="13" t="s">
        <v>402</v>
      </c>
      <c r="AH530" s="1403"/>
      <c r="AI530" s="1403"/>
      <c r="AJ530" s="1403"/>
      <c r="AK530" s="1404"/>
      <c r="AZ530" s="3"/>
      <c r="BA530" s="3"/>
      <c r="BB530" s="3"/>
      <c r="BC530" s="3"/>
      <c r="BD530" s="3"/>
      <c r="BE530" s="3"/>
      <c r="BF530" s="3"/>
      <c r="BG530" s="3"/>
      <c r="BH530" s="3"/>
      <c r="BI530" s="3"/>
      <c r="BJ530" s="3"/>
      <c r="BK530" s="3"/>
      <c r="BL530" s="3"/>
      <c r="BM530" s="3"/>
      <c r="BN530" s="3" t="s">
        <v>2121</v>
      </c>
    </row>
    <row r="531" spans="1:66" ht="13" customHeight="1">
      <c r="B531" s="1397"/>
      <c r="C531" s="1398"/>
      <c r="D531" s="1398"/>
      <c r="E531" s="1398"/>
      <c r="F531" s="1398"/>
      <c r="G531" s="1398"/>
      <c r="H531" s="1399"/>
      <c r="I531" s="48" t="s">
        <v>421</v>
      </c>
      <c r="J531" s="48"/>
      <c r="K531" s="48"/>
      <c r="L531" s="48"/>
      <c r="M531" s="48"/>
      <c r="N531" s="48"/>
      <c r="O531" s="48"/>
      <c r="P531" s="48"/>
      <c r="Q531" s="48"/>
      <c r="R531" s="48"/>
      <c r="S531" s="48"/>
      <c r="T531" s="48"/>
      <c r="U531" s="48"/>
      <c r="V531" s="48"/>
      <c r="W531" s="48"/>
      <c r="X531" s="48"/>
      <c r="Y531" s="48"/>
      <c r="Z531" s="48"/>
      <c r="AA531" s="48"/>
      <c r="AB531" s="48"/>
      <c r="AC531" s="1387" t="s">
        <v>591</v>
      </c>
      <c r="AD531" s="1388"/>
      <c r="AE531" s="1388"/>
      <c r="AF531" s="1388"/>
      <c r="AG531" s="38" t="s">
        <v>402</v>
      </c>
      <c r="AH531" s="1403"/>
      <c r="AI531" s="1403"/>
      <c r="AJ531" s="1403"/>
      <c r="AK531" s="1404"/>
      <c r="AZ531" s="3"/>
      <c r="BA531" s="3"/>
      <c r="BB531" s="3"/>
      <c r="BC531" s="3"/>
      <c r="BD531" s="3"/>
      <c r="BE531" s="3"/>
      <c r="BF531" s="3"/>
      <c r="BG531" s="3"/>
      <c r="BH531" s="3"/>
      <c r="BI531" s="3"/>
      <c r="BJ531" s="3"/>
      <c r="BK531" s="3"/>
      <c r="BL531" s="3"/>
      <c r="BM531" s="3"/>
      <c r="BN531" s="3" t="s">
        <v>2122</v>
      </c>
    </row>
    <row r="532" spans="1:66" ht="13" customHeight="1">
      <c r="B532" s="1397"/>
      <c r="C532" s="1398"/>
      <c r="D532" s="1398"/>
      <c r="E532" s="1398"/>
      <c r="F532" s="1398"/>
      <c r="G532" s="1398"/>
      <c r="H532" s="1399"/>
      <c r="I532" s="42" t="s">
        <v>422</v>
      </c>
      <c r="J532" s="42"/>
      <c r="K532" s="42"/>
      <c r="L532" s="42"/>
      <c r="M532" s="42"/>
      <c r="N532" s="42"/>
      <c r="O532" s="1463" t="s">
        <v>333</v>
      </c>
      <c r="P532" s="1464"/>
      <c r="Q532" s="1464"/>
      <c r="R532" s="1464"/>
      <c r="S532" s="1464"/>
      <c r="T532" s="1464"/>
      <c r="U532" s="1464"/>
      <c r="V532" s="1464"/>
      <c r="W532" s="1464"/>
      <c r="X532" s="1464"/>
      <c r="Y532" s="1464"/>
      <c r="Z532" s="1464"/>
      <c r="AA532" s="1464"/>
      <c r="AC532" s="1387" t="s">
        <v>591</v>
      </c>
      <c r="AD532" s="1388"/>
      <c r="AE532" s="1388"/>
      <c r="AF532" s="1388"/>
      <c r="AG532" s="13" t="s">
        <v>402</v>
      </c>
      <c r="AH532" s="1403"/>
      <c r="AI532" s="1403"/>
      <c r="AJ532" s="1403"/>
      <c r="AK532" s="1404"/>
      <c r="AZ532" s="3"/>
      <c r="BA532" s="3"/>
      <c r="BB532" s="3"/>
      <c r="BC532" s="3"/>
      <c r="BD532" s="3"/>
      <c r="BE532" s="3"/>
      <c r="BF532" s="3"/>
      <c r="BG532" s="3"/>
      <c r="BH532" s="3"/>
      <c r="BI532" s="3"/>
      <c r="BJ532" s="3"/>
      <c r="BK532" s="3"/>
      <c r="BL532" s="3"/>
      <c r="BM532" s="3"/>
      <c r="BN532" s="3" t="s">
        <v>2123</v>
      </c>
    </row>
    <row r="533" spans="1:66" ht="13" customHeight="1">
      <c r="B533" s="1397"/>
      <c r="C533" s="1398"/>
      <c r="D533" s="1398"/>
      <c r="E533" s="1398"/>
      <c r="F533" s="1398"/>
      <c r="G533" s="1398"/>
      <c r="H533" s="1399"/>
      <c r="I533" t="s">
        <v>420</v>
      </c>
      <c r="AC533" s="1387" t="s">
        <v>591</v>
      </c>
      <c r="AD533" s="1388"/>
      <c r="AE533" s="1388"/>
      <c r="AF533" s="1388"/>
      <c r="AG533" s="38" t="s">
        <v>402</v>
      </c>
      <c r="AH533" s="1403"/>
      <c r="AI533" s="1403"/>
      <c r="AJ533" s="1403"/>
      <c r="AK533" s="1404"/>
      <c r="AZ533" s="3"/>
      <c r="BA533" s="3"/>
      <c r="BB533" s="3"/>
      <c r="BC533" s="3"/>
      <c r="BD533" s="3"/>
      <c r="BE533" s="3"/>
      <c r="BF533" s="3"/>
      <c r="BG533" s="3"/>
      <c r="BH533" s="3"/>
      <c r="BI533" s="3"/>
      <c r="BJ533" s="3"/>
      <c r="BK533" s="3"/>
      <c r="BL533" s="3"/>
      <c r="BM533" s="3"/>
      <c r="BN533" s="3" t="s">
        <v>2124</v>
      </c>
    </row>
    <row r="534" spans="1:66" ht="13" customHeight="1">
      <c r="B534" s="1397"/>
      <c r="C534" s="1398"/>
      <c r="D534" s="1398"/>
      <c r="E534" s="1398"/>
      <c r="F534" s="1398"/>
      <c r="G534" s="1398"/>
      <c r="H534" s="1399"/>
      <c r="I534" s="48" t="s">
        <v>421</v>
      </c>
      <c r="J534" s="48"/>
      <c r="K534" s="48"/>
      <c r="L534" s="48"/>
      <c r="M534" s="48"/>
      <c r="N534" s="48"/>
      <c r="O534" s="48"/>
      <c r="P534" s="48"/>
      <c r="Q534" s="48"/>
      <c r="R534" s="48"/>
      <c r="S534" s="48"/>
      <c r="T534" s="48"/>
      <c r="U534" s="48"/>
      <c r="V534" s="48"/>
      <c r="W534" s="48"/>
      <c r="X534" s="48"/>
      <c r="Y534" s="48"/>
      <c r="Z534" s="48"/>
      <c r="AA534" s="48"/>
      <c r="AB534" s="48"/>
      <c r="AC534" s="1387" t="s">
        <v>591</v>
      </c>
      <c r="AD534" s="1388"/>
      <c r="AE534" s="1388"/>
      <c r="AF534" s="1388"/>
      <c r="AG534" s="13" t="s">
        <v>402</v>
      </c>
      <c r="AH534" s="1403"/>
      <c r="AI534" s="1403"/>
      <c r="AJ534" s="1403"/>
      <c r="AK534" s="1404"/>
      <c r="AZ534" s="3"/>
      <c r="BA534" s="3"/>
      <c r="BB534" s="3"/>
      <c r="BC534" s="3"/>
      <c r="BD534" s="3"/>
      <c r="BE534" s="3"/>
      <c r="BF534" s="3"/>
      <c r="BG534" s="3"/>
      <c r="BH534" s="3"/>
      <c r="BI534" s="3"/>
      <c r="BJ534" s="3"/>
      <c r="BK534" s="3"/>
      <c r="BL534" s="3"/>
      <c r="BM534" s="3"/>
      <c r="BN534" s="3" t="s">
        <v>2125</v>
      </c>
    </row>
    <row r="535" spans="1:66" ht="13" customHeight="1">
      <c r="B535" s="1397"/>
      <c r="C535" s="1398"/>
      <c r="D535" s="1398"/>
      <c r="E535" s="1398"/>
      <c r="F535" s="1398"/>
      <c r="G535" s="1398"/>
      <c r="H535" s="1399"/>
      <c r="I535" s="42" t="s">
        <v>422</v>
      </c>
      <c r="J535" s="42"/>
      <c r="K535" s="42"/>
      <c r="L535" s="42"/>
      <c r="M535" s="42"/>
      <c r="N535" s="42"/>
      <c r="O535" s="1463" t="s">
        <v>333</v>
      </c>
      <c r="P535" s="1464"/>
      <c r="Q535" s="1464"/>
      <c r="R535" s="1464"/>
      <c r="S535" s="1464"/>
      <c r="T535" s="1464"/>
      <c r="U535" s="1464"/>
      <c r="V535" s="1464"/>
      <c r="W535" s="1464"/>
      <c r="X535" s="1464"/>
      <c r="Y535" s="1464"/>
      <c r="Z535" s="1464"/>
      <c r="AA535" s="1464"/>
      <c r="AC535" s="1387" t="s">
        <v>591</v>
      </c>
      <c r="AD535" s="1388"/>
      <c r="AE535" s="1388"/>
      <c r="AF535" s="1388"/>
      <c r="AG535" s="38" t="s">
        <v>402</v>
      </c>
      <c r="AH535" s="1403"/>
      <c r="AI535" s="1403"/>
      <c r="AJ535" s="1403"/>
      <c r="AK535" s="1404"/>
      <c r="AZ535" s="3"/>
      <c r="BA535" s="3"/>
      <c r="BB535" s="3"/>
      <c r="BC535" s="3"/>
      <c r="BD535" s="3"/>
      <c r="BE535" s="3"/>
      <c r="BF535" s="3"/>
      <c r="BG535" s="3"/>
      <c r="BH535" s="3"/>
      <c r="BI535" s="3"/>
      <c r="BJ535" s="3"/>
      <c r="BK535" s="3"/>
      <c r="BL535" s="3"/>
      <c r="BM535" s="3"/>
      <c r="BN535" s="3" t="s">
        <v>2126</v>
      </c>
    </row>
    <row r="536" spans="1:66" ht="13" customHeight="1">
      <c r="B536" s="1397"/>
      <c r="C536" s="1398"/>
      <c r="D536" s="1398"/>
      <c r="E536" s="1398"/>
      <c r="F536" s="1398"/>
      <c r="G536" s="1398"/>
      <c r="H536" s="1399"/>
      <c r="I536" t="s">
        <v>420</v>
      </c>
      <c r="AC536" s="1387" t="s">
        <v>591</v>
      </c>
      <c r="AD536" s="1388"/>
      <c r="AE536" s="1388"/>
      <c r="AF536" s="1388"/>
      <c r="AG536" s="13" t="s">
        <v>402</v>
      </c>
      <c r="AH536" s="1403"/>
      <c r="AI536" s="1403"/>
      <c r="AJ536" s="1403"/>
      <c r="AK536" s="1404"/>
      <c r="AZ536" s="3"/>
      <c r="BA536" s="3"/>
      <c r="BB536" s="3"/>
      <c r="BC536" s="3"/>
      <c r="BD536" s="3"/>
      <c r="BE536" s="3"/>
      <c r="BF536" s="3"/>
      <c r="BG536" s="3"/>
      <c r="BH536" s="3"/>
      <c r="BI536" s="3"/>
      <c r="BJ536" s="3"/>
      <c r="BK536" s="3"/>
      <c r="BL536" s="3"/>
      <c r="BM536" s="3"/>
      <c r="BN536" s="3" t="s">
        <v>2127</v>
      </c>
    </row>
    <row r="537" spans="1:66" ht="13" customHeight="1">
      <c r="B537" s="1397"/>
      <c r="C537" s="1398"/>
      <c r="D537" s="1398"/>
      <c r="E537" s="1398"/>
      <c r="F537" s="1398"/>
      <c r="G537" s="1398"/>
      <c r="H537" s="1399"/>
      <c r="I537" s="48" t="s">
        <v>421</v>
      </c>
      <c r="J537" s="48"/>
      <c r="K537" s="48"/>
      <c r="L537" s="48"/>
      <c r="M537" s="48"/>
      <c r="N537" s="48"/>
      <c r="O537" s="48"/>
      <c r="P537" s="48"/>
      <c r="Q537" s="48"/>
      <c r="R537" s="48"/>
      <c r="S537" s="48"/>
      <c r="T537" s="48"/>
      <c r="U537" s="48"/>
      <c r="V537" s="48"/>
      <c r="W537" s="48"/>
      <c r="X537" s="48"/>
      <c r="Y537" s="48"/>
      <c r="Z537" s="48"/>
      <c r="AA537" s="48"/>
      <c r="AB537" s="48"/>
      <c r="AC537" s="1387" t="s">
        <v>591</v>
      </c>
      <c r="AD537" s="1388"/>
      <c r="AE537" s="1388"/>
      <c r="AF537" s="1388"/>
      <c r="AG537" s="38" t="s">
        <v>402</v>
      </c>
      <c r="AH537" s="1403"/>
      <c r="AI537" s="1403"/>
      <c r="AJ537" s="1403"/>
      <c r="AK537" s="1404"/>
      <c r="AZ537" s="3"/>
      <c r="BA537" s="3"/>
      <c r="BB537" s="3"/>
      <c r="BC537" s="3"/>
      <c r="BD537" s="3"/>
      <c r="BE537" s="3"/>
      <c r="BF537" s="3"/>
      <c r="BG537" s="3"/>
      <c r="BH537" s="3"/>
      <c r="BI537" s="3"/>
      <c r="BJ537" s="3"/>
      <c r="BK537" s="3"/>
      <c r="BL537" s="3"/>
      <c r="BM537" s="3"/>
      <c r="BN537" s="3" t="s">
        <v>2128</v>
      </c>
    </row>
    <row r="538" spans="1:66" ht="13" customHeight="1">
      <c r="B538" s="1397"/>
      <c r="C538" s="1398"/>
      <c r="D538" s="1398"/>
      <c r="E538" s="1398"/>
      <c r="F538" s="1398"/>
      <c r="G538" s="1398"/>
      <c r="H538" s="1399"/>
      <c r="I538" s="42" t="s">
        <v>562</v>
      </c>
      <c r="J538" s="42"/>
      <c r="K538" s="42"/>
      <c r="L538" s="42"/>
      <c r="M538" s="42"/>
      <c r="N538" s="42"/>
      <c r="O538" s="42"/>
      <c r="P538" s="42"/>
      <c r="Q538" s="42"/>
      <c r="R538" s="42"/>
      <c r="S538" s="42"/>
      <c r="T538" s="42"/>
      <c r="U538" s="42"/>
      <c r="V538" s="42"/>
      <c r="W538" s="42"/>
      <c r="AC538" s="1387">
        <v>11</v>
      </c>
      <c r="AD538" s="1388"/>
      <c r="AE538" s="1388"/>
      <c r="AF538" s="1388"/>
      <c r="AG538" s="38" t="s">
        <v>402</v>
      </c>
      <c r="AH538" s="1403">
        <v>2026</v>
      </c>
      <c r="AI538" s="1403"/>
      <c r="AJ538" s="1403"/>
      <c r="AK538" s="1404"/>
      <c r="AZ538" s="3"/>
      <c r="BA538" s="3"/>
      <c r="BB538" s="3"/>
      <c r="BC538" s="3"/>
      <c r="BD538" s="3"/>
      <c r="BE538" s="3"/>
      <c r="BF538" s="3"/>
      <c r="BG538" s="3"/>
      <c r="BH538" s="3"/>
      <c r="BI538" s="3"/>
      <c r="BJ538" s="3"/>
      <c r="BK538" s="3"/>
      <c r="BL538" s="3"/>
      <c r="BM538" s="3"/>
      <c r="BN538" s="3"/>
    </row>
    <row r="539" spans="1:66" ht="13" customHeight="1">
      <c r="B539" s="1397"/>
      <c r="C539" s="1398"/>
      <c r="D539" s="1398"/>
      <c r="E539" s="1398"/>
      <c r="F539" s="1398"/>
      <c r="G539" s="1398"/>
      <c r="H539" s="1399"/>
      <c r="I539" t="s">
        <v>563</v>
      </c>
      <c r="AC539" s="1387">
        <v>5</v>
      </c>
      <c r="AD539" s="1388"/>
      <c r="AE539" s="1388"/>
      <c r="AF539" s="1388"/>
      <c r="AG539" s="13" t="s">
        <v>402</v>
      </c>
      <c r="AH539" s="1403">
        <v>2026</v>
      </c>
      <c r="AI539" s="1403"/>
      <c r="AJ539" s="1403"/>
      <c r="AK539" s="1404"/>
      <c r="AZ539" s="3"/>
      <c r="BA539" s="3"/>
      <c r="BB539" s="3"/>
      <c r="BC539" s="3"/>
      <c r="BD539" s="3"/>
      <c r="BE539" s="3"/>
      <c r="BF539" s="3"/>
      <c r="BG539" s="3"/>
      <c r="BH539" s="3"/>
      <c r="BI539" s="3"/>
      <c r="BJ539" s="3"/>
      <c r="BK539" s="3"/>
      <c r="BL539" s="3"/>
      <c r="BM539" s="3"/>
      <c r="BN539" s="3"/>
    </row>
    <row r="540" spans="1:66" ht="13" customHeight="1">
      <c r="B540" s="1397"/>
      <c r="C540" s="1398"/>
      <c r="D540" s="1398"/>
      <c r="E540" s="1398"/>
      <c r="F540" s="1398"/>
      <c r="G540" s="1398"/>
      <c r="H540" s="1399"/>
      <c r="I540" t="s">
        <v>564</v>
      </c>
      <c r="AC540" s="1387">
        <v>1</v>
      </c>
      <c r="AD540" s="1388"/>
      <c r="AE540" s="1388"/>
      <c r="AF540" s="1388"/>
      <c r="AG540" s="38" t="s">
        <v>402</v>
      </c>
      <c r="AH540" s="1403">
        <v>2028</v>
      </c>
      <c r="AI540" s="1403"/>
      <c r="AJ540" s="1403"/>
      <c r="AK540" s="1404"/>
      <c r="AZ540" s="3"/>
      <c r="BA540" s="3"/>
      <c r="BB540" s="3"/>
      <c r="BC540" s="3"/>
      <c r="BD540" s="3"/>
      <c r="BE540" s="3"/>
      <c r="BF540" s="3"/>
      <c r="BG540" s="3"/>
      <c r="BH540" s="3"/>
      <c r="BI540" s="3"/>
      <c r="BJ540" s="3"/>
      <c r="BK540" s="3"/>
      <c r="BL540" s="3"/>
      <c r="BM540" s="3"/>
      <c r="BN540" s="3"/>
    </row>
    <row r="541" spans="1:66" ht="13" customHeight="1">
      <c r="B541" s="1397"/>
      <c r="C541" s="1398"/>
      <c r="D541" s="1398"/>
      <c r="E541" s="1398"/>
      <c r="F541" s="1398"/>
      <c r="G541" s="1398"/>
      <c r="H541" s="1399"/>
      <c r="I541" t="s">
        <v>565</v>
      </c>
      <c r="AC541" s="1387">
        <v>1</v>
      </c>
      <c r="AD541" s="1388"/>
      <c r="AE541" s="1388"/>
      <c r="AF541" s="1388"/>
      <c r="AG541" s="38" t="s">
        <v>402</v>
      </c>
      <c r="AH541" s="1403">
        <v>2028</v>
      </c>
      <c r="AI541" s="1403"/>
      <c r="AJ541" s="1403"/>
      <c r="AK541" s="1404"/>
      <c r="AZ541" s="3"/>
      <c r="BA541" s="3"/>
      <c r="BB541" s="3"/>
      <c r="BC541" s="3"/>
      <c r="BD541" s="3"/>
      <c r="BE541" s="3"/>
      <c r="BF541" s="3"/>
      <c r="BG541" s="3"/>
      <c r="BH541" s="3"/>
      <c r="BI541" s="3"/>
      <c r="BJ541" s="3"/>
      <c r="BK541" s="3"/>
      <c r="BL541" s="3"/>
      <c r="BM541" s="3"/>
      <c r="BN541" s="3"/>
    </row>
    <row r="542" spans="1:66" ht="13" customHeight="1">
      <c r="B542" s="1400"/>
      <c r="C542" s="1401"/>
      <c r="D542" s="1401"/>
      <c r="E542" s="1401"/>
      <c r="F542" s="1401"/>
      <c r="G542" s="1401"/>
      <c r="H542" s="1402"/>
      <c r="I542" s="48" t="s">
        <v>451</v>
      </c>
      <c r="J542" s="48"/>
      <c r="K542" s="48"/>
      <c r="L542" s="48"/>
      <c r="M542" s="48"/>
      <c r="N542" s="48"/>
      <c r="O542" s="48"/>
      <c r="P542" s="48"/>
      <c r="Q542" s="48"/>
      <c r="R542" s="48"/>
      <c r="S542" s="48"/>
      <c r="T542" s="48"/>
      <c r="U542" s="48"/>
      <c r="V542" s="48"/>
      <c r="W542" s="48"/>
      <c r="X542" s="48"/>
      <c r="Y542" s="48"/>
      <c r="Z542" s="48"/>
      <c r="AA542" s="48"/>
      <c r="AB542" s="48"/>
      <c r="AC542" s="1387">
        <v>7</v>
      </c>
      <c r="AD542" s="1388"/>
      <c r="AE542" s="1388"/>
      <c r="AF542" s="1388"/>
      <c r="AG542" s="38" t="s">
        <v>402</v>
      </c>
      <c r="AH542" s="1403">
        <v>2028</v>
      </c>
      <c r="AI542" s="1403"/>
      <c r="AJ542" s="1403"/>
      <c r="AK542" s="1404"/>
      <c r="BB542" s="3"/>
      <c r="BC542" s="3"/>
      <c r="BD542" s="3"/>
      <c r="BE542" s="3"/>
      <c r="BF542" s="3"/>
      <c r="BG542" s="3"/>
      <c r="BH542" s="3" t="s">
        <v>112</v>
      </c>
      <c r="BI542" s="3" t="str">
        <f>N649</f>
        <v>Yes</v>
      </c>
      <c r="BJ542" s="3"/>
      <c r="BK542" s="3"/>
      <c r="BL542" s="3"/>
      <c r="BM542" s="3"/>
      <c r="BN542" s="3"/>
    </row>
    <row r="543" spans="1:66" ht="13"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3" customHeight="1">
      <c r="A544" s="1274" t="s">
        <v>543</v>
      </c>
      <c r="B544" s="1274"/>
      <c r="C544" s="1274"/>
      <c r="D544" s="1274"/>
      <c r="E544" s="1274"/>
      <c r="F544" s="1274"/>
      <c r="G544" s="1274"/>
      <c r="H544" s="1274"/>
      <c r="I544" s="1274"/>
      <c r="J544" s="1274"/>
      <c r="K544" s="1274"/>
      <c r="L544" s="1274"/>
      <c r="M544" s="1274"/>
      <c r="N544" s="1274"/>
      <c r="O544" s="1274"/>
      <c r="P544" s="1274"/>
      <c r="Q544" s="1274"/>
      <c r="R544" s="1274"/>
      <c r="S544" s="1274"/>
      <c r="T544" s="1274"/>
      <c r="U544" s="1274"/>
      <c r="V544" s="1274"/>
      <c r="W544" s="1274"/>
      <c r="X544" s="1274"/>
      <c r="Y544" s="1274"/>
      <c r="Z544" s="1274"/>
      <c r="AA544" s="1274"/>
      <c r="AB544" s="1274"/>
      <c r="AC544" s="1274"/>
      <c r="AD544" s="1274"/>
      <c r="AE544" s="1274"/>
      <c r="AF544" s="1274"/>
      <c r="AG544" s="1274"/>
      <c r="AH544" s="1274"/>
      <c r="AI544" s="1274"/>
      <c r="AJ544" s="1274"/>
      <c r="AK544" s="1274"/>
      <c r="AL544" s="1274"/>
      <c r="AM544" s="1274"/>
      <c r="AN544" s="1274"/>
      <c r="AO544" s="1274"/>
      <c r="AP544" s="1274"/>
      <c r="AQ544" s="1274"/>
      <c r="AR544" s="1274"/>
      <c r="AS544" s="1274"/>
      <c r="AT544" s="1274"/>
      <c r="AU544" s="899"/>
      <c r="AV544" s="899"/>
      <c r="AW544" s="899"/>
      <c r="AX544" s="899"/>
      <c r="AY544" s="899"/>
      <c r="BB544" s="3"/>
      <c r="BC544" s="3"/>
      <c r="BD544" s="3"/>
      <c r="BE544" s="3"/>
      <c r="BF544" s="3"/>
      <c r="BG544" s="3"/>
      <c r="BH544" s="3"/>
      <c r="BI544" s="3"/>
      <c r="BJ544" s="3"/>
      <c r="BK544" s="3"/>
      <c r="BL544" s="3"/>
      <c r="BM544" s="3"/>
      <c r="BN544" s="3"/>
    </row>
    <row r="545" spans="1:61" ht="13" customHeight="1">
      <c r="A545" s="1274"/>
      <c r="B545" s="1274"/>
      <c r="C545" s="1274"/>
      <c r="D545" s="1274"/>
      <c r="E545" s="1274"/>
      <c r="F545" s="1274"/>
      <c r="G545" s="1274"/>
      <c r="H545" s="1274"/>
      <c r="I545" s="1274"/>
      <c r="J545" s="1274"/>
      <c r="K545" s="1274"/>
      <c r="L545" s="1274"/>
      <c r="M545" s="1274"/>
      <c r="N545" s="1274"/>
      <c r="O545" s="1274"/>
      <c r="P545" s="1274"/>
      <c r="Q545" s="1274"/>
      <c r="R545" s="1274"/>
      <c r="S545" s="1274"/>
      <c r="T545" s="1274"/>
      <c r="U545" s="1274"/>
      <c r="V545" s="1274"/>
      <c r="W545" s="1274"/>
      <c r="X545" s="1274"/>
      <c r="Y545" s="1274"/>
      <c r="Z545" s="1274"/>
      <c r="AA545" s="1274"/>
      <c r="AB545" s="1274"/>
      <c r="AC545" s="1274"/>
      <c r="AD545" s="1274"/>
      <c r="AE545" s="1274"/>
      <c r="AF545" s="1274"/>
      <c r="AG545" s="1274"/>
      <c r="AH545" s="1274"/>
      <c r="AI545" s="1274"/>
      <c r="AJ545" s="1274"/>
      <c r="AK545" s="1274"/>
      <c r="AL545" s="1274"/>
      <c r="AM545" s="1274"/>
      <c r="AN545" s="1274"/>
      <c r="AO545" s="1274"/>
      <c r="AP545" s="1274"/>
      <c r="AQ545" s="1274"/>
      <c r="AR545" s="1274"/>
      <c r="AS545" s="1274"/>
      <c r="AT545" s="1274"/>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318</v>
      </c>
      <c r="B547" s="2"/>
      <c r="C547" s="2" t="s">
        <v>452</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2100</v>
      </c>
      <c r="AC549" s="98"/>
      <c r="BB549" s="3"/>
      <c r="BC549" s="3"/>
      <c r="BD549" s="3"/>
      <c r="BE549" s="3"/>
      <c r="BF549" s="3"/>
      <c r="BG549" s="3"/>
      <c r="BH549" s="3"/>
      <c r="BI549" s="3"/>
    </row>
    <row r="550" spans="1:61" ht="13" customHeight="1">
      <c r="B550" s="512"/>
      <c r="BB550" s="3"/>
      <c r="BC550" s="3"/>
      <c r="BD550" s="3"/>
      <c r="BE550" s="3"/>
      <c r="BF550" s="3"/>
      <c r="BG550" s="3"/>
      <c r="BH550" s="3" t="s">
        <v>119</v>
      </c>
      <c r="BI550" s="3" t="str">
        <f>N657</f>
        <v>Yes</v>
      </c>
    </row>
    <row r="551" spans="1:61" ht="13" customHeight="1">
      <c r="B551" s="1394" t="s">
        <v>2102</v>
      </c>
      <c r="C551" s="1395"/>
      <c r="D551" s="1395"/>
      <c r="E551" s="1395"/>
      <c r="F551" s="1395"/>
      <c r="G551" s="1395"/>
      <c r="H551" s="1395"/>
      <c r="I551" s="1395"/>
      <c r="J551" s="1395"/>
      <c r="K551" s="1395"/>
      <c r="L551" s="1396"/>
      <c r="M551" s="1394" t="s">
        <v>2103</v>
      </c>
      <c r="N551" s="1395"/>
      <c r="O551" s="1395"/>
      <c r="P551" s="1396"/>
      <c r="Q551" s="1394" t="s">
        <v>2129</v>
      </c>
      <c r="R551" s="1395"/>
      <c r="S551" s="1396"/>
      <c r="T551" s="1394" t="s">
        <v>2130</v>
      </c>
      <c r="U551" s="1395"/>
      <c r="V551" s="1396"/>
      <c r="W551" s="1394" t="s">
        <v>453</v>
      </c>
      <c r="X551" s="1395"/>
      <c r="Y551" s="1396"/>
      <c r="Z551" s="1394" t="s">
        <v>1851</v>
      </c>
      <c r="AA551" s="1395"/>
      <c r="AB551" s="1395"/>
      <c r="AC551" s="1395"/>
      <c r="AD551" s="1396"/>
      <c r="AE551" s="1394" t="s">
        <v>1676</v>
      </c>
      <c r="AF551" s="1395"/>
      <c r="AG551" s="1395"/>
      <c r="AH551" s="1396"/>
      <c r="AI551" s="1394" t="s">
        <v>1677</v>
      </c>
      <c r="AJ551" s="1395"/>
      <c r="AK551" s="1395"/>
      <c r="AL551" s="1396"/>
      <c r="AM551" s="1394" t="s">
        <v>454</v>
      </c>
      <c r="AN551" s="1395"/>
      <c r="AO551" s="1395"/>
      <c r="AP551" s="1395"/>
      <c r="AQ551" s="1395"/>
      <c r="AR551" s="1395"/>
      <c r="AS551" s="1396"/>
      <c r="BB551" s="3"/>
      <c r="BC551" s="3"/>
      <c r="BD551" s="3"/>
      <c r="BE551" s="3"/>
      <c r="BF551" s="3"/>
      <c r="BG551" s="3"/>
      <c r="BH551" s="3" t="s">
        <v>581</v>
      </c>
      <c r="BI551" s="3" t="str">
        <f>AG657</f>
        <v>Yes</v>
      </c>
    </row>
    <row r="552" spans="1:61" ht="13" customHeight="1">
      <c r="B552" s="1397"/>
      <c r="C552" s="1398"/>
      <c r="D552" s="1398"/>
      <c r="E552" s="1398"/>
      <c r="F552" s="1398"/>
      <c r="G552" s="1398"/>
      <c r="H552" s="1398"/>
      <c r="I552" s="1398"/>
      <c r="J552" s="1398"/>
      <c r="K552" s="1398"/>
      <c r="L552" s="1399"/>
      <c r="M552" s="1397"/>
      <c r="N552" s="1398"/>
      <c r="O552" s="1398"/>
      <c r="P552" s="1399"/>
      <c r="Q552" s="1397"/>
      <c r="R552" s="1398"/>
      <c r="S552" s="1399"/>
      <c r="T552" s="1397"/>
      <c r="U552" s="1398"/>
      <c r="V552" s="1399"/>
      <c r="W552" s="1397"/>
      <c r="X552" s="1398"/>
      <c r="Y552" s="1399"/>
      <c r="Z552" s="1397"/>
      <c r="AA552" s="1398"/>
      <c r="AB552" s="1398"/>
      <c r="AC552" s="1398"/>
      <c r="AD552" s="1399"/>
      <c r="AE552" s="1397"/>
      <c r="AF552" s="1398"/>
      <c r="AG552" s="1398"/>
      <c r="AH552" s="1399"/>
      <c r="AI552" s="1397"/>
      <c r="AJ552" s="1398"/>
      <c r="AK552" s="1398"/>
      <c r="AL552" s="1399"/>
      <c r="AM552" s="1397"/>
      <c r="AN552" s="1398"/>
      <c r="AO552" s="1398"/>
      <c r="AP552" s="1398"/>
      <c r="AQ552" s="1398"/>
      <c r="AR552" s="1398"/>
      <c r="AS552" s="1399"/>
      <c r="AU552" s="1147"/>
      <c r="BB552" s="3"/>
      <c r="BC552" s="3"/>
      <c r="BD552" s="3"/>
      <c r="BE552" s="3"/>
      <c r="BF552" s="3"/>
      <c r="BG552" s="3"/>
      <c r="BH552" s="3"/>
      <c r="BI552" s="3"/>
    </row>
    <row r="553" spans="1:61" ht="13" customHeight="1">
      <c r="B553" s="1400"/>
      <c r="C553" s="1401"/>
      <c r="D553" s="1401"/>
      <c r="E553" s="1401"/>
      <c r="F553" s="1401"/>
      <c r="G553" s="1401"/>
      <c r="H553" s="1401"/>
      <c r="I553" s="1401"/>
      <c r="J553" s="1401"/>
      <c r="K553" s="1401"/>
      <c r="L553" s="1402"/>
      <c r="M553" s="1400"/>
      <c r="N553" s="1401"/>
      <c r="O553" s="1401"/>
      <c r="P553" s="1402"/>
      <c r="Q553" s="1400"/>
      <c r="R553" s="1401"/>
      <c r="S553" s="1402"/>
      <c r="T553" s="1400"/>
      <c r="U553" s="1401"/>
      <c r="V553" s="1402"/>
      <c r="W553" s="1400"/>
      <c r="X553" s="1401"/>
      <c r="Y553" s="1402"/>
      <c r="Z553" s="1400"/>
      <c r="AA553" s="1401"/>
      <c r="AB553" s="1401"/>
      <c r="AC553" s="1401"/>
      <c r="AD553" s="1402"/>
      <c r="AE553" s="1400"/>
      <c r="AF553" s="1401"/>
      <c r="AG553" s="1401"/>
      <c r="AH553" s="1402"/>
      <c r="AI553" s="1400"/>
      <c r="AJ553" s="1401"/>
      <c r="AK553" s="1401"/>
      <c r="AL553" s="1402"/>
      <c r="AM553" s="1400"/>
      <c r="AN553" s="1401"/>
      <c r="AO553" s="1401"/>
      <c r="AP553" s="1401"/>
      <c r="AQ553" s="1401"/>
      <c r="AR553" s="1401"/>
      <c r="AS553" s="1402"/>
      <c r="AU553" s="1147"/>
      <c r="BB553" s="3"/>
      <c r="BC553" s="3"/>
      <c r="BD553" s="3"/>
      <c r="BE553" s="3"/>
      <c r="BF553" s="3"/>
      <c r="BG553" s="3"/>
      <c r="BH553" s="3"/>
      <c r="BI553" s="3"/>
    </row>
    <row r="554" spans="1:61" ht="13" customHeight="1">
      <c r="B554" s="51" t="s">
        <v>112</v>
      </c>
      <c r="C554" s="1462" t="s">
        <v>2730</v>
      </c>
      <c r="D554" s="1462"/>
      <c r="E554" s="1462"/>
      <c r="F554" s="1462"/>
      <c r="G554" s="1462"/>
      <c r="H554" s="1462"/>
      <c r="I554" s="1462"/>
      <c r="J554" s="1462"/>
      <c r="K554" s="1462"/>
      <c r="L554" s="1462"/>
      <c r="M554" s="1462" t="s">
        <v>2119</v>
      </c>
      <c r="N554" s="1462"/>
      <c r="O554" s="1462"/>
      <c r="P554" s="1462"/>
      <c r="Q554" s="1420">
        <v>36</v>
      </c>
      <c r="R554" s="1420"/>
      <c r="S554" s="1421"/>
      <c r="T554" s="1419"/>
      <c r="U554" s="1420"/>
      <c r="V554" s="1421"/>
      <c r="W554" s="1413">
        <v>0.06</v>
      </c>
      <c r="X554" s="1414"/>
      <c r="Y554" s="1415"/>
      <c r="Z554" s="1405" t="s">
        <v>2734</v>
      </c>
      <c r="AA554" s="1405"/>
      <c r="AB554" s="1405"/>
      <c r="AC554" s="1405"/>
      <c r="AD554" s="1405"/>
      <c r="AE554" s="1416"/>
      <c r="AF554" s="1417"/>
      <c r="AG554" s="1417"/>
      <c r="AH554" s="1418"/>
      <c r="AI554" s="1447"/>
      <c r="AJ554" s="1448"/>
      <c r="AK554" s="1448"/>
      <c r="AL554" s="1449"/>
      <c r="AM554" s="1474">
        <v>18141000</v>
      </c>
      <c r="AN554" s="1475"/>
      <c r="AO554" s="1475"/>
      <c r="AP554" s="1475"/>
      <c r="AQ554" s="1475"/>
      <c r="AR554" s="1475"/>
      <c r="AS554" s="1476"/>
      <c r="AT554" s="1148"/>
      <c r="AU554" s="1147"/>
      <c r="BB554" s="3"/>
      <c r="BC554" s="3"/>
      <c r="BD554" s="3"/>
      <c r="BE554" s="3"/>
      <c r="BF554" s="3"/>
      <c r="BG554" s="3"/>
      <c r="BH554" s="3"/>
      <c r="BI554" s="3"/>
    </row>
    <row r="555" spans="1:61" ht="13" customHeight="1">
      <c r="B555" s="52" t="s">
        <v>113</v>
      </c>
      <c r="C555" s="1578" t="s">
        <v>2730</v>
      </c>
      <c r="D555" s="1578"/>
      <c r="E555" s="1578"/>
      <c r="F555" s="1578"/>
      <c r="G555" s="1578"/>
      <c r="H555" s="1578"/>
      <c r="I555" s="1578"/>
      <c r="J555" s="1578"/>
      <c r="K555" s="1578"/>
      <c r="L555" s="1578"/>
      <c r="M555" s="1462" t="s">
        <v>2118</v>
      </c>
      <c r="N555" s="1462"/>
      <c r="O555" s="1462"/>
      <c r="P555" s="1462"/>
      <c r="Q555" s="1419">
        <v>36</v>
      </c>
      <c r="R555" s="1420"/>
      <c r="S555" s="1421"/>
      <c r="T555" s="1419"/>
      <c r="U555" s="1420"/>
      <c r="V555" s="1421"/>
      <c r="W555" s="1413">
        <v>6.5000000000000002E-2</v>
      </c>
      <c r="X555" s="1414"/>
      <c r="Y555" s="1415"/>
      <c r="Z555" s="1405" t="s">
        <v>2734</v>
      </c>
      <c r="AA555" s="1405"/>
      <c r="AB555" s="1405"/>
      <c r="AC555" s="1405"/>
      <c r="AD555" s="1405"/>
      <c r="AE555" s="1416"/>
      <c r="AF555" s="1417"/>
      <c r="AG555" s="1417"/>
      <c r="AH555" s="1418"/>
      <c r="AI555" s="1447"/>
      <c r="AJ555" s="1448"/>
      <c r="AK555" s="1448"/>
      <c r="AL555" s="1449"/>
      <c r="AM555" s="1474">
        <f>30559000+1002906+150000+275252</f>
        <v>31987158</v>
      </c>
      <c r="AN555" s="1475"/>
      <c r="AO555" s="1475"/>
      <c r="AP555" s="1475"/>
      <c r="AQ555" s="1475"/>
      <c r="AR555" s="1475"/>
      <c r="AS555" s="1476"/>
      <c r="AT555" s="1148" t="str">
        <f>IF(AND(NOT(C554=""),C555="",NOT(C556="")),"!","")</f>
        <v/>
      </c>
      <c r="AU555" s="1147"/>
      <c r="BB555" s="3"/>
      <c r="BC555" s="3"/>
      <c r="BD555" s="3"/>
      <c r="BE555" s="3"/>
      <c r="BF555" s="3"/>
      <c r="BG555" s="3"/>
      <c r="BH555" s="3"/>
      <c r="BI555" s="3"/>
    </row>
    <row r="556" spans="1:61" ht="13" customHeight="1">
      <c r="B556" s="52" t="s">
        <v>119</v>
      </c>
      <c r="C556" s="1578" t="s">
        <v>2731</v>
      </c>
      <c r="D556" s="1578"/>
      <c r="E556" s="1578"/>
      <c r="F556" s="1578"/>
      <c r="G556" s="1578"/>
      <c r="H556" s="1578"/>
      <c r="I556" s="1578"/>
      <c r="J556" s="1578"/>
      <c r="K556" s="1578"/>
      <c r="L556" s="1578"/>
      <c r="M556" s="1462" t="s">
        <v>2115</v>
      </c>
      <c r="N556" s="1462"/>
      <c r="O556" s="1462"/>
      <c r="P556" s="1462"/>
      <c r="Q556" s="1419">
        <v>660</v>
      </c>
      <c r="R556" s="1420"/>
      <c r="S556" s="1421"/>
      <c r="T556" s="1419"/>
      <c r="U556" s="1420"/>
      <c r="V556" s="1421"/>
      <c r="W556" s="1413">
        <v>0.03</v>
      </c>
      <c r="X556" s="1414"/>
      <c r="Y556" s="1415"/>
      <c r="Z556" s="1405" t="s">
        <v>2735</v>
      </c>
      <c r="AA556" s="1405"/>
      <c r="AB556" s="1405"/>
      <c r="AC556" s="1405"/>
      <c r="AD556" s="1405"/>
      <c r="AE556" s="1416"/>
      <c r="AF556" s="1417"/>
      <c r="AG556" s="1417"/>
      <c r="AH556" s="1418"/>
      <c r="AI556" s="1447"/>
      <c r="AJ556" s="1448"/>
      <c r="AK556" s="1448"/>
      <c r="AL556" s="1449"/>
      <c r="AM556" s="1474">
        <v>7500000</v>
      </c>
      <c r="AN556" s="1475"/>
      <c r="AO556" s="1475"/>
      <c r="AP556" s="1475"/>
      <c r="AQ556" s="1475"/>
      <c r="AR556" s="1475"/>
      <c r="AS556" s="1476"/>
      <c r="AT556" s="1148" t="str">
        <f>IF(AND(NOT(C555=""),C556="",NOT(C557="")),"!","")</f>
        <v/>
      </c>
      <c r="AU556" s="1147"/>
      <c r="BB556" s="3"/>
      <c r="BC556" s="3"/>
      <c r="BD556" s="3"/>
      <c r="BE556" s="3"/>
      <c r="BF556" s="3"/>
      <c r="BG556" s="3"/>
      <c r="BH556" s="3"/>
      <c r="BI556" s="3"/>
    </row>
    <row r="557" spans="1:61" ht="13" customHeight="1">
      <c r="B557" s="52" t="s">
        <v>581</v>
      </c>
      <c r="C557" s="1578" t="s">
        <v>2732</v>
      </c>
      <c r="D557" s="1578"/>
      <c r="E557" s="1578"/>
      <c r="F557" s="1578"/>
      <c r="G557" s="1578"/>
      <c r="H557" s="1578"/>
      <c r="I557" s="1578"/>
      <c r="J557" s="1578"/>
      <c r="K557" s="1578"/>
      <c r="L557" s="1578"/>
      <c r="M557" s="1462" t="s">
        <v>2106</v>
      </c>
      <c r="N557" s="1462"/>
      <c r="O557" s="1462"/>
      <c r="P557" s="1462"/>
      <c r="Q557" s="1419"/>
      <c r="R557" s="1420"/>
      <c r="S557" s="1421"/>
      <c r="T557" s="1419"/>
      <c r="U557" s="1420"/>
      <c r="V557" s="1421"/>
      <c r="W557" s="1413"/>
      <c r="X557" s="1414"/>
      <c r="Y557" s="1415"/>
      <c r="Z557" s="1405" t="s">
        <v>591</v>
      </c>
      <c r="AA557" s="1405"/>
      <c r="AB557" s="1405"/>
      <c r="AC557" s="1405"/>
      <c r="AD557" s="1405"/>
      <c r="AE557" s="1416"/>
      <c r="AF557" s="1417"/>
      <c r="AG557" s="1417"/>
      <c r="AH557" s="1418"/>
      <c r="AI557" s="1447"/>
      <c r="AJ557" s="1448"/>
      <c r="AK557" s="1448"/>
      <c r="AL557" s="1449"/>
      <c r="AM557" s="1474">
        <v>7589096</v>
      </c>
      <c r="AN557" s="1475"/>
      <c r="AO557" s="1475"/>
      <c r="AP557" s="1475"/>
      <c r="AQ557" s="1475"/>
      <c r="AR557" s="1475"/>
      <c r="AS557" s="1476"/>
      <c r="AT557" s="1148" t="str">
        <f>IF(AND(NOT(C556=""),C557="",NOT(C558="")),"!","")</f>
        <v/>
      </c>
      <c r="AU557" s="1147"/>
      <c r="BB557" s="3"/>
      <c r="BC557" s="3"/>
      <c r="BD557" s="3"/>
      <c r="BE557" s="3"/>
      <c r="BF557" s="3"/>
      <c r="BG557" s="3"/>
      <c r="BH557" s="3"/>
      <c r="BI557" s="3"/>
    </row>
    <row r="558" spans="1:61" ht="13" customHeight="1">
      <c r="B558" s="52" t="s">
        <v>763</v>
      </c>
      <c r="C558" s="1578" t="s">
        <v>2804</v>
      </c>
      <c r="D558" s="1578"/>
      <c r="E558" s="1578"/>
      <c r="F558" s="1578"/>
      <c r="G558" s="1578"/>
      <c r="H558" s="1578"/>
      <c r="I558" s="1578"/>
      <c r="J558" s="1578"/>
      <c r="K558" s="1578"/>
      <c r="L558" s="1578"/>
      <c r="M558" s="1462" t="s">
        <v>2105</v>
      </c>
      <c r="N558" s="1462"/>
      <c r="O558" s="1462"/>
      <c r="P558" s="1462"/>
      <c r="Q558" s="1419"/>
      <c r="R558" s="1420"/>
      <c r="S558" s="1421"/>
      <c r="T558" s="1419"/>
      <c r="U558" s="1420"/>
      <c r="V558" s="1421"/>
      <c r="W558" s="1413"/>
      <c r="X558" s="1414"/>
      <c r="Y558" s="1415"/>
      <c r="Z558" s="1405" t="s">
        <v>591</v>
      </c>
      <c r="AA558" s="1405"/>
      <c r="AB558" s="1405"/>
      <c r="AC558" s="1405"/>
      <c r="AD558" s="1405"/>
      <c r="AE558" s="1416"/>
      <c r="AF558" s="1417"/>
      <c r="AG558" s="1417"/>
      <c r="AH558" s="1418"/>
      <c r="AI558" s="1447"/>
      <c r="AJ558" s="1448"/>
      <c r="AK558" s="1448"/>
      <c r="AL558" s="1449"/>
      <c r="AM558" s="1474">
        <v>2008179</v>
      </c>
      <c r="AN558" s="1475"/>
      <c r="AO558" s="1475"/>
      <c r="AP558" s="1475"/>
      <c r="AQ558" s="1475"/>
      <c r="AR558" s="1475"/>
      <c r="AS558" s="1476"/>
      <c r="AT558" s="1148" t="str">
        <f t="shared" ref="AT558:AT565" si="0">IF(AND(NOT(C557=""),C558="",NOT(C559="")),"!","")</f>
        <v/>
      </c>
      <c r="AU558" s="1147"/>
      <c r="BB558" s="3"/>
      <c r="BC558" s="3"/>
      <c r="BD558" s="3"/>
      <c r="BE558" s="3"/>
      <c r="BF558" s="3"/>
      <c r="BG558" s="3"/>
      <c r="BH558" s="3" t="s">
        <v>763</v>
      </c>
      <c r="BI558" s="3" t="str">
        <f>N665</f>
        <v>No</v>
      </c>
    </row>
    <row r="559" spans="1:61" ht="13" customHeight="1">
      <c r="B559" s="52" t="s">
        <v>584</v>
      </c>
      <c r="C559" s="1578" t="s">
        <v>2733</v>
      </c>
      <c r="D559" s="1578"/>
      <c r="E559" s="1578"/>
      <c r="F559" s="1578"/>
      <c r="G559" s="1578"/>
      <c r="H559" s="1578"/>
      <c r="I559" s="1578"/>
      <c r="J559" s="1578"/>
      <c r="K559" s="1578"/>
      <c r="L559" s="1578"/>
      <c r="M559" s="1462" t="s">
        <v>2110</v>
      </c>
      <c r="N559" s="1462"/>
      <c r="O559" s="1462"/>
      <c r="P559" s="1462"/>
      <c r="Q559" s="1419"/>
      <c r="R559" s="1420"/>
      <c r="S559" s="1421"/>
      <c r="T559" s="1419"/>
      <c r="U559" s="1420"/>
      <c r="V559" s="1421"/>
      <c r="W559" s="1413"/>
      <c r="X559" s="1414"/>
      <c r="Y559" s="1415"/>
      <c r="Z559" s="1405" t="s">
        <v>591</v>
      </c>
      <c r="AA559" s="1405"/>
      <c r="AB559" s="1405"/>
      <c r="AC559" s="1405"/>
      <c r="AD559" s="1405"/>
      <c r="AE559" s="1416"/>
      <c r="AF559" s="1417"/>
      <c r="AG559" s="1417"/>
      <c r="AH559" s="1418"/>
      <c r="AI559" s="1447"/>
      <c r="AJ559" s="1448"/>
      <c r="AK559" s="1448"/>
      <c r="AL559" s="1449"/>
      <c r="AM559" s="1474">
        <v>4084043</v>
      </c>
      <c r="AN559" s="1475"/>
      <c r="AO559" s="1475"/>
      <c r="AP559" s="1475"/>
      <c r="AQ559" s="1475"/>
      <c r="AR559" s="1475"/>
      <c r="AS559" s="1476"/>
      <c r="AT559" s="1148" t="str">
        <f t="shared" si="0"/>
        <v/>
      </c>
      <c r="AU559" s="1147"/>
      <c r="BB559" s="3"/>
      <c r="BC559" s="3"/>
      <c r="BD559" s="3"/>
      <c r="BE559" s="3"/>
      <c r="BF559" s="3"/>
      <c r="BG559" s="3"/>
      <c r="BH559" s="3" t="s">
        <v>584</v>
      </c>
      <c r="BI559" s="3" t="str">
        <f>AG665</f>
        <v>No</v>
      </c>
    </row>
    <row r="560" spans="1:61" ht="13" customHeight="1">
      <c r="B560" s="52" t="s">
        <v>455</v>
      </c>
      <c r="C560" s="1578"/>
      <c r="D560" s="1578"/>
      <c r="E560" s="1578"/>
      <c r="F560" s="1578"/>
      <c r="G560" s="1578"/>
      <c r="H560" s="1578"/>
      <c r="I560" s="1578"/>
      <c r="J560" s="1578"/>
      <c r="K560" s="1578"/>
      <c r="L560" s="1578"/>
      <c r="M560" s="1462" t="s">
        <v>1184</v>
      </c>
      <c r="N560" s="1462"/>
      <c r="O560" s="1462"/>
      <c r="P560" s="1462"/>
      <c r="Q560" s="1419"/>
      <c r="R560" s="1420"/>
      <c r="S560" s="1421"/>
      <c r="T560" s="1419"/>
      <c r="U560" s="1420"/>
      <c r="V560" s="1421"/>
      <c r="W560" s="1413"/>
      <c r="X560" s="1414"/>
      <c r="Y560" s="1415"/>
      <c r="Z560" s="1405" t="s">
        <v>1184</v>
      </c>
      <c r="AA560" s="1405"/>
      <c r="AB560" s="1405"/>
      <c r="AC560" s="1405"/>
      <c r="AD560" s="1405"/>
      <c r="AE560" s="1416"/>
      <c r="AF560" s="1417"/>
      <c r="AG560" s="1417"/>
      <c r="AH560" s="1418"/>
      <c r="AI560" s="1447"/>
      <c r="AJ560" s="1448"/>
      <c r="AK560" s="1448"/>
      <c r="AL560" s="1449"/>
      <c r="AM560" s="1474"/>
      <c r="AN560" s="1475"/>
      <c r="AO560" s="1475"/>
      <c r="AP560" s="1475"/>
      <c r="AQ560" s="1475"/>
      <c r="AR560" s="1475"/>
      <c r="AS560" s="1476"/>
      <c r="AT560" s="1148" t="str">
        <f t="shared" si="0"/>
        <v/>
      </c>
      <c r="AU560" s="1147"/>
      <c r="BB560" s="3"/>
      <c r="BC560" s="3"/>
      <c r="BD560" s="3"/>
      <c r="BE560" s="3"/>
      <c r="BF560" s="3"/>
      <c r="BG560" s="3"/>
      <c r="BH560" s="3"/>
      <c r="BI560" s="3"/>
    </row>
    <row r="561" spans="1:61" ht="13" customHeight="1">
      <c r="B561" s="52" t="s">
        <v>456</v>
      </c>
      <c r="C561" s="1578"/>
      <c r="D561" s="1578"/>
      <c r="E561" s="1578"/>
      <c r="F561" s="1578"/>
      <c r="G561" s="1578"/>
      <c r="H561" s="1578"/>
      <c r="I561" s="1578"/>
      <c r="J561" s="1578"/>
      <c r="K561" s="1578"/>
      <c r="L561" s="1578"/>
      <c r="M561" s="1462" t="s">
        <v>1184</v>
      </c>
      <c r="N561" s="1462"/>
      <c r="O561" s="1462"/>
      <c r="P561" s="1462"/>
      <c r="Q561" s="1419"/>
      <c r="R561" s="1420"/>
      <c r="S561" s="1421"/>
      <c r="T561" s="1419"/>
      <c r="U561" s="1420"/>
      <c r="V561" s="1421"/>
      <c r="W561" s="1413"/>
      <c r="X561" s="1414"/>
      <c r="Y561" s="1415"/>
      <c r="Z561" s="1405" t="s">
        <v>1184</v>
      </c>
      <c r="AA561" s="1405"/>
      <c r="AB561" s="1405"/>
      <c r="AC561" s="1405"/>
      <c r="AD561" s="1405"/>
      <c r="AE561" s="1416"/>
      <c r="AF561" s="1417"/>
      <c r="AG561" s="1417"/>
      <c r="AH561" s="1418"/>
      <c r="AI561" s="1447"/>
      <c r="AJ561" s="1448"/>
      <c r="AK561" s="1448"/>
      <c r="AL561" s="1449"/>
      <c r="AM561" s="1474"/>
      <c r="AN561" s="1475"/>
      <c r="AO561" s="1475"/>
      <c r="AP561" s="1475"/>
      <c r="AQ561" s="1475"/>
      <c r="AR561" s="1475"/>
      <c r="AS561" s="1476"/>
      <c r="AT561" s="1148" t="str">
        <f t="shared" si="0"/>
        <v/>
      </c>
      <c r="AU561" s="1147"/>
      <c r="BB561" s="3"/>
      <c r="BC561" s="3"/>
      <c r="BD561" s="3"/>
      <c r="BE561" s="3"/>
      <c r="BF561" s="3"/>
      <c r="BG561" s="3"/>
      <c r="BH561" s="3"/>
      <c r="BI561" s="3"/>
    </row>
    <row r="562" spans="1:61" ht="13" customHeight="1">
      <c r="B562" s="52" t="s">
        <v>461</v>
      </c>
      <c r="C562" s="1578"/>
      <c r="D562" s="1578"/>
      <c r="E562" s="1578"/>
      <c r="F562" s="1578"/>
      <c r="G562" s="1578"/>
      <c r="H562" s="1578"/>
      <c r="I562" s="1578"/>
      <c r="J562" s="1578"/>
      <c r="K562" s="1578"/>
      <c r="L562" s="1578"/>
      <c r="M562" s="1462" t="s">
        <v>1184</v>
      </c>
      <c r="N562" s="1462"/>
      <c r="O562" s="1462"/>
      <c r="P562" s="1462"/>
      <c r="Q562" s="1419"/>
      <c r="R562" s="1420"/>
      <c r="S562" s="1421"/>
      <c r="T562" s="1419"/>
      <c r="U562" s="1420"/>
      <c r="V562" s="1421"/>
      <c r="W562" s="1413"/>
      <c r="X562" s="1414"/>
      <c r="Y562" s="1415"/>
      <c r="Z562" s="1405" t="s">
        <v>1184</v>
      </c>
      <c r="AA562" s="1405"/>
      <c r="AB562" s="1405"/>
      <c r="AC562" s="1405"/>
      <c r="AD562" s="1405"/>
      <c r="AE562" s="1416"/>
      <c r="AF562" s="1417"/>
      <c r="AG562" s="1417"/>
      <c r="AH562" s="1418"/>
      <c r="AI562" s="1447"/>
      <c r="AJ562" s="1448"/>
      <c r="AK562" s="1448"/>
      <c r="AL562" s="1449"/>
      <c r="AM562" s="1474"/>
      <c r="AN562" s="1475"/>
      <c r="AO562" s="1475"/>
      <c r="AP562" s="1475"/>
      <c r="AQ562" s="1475"/>
      <c r="AR562" s="1475"/>
      <c r="AS562" s="1476"/>
      <c r="AT562" s="1148" t="str">
        <f t="shared" si="0"/>
        <v/>
      </c>
      <c r="AU562" s="1147"/>
      <c r="BB562" s="3"/>
      <c r="BC562" s="3"/>
      <c r="BD562" s="3"/>
      <c r="BE562" s="3"/>
      <c r="BF562" s="3"/>
      <c r="BG562" s="3"/>
      <c r="BH562" s="3"/>
      <c r="BI562" s="3"/>
    </row>
    <row r="563" spans="1:61" ht="13" customHeight="1">
      <c r="B563" s="52" t="s">
        <v>646</v>
      </c>
      <c r="C563" s="1578"/>
      <c r="D563" s="1578"/>
      <c r="E563" s="1578"/>
      <c r="F563" s="1578"/>
      <c r="G563" s="1578"/>
      <c r="H563" s="1578"/>
      <c r="I563" s="1578"/>
      <c r="J563" s="1578"/>
      <c r="K563" s="1578"/>
      <c r="L563" s="1578"/>
      <c r="M563" s="1462" t="s">
        <v>1184</v>
      </c>
      <c r="N563" s="1462"/>
      <c r="O563" s="1462"/>
      <c r="P563" s="1462"/>
      <c r="Q563" s="1419"/>
      <c r="R563" s="1420"/>
      <c r="S563" s="1421"/>
      <c r="T563" s="1419"/>
      <c r="U563" s="1420"/>
      <c r="V563" s="1421"/>
      <c r="W563" s="1413"/>
      <c r="X563" s="1414"/>
      <c r="Y563" s="1415"/>
      <c r="Z563" s="1405" t="s">
        <v>1184</v>
      </c>
      <c r="AA563" s="1405"/>
      <c r="AB563" s="1405"/>
      <c r="AC563" s="1405"/>
      <c r="AD563" s="1405"/>
      <c r="AE563" s="1416"/>
      <c r="AF563" s="1417"/>
      <c r="AG563" s="1417"/>
      <c r="AH563" s="1418"/>
      <c r="AI563" s="1447"/>
      <c r="AJ563" s="1448"/>
      <c r="AK563" s="1448"/>
      <c r="AL563" s="1449"/>
      <c r="AM563" s="1474"/>
      <c r="AN563" s="1475"/>
      <c r="AO563" s="1475"/>
      <c r="AP563" s="1475"/>
      <c r="AQ563" s="1475"/>
      <c r="AR563" s="1475"/>
      <c r="AS563" s="1476"/>
      <c r="AT563" s="1148" t="str">
        <f t="shared" si="0"/>
        <v/>
      </c>
      <c r="BB563" s="3"/>
      <c r="BC563" s="3"/>
      <c r="BD563" s="3"/>
      <c r="BE563" s="3"/>
      <c r="BF563" s="3"/>
      <c r="BG563" s="3"/>
      <c r="BH563" s="3"/>
      <c r="BI563" s="3"/>
    </row>
    <row r="564" spans="1:61" ht="13" customHeight="1">
      <c r="B564" s="52" t="s">
        <v>361</v>
      </c>
      <c r="C564" s="1578"/>
      <c r="D564" s="1578"/>
      <c r="E564" s="1578"/>
      <c r="F564" s="1578"/>
      <c r="G564" s="1578"/>
      <c r="H564" s="1578"/>
      <c r="I564" s="1578"/>
      <c r="J564" s="1578"/>
      <c r="K564" s="1578"/>
      <c r="L564" s="1578"/>
      <c r="M564" s="1462" t="s">
        <v>1184</v>
      </c>
      <c r="N564" s="1462"/>
      <c r="O564" s="1462"/>
      <c r="P564" s="1462"/>
      <c r="Q564" s="1419"/>
      <c r="R564" s="1420"/>
      <c r="S564" s="1421"/>
      <c r="T564" s="1419"/>
      <c r="U564" s="1420"/>
      <c r="V564" s="1421"/>
      <c r="W564" s="1413"/>
      <c r="X564" s="1414"/>
      <c r="Y564" s="1415"/>
      <c r="Z564" s="1405" t="s">
        <v>1184</v>
      </c>
      <c r="AA564" s="1405"/>
      <c r="AB564" s="1405"/>
      <c r="AC564" s="1405"/>
      <c r="AD564" s="1405"/>
      <c r="AE564" s="1416"/>
      <c r="AF564" s="1417"/>
      <c r="AG564" s="1417"/>
      <c r="AH564" s="1418"/>
      <c r="AI564" s="1447"/>
      <c r="AJ564" s="1448"/>
      <c r="AK564" s="1448"/>
      <c r="AL564" s="1449"/>
      <c r="AM564" s="1474"/>
      <c r="AN564" s="1475"/>
      <c r="AO564" s="1475"/>
      <c r="AP564" s="1475"/>
      <c r="AQ564" s="1475"/>
      <c r="AR564" s="1475"/>
      <c r="AS564" s="1476"/>
      <c r="AT564" s="1148" t="str">
        <f t="shared" si="0"/>
        <v/>
      </c>
      <c r="BB564" s="3"/>
      <c r="BC564" s="3"/>
      <c r="BD564" s="3"/>
      <c r="BE564" s="3"/>
      <c r="BF564" s="3"/>
      <c r="BG564" s="3"/>
      <c r="BH564" s="3"/>
      <c r="BI564" s="3"/>
    </row>
    <row r="565" spans="1:61" ht="13" customHeight="1">
      <c r="B565" s="52" t="s">
        <v>362</v>
      </c>
      <c r="C565" s="1578"/>
      <c r="D565" s="1578"/>
      <c r="E565" s="1578"/>
      <c r="F565" s="1578"/>
      <c r="G565" s="1578"/>
      <c r="H565" s="1578"/>
      <c r="I565" s="1578"/>
      <c r="J565" s="1578"/>
      <c r="K565" s="1578"/>
      <c r="L565" s="1578"/>
      <c r="M565" s="1462" t="s">
        <v>1184</v>
      </c>
      <c r="N565" s="1462"/>
      <c r="O565" s="1462"/>
      <c r="P565" s="1462"/>
      <c r="Q565" s="1419"/>
      <c r="R565" s="1420"/>
      <c r="S565" s="1421"/>
      <c r="T565" s="1419"/>
      <c r="U565" s="1420"/>
      <c r="V565" s="1421"/>
      <c r="W565" s="1413"/>
      <c r="X565" s="1414"/>
      <c r="Y565" s="1415"/>
      <c r="Z565" s="1405" t="s">
        <v>1184</v>
      </c>
      <c r="AA565" s="1405"/>
      <c r="AB565" s="1405"/>
      <c r="AC565" s="1405"/>
      <c r="AD565" s="1405"/>
      <c r="AE565" s="1416"/>
      <c r="AF565" s="1417"/>
      <c r="AG565" s="1417"/>
      <c r="AH565" s="1418"/>
      <c r="AI565" s="1447"/>
      <c r="AJ565" s="1448"/>
      <c r="AK565" s="1448"/>
      <c r="AL565" s="1449"/>
      <c r="AM565" s="1474"/>
      <c r="AN565" s="1475"/>
      <c r="AO565" s="1475"/>
      <c r="AP565" s="1475"/>
      <c r="AQ565" s="1475"/>
      <c r="AR565" s="1475"/>
      <c r="AS565" s="1476"/>
      <c r="AT565" s="1148" t="str">
        <f t="shared" si="0"/>
        <v/>
      </c>
      <c r="BB565" s="3"/>
      <c r="BC565" s="3"/>
      <c r="BD565" s="3"/>
      <c r="BE565" s="3"/>
      <c r="BF565" s="3"/>
      <c r="BG565" s="3"/>
      <c r="BH565" s="3"/>
      <c r="BI565" s="3"/>
    </row>
    <row r="566" spans="1:61" ht="13" customHeight="1">
      <c r="B566" s="1470" t="s">
        <v>127</v>
      </c>
      <c r="C566" s="1471"/>
      <c r="D566" s="1471"/>
      <c r="E566" s="1471"/>
      <c r="F566" s="1471"/>
      <c r="G566" s="1471"/>
      <c r="H566" s="1471"/>
      <c r="I566" s="1471"/>
      <c r="J566" s="1471"/>
      <c r="K566" s="1471"/>
      <c r="L566" s="1471"/>
      <c r="M566" s="1471"/>
      <c r="N566" s="1471"/>
      <c r="O566" s="1471"/>
      <c r="P566" s="1471"/>
      <c r="Q566" s="1471"/>
      <c r="R566" s="1471"/>
      <c r="S566" s="1471"/>
      <c r="T566" s="1471"/>
      <c r="U566" s="1472"/>
      <c r="V566" s="1471"/>
      <c r="W566" s="1471"/>
      <c r="X566" s="1471"/>
      <c r="Y566" s="1471"/>
      <c r="Z566" s="1471"/>
      <c r="AA566" s="1471"/>
      <c r="AB566" s="1471"/>
      <c r="AC566" s="1471"/>
      <c r="AD566" s="1471"/>
      <c r="AE566" s="1471"/>
      <c r="AF566" s="1471"/>
      <c r="AG566" s="1471"/>
      <c r="AH566" s="1471"/>
      <c r="AI566" s="1471"/>
      <c r="AJ566" s="1471"/>
      <c r="AK566" s="1471"/>
      <c r="AL566" s="1473"/>
      <c r="AM566" s="1455">
        <f>SUM(AM554:AS565)</f>
        <v>71309476</v>
      </c>
      <c r="AN566" s="1456"/>
      <c r="AO566" s="1456"/>
      <c r="AP566" s="1456"/>
      <c r="AQ566" s="1456"/>
      <c r="AR566" s="1456"/>
      <c r="AS566" s="1457"/>
      <c r="BB566" s="3"/>
      <c r="BC566" s="3"/>
      <c r="BD566" s="3"/>
      <c r="BE566" s="3"/>
      <c r="BF566" s="3"/>
      <c r="BG566" s="3"/>
      <c r="BH566" s="3" t="s">
        <v>455</v>
      </c>
      <c r="BI566" s="3" t="str">
        <f>N673</f>
        <v>No</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3" customHeight="1">
      <c r="A568" s="55" t="s">
        <v>112</v>
      </c>
      <c r="B568" t="s">
        <v>463</v>
      </c>
      <c r="G568" s="1468" t="str">
        <f>C554</f>
        <v>Citibank</v>
      </c>
      <c r="H568" s="1468"/>
      <c r="I568" s="1468"/>
      <c r="J568" s="1468"/>
      <c r="K568" s="1468"/>
      <c r="L568" s="1468"/>
      <c r="M568" s="1468"/>
      <c r="N568" s="1468"/>
      <c r="O568" s="1468"/>
      <c r="P568" s="1468"/>
      <c r="Q568" s="1468"/>
      <c r="R568" s="1468"/>
      <c r="S568" s="8"/>
      <c r="T568" s="55" t="s">
        <v>113</v>
      </c>
      <c r="U568" t="s">
        <v>463</v>
      </c>
      <c r="Z568" s="1468" t="str">
        <f>C555</f>
        <v>Citibank</v>
      </c>
      <c r="AA568" s="1468"/>
      <c r="AB568" s="1468"/>
      <c r="AC568" s="1468"/>
      <c r="AD568" s="1468"/>
      <c r="AE568" s="1468"/>
      <c r="AF568" s="1468"/>
      <c r="AG568" s="1468"/>
      <c r="AH568" s="1468"/>
      <c r="AI568" s="1468"/>
      <c r="AJ568" s="1468"/>
      <c r="AK568" s="1468"/>
      <c r="BB568" s="3"/>
      <c r="BC568" s="3"/>
      <c r="BD568" s="3"/>
      <c r="BE568" s="3"/>
      <c r="BF568" s="3"/>
      <c r="BG568" s="3"/>
      <c r="BH568" s="3"/>
      <c r="BI568" s="3"/>
    </row>
    <row r="569" spans="1:61" ht="13" customHeight="1">
      <c r="A569" s="22"/>
      <c r="B569" t="s">
        <v>85</v>
      </c>
      <c r="G569" s="1409" t="s">
        <v>2736</v>
      </c>
      <c r="H569" s="1409"/>
      <c r="I569" s="1409"/>
      <c r="J569" s="1409"/>
      <c r="K569" s="1409"/>
      <c r="L569" s="1409"/>
      <c r="M569" s="1409"/>
      <c r="N569" s="1409"/>
      <c r="O569" s="1409"/>
      <c r="P569" s="1409"/>
      <c r="Q569" s="1409"/>
      <c r="R569" s="1409"/>
      <c r="S569" s="8"/>
      <c r="T569" s="22"/>
      <c r="U569" t="s">
        <v>85</v>
      </c>
      <c r="Z569" s="1261" t="s">
        <v>2739</v>
      </c>
      <c r="AA569" s="1261"/>
      <c r="AB569" s="1261"/>
      <c r="AC569" s="1261"/>
      <c r="AD569" s="1261"/>
      <c r="AE569" s="1261"/>
      <c r="AF569" s="1261"/>
      <c r="AG569" s="1261"/>
      <c r="AH569" s="1261"/>
      <c r="AI569" s="1261"/>
      <c r="AJ569" s="1261"/>
      <c r="AK569" s="1261"/>
      <c r="BB569" s="3"/>
      <c r="BC569" s="3"/>
      <c r="BD569" s="3"/>
      <c r="BE569" s="3"/>
      <c r="BF569" s="3"/>
      <c r="BG569" s="3"/>
      <c r="BH569" s="3"/>
      <c r="BI569" s="3"/>
    </row>
    <row r="570" spans="1:61" ht="13" customHeight="1">
      <c r="A570" s="22"/>
      <c r="B570" t="s">
        <v>580</v>
      </c>
      <c r="G570" s="1409" t="s">
        <v>2737</v>
      </c>
      <c r="H570" s="1409"/>
      <c r="I570" s="1409"/>
      <c r="J570" s="1409"/>
      <c r="K570" s="1409"/>
      <c r="L570" s="1409"/>
      <c r="M570" s="1409"/>
      <c r="N570" s="1409"/>
      <c r="O570" s="1409"/>
      <c r="P570" s="1409"/>
      <c r="Q570" s="1409"/>
      <c r="R570" s="1409"/>
      <c r="T570" s="22"/>
      <c r="U570" t="s">
        <v>580</v>
      </c>
      <c r="Z570" s="251" t="s">
        <v>2740</v>
      </c>
      <c r="AA570" s="251"/>
      <c r="AB570" s="251"/>
      <c r="AC570" s="251"/>
      <c r="AD570" s="251"/>
      <c r="AE570" s="251"/>
      <c r="AF570" s="251"/>
      <c r="AG570" s="251"/>
      <c r="AH570" s="251"/>
      <c r="AI570" s="251"/>
      <c r="AJ570" s="251"/>
      <c r="AK570" s="251"/>
      <c r="BB570" s="3"/>
      <c r="BC570" s="3"/>
      <c r="BD570" s="3"/>
      <c r="BE570" s="3"/>
      <c r="BF570" s="3"/>
      <c r="BG570" s="3"/>
      <c r="BH570" s="3"/>
      <c r="BI570" s="3"/>
    </row>
    <row r="571" spans="1:61" ht="13" customHeight="1">
      <c r="A571" s="22"/>
      <c r="B571" t="s">
        <v>17</v>
      </c>
      <c r="G571" s="1409" t="s">
        <v>2738</v>
      </c>
      <c r="H571" s="1409"/>
      <c r="I571" s="1409"/>
      <c r="J571" s="1409"/>
      <c r="K571" s="1409"/>
      <c r="L571" s="1409"/>
      <c r="M571" s="1409"/>
      <c r="N571" s="1409"/>
      <c r="O571" s="1409"/>
      <c r="P571" s="1409"/>
      <c r="Q571" s="1409"/>
      <c r="R571" s="1409"/>
      <c r="S571" s="8"/>
      <c r="T571" s="22"/>
      <c r="U571" t="s">
        <v>17</v>
      </c>
      <c r="Z571" s="251" t="s">
        <v>2741</v>
      </c>
      <c r="AA571" s="251"/>
      <c r="AB571" s="251"/>
      <c r="AC571" s="251"/>
      <c r="AD571" s="251"/>
      <c r="AE571" s="251"/>
      <c r="AF571" s="251"/>
      <c r="AG571" s="251"/>
      <c r="AH571" s="251"/>
      <c r="AI571" s="251"/>
      <c r="AJ571" s="251"/>
      <c r="AK571" s="251"/>
      <c r="BB571" s="3"/>
      <c r="BC571" s="3"/>
      <c r="BD571" s="3"/>
      <c r="BE571" s="3"/>
      <c r="BF571" s="3"/>
      <c r="BG571" s="3"/>
      <c r="BH571" s="3"/>
      <c r="BI571" s="3"/>
    </row>
    <row r="572" spans="1:61" ht="13" customHeight="1">
      <c r="A572" s="22"/>
      <c r="B572" t="s">
        <v>315</v>
      </c>
      <c r="G572" s="1467" t="s">
        <v>2742</v>
      </c>
      <c r="H572" s="1467"/>
      <c r="I572" s="1467"/>
      <c r="J572" s="1467"/>
      <c r="K572" s="1467"/>
      <c r="L572" s="1467"/>
      <c r="O572" s="33" t="s">
        <v>205</v>
      </c>
      <c r="P572" s="1454"/>
      <c r="Q572" s="1454"/>
      <c r="R572" s="1454"/>
      <c r="S572" s="10"/>
      <c r="T572" s="22"/>
      <c r="U572" t="s">
        <v>315</v>
      </c>
      <c r="Z572" s="1262" t="s">
        <v>2742</v>
      </c>
      <c r="AA572" s="1260"/>
      <c r="AB572" s="1260"/>
      <c r="AC572" s="1260"/>
      <c r="AD572" s="1260"/>
      <c r="AE572" s="1260"/>
      <c r="AH572" s="33" t="s">
        <v>205</v>
      </c>
      <c r="AI572" s="1454"/>
      <c r="AJ572" s="1454"/>
      <c r="AK572" s="1454"/>
      <c r="BB572" s="3"/>
      <c r="BC572" s="3"/>
      <c r="BD572" s="3"/>
      <c r="BE572" s="3"/>
      <c r="BF572" s="3"/>
      <c r="BG572" s="3"/>
      <c r="BH572" s="3"/>
      <c r="BI572" s="3"/>
    </row>
    <row r="573" spans="1:61" ht="13" customHeight="1">
      <c r="A573" s="22"/>
      <c r="B573" t="s">
        <v>18</v>
      </c>
      <c r="H573" s="1409" t="s">
        <v>2744</v>
      </c>
      <c r="I573" s="1409"/>
      <c r="J573" s="1409"/>
      <c r="K573" s="1409"/>
      <c r="L573" s="1409"/>
      <c r="M573" s="1409"/>
      <c r="N573" s="1409"/>
      <c r="O573" s="1409"/>
      <c r="P573" s="1409"/>
      <c r="Q573" s="1409"/>
      <c r="R573" s="1409"/>
      <c r="S573" s="8"/>
      <c r="T573" s="22"/>
      <c r="U573" t="s">
        <v>18</v>
      </c>
      <c r="AA573" s="1409" t="s">
        <v>2743</v>
      </c>
      <c r="AB573" s="1409"/>
      <c r="AC573" s="1409"/>
      <c r="AD573" s="1409"/>
      <c r="AE573" s="1409"/>
      <c r="AF573" s="1409"/>
      <c r="AG573" s="1409"/>
      <c r="AH573" s="1409"/>
      <c r="AI573" s="1409"/>
      <c r="AJ573" s="1409"/>
      <c r="AK573" s="1409"/>
      <c r="BB573" s="3"/>
      <c r="BC573" s="3"/>
      <c r="BD573" s="3"/>
      <c r="BE573" s="3"/>
      <c r="BF573" s="3"/>
      <c r="BG573" s="3"/>
      <c r="BH573" s="3"/>
      <c r="BI573" s="3"/>
    </row>
    <row r="574" spans="1:61" ht="13" customHeight="1">
      <c r="A574" s="22"/>
      <c r="B574" s="320" t="s">
        <v>1185</v>
      </c>
      <c r="H574" s="8"/>
      <c r="I574" s="8"/>
      <c r="J574" s="8"/>
      <c r="K574" s="8"/>
      <c r="L574" s="8"/>
      <c r="M574" s="1579"/>
      <c r="N574" s="1579"/>
      <c r="O574" s="1579"/>
      <c r="P574" s="1579"/>
      <c r="Q574" s="1579"/>
      <c r="R574" s="1579"/>
      <c r="S574" s="8"/>
      <c r="T574" s="22"/>
      <c r="U574" s="320" t="s">
        <v>1185</v>
      </c>
      <c r="AA574" s="8"/>
      <c r="AB574" s="8"/>
      <c r="AC574" s="8"/>
      <c r="AD574" s="8"/>
      <c r="AE574" s="8"/>
      <c r="AF574" s="1579"/>
      <c r="AG574" s="1579"/>
      <c r="AH574" s="1579"/>
      <c r="AI574" s="1579"/>
      <c r="AJ574" s="1579"/>
      <c r="AK574" s="1579"/>
      <c r="BB574" s="3"/>
      <c r="BC574" s="3"/>
      <c r="BD574" s="3"/>
      <c r="BE574" s="3"/>
      <c r="BF574" s="3"/>
      <c r="BG574" s="3"/>
      <c r="BH574" s="3"/>
      <c r="BI574" s="3"/>
    </row>
    <row r="575" spans="1:61" ht="13" customHeight="1">
      <c r="A575" s="22"/>
      <c r="B575" t="s">
        <v>20</v>
      </c>
      <c r="N575" s="1426" t="s">
        <v>545</v>
      </c>
      <c r="O575" s="1426"/>
      <c r="T575" s="22"/>
      <c r="U575" t="s">
        <v>20</v>
      </c>
      <c r="AG575" s="1426" t="s">
        <v>545</v>
      </c>
      <c r="AH575" s="1426"/>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463</v>
      </c>
      <c r="G577" s="1468" t="str">
        <f>C556</f>
        <v>County of Marin HTF Loan</v>
      </c>
      <c r="H577" s="1468"/>
      <c r="I577" s="1468"/>
      <c r="J577" s="1468"/>
      <c r="K577" s="1468"/>
      <c r="L577" s="1468"/>
      <c r="M577" s="1468"/>
      <c r="N577" s="1468"/>
      <c r="O577" s="1468"/>
      <c r="P577" s="1468"/>
      <c r="Q577" s="1468"/>
      <c r="R577" s="1468"/>
      <c r="T577" s="55" t="s">
        <v>581</v>
      </c>
      <c r="U577" t="s">
        <v>463</v>
      </c>
      <c r="Z577" s="1468" t="str">
        <f>C557</f>
        <v>Deferred developer fee</v>
      </c>
      <c r="AA577" s="1468"/>
      <c r="AB577" s="1468"/>
      <c r="AC577" s="1468"/>
      <c r="AD577" s="1468"/>
      <c r="AE577" s="1468"/>
      <c r="AF577" s="1468"/>
      <c r="AG577" s="1468"/>
      <c r="AH577" s="1468"/>
      <c r="AI577" s="1468"/>
      <c r="AJ577" s="1468"/>
      <c r="AK577" s="1468"/>
      <c r="BB577" s="3"/>
      <c r="BC577" s="3"/>
    </row>
    <row r="578" spans="1:55" ht="13" customHeight="1">
      <c r="A578" s="22"/>
      <c r="B578" t="s">
        <v>85</v>
      </c>
      <c r="G578" s="1261" t="s">
        <v>2612</v>
      </c>
      <c r="H578" s="1261"/>
      <c r="I578" s="1261"/>
      <c r="J578" s="1261"/>
      <c r="K578" s="1261"/>
      <c r="L578" s="1261"/>
      <c r="M578" s="1261"/>
      <c r="N578" s="1261"/>
      <c r="O578" s="1261"/>
      <c r="P578" s="1261"/>
      <c r="Q578" s="1261"/>
      <c r="R578" s="1261"/>
      <c r="T578" s="22"/>
      <c r="U578" t="s">
        <v>85</v>
      </c>
      <c r="Z578" s="1409" t="s">
        <v>2747</v>
      </c>
      <c r="AA578" s="1409"/>
      <c r="AB578" s="1409"/>
      <c r="AC578" s="1409"/>
      <c r="AD578" s="1409"/>
      <c r="AE578" s="1409"/>
      <c r="AF578" s="1409"/>
      <c r="AG578" s="1409"/>
      <c r="AH578" s="1409"/>
      <c r="AI578" s="1409"/>
      <c r="AJ578" s="1409"/>
      <c r="AK578" s="1409"/>
      <c r="BB578" s="3"/>
      <c r="BC578" s="3"/>
    </row>
    <row r="579" spans="1:55" ht="13" customHeight="1">
      <c r="A579" s="22"/>
      <c r="B579" t="s">
        <v>580</v>
      </c>
      <c r="G579" s="251" t="s">
        <v>2617</v>
      </c>
      <c r="H579" s="251"/>
      <c r="I579" s="251"/>
      <c r="J579" s="251"/>
      <c r="K579" s="251"/>
      <c r="L579" s="251"/>
      <c r="M579" s="251"/>
      <c r="N579" s="251"/>
      <c r="O579" s="251"/>
      <c r="P579" s="251"/>
      <c r="Q579" s="251"/>
      <c r="R579" s="251"/>
      <c r="T579" s="22"/>
      <c r="U579" t="s">
        <v>580</v>
      </c>
      <c r="Z579" s="1453" t="s">
        <v>2748</v>
      </c>
      <c r="AA579" s="1453"/>
      <c r="AB579" s="1453"/>
      <c r="AC579" s="1453"/>
      <c r="AD579" s="1453"/>
      <c r="AE579" s="1453"/>
      <c r="AF579" s="1453"/>
      <c r="AG579" s="1453"/>
      <c r="AH579" s="1453"/>
      <c r="AI579" s="1453"/>
      <c r="AJ579" s="1453"/>
      <c r="AK579" s="1453"/>
      <c r="BB579" s="3"/>
      <c r="BC579" s="3"/>
    </row>
    <row r="580" spans="1:55" ht="13" customHeight="1">
      <c r="A580" s="22"/>
      <c r="B580" t="s">
        <v>17</v>
      </c>
      <c r="G580" s="251" t="s">
        <v>2745</v>
      </c>
      <c r="H580" s="251"/>
      <c r="I580" s="251"/>
      <c r="J580" s="251"/>
      <c r="K580" s="251"/>
      <c r="L580" s="251"/>
      <c r="M580" s="251"/>
      <c r="N580" s="251"/>
      <c r="O580" s="251"/>
      <c r="P580" s="251"/>
      <c r="Q580" s="251"/>
      <c r="R580" s="251"/>
      <c r="T580" s="22"/>
      <c r="U580" t="s">
        <v>17</v>
      </c>
      <c r="Z580" s="1453" t="s">
        <v>2749</v>
      </c>
      <c r="AA580" s="1453"/>
      <c r="AB580" s="1453"/>
      <c r="AC580" s="1453"/>
      <c r="AD580" s="1453"/>
      <c r="AE580" s="1453"/>
      <c r="AF580" s="1453"/>
      <c r="AG580" s="1453"/>
      <c r="AH580" s="1453"/>
      <c r="AI580" s="1453"/>
      <c r="AJ580" s="1453"/>
      <c r="AK580" s="1453"/>
      <c r="BB580" s="3"/>
      <c r="BC580" s="3"/>
    </row>
    <row r="581" spans="1:55" ht="13" customHeight="1">
      <c r="A581" s="22"/>
      <c r="B581" t="s">
        <v>315</v>
      </c>
      <c r="G581" s="1467" t="s">
        <v>2746</v>
      </c>
      <c r="H581" s="1467"/>
      <c r="I581" s="1467"/>
      <c r="J581" s="1467"/>
      <c r="K581" s="1467"/>
      <c r="L581" s="1467"/>
      <c r="O581" s="33" t="s">
        <v>205</v>
      </c>
      <c r="P581" s="1454"/>
      <c r="Q581" s="1454"/>
      <c r="R581" s="1454"/>
      <c r="T581" s="22"/>
      <c r="U581" t="s">
        <v>315</v>
      </c>
      <c r="Z581" s="1467" t="s">
        <v>2750</v>
      </c>
      <c r="AA581" s="1467"/>
      <c r="AB581" s="1467"/>
      <c r="AC581" s="1467"/>
      <c r="AD581" s="1467"/>
      <c r="AE581" s="1467"/>
      <c r="AH581" s="33" t="s">
        <v>205</v>
      </c>
      <c r="AI581" s="1454"/>
      <c r="AJ581" s="1454"/>
      <c r="AK581" s="1454"/>
      <c r="BB581" s="3"/>
      <c r="BC581" s="3"/>
    </row>
    <row r="582" spans="1:55" ht="13" customHeight="1">
      <c r="A582" s="22"/>
      <c r="B582" t="s">
        <v>18</v>
      </c>
      <c r="H582" s="1409" t="s">
        <v>457</v>
      </c>
      <c r="I582" s="1409"/>
      <c r="J582" s="1409"/>
      <c r="K582" s="1409"/>
      <c r="L582" s="1409"/>
      <c r="M582" s="1409"/>
      <c r="N582" s="1409"/>
      <c r="O582" s="1409"/>
      <c r="P582" s="1409"/>
      <c r="Q582" s="1409"/>
      <c r="R582" s="1409"/>
      <c r="T582" s="22"/>
      <c r="U582" t="s">
        <v>18</v>
      </c>
      <c r="AA582" s="1409" t="s">
        <v>2751</v>
      </c>
      <c r="AB582" s="1409"/>
      <c r="AC582" s="1409"/>
      <c r="AD582" s="1409"/>
      <c r="AE582" s="1409"/>
      <c r="AF582" s="1409"/>
      <c r="AG582" s="1409"/>
      <c r="AH582" s="1409"/>
      <c r="AI582" s="1409"/>
      <c r="AJ582" s="1409"/>
      <c r="AK582" s="1409"/>
      <c r="BB582" s="3"/>
      <c r="BC582" s="3"/>
    </row>
    <row r="583" spans="1:55" ht="13" customHeight="1">
      <c r="A583" s="22"/>
      <c r="B583" t="s">
        <v>20</v>
      </c>
      <c r="N583" s="1426" t="s">
        <v>545</v>
      </c>
      <c r="O583" s="1426"/>
      <c r="T583" s="22"/>
      <c r="U583" t="s">
        <v>20</v>
      </c>
      <c r="AG583" s="1426" t="s">
        <v>545</v>
      </c>
      <c r="AH583" s="1426"/>
      <c r="BB583" s="3"/>
      <c r="BC583" s="3"/>
    </row>
    <row r="584" spans="1:55" ht="13" customHeight="1">
      <c r="A584" s="22"/>
      <c r="T584" s="22"/>
      <c r="BB584" s="3"/>
      <c r="BC584" s="3"/>
    </row>
    <row r="585" spans="1:55" ht="13" customHeight="1">
      <c r="A585" s="55" t="s">
        <v>763</v>
      </c>
      <c r="B585" t="s">
        <v>463</v>
      </c>
      <c r="G585" s="1468" t="str">
        <f>C558</f>
        <v>Deferred costs and reserves until perm conversion</v>
      </c>
      <c r="H585" s="1468"/>
      <c r="I585" s="1468"/>
      <c r="J585" s="1468"/>
      <c r="K585" s="1468"/>
      <c r="L585" s="1468"/>
      <c r="M585" s="1468"/>
      <c r="N585" s="1468"/>
      <c r="O585" s="1468"/>
      <c r="P585" s="1468"/>
      <c r="Q585" s="1468"/>
      <c r="R585" s="1468"/>
      <c r="T585" s="55" t="s">
        <v>584</v>
      </c>
      <c r="U585" t="s">
        <v>463</v>
      </c>
      <c r="Z585" s="1468" t="str">
        <f>C559</f>
        <v>LIHTC Equity</v>
      </c>
      <c r="AA585" s="1468"/>
      <c r="AB585" s="1468"/>
      <c r="AC585" s="1468"/>
      <c r="AD585" s="1468"/>
      <c r="AE585" s="1468"/>
      <c r="AF585" s="1468"/>
      <c r="AG585" s="1468"/>
      <c r="AH585" s="1468"/>
      <c r="AI585" s="1468"/>
      <c r="AJ585" s="1468"/>
      <c r="AK585" s="1468"/>
      <c r="BB585" s="3"/>
      <c r="BC585" s="3"/>
    </row>
    <row r="586" spans="1:55" ht="13" customHeight="1">
      <c r="A586" s="22"/>
      <c r="B586" t="s">
        <v>85</v>
      </c>
      <c r="G586" s="1409"/>
      <c r="H586" s="1409"/>
      <c r="I586" s="1409"/>
      <c r="J586" s="1409"/>
      <c r="K586" s="1409"/>
      <c r="L586" s="1409"/>
      <c r="M586" s="1409"/>
      <c r="N586" s="1409"/>
      <c r="O586" s="1409"/>
      <c r="P586" s="1409"/>
      <c r="Q586" s="1409"/>
      <c r="R586" s="1409"/>
      <c r="T586" s="22"/>
      <c r="U586" t="s">
        <v>85</v>
      </c>
      <c r="Z586" s="1409"/>
      <c r="AA586" s="1409"/>
      <c r="AB586" s="1409"/>
      <c r="AC586" s="1409"/>
      <c r="AD586" s="1409"/>
      <c r="AE586" s="1409"/>
      <c r="AF586" s="1409"/>
      <c r="AG586" s="1409"/>
      <c r="AH586" s="1409"/>
      <c r="AI586" s="1409"/>
      <c r="AJ586" s="1409"/>
      <c r="AK586" s="1409"/>
      <c r="BB586" s="3"/>
      <c r="BC586" s="3"/>
    </row>
    <row r="587" spans="1:55" ht="13" customHeight="1">
      <c r="A587" s="22"/>
      <c r="B587" t="s">
        <v>580</v>
      </c>
      <c r="G587" s="1409"/>
      <c r="H587" s="1409"/>
      <c r="I587" s="1409"/>
      <c r="J587" s="1409"/>
      <c r="K587" s="1409"/>
      <c r="L587" s="1409"/>
      <c r="M587" s="1409"/>
      <c r="N587" s="1409"/>
      <c r="O587" s="1409"/>
      <c r="P587" s="1409"/>
      <c r="Q587" s="1409"/>
      <c r="R587" s="1409"/>
      <c r="T587" s="22"/>
      <c r="U587" t="s">
        <v>580</v>
      </c>
      <c r="Z587" s="1453"/>
      <c r="AA587" s="1453"/>
      <c r="AB587" s="1453"/>
      <c r="AC587" s="1453"/>
      <c r="AD587" s="1453"/>
      <c r="AE587" s="1453"/>
      <c r="AF587" s="1453"/>
      <c r="AG587" s="1453"/>
      <c r="AH587" s="1453"/>
      <c r="AI587" s="1453"/>
      <c r="AJ587" s="1453"/>
      <c r="AK587" s="1453"/>
      <c r="BB587" s="3"/>
      <c r="BC587" s="3"/>
    </row>
    <row r="588" spans="1:55" ht="13" customHeight="1">
      <c r="A588" s="22"/>
      <c r="B588" t="s">
        <v>17</v>
      </c>
      <c r="G588" s="1409"/>
      <c r="H588" s="1409"/>
      <c r="I588" s="1409"/>
      <c r="J588" s="1409"/>
      <c r="K588" s="1409"/>
      <c r="L588" s="1409"/>
      <c r="M588" s="1409"/>
      <c r="N588" s="1409"/>
      <c r="O588" s="1409"/>
      <c r="P588" s="1409"/>
      <c r="Q588" s="1409"/>
      <c r="R588" s="1409"/>
      <c r="T588" s="22"/>
      <c r="U588" t="s">
        <v>17</v>
      </c>
      <c r="Z588" s="1453"/>
      <c r="AA588" s="1453"/>
      <c r="AB588" s="1453"/>
      <c r="AC588" s="1453"/>
      <c r="AD588" s="1453"/>
      <c r="AE588" s="1453"/>
      <c r="AF588" s="1453"/>
      <c r="AG588" s="1453"/>
      <c r="AH588" s="1453"/>
      <c r="AI588" s="1453"/>
      <c r="AJ588" s="1453"/>
      <c r="AK588" s="1453"/>
    </row>
    <row r="589" spans="1:55" ht="13" customHeight="1">
      <c r="A589" s="22"/>
      <c r="B589" t="s">
        <v>315</v>
      </c>
      <c r="G589" s="1467"/>
      <c r="H589" s="1467"/>
      <c r="I589" s="1467"/>
      <c r="J589" s="1467"/>
      <c r="K589" s="1467"/>
      <c r="L589" s="1467"/>
      <c r="O589" s="33" t="s">
        <v>205</v>
      </c>
      <c r="P589" s="1454"/>
      <c r="Q589" s="1454"/>
      <c r="R589" s="1454"/>
      <c r="T589" s="22"/>
      <c r="U589" t="s">
        <v>315</v>
      </c>
      <c r="Z589" s="1467"/>
      <c r="AA589" s="1467"/>
      <c r="AB589" s="1467"/>
      <c r="AC589" s="1467"/>
      <c r="AD589" s="1467"/>
      <c r="AE589" s="1467"/>
      <c r="AH589" s="33" t="s">
        <v>205</v>
      </c>
      <c r="AI589" s="1454"/>
      <c r="AJ589" s="1454"/>
      <c r="AK589" s="1454"/>
      <c r="AZ589" s="3"/>
      <c r="BA589" s="3"/>
      <c r="BB589" s="3"/>
      <c r="BC589" s="3"/>
    </row>
    <row r="590" spans="1:55" ht="13" customHeight="1">
      <c r="A590" s="22"/>
      <c r="B590" t="s">
        <v>18</v>
      </c>
      <c r="H590" s="1409"/>
      <c r="I590" s="1409"/>
      <c r="J590" s="1409"/>
      <c r="K590" s="1409"/>
      <c r="L590" s="1409"/>
      <c r="M590" s="1409"/>
      <c r="N590" s="1409"/>
      <c r="O590" s="1409"/>
      <c r="P590" s="1409"/>
      <c r="Q590" s="1409"/>
      <c r="R590" s="1409"/>
      <c r="T590" s="22"/>
      <c r="U590" t="s">
        <v>18</v>
      </c>
      <c r="AA590" s="1409"/>
      <c r="AB590" s="1409"/>
      <c r="AC590" s="1409"/>
      <c r="AD590" s="1409"/>
      <c r="AE590" s="1409"/>
      <c r="AF590" s="1409"/>
      <c r="AG590" s="1409"/>
      <c r="AH590" s="1409"/>
      <c r="AI590" s="1409"/>
      <c r="AJ590" s="1409"/>
      <c r="AK590" s="1409"/>
      <c r="AZ590" s="3"/>
      <c r="BA590" s="3"/>
      <c r="BB590" s="3"/>
      <c r="BC590" s="3"/>
    </row>
    <row r="591" spans="1:55" ht="13" customHeight="1">
      <c r="A591" s="22"/>
      <c r="B591" t="s">
        <v>20</v>
      </c>
      <c r="N591" s="1426" t="s">
        <v>669</v>
      </c>
      <c r="O591" s="1426"/>
      <c r="T591" s="22"/>
      <c r="U591" t="s">
        <v>20</v>
      </c>
      <c r="AG591" s="1426" t="s">
        <v>669</v>
      </c>
      <c r="AH591" s="1426"/>
      <c r="AZ591" s="3"/>
      <c r="BA591" s="3"/>
      <c r="BB591" s="3"/>
      <c r="BC591" s="3"/>
    </row>
    <row r="592" spans="1:55" ht="13" customHeight="1">
      <c r="A592" s="22"/>
      <c r="T592" s="22"/>
      <c r="AZ592" s="3"/>
      <c r="BA592" s="3"/>
      <c r="BB592" s="3"/>
      <c r="BC592" s="3"/>
    </row>
    <row r="593" spans="1:55" ht="13" customHeight="1">
      <c r="A593" s="55" t="s">
        <v>455</v>
      </c>
      <c r="B593" t="s">
        <v>463</v>
      </c>
      <c r="G593" s="1468">
        <f>C560</f>
        <v>0</v>
      </c>
      <c r="H593" s="1468"/>
      <c r="I593" s="1468"/>
      <c r="J593" s="1468"/>
      <c r="K593" s="1468"/>
      <c r="L593" s="1468"/>
      <c r="M593" s="1468"/>
      <c r="N593" s="1468"/>
      <c r="O593" s="1468"/>
      <c r="P593" s="1468"/>
      <c r="Q593" s="1468"/>
      <c r="R593" s="1468"/>
      <c r="T593" s="55" t="s">
        <v>456</v>
      </c>
      <c r="U593" t="s">
        <v>463</v>
      </c>
      <c r="Z593" s="1468">
        <f>C561</f>
        <v>0</v>
      </c>
      <c r="AA593" s="1468"/>
      <c r="AB593" s="1468"/>
      <c r="AC593" s="1468"/>
      <c r="AD593" s="1468"/>
      <c r="AE593" s="1468"/>
      <c r="AF593" s="1468"/>
      <c r="AG593" s="1468"/>
      <c r="AH593" s="1468"/>
      <c r="AI593" s="1468"/>
      <c r="AJ593" s="1468"/>
      <c r="AK593" s="1468"/>
      <c r="AZ593" s="3"/>
      <c r="BA593" s="3"/>
      <c r="BB593" s="3"/>
      <c r="BC593" s="3"/>
    </row>
    <row r="594" spans="1:55" s="4" customFormat="1" ht="13" customHeight="1">
      <c r="A594" s="22"/>
      <c r="B594" t="s">
        <v>85</v>
      </c>
      <c r="C594"/>
      <c r="D594"/>
      <c r="E594"/>
      <c r="F594"/>
      <c r="G594" s="1409"/>
      <c r="H594" s="1409"/>
      <c r="I594" s="1409"/>
      <c r="J594" s="1409"/>
      <c r="K594" s="1409"/>
      <c r="L594" s="1409"/>
      <c r="M594" s="1409"/>
      <c r="N594" s="1409"/>
      <c r="O594" s="1409"/>
      <c r="P594" s="1409"/>
      <c r="Q594" s="1409"/>
      <c r="R594" s="1409"/>
      <c r="S594"/>
      <c r="T594" s="22"/>
      <c r="U594" t="s">
        <v>85</v>
      </c>
      <c r="V594"/>
      <c r="W594"/>
      <c r="X594"/>
      <c r="Y594"/>
      <c r="Z594" s="1409"/>
      <c r="AA594" s="1409"/>
      <c r="AB594" s="1409"/>
      <c r="AC594" s="1409"/>
      <c r="AD594" s="1409"/>
      <c r="AE594" s="1409"/>
      <c r="AF594" s="1409"/>
      <c r="AG594" s="1409"/>
      <c r="AH594" s="1409"/>
      <c r="AI594" s="1409"/>
      <c r="AJ594" s="1409"/>
      <c r="AK594" s="1409"/>
      <c r="AL594"/>
      <c r="AM594"/>
      <c r="AN594"/>
      <c r="AO594"/>
      <c r="AP594"/>
      <c r="AQ594"/>
      <c r="AR594"/>
      <c r="AS594"/>
      <c r="AT594"/>
      <c r="AU594"/>
      <c r="AV594"/>
      <c r="AW594"/>
      <c r="AX594"/>
      <c r="AY594"/>
      <c r="AZ594" s="3"/>
      <c r="BA594" s="3"/>
      <c r="BB594" s="3"/>
      <c r="BC594" s="3"/>
    </row>
    <row r="595" spans="1:55" s="4" customFormat="1" ht="13" customHeight="1">
      <c r="A595" s="22"/>
      <c r="B595" t="s">
        <v>580</v>
      </c>
      <c r="C595"/>
      <c r="D595"/>
      <c r="E595"/>
      <c r="F595"/>
      <c r="G595" s="1409"/>
      <c r="H595" s="1409"/>
      <c r="I595" s="1409"/>
      <c r="J595" s="1409"/>
      <c r="K595" s="1409"/>
      <c r="L595" s="1409"/>
      <c r="M595" s="1409"/>
      <c r="N595" s="1409"/>
      <c r="O595" s="1409"/>
      <c r="P595" s="1409"/>
      <c r="Q595" s="1409"/>
      <c r="R595" s="1409"/>
      <c r="S595"/>
      <c r="T595" s="22"/>
      <c r="U595" t="s">
        <v>580</v>
      </c>
      <c r="V595"/>
      <c r="W595"/>
      <c r="X595"/>
      <c r="Y595"/>
      <c r="Z595" s="1453"/>
      <c r="AA595" s="1453"/>
      <c r="AB595" s="1453"/>
      <c r="AC595" s="1453"/>
      <c r="AD595" s="1453"/>
      <c r="AE595" s="1453"/>
      <c r="AF595" s="1453"/>
      <c r="AG595" s="1453"/>
      <c r="AH595" s="1453"/>
      <c r="AI595" s="1453"/>
      <c r="AJ595" s="1453"/>
      <c r="AK595" s="1453"/>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409"/>
      <c r="H596" s="1409"/>
      <c r="I596" s="1409"/>
      <c r="J596" s="1409"/>
      <c r="K596" s="1409"/>
      <c r="L596" s="1409"/>
      <c r="M596" s="1409"/>
      <c r="N596" s="1409"/>
      <c r="O596" s="1409"/>
      <c r="P596" s="1409"/>
      <c r="Q596" s="1409"/>
      <c r="R596" s="1409"/>
      <c r="S596"/>
      <c r="T596" s="22"/>
      <c r="U596" t="s">
        <v>17</v>
      </c>
      <c r="V596"/>
      <c r="W596"/>
      <c r="X596"/>
      <c r="Y596"/>
      <c r="Z596" s="1453"/>
      <c r="AA596" s="1453"/>
      <c r="AB596" s="1453"/>
      <c r="AC596" s="1453"/>
      <c r="AD596" s="1453"/>
      <c r="AE596" s="1453"/>
      <c r="AF596" s="1453"/>
      <c r="AG596" s="1453"/>
      <c r="AH596" s="1453"/>
      <c r="AI596" s="1453"/>
      <c r="AJ596" s="1453"/>
      <c r="AK596" s="1453"/>
      <c r="AL596"/>
      <c r="AM596"/>
      <c r="AN596"/>
      <c r="AO596"/>
      <c r="AP596"/>
      <c r="AQ596"/>
      <c r="AR596"/>
      <c r="AS596"/>
      <c r="AT596"/>
      <c r="AU596"/>
      <c r="AV596"/>
      <c r="AW596"/>
      <c r="AX596"/>
      <c r="AY596"/>
      <c r="BB596" s="3"/>
      <c r="BC596" s="3"/>
    </row>
    <row r="597" spans="1:55" s="4" customFormat="1" ht="13" customHeight="1">
      <c r="A597" s="22"/>
      <c r="B597" t="s">
        <v>315</v>
      </c>
      <c r="C597"/>
      <c r="D597"/>
      <c r="E597"/>
      <c r="F597"/>
      <c r="G597" s="1467"/>
      <c r="H597" s="1467"/>
      <c r="I597" s="1467"/>
      <c r="J597" s="1467"/>
      <c r="K597" s="1467"/>
      <c r="L597" s="1467"/>
      <c r="M597"/>
      <c r="N597"/>
      <c r="O597" s="33" t="s">
        <v>205</v>
      </c>
      <c r="P597" s="1454"/>
      <c r="Q597" s="1454"/>
      <c r="R597" s="1454"/>
      <c r="S597"/>
      <c r="T597" s="22"/>
      <c r="U597" t="s">
        <v>315</v>
      </c>
      <c r="V597"/>
      <c r="W597"/>
      <c r="X597"/>
      <c r="Y597"/>
      <c r="Z597" s="1467"/>
      <c r="AA597" s="1467"/>
      <c r="AB597" s="1467"/>
      <c r="AC597" s="1467"/>
      <c r="AD597" s="1467"/>
      <c r="AE597" s="1467"/>
      <c r="AF597"/>
      <c r="AG597"/>
      <c r="AH597" s="33" t="s">
        <v>205</v>
      </c>
      <c r="AI597" s="1454"/>
      <c r="AJ597" s="1454"/>
      <c r="AK597" s="1454"/>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409"/>
      <c r="I598" s="1409"/>
      <c r="J598" s="1409"/>
      <c r="K598" s="1409"/>
      <c r="L598" s="1409"/>
      <c r="M598" s="1409"/>
      <c r="N598" s="1409"/>
      <c r="O598" s="1409"/>
      <c r="P598" s="1409"/>
      <c r="Q598" s="1409"/>
      <c r="R598" s="1409"/>
      <c r="S598"/>
      <c r="T598" s="22"/>
      <c r="U598" t="s">
        <v>18</v>
      </c>
      <c r="V598"/>
      <c r="W598"/>
      <c r="X598"/>
      <c r="Y598"/>
      <c r="Z598"/>
      <c r="AA598" s="1409"/>
      <c r="AB598" s="1409"/>
      <c r="AC598" s="1409"/>
      <c r="AD598" s="1409"/>
      <c r="AE598" s="1409"/>
      <c r="AF598" s="1409"/>
      <c r="AG598" s="1409"/>
      <c r="AH598" s="1409"/>
      <c r="AI598" s="1409"/>
      <c r="AJ598" s="1409"/>
      <c r="AK598" s="1409"/>
      <c r="AL598"/>
      <c r="AM598"/>
      <c r="AN598"/>
      <c r="AO598"/>
      <c r="AP598"/>
      <c r="AQ598"/>
      <c r="AR598"/>
      <c r="AS598"/>
      <c r="AT598"/>
      <c r="AU598"/>
      <c r="AV598"/>
      <c r="AW598"/>
      <c r="AX598"/>
      <c r="AY598"/>
      <c r="BB598" s="3"/>
      <c r="BC598" s="3"/>
    </row>
    <row r="599" spans="1:55" ht="13" customHeight="1">
      <c r="A599" s="22"/>
      <c r="B599" t="s">
        <v>20</v>
      </c>
      <c r="N599" s="1426" t="s">
        <v>669</v>
      </c>
      <c r="O599" s="1426"/>
      <c r="T599" s="22"/>
      <c r="U599" t="s">
        <v>20</v>
      </c>
      <c r="AG599" s="1426" t="s">
        <v>669</v>
      </c>
      <c r="AH599" s="1426"/>
      <c r="BB599" s="3"/>
      <c r="BC599" s="3"/>
    </row>
    <row r="600" spans="1:55" ht="13" customHeight="1">
      <c r="A600" s="22"/>
      <c r="T600" s="22"/>
      <c r="BB600" s="3"/>
      <c r="BC600" s="3"/>
    </row>
    <row r="601" spans="1:55" ht="13" customHeight="1">
      <c r="A601" s="55" t="s">
        <v>461</v>
      </c>
      <c r="B601" t="s">
        <v>463</v>
      </c>
      <c r="G601" s="1468">
        <f>C562</f>
        <v>0</v>
      </c>
      <c r="H601" s="1468"/>
      <c r="I601" s="1468"/>
      <c r="J601" s="1468"/>
      <c r="K601" s="1468"/>
      <c r="L601" s="1468"/>
      <c r="M601" s="1468"/>
      <c r="N601" s="1468"/>
      <c r="O601" s="1468"/>
      <c r="P601" s="1468"/>
      <c r="Q601" s="1468"/>
      <c r="R601" s="1468"/>
      <c r="T601" s="55" t="s">
        <v>646</v>
      </c>
      <c r="U601" t="s">
        <v>463</v>
      </c>
      <c r="Z601" s="1468">
        <f>C563</f>
        <v>0</v>
      </c>
      <c r="AA601" s="1468"/>
      <c r="AB601" s="1468"/>
      <c r="AC601" s="1468"/>
      <c r="AD601" s="1468"/>
      <c r="AE601" s="1468"/>
      <c r="AF601" s="1468"/>
      <c r="AG601" s="1468"/>
      <c r="AH601" s="1468"/>
      <c r="AI601" s="1468"/>
      <c r="AJ601" s="1468"/>
      <c r="AK601" s="1468"/>
      <c r="BB601" s="3"/>
      <c r="BC601" s="3"/>
    </row>
    <row r="602" spans="1:55" ht="13" customHeight="1">
      <c r="A602" s="22"/>
      <c r="B602" t="s">
        <v>85</v>
      </c>
      <c r="G602" s="1409"/>
      <c r="H602" s="1409"/>
      <c r="I602" s="1409"/>
      <c r="J602" s="1409"/>
      <c r="K602" s="1409"/>
      <c r="L602" s="1409"/>
      <c r="M602" s="1409"/>
      <c r="N602" s="1409"/>
      <c r="O602" s="1409"/>
      <c r="P602" s="1409"/>
      <c r="Q602" s="1409"/>
      <c r="R602" s="1409"/>
      <c r="T602" s="22"/>
      <c r="U602" t="s">
        <v>85</v>
      </c>
      <c r="Z602" s="1409"/>
      <c r="AA602" s="1409"/>
      <c r="AB602" s="1409"/>
      <c r="AC602" s="1409"/>
      <c r="AD602" s="1409"/>
      <c r="AE602" s="1409"/>
      <c r="AF602" s="1409"/>
      <c r="AG602" s="1409"/>
      <c r="AH602" s="1409"/>
      <c r="AI602" s="1409"/>
      <c r="AJ602" s="1409"/>
      <c r="AK602" s="1409"/>
      <c r="AZ602" s="3"/>
      <c r="BA602" s="3"/>
      <c r="BB602" s="3"/>
      <c r="BC602" s="3"/>
    </row>
    <row r="603" spans="1:55" ht="13" customHeight="1">
      <c r="A603" s="22"/>
      <c r="B603" t="s">
        <v>580</v>
      </c>
      <c r="G603" s="1409"/>
      <c r="H603" s="1409"/>
      <c r="I603" s="1409"/>
      <c r="J603" s="1409"/>
      <c r="K603" s="1409"/>
      <c r="L603" s="1409"/>
      <c r="M603" s="1409"/>
      <c r="N603" s="1409"/>
      <c r="O603" s="1409"/>
      <c r="P603" s="1409"/>
      <c r="Q603" s="1409"/>
      <c r="R603" s="1409"/>
      <c r="T603" s="22"/>
      <c r="U603" t="s">
        <v>580</v>
      </c>
      <c r="Z603" s="1453"/>
      <c r="AA603" s="1453"/>
      <c r="AB603" s="1453"/>
      <c r="AC603" s="1453"/>
      <c r="AD603" s="1453"/>
      <c r="AE603" s="1453"/>
      <c r="AF603" s="1453"/>
      <c r="AG603" s="1453"/>
      <c r="AH603" s="1453"/>
      <c r="AI603" s="1453"/>
      <c r="AJ603" s="1453"/>
      <c r="AK603" s="1453"/>
      <c r="AZ603" s="3"/>
      <c r="BA603" s="3"/>
      <c r="BB603" s="3"/>
      <c r="BC603" s="3"/>
    </row>
    <row r="604" spans="1:55" ht="13" customHeight="1">
      <c r="A604" s="22"/>
      <c r="B604" t="s">
        <v>17</v>
      </c>
      <c r="G604" s="1409"/>
      <c r="H604" s="1409"/>
      <c r="I604" s="1409"/>
      <c r="J604" s="1409"/>
      <c r="K604" s="1409"/>
      <c r="L604" s="1409"/>
      <c r="M604" s="1409"/>
      <c r="N604" s="1409"/>
      <c r="O604" s="1409"/>
      <c r="P604" s="1409"/>
      <c r="Q604" s="1409"/>
      <c r="R604" s="1409"/>
      <c r="T604" s="22"/>
      <c r="U604" t="s">
        <v>17</v>
      </c>
      <c r="Z604" s="1453"/>
      <c r="AA604" s="1453"/>
      <c r="AB604" s="1453"/>
      <c r="AC604" s="1453"/>
      <c r="AD604" s="1453"/>
      <c r="AE604" s="1453"/>
      <c r="AF604" s="1453"/>
      <c r="AG604" s="1453"/>
      <c r="AH604" s="1453"/>
      <c r="AI604" s="1453"/>
      <c r="AJ604" s="1453"/>
      <c r="AK604" s="1453"/>
      <c r="AZ604" s="3"/>
      <c r="BA604" s="3"/>
      <c r="BB604" s="3"/>
      <c r="BC604" s="3"/>
    </row>
    <row r="605" spans="1:55" s="4" customFormat="1" ht="13" customHeight="1">
      <c r="A605" s="22"/>
      <c r="B605" t="s">
        <v>315</v>
      </c>
      <c r="C605"/>
      <c r="D605"/>
      <c r="E605"/>
      <c r="F605"/>
      <c r="G605" s="1467"/>
      <c r="H605" s="1467"/>
      <c r="I605" s="1467"/>
      <c r="J605" s="1467"/>
      <c r="K605" s="1467"/>
      <c r="L605" s="1467"/>
      <c r="M605"/>
      <c r="N605"/>
      <c r="O605" s="33" t="s">
        <v>205</v>
      </c>
      <c r="P605" s="1454"/>
      <c r="Q605" s="1454"/>
      <c r="R605" s="1454"/>
      <c r="S605"/>
      <c r="T605" s="22"/>
      <c r="U605" t="s">
        <v>315</v>
      </c>
      <c r="V605"/>
      <c r="W605"/>
      <c r="X605"/>
      <c r="Y605"/>
      <c r="Z605" s="1467"/>
      <c r="AA605" s="1467"/>
      <c r="AB605" s="1467"/>
      <c r="AC605" s="1467"/>
      <c r="AD605" s="1467"/>
      <c r="AE605" s="1467"/>
      <c r="AF605"/>
      <c r="AG605"/>
      <c r="AH605" s="33" t="s">
        <v>205</v>
      </c>
      <c r="AI605" s="1454"/>
      <c r="AJ605" s="1454"/>
      <c r="AK605" s="1454"/>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409"/>
      <c r="I606" s="1409"/>
      <c r="J606" s="1409"/>
      <c r="K606" s="1409"/>
      <c r="L606" s="1409"/>
      <c r="M606" s="1409"/>
      <c r="N606" s="1409"/>
      <c r="O606" s="1409"/>
      <c r="P606" s="1409"/>
      <c r="Q606" s="1409"/>
      <c r="R606" s="1409"/>
      <c r="S606"/>
      <c r="T606" s="22"/>
      <c r="U606" t="s">
        <v>18</v>
      </c>
      <c r="V606"/>
      <c r="W606"/>
      <c r="X606"/>
      <c r="Y606"/>
      <c r="Z606"/>
      <c r="AA606" s="1409"/>
      <c r="AB606" s="1409"/>
      <c r="AC606" s="1409"/>
      <c r="AD606" s="1409"/>
      <c r="AE606" s="1409"/>
      <c r="AF606" s="1409"/>
      <c r="AG606" s="1409"/>
      <c r="AH606" s="1409"/>
      <c r="AI606" s="1409"/>
      <c r="AJ606" s="1409"/>
      <c r="AK606" s="1409"/>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426" t="s">
        <v>669</v>
      </c>
      <c r="O607" s="1426"/>
      <c r="P607"/>
      <c r="Q607"/>
      <c r="R607"/>
      <c r="S607"/>
      <c r="T607" s="22"/>
      <c r="U607" t="s">
        <v>20</v>
      </c>
      <c r="V607"/>
      <c r="W607"/>
      <c r="X607"/>
      <c r="Y607"/>
      <c r="Z607"/>
      <c r="AA607"/>
      <c r="AB607"/>
      <c r="AC607"/>
      <c r="AD607"/>
      <c r="AE607"/>
      <c r="AF607"/>
      <c r="AG607" s="1426" t="s">
        <v>669</v>
      </c>
      <c r="AH607" s="1426"/>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361</v>
      </c>
      <c r="B609" t="s">
        <v>463</v>
      </c>
      <c r="G609" s="1468">
        <f>C564</f>
        <v>0</v>
      </c>
      <c r="H609" s="1468"/>
      <c r="I609" s="1468"/>
      <c r="J609" s="1468"/>
      <c r="K609" s="1468"/>
      <c r="L609" s="1468"/>
      <c r="M609" s="1468"/>
      <c r="N609" s="1468"/>
      <c r="O609" s="1468"/>
      <c r="P609" s="1468"/>
      <c r="Q609" s="1468"/>
      <c r="R609" s="1468"/>
      <c r="T609" s="55" t="s">
        <v>362</v>
      </c>
      <c r="U609" t="s">
        <v>463</v>
      </c>
      <c r="Z609" s="1468">
        <f>C565</f>
        <v>0</v>
      </c>
      <c r="AA609" s="1468"/>
      <c r="AB609" s="1468"/>
      <c r="AC609" s="1468"/>
      <c r="AD609" s="1468"/>
      <c r="AE609" s="1468"/>
      <c r="AF609" s="1468"/>
      <c r="AG609" s="1468"/>
      <c r="AH609" s="1468"/>
      <c r="AI609" s="1468"/>
      <c r="AJ609" s="1468"/>
      <c r="AK609" s="1468"/>
      <c r="AZ609" s="3"/>
      <c r="BA609" s="3"/>
      <c r="BB609" s="3"/>
      <c r="BC609" s="3"/>
    </row>
    <row r="610" spans="1:55" ht="13" customHeight="1">
      <c r="B610" t="s">
        <v>85</v>
      </c>
      <c r="G610" s="1409"/>
      <c r="H610" s="1409"/>
      <c r="I610" s="1409"/>
      <c r="J610" s="1409"/>
      <c r="K610" s="1409"/>
      <c r="L610" s="1409"/>
      <c r="M610" s="1409"/>
      <c r="N610" s="1409"/>
      <c r="O610" s="1409"/>
      <c r="P610" s="1409"/>
      <c r="Q610" s="1409"/>
      <c r="R610" s="1409"/>
      <c r="U610" t="s">
        <v>85</v>
      </c>
      <c r="Z610" s="1409"/>
      <c r="AA610" s="1409"/>
      <c r="AB610" s="1409"/>
      <c r="AC610" s="1409"/>
      <c r="AD610" s="1409"/>
      <c r="AE610" s="1409"/>
      <c r="AF610" s="1409"/>
      <c r="AG610" s="1409"/>
      <c r="AH610" s="1409"/>
      <c r="AI610" s="1409"/>
      <c r="AJ610" s="1409"/>
      <c r="AK610" s="1409"/>
      <c r="AZ610" s="3"/>
      <c r="BA610" s="3"/>
      <c r="BB610" s="3"/>
      <c r="BC610" s="3"/>
    </row>
    <row r="611" spans="1:55" ht="13" customHeight="1">
      <c r="B611" t="s">
        <v>580</v>
      </c>
      <c r="G611" s="1409"/>
      <c r="H611" s="1409"/>
      <c r="I611" s="1409"/>
      <c r="J611" s="1409"/>
      <c r="K611" s="1409"/>
      <c r="L611" s="1409"/>
      <c r="M611" s="1409"/>
      <c r="N611" s="1409"/>
      <c r="O611" s="1409"/>
      <c r="P611" s="1409"/>
      <c r="Q611" s="1409"/>
      <c r="R611" s="1409"/>
      <c r="U611" t="s">
        <v>580</v>
      </c>
      <c r="Z611" s="1453"/>
      <c r="AA611" s="1453"/>
      <c r="AB611" s="1453"/>
      <c r="AC611" s="1453"/>
      <c r="AD611" s="1453"/>
      <c r="AE611" s="1453"/>
      <c r="AF611" s="1453"/>
      <c r="AG611" s="1453"/>
      <c r="AH611" s="1453"/>
      <c r="AI611" s="1453"/>
      <c r="AJ611" s="1453"/>
      <c r="AK611" s="1453"/>
      <c r="AZ611" s="3"/>
      <c r="BA611" s="3"/>
      <c r="BB611" s="3"/>
      <c r="BC611" s="3"/>
    </row>
    <row r="612" spans="1:55" ht="13" customHeight="1">
      <c r="B612" t="s">
        <v>17</v>
      </c>
      <c r="G612" s="1409"/>
      <c r="H612" s="1409"/>
      <c r="I612" s="1409"/>
      <c r="J612" s="1409"/>
      <c r="K612" s="1409"/>
      <c r="L612" s="1409"/>
      <c r="M612" s="1409"/>
      <c r="N612" s="1409"/>
      <c r="O612" s="1409"/>
      <c r="P612" s="1409"/>
      <c r="Q612" s="1409"/>
      <c r="R612" s="1409"/>
      <c r="U612" t="s">
        <v>17</v>
      </c>
      <c r="Z612" s="1453"/>
      <c r="AA612" s="1453"/>
      <c r="AB612" s="1453"/>
      <c r="AC612" s="1453"/>
      <c r="AD612" s="1453"/>
      <c r="AE612" s="1453"/>
      <c r="AF612" s="1453"/>
      <c r="AG612" s="1453"/>
      <c r="AH612" s="1453"/>
      <c r="AI612" s="1453"/>
      <c r="AJ612" s="1453"/>
      <c r="AK612" s="1453"/>
      <c r="AZ612" s="3"/>
      <c r="BA612" s="3"/>
      <c r="BB612" s="3"/>
      <c r="BC612" s="3"/>
    </row>
    <row r="613" spans="1:55" ht="13" customHeight="1">
      <c r="B613" t="s">
        <v>315</v>
      </c>
      <c r="G613" s="1467"/>
      <c r="H613" s="1467"/>
      <c r="I613" s="1467"/>
      <c r="J613" s="1467"/>
      <c r="K613" s="1467"/>
      <c r="L613" s="1467"/>
      <c r="O613" s="33" t="s">
        <v>205</v>
      </c>
      <c r="P613" s="1454"/>
      <c r="Q613" s="1454"/>
      <c r="R613" s="1454"/>
      <c r="U613" t="s">
        <v>315</v>
      </c>
      <c r="Z613" s="1467"/>
      <c r="AA613" s="1467"/>
      <c r="AB613" s="1467"/>
      <c r="AC613" s="1467"/>
      <c r="AD613" s="1467"/>
      <c r="AE613" s="1467"/>
      <c r="AH613" s="33" t="s">
        <v>205</v>
      </c>
      <c r="AI613" s="1454"/>
      <c r="AJ613" s="1454"/>
      <c r="AK613" s="1454"/>
      <c r="AZ613" s="3"/>
      <c r="BA613" s="3"/>
      <c r="BB613" s="3"/>
      <c r="BC613" s="3"/>
    </row>
    <row r="614" spans="1:55" ht="13" customHeight="1">
      <c r="B614" t="s">
        <v>18</v>
      </c>
      <c r="H614" s="1409"/>
      <c r="I614" s="1409"/>
      <c r="J614" s="1409"/>
      <c r="K614" s="1409"/>
      <c r="L614" s="1409"/>
      <c r="M614" s="1409"/>
      <c r="N614" s="1409"/>
      <c r="O614" s="1409"/>
      <c r="P614" s="1409"/>
      <c r="Q614" s="1409"/>
      <c r="R614" s="1409"/>
      <c r="U614" t="s">
        <v>18</v>
      </c>
      <c r="AA614" s="1409"/>
      <c r="AB614" s="1409"/>
      <c r="AC614" s="1409"/>
      <c r="AD614" s="1409"/>
      <c r="AE614" s="1409"/>
      <c r="AF614" s="1409"/>
      <c r="AG614" s="1409"/>
      <c r="AH614" s="1409"/>
      <c r="AI614" s="1409"/>
      <c r="AJ614" s="1409"/>
      <c r="AK614" s="1409"/>
      <c r="AU614" s="899"/>
      <c r="AV614" s="899"/>
      <c r="AW614" s="899"/>
      <c r="AX614" s="899"/>
      <c r="AY614" s="899"/>
      <c r="AZ614" s="3"/>
      <c r="BA614" s="3"/>
      <c r="BB614" s="3"/>
      <c r="BC614" s="3"/>
    </row>
    <row r="615" spans="1:55" ht="13" customHeight="1">
      <c r="B615" t="s">
        <v>20</v>
      </c>
      <c r="N615" s="1426" t="s">
        <v>669</v>
      </c>
      <c r="O615" s="1426"/>
      <c r="U615" t="s">
        <v>20</v>
      </c>
      <c r="AG615" s="1426" t="s">
        <v>669</v>
      </c>
      <c r="AH615" s="1426"/>
      <c r="AU615" s="899"/>
      <c r="AV615" s="899"/>
      <c r="AW615" s="899"/>
      <c r="AX615" s="899"/>
      <c r="AY615" s="899"/>
      <c r="AZ615" s="3"/>
      <c r="BA615" s="3"/>
      <c r="BB615" s="3"/>
      <c r="BC615" s="3"/>
    </row>
    <row r="616" spans="1:55" ht="13" customHeight="1">
      <c r="AZ616" s="3"/>
      <c r="BA616" s="3"/>
      <c r="BB616" s="3"/>
      <c r="BC616" s="3"/>
    </row>
    <row r="617" spans="1:55" ht="13" customHeight="1">
      <c r="A617" s="1274" t="s">
        <v>544</v>
      </c>
      <c r="B617" s="1274"/>
      <c r="C617" s="1274"/>
      <c r="D617" s="1274"/>
      <c r="E617" s="1274"/>
      <c r="F617" s="1274"/>
      <c r="G617" s="1274"/>
      <c r="H617" s="1274"/>
      <c r="I617" s="1274"/>
      <c r="J617" s="1274"/>
      <c r="K617" s="1274"/>
      <c r="L617" s="1274"/>
      <c r="M617" s="1274"/>
      <c r="N617" s="1274"/>
      <c r="O617" s="1274"/>
      <c r="P617" s="1274"/>
      <c r="Q617" s="1274"/>
      <c r="R617" s="1274"/>
      <c r="S617" s="1274"/>
      <c r="T617" s="1274"/>
      <c r="U617" s="1274"/>
      <c r="V617" s="1274"/>
      <c r="W617" s="1274"/>
      <c r="X617" s="1274"/>
      <c r="Y617" s="1274"/>
      <c r="Z617" s="1274"/>
      <c r="AA617" s="1274"/>
      <c r="AB617" s="1274"/>
      <c r="AC617" s="1274"/>
      <c r="AD617" s="1274"/>
      <c r="AE617" s="1274"/>
      <c r="AF617" s="1274"/>
      <c r="AG617" s="1274"/>
      <c r="AH617" s="1274"/>
      <c r="AI617" s="1274"/>
      <c r="AJ617" s="1274"/>
      <c r="AK617" s="1274"/>
      <c r="AL617" s="1274"/>
      <c r="AM617" s="1274"/>
      <c r="AN617" s="1274"/>
      <c r="AO617" s="1274"/>
      <c r="AP617" s="1274"/>
      <c r="AQ617" s="1274"/>
      <c r="AR617" s="1274"/>
      <c r="AS617" s="1274"/>
      <c r="AT617" s="1274"/>
      <c r="AZ617" s="3"/>
      <c r="BA617" s="3"/>
      <c r="BB617" s="3"/>
      <c r="BC617" s="3"/>
    </row>
    <row r="618" spans="1:55" ht="13" customHeight="1">
      <c r="A618" s="1274"/>
      <c r="B618" s="1274"/>
      <c r="C618" s="1274"/>
      <c r="D618" s="1274"/>
      <c r="E618" s="1274"/>
      <c r="F618" s="1274"/>
      <c r="G618" s="1274"/>
      <c r="H618" s="1274"/>
      <c r="I618" s="1274"/>
      <c r="J618" s="1274"/>
      <c r="K618" s="1274"/>
      <c r="L618" s="1274"/>
      <c r="M618" s="1274"/>
      <c r="N618" s="1274"/>
      <c r="O618" s="1274"/>
      <c r="P618" s="1274"/>
      <c r="Q618" s="1274"/>
      <c r="R618" s="1274"/>
      <c r="S618" s="1274"/>
      <c r="T618" s="1274"/>
      <c r="U618" s="1274"/>
      <c r="V618" s="1274"/>
      <c r="W618" s="1274"/>
      <c r="X618" s="1274"/>
      <c r="Y618" s="1274"/>
      <c r="Z618" s="1274"/>
      <c r="AA618" s="1274"/>
      <c r="AB618" s="1274"/>
      <c r="AC618" s="1274"/>
      <c r="AD618" s="1274"/>
      <c r="AE618" s="1274"/>
      <c r="AF618" s="1274"/>
      <c r="AG618" s="1274"/>
      <c r="AH618" s="1274"/>
      <c r="AI618" s="1274"/>
      <c r="AJ618" s="1274"/>
      <c r="AK618" s="1274"/>
      <c r="AL618" s="1274"/>
      <c r="AM618" s="1274"/>
      <c r="AN618" s="1274"/>
      <c r="AO618" s="1274"/>
      <c r="AP618" s="1274"/>
      <c r="AQ618" s="1274"/>
      <c r="AR618" s="1274"/>
      <c r="AS618" s="1274"/>
      <c r="AT618" s="1274"/>
      <c r="AZ618" s="3"/>
      <c r="BA618" s="3"/>
      <c r="BB618" s="3"/>
      <c r="BC618" s="3"/>
    </row>
    <row r="619" spans="1:55" ht="13" customHeight="1">
      <c r="AZ619" s="3"/>
      <c r="BA619" s="3"/>
      <c r="BB619" s="3"/>
      <c r="BC619" s="3"/>
    </row>
    <row r="620" spans="1:55" ht="13" customHeight="1">
      <c r="A620" s="2" t="s">
        <v>318</v>
      </c>
      <c r="B620" s="2"/>
      <c r="C620" s="2" t="s">
        <v>21</v>
      </c>
      <c r="AZ620" s="3"/>
      <c r="BA620" s="3"/>
      <c r="BB620" s="3"/>
      <c r="BC620" s="3"/>
    </row>
    <row r="621" spans="1:55" ht="13" customHeight="1">
      <c r="A621" s="2"/>
      <c r="B621" s="2"/>
      <c r="C621" s="2"/>
      <c r="AZ621" s="3"/>
      <c r="BA621" s="3"/>
      <c r="BB621" s="3"/>
      <c r="BC621" s="3"/>
    </row>
    <row r="622" spans="1:55" ht="13" customHeight="1">
      <c r="C622" s="2" t="s">
        <v>2100</v>
      </c>
      <c r="AZ622" s="3"/>
      <c r="BA622" s="3"/>
      <c r="BB622" s="3"/>
      <c r="BC622" s="3"/>
    </row>
    <row r="623" spans="1:55" ht="13" customHeight="1">
      <c r="B623" s="512"/>
      <c r="C623" s="2"/>
      <c r="AU623" s="3"/>
      <c r="AZ623" s="3"/>
      <c r="BA623" s="3"/>
      <c r="BB623" s="3"/>
      <c r="BC623" s="3"/>
    </row>
    <row r="624" spans="1:55" ht="13" customHeight="1">
      <c r="B624" s="1646" t="s">
        <v>2102</v>
      </c>
      <c r="C624" s="1646"/>
      <c r="D624" s="1646"/>
      <c r="E624" s="1646"/>
      <c r="F624" s="1646"/>
      <c r="G624" s="1646"/>
      <c r="H624" s="1646"/>
      <c r="I624" s="1646"/>
      <c r="J624" s="1646"/>
      <c r="K624" s="1646"/>
      <c r="L624" s="1646"/>
      <c r="M624" s="1658" t="s">
        <v>2103</v>
      </c>
      <c r="N624" s="1658"/>
      <c r="O624" s="1658"/>
      <c r="P624" s="1658"/>
      <c r="Q624" s="1658" t="s">
        <v>1852</v>
      </c>
      <c r="R624" s="1658"/>
      <c r="S624" s="1658"/>
      <c r="T624" s="1658" t="s">
        <v>1850</v>
      </c>
      <c r="U624" s="1658"/>
      <c r="V624" s="1658"/>
      <c r="W624" s="1647" t="s">
        <v>453</v>
      </c>
      <c r="X624" s="1647"/>
      <c r="Y624" s="1647"/>
      <c r="Z624" s="1395" t="s">
        <v>2132</v>
      </c>
      <c r="AA624" s="1395"/>
      <c r="AB624" s="1396"/>
      <c r="AC624" s="1649" t="s">
        <v>1676</v>
      </c>
      <c r="AD624" s="1650"/>
      <c r="AE624" s="1651"/>
      <c r="AF624" s="1394" t="s">
        <v>1930</v>
      </c>
      <c r="AG624" s="1395"/>
      <c r="AH624" s="1395"/>
      <c r="AI624" s="1395"/>
      <c r="AJ624" s="1396"/>
      <c r="AK624" s="1659" t="s">
        <v>1931</v>
      </c>
      <c r="AL624" s="1660"/>
      <c r="AM624" s="1660"/>
      <c r="AN624" s="1661"/>
      <c r="AO624" s="1658" t="s">
        <v>454</v>
      </c>
      <c r="AP624" s="1658"/>
      <c r="AQ624" s="1658"/>
      <c r="AR624" s="1658"/>
      <c r="AS624" s="1658"/>
      <c r="AU624" s="3"/>
      <c r="AZ624" s="3"/>
      <c r="BA624" s="3"/>
      <c r="BB624" s="3"/>
      <c r="BC624" s="3"/>
    </row>
    <row r="625" spans="2:157" ht="13" customHeight="1">
      <c r="B625" s="1646"/>
      <c r="C625" s="1646"/>
      <c r="D625" s="1646"/>
      <c r="E625" s="1646"/>
      <c r="F625" s="1646"/>
      <c r="G625" s="1646"/>
      <c r="H625" s="1646"/>
      <c r="I625" s="1646"/>
      <c r="J625" s="1646"/>
      <c r="K625" s="1646"/>
      <c r="L625" s="1646"/>
      <c r="M625" s="1658"/>
      <c r="N625" s="1658"/>
      <c r="O625" s="1658"/>
      <c r="P625" s="1658"/>
      <c r="Q625" s="1658"/>
      <c r="R625" s="1658"/>
      <c r="S625" s="1658"/>
      <c r="T625" s="1658"/>
      <c r="U625" s="1658"/>
      <c r="V625" s="1658"/>
      <c r="W625" s="1647"/>
      <c r="X625" s="1647"/>
      <c r="Y625" s="1647"/>
      <c r="Z625" s="1398"/>
      <c r="AA625" s="1398"/>
      <c r="AB625" s="1399"/>
      <c r="AC625" s="1652"/>
      <c r="AD625" s="1653"/>
      <c r="AE625" s="1654"/>
      <c r="AF625" s="1397"/>
      <c r="AG625" s="1398"/>
      <c r="AH625" s="1398"/>
      <c r="AI625" s="1398"/>
      <c r="AJ625" s="1399"/>
      <c r="AK625" s="1662"/>
      <c r="AL625" s="1663"/>
      <c r="AM625" s="1663"/>
      <c r="AN625" s="1664"/>
      <c r="AO625" s="1658"/>
      <c r="AP625" s="1658"/>
      <c r="AQ625" s="1658"/>
      <c r="AR625" s="1658"/>
      <c r="AS625" s="1658"/>
      <c r="AU625" s="3"/>
      <c r="AZ625" s="3"/>
      <c r="BA625" s="3"/>
      <c r="BB625" s="3"/>
      <c r="BC625" s="3"/>
      <c r="BD625" s="3"/>
    </row>
    <row r="626" spans="2:157" ht="13" customHeight="1">
      <c r="B626" s="1646"/>
      <c r="C626" s="1646"/>
      <c r="D626" s="1646"/>
      <c r="E626" s="1646"/>
      <c r="F626" s="1646"/>
      <c r="G626" s="1646"/>
      <c r="H626" s="1646"/>
      <c r="I626" s="1646"/>
      <c r="J626" s="1646"/>
      <c r="K626" s="1646"/>
      <c r="L626" s="1646"/>
      <c r="M626" s="1658"/>
      <c r="N626" s="1658"/>
      <c r="O626" s="1658"/>
      <c r="P626" s="1658"/>
      <c r="Q626" s="1658"/>
      <c r="R626" s="1658"/>
      <c r="S626" s="1658"/>
      <c r="T626" s="1658"/>
      <c r="U626" s="1658"/>
      <c r="V626" s="1658"/>
      <c r="W626" s="1647"/>
      <c r="X626" s="1647"/>
      <c r="Y626" s="1647"/>
      <c r="Z626" s="1401"/>
      <c r="AA626" s="1401"/>
      <c r="AB626" s="1402"/>
      <c r="AC626" s="1655"/>
      <c r="AD626" s="1656"/>
      <c r="AE626" s="1657"/>
      <c r="AF626" s="1400"/>
      <c r="AG626" s="1401"/>
      <c r="AH626" s="1401"/>
      <c r="AI626" s="1401"/>
      <c r="AJ626" s="1402"/>
      <c r="AK626" s="1665"/>
      <c r="AL626" s="1666"/>
      <c r="AM626" s="1666"/>
      <c r="AN626" s="1667"/>
      <c r="AO626" s="1658"/>
      <c r="AP626" s="1658"/>
      <c r="AQ626" s="1658"/>
      <c r="AR626" s="1658"/>
      <c r="AS626" s="1658"/>
      <c r="AT626" s="3"/>
      <c r="AU626" s="3"/>
      <c r="AZ626" s="3"/>
      <c r="BA626" s="3"/>
      <c r="BB626" s="3"/>
      <c r="BC626" s="3"/>
      <c r="BD626" s="3"/>
    </row>
    <row r="627" spans="2:157" ht="13" customHeight="1">
      <c r="B627" s="51" t="s">
        <v>112</v>
      </c>
      <c r="C627" s="1406" t="s">
        <v>2805</v>
      </c>
      <c r="D627" s="1406"/>
      <c r="E627" s="1406"/>
      <c r="F627" s="1406"/>
      <c r="G627" s="1406"/>
      <c r="H627" s="1406"/>
      <c r="I627" s="1406"/>
      <c r="J627" s="1406"/>
      <c r="K627" s="1406"/>
      <c r="L627" s="1406"/>
      <c r="M627" s="1490" t="s">
        <v>2113</v>
      </c>
      <c r="N627" s="1490"/>
      <c r="O627" s="1490"/>
      <c r="P627" s="1490"/>
      <c r="Q627" s="1484">
        <v>204</v>
      </c>
      <c r="R627" s="1484"/>
      <c r="S627" s="1485"/>
      <c r="T627" s="1483">
        <v>480</v>
      </c>
      <c r="U627" s="1484"/>
      <c r="V627" s="1485"/>
      <c r="W627" s="1477">
        <v>7.46E-2</v>
      </c>
      <c r="X627" s="1478"/>
      <c r="Y627" s="1479"/>
      <c r="Z627" s="1459" t="s">
        <v>1184</v>
      </c>
      <c r="AA627" s="1460"/>
      <c r="AB627" s="1461"/>
      <c r="AC627" s="1379">
        <v>1</v>
      </c>
      <c r="AD627" s="1380"/>
      <c r="AE627" s="1381"/>
      <c r="AF627" s="1486">
        <f>118844*12</f>
        <v>1426128</v>
      </c>
      <c r="AG627" s="1487"/>
      <c r="AH627" s="1487"/>
      <c r="AI627" s="1487"/>
      <c r="AJ627" s="1488"/>
      <c r="AK627" s="1480"/>
      <c r="AL627" s="1481"/>
      <c r="AM627" s="1481"/>
      <c r="AN627" s="1482"/>
      <c r="AO627" s="1618">
        <v>18141000</v>
      </c>
      <c r="AP627" s="1618"/>
      <c r="AQ627" s="1618"/>
      <c r="AR627" s="1618"/>
      <c r="AS627" s="1618"/>
      <c r="AT627" s="3"/>
      <c r="AU627" s="3"/>
      <c r="AZ627" s="3"/>
      <c r="BA627" s="3"/>
      <c r="BB627" s="3"/>
      <c r="BC627" s="3"/>
      <c r="BD627" s="3"/>
    </row>
    <row r="628" spans="2:157" ht="13" customHeight="1">
      <c r="B628" s="52" t="s">
        <v>113</v>
      </c>
      <c r="C628" s="1406" t="s">
        <v>2806</v>
      </c>
      <c r="D628" s="1406"/>
      <c r="E628" s="1406"/>
      <c r="F628" s="1406"/>
      <c r="G628" s="1406"/>
      <c r="H628" s="1406"/>
      <c r="I628" s="1406"/>
      <c r="J628" s="1406"/>
      <c r="K628" s="1406"/>
      <c r="L628" s="1406"/>
      <c r="M628" s="1490" t="s">
        <v>2113</v>
      </c>
      <c r="N628" s="1490"/>
      <c r="O628" s="1490"/>
      <c r="P628" s="1490"/>
      <c r="Q628" s="1483">
        <v>204</v>
      </c>
      <c r="R628" s="1484"/>
      <c r="S628" s="1485"/>
      <c r="T628" s="1483">
        <v>480</v>
      </c>
      <c r="U628" s="1484"/>
      <c r="V628" s="1485"/>
      <c r="W628" s="1477">
        <v>7.7899999999999997E-2</v>
      </c>
      <c r="X628" s="1478"/>
      <c r="Y628" s="1479"/>
      <c r="Z628" s="1459" t="s">
        <v>1184</v>
      </c>
      <c r="AA628" s="1460"/>
      <c r="AB628" s="1461"/>
      <c r="AC628" s="1379">
        <v>2</v>
      </c>
      <c r="AD628" s="1380"/>
      <c r="AE628" s="1381"/>
      <c r="AF628" s="1486">
        <f>62237*12</f>
        <v>746844</v>
      </c>
      <c r="AG628" s="1487"/>
      <c r="AH628" s="1487"/>
      <c r="AI628" s="1487"/>
      <c r="AJ628" s="1488"/>
      <c r="AK628" s="1480"/>
      <c r="AL628" s="1481"/>
      <c r="AM628" s="1481"/>
      <c r="AN628" s="1482"/>
      <c r="AO628" s="1458">
        <v>9158000</v>
      </c>
      <c r="AP628" s="1342"/>
      <c r="AQ628" s="1342"/>
      <c r="AR628" s="1342"/>
      <c r="AS628" s="1343"/>
      <c r="AT628" s="1148" t="str">
        <f>IF(AND(NOT(C627=""),C628="",NOT(C629="")),"!","")</f>
        <v/>
      </c>
      <c r="AU628" s="3"/>
      <c r="AZ628" s="3"/>
      <c r="BA628" s="3"/>
      <c r="BB628" s="3"/>
      <c r="BC628" s="3"/>
      <c r="BD628" s="3"/>
    </row>
    <row r="629" spans="2:157" ht="13" customHeight="1">
      <c r="B629" s="52" t="s">
        <v>119</v>
      </c>
      <c r="C629" s="1406" t="s">
        <v>2515</v>
      </c>
      <c r="D629" s="1406"/>
      <c r="E629" s="1406"/>
      <c r="F629" s="1406"/>
      <c r="G629" s="1406"/>
      <c r="H629" s="1406"/>
      <c r="I629" s="1406"/>
      <c r="J629" s="1406"/>
      <c r="K629" s="1406"/>
      <c r="L629" s="1406"/>
      <c r="M629" s="1490" t="s">
        <v>2115</v>
      </c>
      <c r="N629" s="1490"/>
      <c r="O629" s="1490"/>
      <c r="P629" s="1490"/>
      <c r="Q629" s="1483">
        <v>204</v>
      </c>
      <c r="R629" s="1484"/>
      <c r="S629" s="1485"/>
      <c r="T629" s="1483"/>
      <c r="U629" s="1484"/>
      <c r="V629" s="1485"/>
      <c r="W629" s="1477">
        <v>0.03</v>
      </c>
      <c r="X629" s="1478"/>
      <c r="Y629" s="1479"/>
      <c r="Z629" s="1459" t="s">
        <v>1184</v>
      </c>
      <c r="AA629" s="1460"/>
      <c r="AB629" s="1461"/>
      <c r="AC629" s="1379">
        <v>3</v>
      </c>
      <c r="AD629" s="1380"/>
      <c r="AE629" s="1381"/>
      <c r="AF629" s="1486"/>
      <c r="AG629" s="1487"/>
      <c r="AH629" s="1487"/>
      <c r="AI629" s="1487"/>
      <c r="AJ629" s="1488"/>
      <c r="AK629" s="1480"/>
      <c r="AL629" s="1481"/>
      <c r="AM629" s="1481"/>
      <c r="AN629" s="1482"/>
      <c r="AO629" s="1458">
        <v>4000000</v>
      </c>
      <c r="AP629" s="1342"/>
      <c r="AQ629" s="1342"/>
      <c r="AR629" s="1342"/>
      <c r="AS629" s="1343"/>
      <c r="AT629" s="1148" t="str">
        <f t="shared" ref="AT629:AT638" si="1">IF(AND(NOT(C628=""),C629="",NOT(C630="")),"!","")</f>
        <v/>
      </c>
      <c r="AU629" s="3"/>
      <c r="AZ629" s="3"/>
      <c r="BA629" s="3"/>
      <c r="BB629" s="3"/>
      <c r="BC629" s="3"/>
      <c r="BD629" s="3"/>
    </row>
    <row r="630" spans="2:157" ht="13" customHeight="1">
      <c r="B630" s="52" t="s">
        <v>581</v>
      </c>
      <c r="C630" s="1489" t="s">
        <v>2731</v>
      </c>
      <c r="D630" s="1489"/>
      <c r="E630" s="1489"/>
      <c r="F630" s="1489"/>
      <c r="G630" s="1489"/>
      <c r="H630" s="1489"/>
      <c r="I630" s="1489"/>
      <c r="J630" s="1489"/>
      <c r="K630" s="1489"/>
      <c r="L630" s="1489"/>
      <c r="M630" s="1490" t="s">
        <v>2115</v>
      </c>
      <c r="N630" s="1490"/>
      <c r="O630" s="1490"/>
      <c r="P630" s="1490"/>
      <c r="Q630" s="1483">
        <v>660</v>
      </c>
      <c r="R630" s="1484"/>
      <c r="S630" s="1485"/>
      <c r="T630" s="1483"/>
      <c r="U630" s="1484"/>
      <c r="V630" s="1485"/>
      <c r="W630" s="1477">
        <v>0.03</v>
      </c>
      <c r="X630" s="1478"/>
      <c r="Y630" s="1479"/>
      <c r="Z630" s="1459" t="s">
        <v>1184</v>
      </c>
      <c r="AA630" s="1460"/>
      <c r="AB630" s="1461"/>
      <c r="AC630" s="1379"/>
      <c r="AD630" s="1380"/>
      <c r="AE630" s="1381"/>
      <c r="AF630" s="1486"/>
      <c r="AG630" s="1487"/>
      <c r="AH630" s="1487"/>
      <c r="AI630" s="1487"/>
      <c r="AJ630" s="1488"/>
      <c r="AK630" s="1480"/>
      <c r="AL630" s="1481"/>
      <c r="AM630" s="1481"/>
      <c r="AN630" s="1482"/>
      <c r="AO630" s="1458">
        <v>7500000</v>
      </c>
      <c r="AP630" s="1342"/>
      <c r="AQ630" s="1342"/>
      <c r="AR630" s="1342"/>
      <c r="AS630" s="1343"/>
      <c r="AT630" s="1148" t="str">
        <f t="shared" si="1"/>
        <v/>
      </c>
      <c r="AU630" s="3"/>
      <c r="AZ630" s="3"/>
      <c r="BA630" s="3"/>
      <c r="BB630" s="3"/>
      <c r="BC630" s="3"/>
      <c r="BD630" s="3"/>
    </row>
    <row r="631" spans="2:157" ht="13" customHeight="1">
      <c r="B631" s="52" t="s">
        <v>763</v>
      </c>
      <c r="C631" s="1489" t="s">
        <v>2752</v>
      </c>
      <c r="D631" s="1489"/>
      <c r="E631" s="1489"/>
      <c r="F631" s="1489"/>
      <c r="G631" s="1489"/>
      <c r="H631" s="1489"/>
      <c r="I631" s="1489"/>
      <c r="J631" s="1489"/>
      <c r="K631" s="1489"/>
      <c r="L631" s="1489"/>
      <c r="M631" s="1490" t="s">
        <v>2121</v>
      </c>
      <c r="N631" s="1490"/>
      <c r="O631" s="1490"/>
      <c r="P631" s="1490"/>
      <c r="Q631" s="1483">
        <v>660</v>
      </c>
      <c r="R631" s="1484"/>
      <c r="S631" s="1485"/>
      <c r="T631" s="1483"/>
      <c r="U631" s="1484"/>
      <c r="V631" s="1485"/>
      <c r="W631" s="1477">
        <v>0.08</v>
      </c>
      <c r="X631" s="1478"/>
      <c r="Y631" s="1479"/>
      <c r="Z631" s="1459" t="s">
        <v>1184</v>
      </c>
      <c r="AA631" s="1460"/>
      <c r="AB631" s="1461"/>
      <c r="AC631" s="1379"/>
      <c r="AD631" s="1380"/>
      <c r="AE631" s="1381"/>
      <c r="AF631" s="1486"/>
      <c r="AG631" s="1487"/>
      <c r="AH631" s="1487"/>
      <c r="AI631" s="1487"/>
      <c r="AJ631" s="1488"/>
      <c r="AK631" s="1480"/>
      <c r="AL631" s="1481"/>
      <c r="AM631" s="1481"/>
      <c r="AN631" s="1482"/>
      <c r="AO631" s="1458">
        <v>4396549</v>
      </c>
      <c r="AP631" s="1342"/>
      <c r="AQ631" s="1342"/>
      <c r="AR631" s="1342"/>
      <c r="AS631" s="1343"/>
      <c r="AT631" s="1148" t="str">
        <f t="shared" si="1"/>
        <v/>
      </c>
      <c r="AU631" s="3"/>
      <c r="AZ631" s="3"/>
      <c r="BA631" s="3"/>
      <c r="BB631" s="3"/>
      <c r="BC631" s="3"/>
      <c r="BD631" s="3"/>
    </row>
    <row r="632" spans="2:157" ht="13" customHeight="1">
      <c r="B632" s="52" t="s">
        <v>584</v>
      </c>
      <c r="C632" s="1489" t="s">
        <v>2753</v>
      </c>
      <c r="D632" s="1489"/>
      <c r="E632" s="1489"/>
      <c r="F632" s="1489"/>
      <c r="G632" s="1489"/>
      <c r="H632" s="1489"/>
      <c r="I632" s="1489"/>
      <c r="J632" s="1489"/>
      <c r="K632" s="1489"/>
      <c r="L632" s="1489"/>
      <c r="M632" s="1490" t="s">
        <v>2121</v>
      </c>
      <c r="N632" s="1490"/>
      <c r="O632" s="1490"/>
      <c r="P632" s="1490"/>
      <c r="Q632" s="1483"/>
      <c r="R632" s="1484"/>
      <c r="S632" s="1485"/>
      <c r="T632" s="1483"/>
      <c r="U632" s="1484"/>
      <c r="V632" s="1485"/>
      <c r="W632" s="1477"/>
      <c r="X632" s="1478"/>
      <c r="Y632" s="1479"/>
      <c r="Z632" s="1459" t="s">
        <v>1184</v>
      </c>
      <c r="AA632" s="1460"/>
      <c r="AB632" s="1461"/>
      <c r="AC632" s="1379"/>
      <c r="AD632" s="1380"/>
      <c r="AE632" s="1381"/>
      <c r="AF632" s="1486"/>
      <c r="AG632" s="1487"/>
      <c r="AH632" s="1487"/>
      <c r="AI632" s="1487"/>
      <c r="AJ632" s="1488"/>
      <c r="AK632" s="1480"/>
      <c r="AL632" s="1481"/>
      <c r="AM632" s="1481"/>
      <c r="AN632" s="1482"/>
      <c r="AO632" s="1458">
        <v>886972</v>
      </c>
      <c r="AP632" s="1342"/>
      <c r="AQ632" s="1342"/>
      <c r="AR632" s="1342"/>
      <c r="AS632" s="1343"/>
      <c r="AT632" s="1148" t="str">
        <f t="shared" si="1"/>
        <v/>
      </c>
      <c r="AU632" s="3"/>
      <c r="AZ632" s="3"/>
      <c r="BA632" s="3"/>
      <c r="BB632" s="3"/>
      <c r="BC632" s="3"/>
      <c r="BD632" s="3"/>
    </row>
    <row r="633" spans="2:157" ht="13" customHeight="1">
      <c r="B633" s="52" t="s">
        <v>455</v>
      </c>
      <c r="C633" s="1489"/>
      <c r="D633" s="1489"/>
      <c r="E633" s="1489"/>
      <c r="F633" s="1489"/>
      <c r="G633" s="1489"/>
      <c r="H633" s="1489"/>
      <c r="I633" s="1489"/>
      <c r="J633" s="1489"/>
      <c r="K633" s="1489"/>
      <c r="L633" s="1489"/>
      <c r="M633" s="1490" t="s">
        <v>1184</v>
      </c>
      <c r="N633" s="1490"/>
      <c r="O633" s="1490"/>
      <c r="P633" s="1490"/>
      <c r="Q633" s="1483"/>
      <c r="R633" s="1484"/>
      <c r="S633" s="1485"/>
      <c r="T633" s="1483"/>
      <c r="U633" s="1484"/>
      <c r="V633" s="1485"/>
      <c r="W633" s="1477"/>
      <c r="X633" s="1478"/>
      <c r="Y633" s="1479"/>
      <c r="Z633" s="1459" t="s">
        <v>1184</v>
      </c>
      <c r="AA633" s="1460"/>
      <c r="AB633" s="1461"/>
      <c r="AC633" s="1379"/>
      <c r="AD633" s="1380"/>
      <c r="AE633" s="1381"/>
      <c r="AF633" s="1486"/>
      <c r="AG633" s="1487"/>
      <c r="AH633" s="1487"/>
      <c r="AI633" s="1487"/>
      <c r="AJ633" s="1488"/>
      <c r="AK633" s="1480"/>
      <c r="AL633" s="1481"/>
      <c r="AM633" s="1481"/>
      <c r="AN633" s="1482"/>
      <c r="AO633" s="1458"/>
      <c r="AP633" s="1342"/>
      <c r="AQ633" s="1342"/>
      <c r="AR633" s="1342"/>
      <c r="AS633" s="1343"/>
      <c r="AT633" s="1148" t="str">
        <f t="shared" si="1"/>
        <v/>
      </c>
      <c r="AU633" s="3"/>
      <c r="AV633" s="3"/>
      <c r="AW633" s="3"/>
      <c r="AX633" s="3"/>
      <c r="AY633" s="3"/>
      <c r="AZ633" s="3"/>
      <c r="BA633" s="3"/>
      <c r="BB633" s="3"/>
      <c r="BC633" s="3"/>
      <c r="BD633" s="3"/>
    </row>
    <row r="634" spans="2:157" ht="13" customHeight="1">
      <c r="B634" s="52" t="s">
        <v>456</v>
      </c>
      <c r="C634" s="1489"/>
      <c r="D634" s="1489"/>
      <c r="E634" s="1489"/>
      <c r="F634" s="1489"/>
      <c r="G634" s="1489"/>
      <c r="H634" s="1489"/>
      <c r="I634" s="1489"/>
      <c r="J634" s="1489"/>
      <c r="K634" s="1489"/>
      <c r="L634" s="1489"/>
      <c r="M634" s="1490" t="s">
        <v>1184</v>
      </c>
      <c r="N634" s="1490"/>
      <c r="O634" s="1490"/>
      <c r="P634" s="1490"/>
      <c r="Q634" s="1483"/>
      <c r="R634" s="1484"/>
      <c r="S634" s="1485"/>
      <c r="T634" s="1483"/>
      <c r="U634" s="1484"/>
      <c r="V634" s="1485"/>
      <c r="W634" s="1477"/>
      <c r="X634" s="1478"/>
      <c r="Y634" s="1479"/>
      <c r="Z634" s="1459" t="s">
        <v>1184</v>
      </c>
      <c r="AA634" s="1460"/>
      <c r="AB634" s="1461"/>
      <c r="AC634" s="1379"/>
      <c r="AD634" s="1380"/>
      <c r="AE634" s="1381"/>
      <c r="AF634" s="1486"/>
      <c r="AG634" s="1487"/>
      <c r="AH634" s="1487"/>
      <c r="AI634" s="1487"/>
      <c r="AJ634" s="1488"/>
      <c r="AK634" s="1480"/>
      <c r="AL634" s="1481"/>
      <c r="AM634" s="1481"/>
      <c r="AN634" s="1482"/>
      <c r="AO634" s="1458"/>
      <c r="AP634" s="1342"/>
      <c r="AQ634" s="1342"/>
      <c r="AR634" s="1342"/>
      <c r="AS634" s="1343"/>
      <c r="AT634" s="1148" t="str">
        <f t="shared" si="1"/>
        <v/>
      </c>
      <c r="AU634" s="3"/>
      <c r="AV634" s="3"/>
      <c r="AW634" s="3"/>
      <c r="AX634" s="3"/>
      <c r="AY634" s="3"/>
      <c r="AZ634" s="3"/>
      <c r="BA634" s="3" t="s">
        <v>1184</v>
      </c>
      <c r="BB634" s="3"/>
      <c r="BC634" s="3"/>
      <c r="BD634" s="3"/>
    </row>
    <row r="635" spans="2:157" ht="13" customHeight="1">
      <c r="B635" s="52" t="s">
        <v>461</v>
      </c>
      <c r="C635" s="1489"/>
      <c r="D635" s="1489"/>
      <c r="E635" s="1489"/>
      <c r="F635" s="1489"/>
      <c r="G635" s="1489"/>
      <c r="H635" s="1489"/>
      <c r="I635" s="1489"/>
      <c r="J635" s="1489"/>
      <c r="K635" s="1489"/>
      <c r="L635" s="1489"/>
      <c r="M635" s="1490" t="s">
        <v>1184</v>
      </c>
      <c r="N635" s="1490"/>
      <c r="O635" s="1490"/>
      <c r="P635" s="1490"/>
      <c r="Q635" s="1483"/>
      <c r="R635" s="1484"/>
      <c r="S635" s="1485"/>
      <c r="T635" s="1483"/>
      <c r="U635" s="1484"/>
      <c r="V635" s="1485"/>
      <c r="W635" s="1477"/>
      <c r="X635" s="1478"/>
      <c r="Y635" s="1479"/>
      <c r="Z635" s="1459" t="s">
        <v>1184</v>
      </c>
      <c r="AA635" s="1460"/>
      <c r="AB635" s="1461"/>
      <c r="AC635" s="1379"/>
      <c r="AD635" s="1380"/>
      <c r="AE635" s="1381"/>
      <c r="AF635" s="1486"/>
      <c r="AG635" s="1487"/>
      <c r="AH635" s="1487"/>
      <c r="AI635" s="1487"/>
      <c r="AJ635" s="1488"/>
      <c r="AK635" s="1480"/>
      <c r="AL635" s="1481"/>
      <c r="AM635" s="1481"/>
      <c r="AN635" s="1482"/>
      <c r="AO635" s="1458"/>
      <c r="AP635" s="1342"/>
      <c r="AQ635" s="1342"/>
      <c r="AR635" s="1342"/>
      <c r="AS635" s="1343"/>
      <c r="AT635" s="1148"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73" t="e">
        <f t="shared" ref="DX635:DX669" si="2">EZ718*(CP718/$CP$753)</f>
        <v>#VALUE!</v>
      </c>
      <c r="DY635" s="1373"/>
      <c r="DZ635" s="1373"/>
      <c r="EA635" s="1373"/>
      <c r="EB635" s="1373"/>
      <c r="EC635" s="1373">
        <f t="shared" ref="EC635:EC669" si="3">FE718*(CU718/$CU$753)</f>
        <v>118.1111111111111</v>
      </c>
      <c r="ED635" s="1373"/>
      <c r="EE635" s="1373"/>
      <c r="EF635" s="1373"/>
      <c r="EG635" s="1373"/>
      <c r="EH635" s="1373" t="e">
        <f t="shared" ref="EH635:EH669" si="4">FJ718*(CZ718/$CZ$753)</f>
        <v>#VALUE!</v>
      </c>
      <c r="EI635" s="1373"/>
      <c r="EJ635" s="1373"/>
      <c r="EK635" s="1373"/>
      <c r="EL635" s="1373"/>
      <c r="EM635" s="1373" t="e">
        <f t="shared" ref="EM635:EM669" si="5">FO718*(DE718/$DE$753)</f>
        <v>#VALUE!</v>
      </c>
      <c r="EN635" s="1373"/>
      <c r="EO635" s="1373"/>
      <c r="EP635" s="1373"/>
      <c r="EQ635" s="1373"/>
      <c r="ER635" s="1373" t="e">
        <f t="shared" ref="ER635:ER669" si="6">FT718*(DJ718/$DJ$753)</f>
        <v>#VALUE!</v>
      </c>
      <c r="ES635" s="1373"/>
      <c r="ET635" s="1373"/>
      <c r="EU635" s="1373"/>
      <c r="EV635" s="1373"/>
      <c r="EW635" s="1373" t="e">
        <f t="shared" ref="EW635:EW669" si="7">FY718*(DO718/$DO$753)</f>
        <v>#VALUE!</v>
      </c>
      <c r="EX635" s="1373"/>
      <c r="EY635" s="1373"/>
      <c r="EZ635" s="1373"/>
      <c r="FA635" s="1373"/>
    </row>
    <row r="636" spans="2:157" ht="13" customHeight="1">
      <c r="B636" s="52" t="s">
        <v>646</v>
      </c>
      <c r="C636" s="1489"/>
      <c r="D636" s="1489"/>
      <c r="E636" s="1489"/>
      <c r="F636" s="1489"/>
      <c r="G636" s="1489"/>
      <c r="H636" s="1489"/>
      <c r="I636" s="1489"/>
      <c r="J636" s="1489"/>
      <c r="K636" s="1489"/>
      <c r="L636" s="1489"/>
      <c r="M636" s="1490" t="s">
        <v>1184</v>
      </c>
      <c r="N636" s="1490"/>
      <c r="O636" s="1490"/>
      <c r="P636" s="1490"/>
      <c r="Q636" s="1483"/>
      <c r="R636" s="1484"/>
      <c r="S636" s="1485"/>
      <c r="T636" s="1483"/>
      <c r="U636" s="1484"/>
      <c r="V636" s="1485"/>
      <c r="W636" s="1477"/>
      <c r="X636" s="1478"/>
      <c r="Y636" s="1479"/>
      <c r="Z636" s="1459" t="s">
        <v>1184</v>
      </c>
      <c r="AA636" s="1460"/>
      <c r="AB636" s="1461"/>
      <c r="AC636" s="1379"/>
      <c r="AD636" s="1380"/>
      <c r="AE636" s="1381"/>
      <c r="AF636" s="1486"/>
      <c r="AG636" s="1487"/>
      <c r="AH636" s="1487"/>
      <c r="AI636" s="1487"/>
      <c r="AJ636" s="1488"/>
      <c r="AK636" s="1480"/>
      <c r="AL636" s="1481"/>
      <c r="AM636" s="1481"/>
      <c r="AN636" s="1482"/>
      <c r="AO636" s="1458"/>
      <c r="AP636" s="1342"/>
      <c r="AQ636" s="1342"/>
      <c r="AR636" s="1342"/>
      <c r="AS636" s="1343"/>
      <c r="AT636" s="1148"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373" t="e">
        <f t="shared" si="2"/>
        <v>#VALUE!</v>
      </c>
      <c r="DY636" s="1373"/>
      <c r="DZ636" s="1373"/>
      <c r="EA636" s="1373"/>
      <c r="EB636" s="1373"/>
      <c r="EC636" s="1373" t="e">
        <f t="shared" si="3"/>
        <v>#VALUE!</v>
      </c>
      <c r="ED636" s="1373"/>
      <c r="EE636" s="1373"/>
      <c r="EF636" s="1373"/>
      <c r="EG636" s="1373"/>
      <c r="EH636" s="1373">
        <f t="shared" si="4"/>
        <v>156.38297872340425</v>
      </c>
      <c r="EI636" s="1373"/>
      <c r="EJ636" s="1373"/>
      <c r="EK636" s="1373"/>
      <c r="EL636" s="1373"/>
      <c r="EM636" s="1373" t="e">
        <f t="shared" si="5"/>
        <v>#VALUE!</v>
      </c>
      <c r="EN636" s="1373"/>
      <c r="EO636" s="1373"/>
      <c r="EP636" s="1373"/>
      <c r="EQ636" s="1373"/>
      <c r="ER636" s="1373" t="e">
        <f t="shared" si="6"/>
        <v>#VALUE!</v>
      </c>
      <c r="ES636" s="1373"/>
      <c r="ET636" s="1373"/>
      <c r="EU636" s="1373"/>
      <c r="EV636" s="1373"/>
      <c r="EW636" s="1373" t="e">
        <f t="shared" si="7"/>
        <v>#VALUE!</v>
      </c>
      <c r="EX636" s="1373"/>
      <c r="EY636" s="1373"/>
      <c r="EZ636" s="1373"/>
      <c r="FA636" s="1373"/>
    </row>
    <row r="637" spans="2:157" ht="13" customHeight="1">
      <c r="B637" s="52" t="s">
        <v>361</v>
      </c>
      <c r="C637" s="1489"/>
      <c r="D637" s="1489"/>
      <c r="E637" s="1489"/>
      <c r="F637" s="1489"/>
      <c r="G637" s="1489"/>
      <c r="H637" s="1489"/>
      <c r="I637" s="1489"/>
      <c r="J637" s="1489"/>
      <c r="K637" s="1489"/>
      <c r="L637" s="1489"/>
      <c r="M637" s="1490" t="s">
        <v>1184</v>
      </c>
      <c r="N637" s="1490"/>
      <c r="O637" s="1490"/>
      <c r="P637" s="1490"/>
      <c r="Q637" s="1483"/>
      <c r="R637" s="1484"/>
      <c r="S637" s="1485"/>
      <c r="T637" s="1483"/>
      <c r="U637" s="1484"/>
      <c r="V637" s="1485"/>
      <c r="W637" s="1477"/>
      <c r="X637" s="1478"/>
      <c r="Y637" s="1479"/>
      <c r="Z637" s="1459" t="s">
        <v>1184</v>
      </c>
      <c r="AA637" s="1460"/>
      <c r="AB637" s="1461"/>
      <c r="AC637" s="1379"/>
      <c r="AD637" s="1380"/>
      <c r="AE637" s="1381"/>
      <c r="AF637" s="1486"/>
      <c r="AG637" s="1487"/>
      <c r="AH637" s="1487"/>
      <c r="AI637" s="1487"/>
      <c r="AJ637" s="1488"/>
      <c r="AK637" s="1480"/>
      <c r="AL637" s="1481"/>
      <c r="AM637" s="1481"/>
      <c r="AN637" s="1482"/>
      <c r="AO637" s="1458"/>
      <c r="AP637" s="1342"/>
      <c r="AQ637" s="1342"/>
      <c r="AR637" s="1342"/>
      <c r="AS637" s="1343"/>
      <c r="AT637" s="1148" t="str">
        <f t="shared" si="1"/>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373" t="e">
        <f t="shared" si="2"/>
        <v>#VALUE!</v>
      </c>
      <c r="DY637" s="1373"/>
      <c r="DZ637" s="1373"/>
      <c r="EA637" s="1373"/>
      <c r="EB637" s="1373"/>
      <c r="EC637" s="1373" t="e">
        <f t="shared" si="3"/>
        <v>#VALUE!</v>
      </c>
      <c r="ED637" s="1373"/>
      <c r="EE637" s="1373"/>
      <c r="EF637" s="1373"/>
      <c r="EG637" s="1373"/>
      <c r="EH637" s="1373" t="e">
        <f t="shared" si="4"/>
        <v>#VALUE!</v>
      </c>
      <c r="EI637" s="1373"/>
      <c r="EJ637" s="1373"/>
      <c r="EK637" s="1373"/>
      <c r="EL637" s="1373"/>
      <c r="EM637" s="1373">
        <f t="shared" si="5"/>
        <v>137.34375</v>
      </c>
      <c r="EN637" s="1373"/>
      <c r="EO637" s="1373"/>
      <c r="EP637" s="1373"/>
      <c r="EQ637" s="1373"/>
      <c r="ER637" s="1373" t="e">
        <f t="shared" si="6"/>
        <v>#VALUE!</v>
      </c>
      <c r="ES637" s="1373"/>
      <c r="ET637" s="1373"/>
      <c r="EU637" s="1373"/>
      <c r="EV637" s="1373"/>
      <c r="EW637" s="1373" t="e">
        <f t="shared" si="7"/>
        <v>#VALUE!</v>
      </c>
      <c r="EX637" s="1373"/>
      <c r="EY637" s="1373"/>
      <c r="EZ637" s="1373"/>
      <c r="FA637" s="1373"/>
    </row>
    <row r="638" spans="2:157" ht="13" customHeight="1">
      <c r="B638" s="52" t="s">
        <v>362</v>
      </c>
      <c r="C638" s="1489"/>
      <c r="D638" s="1489"/>
      <c r="E638" s="1489"/>
      <c r="F638" s="1489"/>
      <c r="G638" s="1489"/>
      <c r="H638" s="1489"/>
      <c r="I638" s="1489"/>
      <c r="J638" s="1489"/>
      <c r="K638" s="1489"/>
      <c r="L638" s="1489"/>
      <c r="M638" s="1490" t="s">
        <v>1184</v>
      </c>
      <c r="N638" s="1490"/>
      <c r="O638" s="1490"/>
      <c r="P638" s="1490"/>
      <c r="Q638" s="1483"/>
      <c r="R638" s="1484"/>
      <c r="S638" s="1485"/>
      <c r="T638" s="1483"/>
      <c r="U638" s="1484"/>
      <c r="V638" s="1485"/>
      <c r="W638" s="1477"/>
      <c r="X638" s="1478"/>
      <c r="Y638" s="1479"/>
      <c r="Z638" s="1459" t="s">
        <v>1184</v>
      </c>
      <c r="AA638" s="1460"/>
      <c r="AB638" s="1461"/>
      <c r="AC638" s="1379"/>
      <c r="AD638" s="1380"/>
      <c r="AE638" s="1381"/>
      <c r="AF638" s="1486"/>
      <c r="AG638" s="1487"/>
      <c r="AH638" s="1487"/>
      <c r="AI638" s="1487"/>
      <c r="AJ638" s="1488"/>
      <c r="AK638" s="1480"/>
      <c r="AL638" s="1481"/>
      <c r="AM638" s="1481"/>
      <c r="AN638" s="1482"/>
      <c r="AO638" s="1458"/>
      <c r="AP638" s="1342"/>
      <c r="AQ638" s="1342"/>
      <c r="AR638" s="1342"/>
      <c r="AS638" s="1343"/>
      <c r="AT638" s="1148"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373" t="e">
        <f t="shared" si="2"/>
        <v>#VALUE!</v>
      </c>
      <c r="DY638" s="1373"/>
      <c r="DZ638" s="1373"/>
      <c r="EA638" s="1373"/>
      <c r="EB638" s="1373"/>
      <c r="EC638" s="1373">
        <f t="shared" si="3"/>
        <v>754.93333333333328</v>
      </c>
      <c r="ED638" s="1373"/>
      <c r="EE638" s="1373"/>
      <c r="EF638" s="1373"/>
      <c r="EG638" s="1373"/>
      <c r="EH638" s="1373" t="e">
        <f t="shared" si="4"/>
        <v>#VALUE!</v>
      </c>
      <c r="EI638" s="1373"/>
      <c r="EJ638" s="1373"/>
      <c r="EK638" s="1373"/>
      <c r="EL638" s="1373"/>
      <c r="EM638" s="1373" t="e">
        <f t="shared" si="5"/>
        <v>#VALUE!</v>
      </c>
      <c r="EN638" s="1373"/>
      <c r="EO638" s="1373"/>
      <c r="EP638" s="1373"/>
      <c r="EQ638" s="1373"/>
      <c r="ER638" s="1373" t="e">
        <f t="shared" si="6"/>
        <v>#VALUE!</v>
      </c>
      <c r="ES638" s="1373"/>
      <c r="ET638" s="1373"/>
      <c r="EU638" s="1373"/>
      <c r="EV638" s="1373"/>
      <c r="EW638" s="1373" t="e">
        <f t="shared" si="7"/>
        <v>#VALUE!</v>
      </c>
      <c r="EX638" s="1373"/>
      <c r="EY638" s="1373"/>
      <c r="EZ638" s="1373"/>
      <c r="FA638" s="1373"/>
    </row>
    <row r="639" spans="2:157" ht="13" customHeight="1">
      <c r="B639" s="1470" t="s">
        <v>128</v>
      </c>
      <c r="C639" s="1471"/>
      <c r="D639" s="1471"/>
      <c r="E639" s="1471"/>
      <c r="F639" s="1471"/>
      <c r="G639" s="1471"/>
      <c r="H639" s="1471"/>
      <c r="I639" s="1471"/>
      <c r="J639" s="1471"/>
      <c r="K639" s="1471"/>
      <c r="L639" s="1471"/>
      <c r="M639" s="1471"/>
      <c r="N639" s="1471"/>
      <c r="O639" s="1471"/>
      <c r="P639" s="1471"/>
      <c r="Q639" s="1471"/>
      <c r="R639" s="1471"/>
      <c r="S639" s="1471"/>
      <c r="T639" s="1471"/>
      <c r="U639" s="1471"/>
      <c r="V639" s="1471"/>
      <c r="W639" s="1471"/>
      <c r="X639" s="1471"/>
      <c r="Y639" s="1471"/>
      <c r="Z639" s="1471"/>
      <c r="AA639" s="1471"/>
      <c r="AB639" s="1471"/>
      <c r="AC639" s="1471"/>
      <c r="AD639" s="1471"/>
      <c r="AE639" s="1471"/>
      <c r="AF639" s="1471"/>
      <c r="AG639" s="1471"/>
      <c r="AH639" s="1471"/>
      <c r="AI639" s="1471"/>
      <c r="AJ639" s="1471"/>
      <c r="AK639" s="1471"/>
      <c r="AL639" s="1471"/>
      <c r="AM639" s="1471"/>
      <c r="AN639" s="1473"/>
      <c r="AO639" s="1455">
        <f>SUM(AO627:AR638)</f>
        <v>44082521</v>
      </c>
      <c r="AP639" s="1456"/>
      <c r="AQ639" s="1456"/>
      <c r="AR639" s="1456"/>
      <c r="AS639" s="145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73" t="e">
        <f t="shared" si="2"/>
        <v>#VALUE!</v>
      </c>
      <c r="DY639" s="1373"/>
      <c r="DZ639" s="1373"/>
      <c r="EA639" s="1373"/>
      <c r="EB639" s="1373"/>
      <c r="EC639" s="1373" t="e">
        <f t="shared" si="3"/>
        <v>#VALUE!</v>
      </c>
      <c r="ED639" s="1373"/>
      <c r="EE639" s="1373"/>
      <c r="EF639" s="1373"/>
      <c r="EG639" s="1373"/>
      <c r="EH639" s="1373">
        <f t="shared" si="4"/>
        <v>847.31914893617011</v>
      </c>
      <c r="EI639" s="1373"/>
      <c r="EJ639" s="1373"/>
      <c r="EK639" s="1373"/>
      <c r="EL639" s="1373"/>
      <c r="EM639" s="1373" t="e">
        <f t="shared" si="5"/>
        <v>#VALUE!</v>
      </c>
      <c r="EN639" s="1373"/>
      <c r="EO639" s="1373"/>
      <c r="EP639" s="1373"/>
      <c r="EQ639" s="1373"/>
      <c r="ER639" s="1373" t="e">
        <f t="shared" si="6"/>
        <v>#VALUE!</v>
      </c>
      <c r="ES639" s="1373"/>
      <c r="ET639" s="1373"/>
      <c r="EU639" s="1373"/>
      <c r="EV639" s="1373"/>
      <c r="EW639" s="1373" t="e">
        <f t="shared" si="7"/>
        <v>#VALUE!</v>
      </c>
      <c r="EX639" s="1373"/>
      <c r="EY639" s="1373"/>
      <c r="EZ639" s="1373"/>
      <c r="FA639" s="1373"/>
    </row>
    <row r="640" spans="2:157" ht="13" customHeight="1">
      <c r="B640" s="1470" t="s">
        <v>266</v>
      </c>
      <c r="C640" s="1471"/>
      <c r="D640" s="1471"/>
      <c r="E640" s="1471"/>
      <c r="F640" s="1471"/>
      <c r="G640" s="1471"/>
      <c r="H640" s="1471"/>
      <c r="I640" s="1471"/>
      <c r="J640" s="1471"/>
      <c r="K640" s="1471"/>
      <c r="L640" s="1471"/>
      <c r="M640" s="1471"/>
      <c r="N640" s="1471"/>
      <c r="O640" s="1471"/>
      <c r="P640" s="1471"/>
      <c r="Q640" s="1471"/>
      <c r="R640" s="1471"/>
      <c r="S640" s="1471"/>
      <c r="T640" s="1471"/>
      <c r="U640" s="1471"/>
      <c r="V640" s="1471"/>
      <c r="W640" s="1471"/>
      <c r="X640" s="1471"/>
      <c r="Y640" s="1471"/>
      <c r="Z640" s="1471"/>
      <c r="AA640" s="1471"/>
      <c r="AB640" s="1471"/>
      <c r="AC640" s="1471"/>
      <c r="AD640" s="1471"/>
      <c r="AE640" s="1471"/>
      <c r="AF640" s="1471"/>
      <c r="AG640" s="1471"/>
      <c r="AH640" s="1471"/>
      <c r="AI640" s="1471"/>
      <c r="AJ640" s="1471"/>
      <c r="AK640" s="1471"/>
      <c r="AL640" s="1471"/>
      <c r="AM640" s="1471"/>
      <c r="AN640" s="1473"/>
      <c r="AO640" s="1458">
        <v>27226955</v>
      </c>
      <c r="AP640" s="1342"/>
      <c r="AQ640" s="1342"/>
      <c r="AR640" s="1342"/>
      <c r="AS640" s="1343"/>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73" t="e">
        <f t="shared" si="2"/>
        <v>#VALUE!</v>
      </c>
      <c r="DY640" s="1373"/>
      <c r="DZ640" s="1373"/>
      <c r="EA640" s="1373"/>
      <c r="EB640" s="1373"/>
      <c r="EC640" s="1373" t="e">
        <f t="shared" si="3"/>
        <v>#VALUE!</v>
      </c>
      <c r="ED640" s="1373"/>
      <c r="EE640" s="1373"/>
      <c r="EF640" s="1373"/>
      <c r="EG640" s="1373"/>
      <c r="EH640" s="1373" t="e">
        <f t="shared" si="4"/>
        <v>#VALUE!</v>
      </c>
      <c r="EI640" s="1373"/>
      <c r="EJ640" s="1373"/>
      <c r="EK640" s="1373"/>
      <c r="EL640" s="1373"/>
      <c r="EM640" s="1373">
        <f t="shared" si="5"/>
        <v>849.40625</v>
      </c>
      <c r="EN640" s="1373"/>
      <c r="EO640" s="1373"/>
      <c r="EP640" s="1373"/>
      <c r="EQ640" s="1373"/>
      <c r="ER640" s="1373" t="e">
        <f t="shared" si="6"/>
        <v>#VALUE!</v>
      </c>
      <c r="ES640" s="1373"/>
      <c r="ET640" s="1373"/>
      <c r="EU640" s="1373"/>
      <c r="EV640" s="1373"/>
      <c r="EW640" s="1373" t="e">
        <f t="shared" si="7"/>
        <v>#VALUE!</v>
      </c>
      <c r="EX640" s="1373"/>
      <c r="EY640" s="1373"/>
      <c r="EZ640" s="1373"/>
      <c r="FA640" s="1373"/>
    </row>
    <row r="641" spans="1:157" ht="13" customHeight="1">
      <c r="B641" s="1669" t="s">
        <v>267</v>
      </c>
      <c r="C641" s="1472"/>
      <c r="D641" s="1472"/>
      <c r="E641" s="1472"/>
      <c r="F641" s="1472"/>
      <c r="G641" s="1472"/>
      <c r="H641" s="1472"/>
      <c r="I641" s="1472"/>
      <c r="J641" s="1472"/>
      <c r="K641" s="1472"/>
      <c r="L641" s="1472"/>
      <c r="M641" s="1472"/>
      <c r="N641" s="1472"/>
      <c r="O641" s="1472"/>
      <c r="P641" s="1472"/>
      <c r="Q641" s="1472"/>
      <c r="R641" s="1472"/>
      <c r="S641" s="1472"/>
      <c r="T641" s="1472"/>
      <c r="U641" s="1472"/>
      <c r="V641" s="1472"/>
      <c r="W641" s="1472"/>
      <c r="X641" s="1472"/>
      <c r="Y641" s="1472"/>
      <c r="Z641" s="1472"/>
      <c r="AA641" s="1472"/>
      <c r="AB641" s="1472"/>
      <c r="AC641" s="1472"/>
      <c r="AD641" s="1472"/>
      <c r="AE641" s="1472"/>
      <c r="AF641" s="1472"/>
      <c r="AG641" s="1472"/>
      <c r="AH641" s="1472"/>
      <c r="AI641" s="1472"/>
      <c r="AJ641" s="1472"/>
      <c r="AK641" s="1472"/>
      <c r="AL641" s="1472"/>
      <c r="AM641" s="1472"/>
      <c r="AN641" s="1670"/>
      <c r="AO641" s="1455">
        <f>AO639+AO640</f>
        <v>71309476</v>
      </c>
      <c r="AP641" s="1456"/>
      <c r="AQ641" s="1456"/>
      <c r="AR641" s="1456"/>
      <c r="AS641" s="145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73" t="e">
        <f t="shared" si="2"/>
        <v>#VALUE!</v>
      </c>
      <c r="DY641" s="1373"/>
      <c r="DZ641" s="1373"/>
      <c r="EA641" s="1373"/>
      <c r="EB641" s="1373"/>
      <c r="EC641" s="1373">
        <f t="shared" si="3"/>
        <v>1173.2</v>
      </c>
      <c r="ED641" s="1373"/>
      <c r="EE641" s="1373"/>
      <c r="EF641" s="1373"/>
      <c r="EG641" s="1373"/>
      <c r="EH641" s="1373" t="e">
        <f t="shared" si="4"/>
        <v>#VALUE!</v>
      </c>
      <c r="EI641" s="1373"/>
      <c r="EJ641" s="1373"/>
      <c r="EK641" s="1373"/>
      <c r="EL641" s="1373"/>
      <c r="EM641" s="1373" t="e">
        <f t="shared" si="5"/>
        <v>#VALUE!</v>
      </c>
      <c r="EN641" s="1373"/>
      <c r="EO641" s="1373"/>
      <c r="EP641" s="1373"/>
      <c r="EQ641" s="1373"/>
      <c r="ER641" s="1373" t="e">
        <f t="shared" si="6"/>
        <v>#VALUE!</v>
      </c>
      <c r="ES641" s="1373"/>
      <c r="ET641" s="1373"/>
      <c r="EU641" s="1373"/>
      <c r="EV641" s="1373"/>
      <c r="EW641" s="1373" t="e">
        <f t="shared" si="7"/>
        <v>#VALUE!</v>
      </c>
      <c r="EX641" s="1373"/>
      <c r="EY641" s="1373"/>
      <c r="EZ641" s="1373"/>
      <c r="FA641" s="1373"/>
    </row>
    <row r="642" spans="1:157" ht="13"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73" t="e">
        <f t="shared" si="2"/>
        <v>#VALUE!</v>
      </c>
      <c r="DY642" s="1373"/>
      <c r="DZ642" s="1373"/>
      <c r="EA642" s="1373"/>
      <c r="EB642" s="1373"/>
      <c r="EC642" s="1373" t="e">
        <f t="shared" si="3"/>
        <v>#VALUE!</v>
      </c>
      <c r="ED642" s="1373"/>
      <c r="EE642" s="1373"/>
      <c r="EF642" s="1373"/>
      <c r="EG642" s="1373"/>
      <c r="EH642" s="1373">
        <f t="shared" si="4"/>
        <v>1388.3404255319149</v>
      </c>
      <c r="EI642" s="1373"/>
      <c r="EJ642" s="1373"/>
      <c r="EK642" s="1373"/>
      <c r="EL642" s="1373"/>
      <c r="EM642" s="1373" t="e">
        <f t="shared" si="5"/>
        <v>#VALUE!</v>
      </c>
      <c r="EN642" s="1373"/>
      <c r="EO642" s="1373"/>
      <c r="EP642" s="1373"/>
      <c r="EQ642" s="1373"/>
      <c r="ER642" s="1373" t="e">
        <f t="shared" si="6"/>
        <v>#VALUE!</v>
      </c>
      <c r="ES642" s="1373"/>
      <c r="ET642" s="1373"/>
      <c r="EU642" s="1373"/>
      <c r="EV642" s="1373"/>
      <c r="EW642" s="1373" t="e">
        <f t="shared" si="7"/>
        <v>#VALUE!</v>
      </c>
      <c r="EX642" s="1373"/>
      <c r="EY642" s="1373"/>
      <c r="EZ642" s="1373"/>
      <c r="FA642" s="1373"/>
    </row>
    <row r="643" spans="1:157" ht="13" customHeight="1">
      <c r="A643" s="55" t="s">
        <v>112</v>
      </c>
      <c r="B643" t="s">
        <v>463</v>
      </c>
      <c r="G643" s="1468" t="str">
        <f>C627</f>
        <v xml:space="preserve">CalHFA - Tax Exempt </v>
      </c>
      <c r="H643" s="1468"/>
      <c r="I643" s="1468"/>
      <c r="J643" s="1468"/>
      <c r="K643" s="1468"/>
      <c r="L643" s="1468"/>
      <c r="M643" s="1468"/>
      <c r="N643" s="1468"/>
      <c r="O643" s="1468"/>
      <c r="P643" s="1468"/>
      <c r="Q643" s="1468"/>
      <c r="R643" s="1468"/>
      <c r="S643" s="8"/>
      <c r="T643" s="55" t="s">
        <v>113</v>
      </c>
      <c r="U643" t="s">
        <v>463</v>
      </c>
      <c r="Z643" s="1468" t="str">
        <f>C628</f>
        <v>CalHFA  -Taxable</v>
      </c>
      <c r="AA643" s="1468"/>
      <c r="AB643" s="1468"/>
      <c r="AC643" s="1468"/>
      <c r="AD643" s="1468"/>
      <c r="AE643" s="1468"/>
      <c r="AF643" s="1468"/>
      <c r="AG643" s="1468"/>
      <c r="AH643" s="1468"/>
      <c r="AI643" s="1468"/>
      <c r="AJ643" s="1468"/>
      <c r="AK643" s="146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73" t="e">
        <f t="shared" si="2"/>
        <v>#VALUE!</v>
      </c>
      <c r="DY643" s="1373"/>
      <c r="DZ643" s="1373"/>
      <c r="EA643" s="1373"/>
      <c r="EB643" s="1373"/>
      <c r="EC643" s="1373" t="e">
        <f t="shared" si="3"/>
        <v>#VALUE!</v>
      </c>
      <c r="ED643" s="1373"/>
      <c r="EE643" s="1373"/>
      <c r="EF643" s="1373"/>
      <c r="EG643" s="1373"/>
      <c r="EH643" s="1373" t="e">
        <f t="shared" si="4"/>
        <v>#VALUE!</v>
      </c>
      <c r="EI643" s="1373"/>
      <c r="EJ643" s="1373"/>
      <c r="EK643" s="1373"/>
      <c r="EL643" s="1373"/>
      <c r="EM643" s="1373">
        <f t="shared" si="5"/>
        <v>1955.8125</v>
      </c>
      <c r="EN643" s="1373"/>
      <c r="EO643" s="1373"/>
      <c r="EP643" s="1373"/>
      <c r="EQ643" s="1373"/>
      <c r="ER643" s="1373" t="e">
        <f t="shared" si="6"/>
        <v>#VALUE!</v>
      </c>
      <c r="ES643" s="1373"/>
      <c r="ET643" s="1373"/>
      <c r="EU643" s="1373"/>
      <c r="EV643" s="1373"/>
      <c r="EW643" s="1373" t="e">
        <f t="shared" si="7"/>
        <v>#VALUE!</v>
      </c>
      <c r="EX643" s="1373"/>
      <c r="EY643" s="1373"/>
      <c r="EZ643" s="1373"/>
      <c r="FA643" s="1373"/>
    </row>
    <row r="644" spans="1:157" ht="13" customHeight="1">
      <c r="A644" s="22"/>
      <c r="B644" t="s">
        <v>85</v>
      </c>
      <c r="G644" s="1409" t="s">
        <v>2754</v>
      </c>
      <c r="H644" s="1409"/>
      <c r="I644" s="1409"/>
      <c r="J644" s="1409"/>
      <c r="K644" s="1409"/>
      <c r="L644" s="1409"/>
      <c r="M644" s="1409"/>
      <c r="N644" s="1409"/>
      <c r="O644" s="1409"/>
      <c r="P644" s="1409"/>
      <c r="Q644" s="1409"/>
      <c r="R644" s="1409"/>
      <c r="S644" s="8"/>
      <c r="T644" s="22"/>
      <c r="U644" t="s">
        <v>85</v>
      </c>
      <c r="Z644" s="1409" t="str">
        <f>G644</f>
        <v>500 Capitol Mall, Suite 400, MS 990</v>
      </c>
      <c r="AA644" s="1409"/>
      <c r="AB644" s="1409"/>
      <c r="AC644" s="1409"/>
      <c r="AD644" s="1409"/>
      <c r="AE644" s="1409"/>
      <c r="AF644" s="1409"/>
      <c r="AG644" s="1409"/>
      <c r="AH644" s="1409"/>
      <c r="AI644" s="1409"/>
      <c r="AJ644" s="1409"/>
      <c r="AK644" s="1409"/>
      <c r="AV644" s="3"/>
      <c r="AW644" s="3"/>
      <c r="AX644" s="3"/>
      <c r="AY644" s="3"/>
      <c r="AZ644" s="3"/>
      <c r="BA644" s="3"/>
      <c r="BB644" s="3"/>
      <c r="BC644" s="3"/>
      <c r="BD644" s="3"/>
      <c r="BE644" s="3"/>
      <c r="BF644" s="3"/>
      <c r="BG644" s="3"/>
      <c r="BH644" s="3"/>
      <c r="BI644" s="3"/>
      <c r="BJ644" s="3"/>
      <c r="BK644" s="3"/>
      <c r="BL644" s="3"/>
      <c r="BM644" s="3"/>
      <c r="DX644" s="1373" t="e">
        <f t="shared" si="2"/>
        <v>#VALUE!</v>
      </c>
      <c r="DY644" s="1373"/>
      <c r="DZ644" s="1373"/>
      <c r="EA644" s="1373"/>
      <c r="EB644" s="1373"/>
      <c r="EC644" s="1373" t="e">
        <f t="shared" si="3"/>
        <v>#VALUE!</v>
      </c>
      <c r="ED644" s="1373"/>
      <c r="EE644" s="1373"/>
      <c r="EF644" s="1373"/>
      <c r="EG644" s="1373"/>
      <c r="EH644" s="1373" t="e">
        <f t="shared" si="4"/>
        <v>#VALUE!</v>
      </c>
      <c r="EI644" s="1373"/>
      <c r="EJ644" s="1373"/>
      <c r="EK644" s="1373"/>
      <c r="EL644" s="1373"/>
      <c r="EM644" s="1373" t="e">
        <f t="shared" si="5"/>
        <v>#VALUE!</v>
      </c>
      <c r="EN644" s="1373"/>
      <c r="EO644" s="1373"/>
      <c r="EP644" s="1373"/>
      <c r="EQ644" s="1373"/>
      <c r="ER644" s="1373" t="e">
        <f t="shared" si="6"/>
        <v>#VALUE!</v>
      </c>
      <c r="ES644" s="1373"/>
      <c r="ET644" s="1373"/>
      <c r="EU644" s="1373"/>
      <c r="EV644" s="1373"/>
      <c r="EW644" s="1373" t="e">
        <f t="shared" si="7"/>
        <v>#VALUE!</v>
      </c>
      <c r="EX644" s="1373"/>
      <c r="EY644" s="1373"/>
      <c r="EZ644" s="1373"/>
      <c r="FA644" s="1373"/>
    </row>
    <row r="645" spans="1:157" ht="13" customHeight="1">
      <c r="A645" s="22"/>
      <c r="B645" t="s">
        <v>580</v>
      </c>
      <c r="G645" s="1409" t="s">
        <v>2755</v>
      </c>
      <c r="H645" s="1409"/>
      <c r="I645" s="1409"/>
      <c r="J645" s="1409"/>
      <c r="K645" s="1409"/>
      <c r="L645" s="1409"/>
      <c r="M645" s="1409"/>
      <c r="N645" s="1409"/>
      <c r="O645" s="1409"/>
      <c r="P645" s="1409"/>
      <c r="Q645" s="1409"/>
      <c r="R645" s="1409"/>
      <c r="T645" s="22"/>
      <c r="U645" t="s">
        <v>580</v>
      </c>
      <c r="Z645" s="1453" t="str">
        <f>G645</f>
        <v xml:space="preserve">Sacramento											</v>
      </c>
      <c r="AA645" s="1453"/>
      <c r="AB645" s="1453"/>
      <c r="AC645" s="1453"/>
      <c r="AD645" s="1453"/>
      <c r="AE645" s="1453"/>
      <c r="AF645" s="1453"/>
      <c r="AG645" s="1453"/>
      <c r="AH645" s="1453"/>
      <c r="AI645" s="1453"/>
      <c r="AJ645" s="1453"/>
      <c r="AK645" s="1453"/>
      <c r="AV645" s="3"/>
      <c r="AW645" s="3"/>
      <c r="AX645" s="3"/>
      <c r="AY645" s="3"/>
      <c r="AZ645" s="3"/>
      <c r="BA645" s="3"/>
      <c r="BB645" s="3"/>
      <c r="BC645" s="3"/>
      <c r="BD645" s="3"/>
      <c r="BE645" s="3"/>
      <c r="BF645" s="3"/>
      <c r="BG645" s="3"/>
      <c r="BH645" s="3"/>
      <c r="BI645" s="3"/>
      <c r="BJ645" s="3"/>
      <c r="BK645" s="3"/>
      <c r="BL645" s="3"/>
      <c r="BM645" s="3"/>
      <c r="DX645" s="1373" t="e">
        <f t="shared" si="2"/>
        <v>#VALUE!</v>
      </c>
      <c r="DY645" s="1373"/>
      <c r="DZ645" s="1373"/>
      <c r="EA645" s="1373"/>
      <c r="EB645" s="1373"/>
      <c r="EC645" s="1373" t="e">
        <f t="shared" si="3"/>
        <v>#VALUE!</v>
      </c>
      <c r="ED645" s="1373"/>
      <c r="EE645" s="1373"/>
      <c r="EF645" s="1373"/>
      <c r="EG645" s="1373"/>
      <c r="EH645" s="1373" t="e">
        <f t="shared" si="4"/>
        <v>#VALUE!</v>
      </c>
      <c r="EI645" s="1373"/>
      <c r="EJ645" s="1373"/>
      <c r="EK645" s="1373"/>
      <c r="EL645" s="1373"/>
      <c r="EM645" s="1373" t="e">
        <f t="shared" si="5"/>
        <v>#VALUE!</v>
      </c>
      <c r="EN645" s="1373"/>
      <c r="EO645" s="1373"/>
      <c r="EP645" s="1373"/>
      <c r="EQ645" s="1373"/>
      <c r="ER645" s="1373" t="e">
        <f t="shared" si="6"/>
        <v>#VALUE!</v>
      </c>
      <c r="ES645" s="1373"/>
      <c r="ET645" s="1373"/>
      <c r="EU645" s="1373"/>
      <c r="EV645" s="1373"/>
      <c r="EW645" s="1373" t="e">
        <f t="shared" si="7"/>
        <v>#VALUE!</v>
      </c>
      <c r="EX645" s="1373"/>
      <c r="EY645" s="1373"/>
      <c r="EZ645" s="1373"/>
      <c r="FA645" s="1373"/>
    </row>
    <row r="646" spans="1:157" ht="13" customHeight="1">
      <c r="A646" s="22"/>
      <c r="B646" t="s">
        <v>17</v>
      </c>
      <c r="G646" s="1409" t="s">
        <v>2798</v>
      </c>
      <c r="H646" s="1409"/>
      <c r="I646" s="1409"/>
      <c r="J646" s="1409"/>
      <c r="K646" s="1409"/>
      <c r="L646" s="1409"/>
      <c r="M646" s="1409"/>
      <c r="N646" s="1409"/>
      <c r="O646" s="1409"/>
      <c r="P646" s="1409"/>
      <c r="Q646" s="1409"/>
      <c r="R646" s="1409"/>
      <c r="S646" s="8"/>
      <c r="T646" s="22"/>
      <c r="U646" t="s">
        <v>17</v>
      </c>
      <c r="Z646" s="1453" t="str">
        <f>G646</f>
        <v>Natalie Cooper</v>
      </c>
      <c r="AA646" s="1453"/>
      <c r="AB646" s="1453"/>
      <c r="AC646" s="1453"/>
      <c r="AD646" s="1453"/>
      <c r="AE646" s="1453"/>
      <c r="AF646" s="1453"/>
      <c r="AG646" s="1453"/>
      <c r="AH646" s="1453"/>
      <c r="AI646" s="1453"/>
      <c r="AJ646" s="1453"/>
      <c r="AK646" s="1453"/>
      <c r="AZ646" s="3"/>
      <c r="BA646" s="3"/>
      <c r="BB646" s="3"/>
      <c r="BC646" s="3"/>
      <c r="BD646" s="3"/>
      <c r="BE646" s="3"/>
      <c r="BF646" s="3"/>
      <c r="BG646" s="3"/>
      <c r="BH646" s="3"/>
      <c r="BI646" s="3"/>
      <c r="BJ646" s="3"/>
      <c r="BK646" s="3"/>
      <c r="BL646" s="3"/>
      <c r="BM646" s="3"/>
      <c r="DX646" s="1373" t="e">
        <f t="shared" si="2"/>
        <v>#VALUE!</v>
      </c>
      <c r="DY646" s="1373"/>
      <c r="DZ646" s="1373"/>
      <c r="EA646" s="1373"/>
      <c r="EB646" s="1373"/>
      <c r="EC646" s="1373" t="e">
        <f t="shared" si="3"/>
        <v>#VALUE!</v>
      </c>
      <c r="ED646" s="1373"/>
      <c r="EE646" s="1373"/>
      <c r="EF646" s="1373"/>
      <c r="EG646" s="1373"/>
      <c r="EH646" s="1373" t="e">
        <f t="shared" si="4"/>
        <v>#VALUE!</v>
      </c>
      <c r="EI646" s="1373"/>
      <c r="EJ646" s="1373"/>
      <c r="EK646" s="1373"/>
      <c r="EL646" s="1373"/>
      <c r="EM646" s="1373" t="e">
        <f t="shared" si="5"/>
        <v>#VALUE!</v>
      </c>
      <c r="EN646" s="1373"/>
      <c r="EO646" s="1373"/>
      <c r="EP646" s="1373"/>
      <c r="EQ646" s="1373"/>
      <c r="ER646" s="1373" t="e">
        <f t="shared" si="6"/>
        <v>#VALUE!</v>
      </c>
      <c r="ES646" s="1373"/>
      <c r="ET646" s="1373"/>
      <c r="EU646" s="1373"/>
      <c r="EV646" s="1373"/>
      <c r="EW646" s="1373" t="e">
        <f t="shared" si="7"/>
        <v>#VALUE!</v>
      </c>
      <c r="EX646" s="1373"/>
      <c r="EY646" s="1373"/>
      <c r="EZ646" s="1373"/>
      <c r="FA646" s="1373"/>
    </row>
    <row r="647" spans="1:157" ht="13" customHeight="1">
      <c r="A647" s="22"/>
      <c r="B647" t="s">
        <v>315</v>
      </c>
      <c r="G647" s="1844" t="s">
        <v>2802</v>
      </c>
      <c r="H647" s="1467"/>
      <c r="I647" s="1467"/>
      <c r="J647" s="1467"/>
      <c r="K647" s="1467"/>
      <c r="L647" s="1467"/>
      <c r="O647" s="33" t="s">
        <v>205</v>
      </c>
      <c r="P647" s="1454"/>
      <c r="Q647" s="1454"/>
      <c r="R647" s="1454"/>
      <c r="S647" s="10"/>
      <c r="T647" s="22"/>
      <c r="U647" t="s">
        <v>315</v>
      </c>
      <c r="Z647" s="1467" t="str">
        <f>G647</f>
        <v xml:space="preserve">(916) 326-8801				</v>
      </c>
      <c r="AA647" s="1467"/>
      <c r="AB647" s="1467"/>
      <c r="AC647" s="1467"/>
      <c r="AD647" s="1467"/>
      <c r="AE647" s="1467"/>
      <c r="AH647" s="33" t="s">
        <v>205</v>
      </c>
      <c r="AI647" s="1454"/>
      <c r="AJ647" s="1454"/>
      <c r="AK647" s="1454"/>
      <c r="AZ647" s="34"/>
      <c r="BA647" s="34"/>
      <c r="BB647" s="34"/>
      <c r="BC647" s="34"/>
      <c r="BD647" s="34"/>
      <c r="BE647" s="34"/>
      <c r="BF647" s="34"/>
      <c r="BG647" s="34"/>
      <c r="BH647" s="34"/>
      <c r="BI647" s="34"/>
      <c r="BJ647" s="34"/>
      <c r="BK647" s="34"/>
      <c r="BL647" s="34"/>
      <c r="BM647" s="34"/>
      <c r="DX647" s="1373" t="e">
        <f t="shared" si="2"/>
        <v>#VALUE!</v>
      </c>
      <c r="DY647" s="1373"/>
      <c r="DZ647" s="1373"/>
      <c r="EA647" s="1373"/>
      <c r="EB647" s="1373"/>
      <c r="EC647" s="1373" t="e">
        <f t="shared" si="3"/>
        <v>#VALUE!</v>
      </c>
      <c r="ED647" s="1373"/>
      <c r="EE647" s="1373"/>
      <c r="EF647" s="1373"/>
      <c r="EG647" s="1373"/>
      <c r="EH647" s="1373" t="e">
        <f t="shared" si="4"/>
        <v>#VALUE!</v>
      </c>
      <c r="EI647" s="1373"/>
      <c r="EJ647" s="1373"/>
      <c r="EK647" s="1373"/>
      <c r="EL647" s="1373"/>
      <c r="EM647" s="1373" t="e">
        <f t="shared" si="5"/>
        <v>#VALUE!</v>
      </c>
      <c r="EN647" s="1373"/>
      <c r="EO647" s="1373"/>
      <c r="EP647" s="1373"/>
      <c r="EQ647" s="1373"/>
      <c r="ER647" s="1373" t="e">
        <f t="shared" si="6"/>
        <v>#VALUE!</v>
      </c>
      <c r="ES647" s="1373"/>
      <c r="ET647" s="1373"/>
      <c r="EU647" s="1373"/>
      <c r="EV647" s="1373"/>
      <c r="EW647" s="1373" t="e">
        <f t="shared" si="7"/>
        <v>#VALUE!</v>
      </c>
      <c r="EX647" s="1373"/>
      <c r="EY647" s="1373"/>
      <c r="EZ647" s="1373"/>
      <c r="FA647" s="1373"/>
    </row>
    <row r="648" spans="1:157" ht="13" customHeight="1">
      <c r="A648" s="22"/>
      <c r="B648" t="s">
        <v>18</v>
      </c>
      <c r="H648" s="1409" t="s">
        <v>2743</v>
      </c>
      <c r="I648" s="1409"/>
      <c r="J648" s="1409"/>
      <c r="K648" s="1409"/>
      <c r="L648" s="1409"/>
      <c r="M648" s="1409"/>
      <c r="N648" s="1409"/>
      <c r="O648" s="1409"/>
      <c r="P648" s="1409"/>
      <c r="Q648" s="1409"/>
      <c r="R648" s="1409"/>
      <c r="S648" s="8"/>
      <c r="T648" s="22"/>
      <c r="U648" t="s">
        <v>18</v>
      </c>
      <c r="AA648" s="1409" t="str">
        <f>H648</f>
        <v>Conventional</v>
      </c>
      <c r="AB648" s="1409"/>
      <c r="AC648" s="1409"/>
      <c r="AD648" s="1409"/>
      <c r="AE648" s="1409"/>
      <c r="AF648" s="1409"/>
      <c r="AG648" s="1409"/>
      <c r="AH648" s="1409"/>
      <c r="AI648" s="1409"/>
      <c r="AJ648" s="1409"/>
      <c r="AK648" s="1409"/>
      <c r="AZ648" s="34"/>
      <c r="BA648" s="34"/>
      <c r="BB648" s="34"/>
      <c r="BC648" s="34"/>
      <c r="BD648" s="34"/>
      <c r="BE648" s="34"/>
      <c r="BF648" s="34"/>
      <c r="BG648" s="34"/>
      <c r="BH648" s="34"/>
      <c r="BI648" s="34"/>
      <c r="BJ648" s="34"/>
      <c r="BK648" s="34"/>
      <c r="BL648" s="34"/>
      <c r="BM648" s="34"/>
      <c r="DX648" s="1373" t="e">
        <f t="shared" si="2"/>
        <v>#VALUE!</v>
      </c>
      <c r="DY648" s="1373"/>
      <c r="DZ648" s="1373"/>
      <c r="EA648" s="1373"/>
      <c r="EB648" s="1373"/>
      <c r="EC648" s="1373" t="e">
        <f t="shared" si="3"/>
        <v>#VALUE!</v>
      </c>
      <c r="ED648" s="1373"/>
      <c r="EE648" s="1373"/>
      <c r="EF648" s="1373"/>
      <c r="EG648" s="1373"/>
      <c r="EH648" s="1373" t="e">
        <f t="shared" si="4"/>
        <v>#VALUE!</v>
      </c>
      <c r="EI648" s="1373"/>
      <c r="EJ648" s="1373"/>
      <c r="EK648" s="1373"/>
      <c r="EL648" s="1373"/>
      <c r="EM648" s="1373" t="e">
        <f t="shared" si="5"/>
        <v>#VALUE!</v>
      </c>
      <c r="EN648" s="1373"/>
      <c r="EO648" s="1373"/>
      <c r="EP648" s="1373"/>
      <c r="EQ648" s="1373"/>
      <c r="ER648" s="1373" t="e">
        <f t="shared" si="6"/>
        <v>#VALUE!</v>
      </c>
      <c r="ES648" s="1373"/>
      <c r="ET648" s="1373"/>
      <c r="EU648" s="1373"/>
      <c r="EV648" s="1373"/>
      <c r="EW648" s="1373" t="e">
        <f t="shared" si="7"/>
        <v>#VALUE!</v>
      </c>
      <c r="EX648" s="1373"/>
      <c r="EY648" s="1373"/>
      <c r="EZ648" s="1373"/>
      <c r="FA648" s="1373"/>
    </row>
    <row r="649" spans="1:157" ht="13" customHeight="1">
      <c r="A649" s="22"/>
      <c r="B649" t="s">
        <v>20</v>
      </c>
      <c r="N649" s="1426" t="s">
        <v>545</v>
      </c>
      <c r="O649" s="1426"/>
      <c r="T649" s="22"/>
      <c r="U649" t="s">
        <v>20</v>
      </c>
      <c r="AG649" s="1426" t="s">
        <v>545</v>
      </c>
      <c r="AH649" s="1426"/>
      <c r="AZ649" s="34"/>
      <c r="BA649" s="34"/>
      <c r="BB649" s="34"/>
      <c r="BC649" s="34"/>
      <c r="BD649" s="34"/>
      <c r="BE649" s="34"/>
      <c r="BF649" s="34"/>
      <c r="BG649" s="34"/>
      <c r="BH649" s="34"/>
      <c r="BI649" s="34"/>
      <c r="BJ649" s="34"/>
      <c r="BK649" s="34"/>
      <c r="BL649" s="34"/>
      <c r="BM649" s="34"/>
      <c r="DX649" s="1373" t="e">
        <f t="shared" si="2"/>
        <v>#VALUE!</v>
      </c>
      <c r="DY649" s="1373"/>
      <c r="DZ649" s="1373"/>
      <c r="EA649" s="1373"/>
      <c r="EB649" s="1373"/>
      <c r="EC649" s="1373" t="e">
        <f t="shared" si="3"/>
        <v>#VALUE!</v>
      </c>
      <c r="ED649" s="1373"/>
      <c r="EE649" s="1373"/>
      <c r="EF649" s="1373"/>
      <c r="EG649" s="1373"/>
      <c r="EH649" s="1373" t="e">
        <f t="shared" si="4"/>
        <v>#VALUE!</v>
      </c>
      <c r="EI649" s="1373"/>
      <c r="EJ649" s="1373"/>
      <c r="EK649" s="1373"/>
      <c r="EL649" s="1373"/>
      <c r="EM649" s="1373" t="e">
        <f t="shared" si="5"/>
        <v>#VALUE!</v>
      </c>
      <c r="EN649" s="1373"/>
      <c r="EO649" s="1373"/>
      <c r="EP649" s="1373"/>
      <c r="EQ649" s="1373"/>
      <c r="ER649" s="1373" t="e">
        <f t="shared" si="6"/>
        <v>#VALUE!</v>
      </c>
      <c r="ES649" s="1373"/>
      <c r="ET649" s="1373"/>
      <c r="EU649" s="1373"/>
      <c r="EV649" s="1373"/>
      <c r="EW649" s="1373" t="e">
        <f t="shared" si="7"/>
        <v>#VALUE!</v>
      </c>
      <c r="EX649" s="1373"/>
      <c r="EY649" s="1373"/>
      <c r="EZ649" s="1373"/>
      <c r="FA649" s="1373"/>
    </row>
    <row r="650" spans="1:157" ht="13" customHeight="1">
      <c r="A650" s="22"/>
      <c r="T650" s="22"/>
      <c r="AZ650" s="34"/>
      <c r="BA650" s="34"/>
      <c r="BB650" s="34"/>
      <c r="BC650" s="34"/>
      <c r="BD650" s="34"/>
      <c r="BE650" s="34"/>
      <c r="BF650" s="34"/>
      <c r="BG650" s="34"/>
      <c r="BH650" s="34"/>
      <c r="BI650" s="34"/>
      <c r="BJ650" s="34"/>
      <c r="BK650" s="34"/>
      <c r="BL650" s="34"/>
      <c r="BM650" s="34"/>
      <c r="DX650" s="1373" t="e">
        <f t="shared" si="2"/>
        <v>#VALUE!</v>
      </c>
      <c r="DY650" s="1373"/>
      <c r="DZ650" s="1373"/>
      <c r="EA650" s="1373"/>
      <c r="EB650" s="1373"/>
      <c r="EC650" s="1373" t="e">
        <f t="shared" si="3"/>
        <v>#VALUE!</v>
      </c>
      <c r="ED650" s="1373"/>
      <c r="EE650" s="1373"/>
      <c r="EF650" s="1373"/>
      <c r="EG650" s="1373"/>
      <c r="EH650" s="1373" t="e">
        <f t="shared" si="4"/>
        <v>#VALUE!</v>
      </c>
      <c r="EI650" s="1373"/>
      <c r="EJ650" s="1373"/>
      <c r="EK650" s="1373"/>
      <c r="EL650" s="1373"/>
      <c r="EM650" s="1373" t="e">
        <f t="shared" si="5"/>
        <v>#VALUE!</v>
      </c>
      <c r="EN650" s="1373"/>
      <c r="EO650" s="1373"/>
      <c r="EP650" s="1373"/>
      <c r="EQ650" s="1373"/>
      <c r="ER650" s="1373" t="e">
        <f t="shared" si="6"/>
        <v>#VALUE!</v>
      </c>
      <c r="ES650" s="1373"/>
      <c r="ET650" s="1373"/>
      <c r="EU650" s="1373"/>
      <c r="EV650" s="1373"/>
      <c r="EW650" s="1373" t="e">
        <f t="shared" si="7"/>
        <v>#VALUE!</v>
      </c>
      <c r="EX650" s="1373"/>
      <c r="EY650" s="1373"/>
      <c r="EZ650" s="1373"/>
      <c r="FA650" s="1373"/>
    </row>
    <row r="651" spans="1:157" ht="13" customHeight="1">
      <c r="A651" s="55" t="s">
        <v>119</v>
      </c>
      <c r="B651" t="s">
        <v>463</v>
      </c>
      <c r="G651" s="1468" t="str">
        <f>C629</f>
        <v>CalHFA MIP Loan</v>
      </c>
      <c r="H651" s="1468"/>
      <c r="I651" s="1468"/>
      <c r="J651" s="1468"/>
      <c r="K651" s="1468"/>
      <c r="L651" s="1468"/>
      <c r="M651" s="1468"/>
      <c r="N651" s="1468"/>
      <c r="O651" s="1468"/>
      <c r="P651" s="1468"/>
      <c r="Q651" s="1468"/>
      <c r="R651" s="1468"/>
      <c r="T651" s="55" t="s">
        <v>581</v>
      </c>
      <c r="U651" t="s">
        <v>463</v>
      </c>
      <c r="Z651" s="1468" t="str">
        <f>C630</f>
        <v>County of Marin HTF Loan</v>
      </c>
      <c r="AA651" s="1468"/>
      <c r="AB651" s="1468"/>
      <c r="AC651" s="1468"/>
      <c r="AD651" s="1468"/>
      <c r="AE651" s="1468"/>
      <c r="AF651" s="1468"/>
      <c r="AG651" s="1468"/>
      <c r="AH651" s="1468"/>
      <c r="AI651" s="1468"/>
      <c r="AJ651" s="1468"/>
      <c r="AK651" s="1468"/>
      <c r="AZ651" s="34"/>
      <c r="BA651" s="34"/>
      <c r="BB651" s="34"/>
      <c r="BC651" s="34"/>
      <c r="BD651" s="34"/>
      <c r="BE651" s="34"/>
      <c r="BF651" s="34"/>
      <c r="BG651" s="34"/>
      <c r="BH651" s="34"/>
      <c r="BI651" s="34"/>
      <c r="BJ651" s="34"/>
      <c r="BK651" s="34"/>
      <c r="BL651" s="34"/>
      <c r="BM651" s="34"/>
      <c r="DX651" s="1373" t="e">
        <f t="shared" si="2"/>
        <v>#VALUE!</v>
      </c>
      <c r="DY651" s="1373"/>
      <c r="DZ651" s="1373"/>
      <c r="EA651" s="1373"/>
      <c r="EB651" s="1373"/>
      <c r="EC651" s="1373" t="e">
        <f t="shared" si="3"/>
        <v>#VALUE!</v>
      </c>
      <c r="ED651" s="1373"/>
      <c r="EE651" s="1373"/>
      <c r="EF651" s="1373"/>
      <c r="EG651" s="1373"/>
      <c r="EH651" s="1373" t="e">
        <f t="shared" si="4"/>
        <v>#VALUE!</v>
      </c>
      <c r="EI651" s="1373"/>
      <c r="EJ651" s="1373"/>
      <c r="EK651" s="1373"/>
      <c r="EL651" s="1373"/>
      <c r="EM651" s="1373" t="e">
        <f t="shared" si="5"/>
        <v>#VALUE!</v>
      </c>
      <c r="EN651" s="1373"/>
      <c r="EO651" s="1373"/>
      <c r="EP651" s="1373"/>
      <c r="EQ651" s="1373"/>
      <c r="ER651" s="1373" t="e">
        <f t="shared" si="6"/>
        <v>#VALUE!</v>
      </c>
      <c r="ES651" s="1373"/>
      <c r="ET651" s="1373"/>
      <c r="EU651" s="1373"/>
      <c r="EV651" s="1373"/>
      <c r="EW651" s="1373" t="e">
        <f t="shared" si="7"/>
        <v>#VALUE!</v>
      </c>
      <c r="EX651" s="1373"/>
      <c r="EY651" s="1373"/>
      <c r="EZ651" s="1373"/>
      <c r="FA651" s="1373"/>
    </row>
    <row r="652" spans="1:157" ht="13" customHeight="1">
      <c r="A652" s="22"/>
      <c r="B652" t="s">
        <v>85</v>
      </c>
      <c r="G652" s="1409" t="str">
        <f>G644</f>
        <v>500 Capitol Mall, Suite 400, MS 990</v>
      </c>
      <c r="H652" s="1409"/>
      <c r="I652" s="1409"/>
      <c r="J652" s="1409"/>
      <c r="K652" s="1409"/>
      <c r="L652" s="1409"/>
      <c r="M652" s="1409"/>
      <c r="N652" s="1409"/>
      <c r="O652" s="1409"/>
      <c r="P652" s="1409"/>
      <c r="Q652" s="1409"/>
      <c r="R652" s="1409"/>
      <c r="T652" s="22"/>
      <c r="U652" t="s">
        <v>85</v>
      </c>
      <c r="Z652" s="1409" t="str">
        <f>G578</f>
        <v>3501 Civic Center Drive, Suite 308</v>
      </c>
      <c r="AA652" s="1409"/>
      <c r="AB652" s="1409"/>
      <c r="AC652" s="1409"/>
      <c r="AD652" s="1409"/>
      <c r="AE652" s="1409"/>
      <c r="AF652" s="1409"/>
      <c r="AG652" s="1409"/>
      <c r="AH652" s="1409"/>
      <c r="AI652" s="1409"/>
      <c r="AJ652" s="1409"/>
      <c r="AK652" s="1409"/>
      <c r="AZ652" s="34"/>
      <c r="BA652" s="34"/>
      <c r="BB652" s="34"/>
      <c r="BC652" s="34"/>
      <c r="BD652" s="34"/>
      <c r="BE652" s="34"/>
      <c r="BF652" s="34"/>
      <c r="BG652" s="34"/>
      <c r="BH652" s="34"/>
      <c r="BI652" s="34"/>
      <c r="BJ652" s="34"/>
      <c r="BK652" s="34"/>
      <c r="BL652" s="34"/>
      <c r="BM652" s="34"/>
      <c r="DX652" s="1373" t="e">
        <f t="shared" si="2"/>
        <v>#VALUE!</v>
      </c>
      <c r="DY652" s="1373"/>
      <c r="DZ652" s="1373"/>
      <c r="EA652" s="1373"/>
      <c r="EB652" s="1373"/>
      <c r="EC652" s="1373" t="e">
        <f t="shared" si="3"/>
        <v>#VALUE!</v>
      </c>
      <c r="ED652" s="1373"/>
      <c r="EE652" s="1373"/>
      <c r="EF652" s="1373"/>
      <c r="EG652" s="1373"/>
      <c r="EH652" s="1373" t="e">
        <f t="shared" si="4"/>
        <v>#VALUE!</v>
      </c>
      <c r="EI652" s="1373"/>
      <c r="EJ652" s="1373"/>
      <c r="EK652" s="1373"/>
      <c r="EL652" s="1373"/>
      <c r="EM652" s="1373" t="e">
        <f t="shared" si="5"/>
        <v>#VALUE!</v>
      </c>
      <c r="EN652" s="1373"/>
      <c r="EO652" s="1373"/>
      <c r="EP652" s="1373"/>
      <c r="EQ652" s="1373"/>
      <c r="ER652" s="1373" t="e">
        <f t="shared" si="6"/>
        <v>#VALUE!</v>
      </c>
      <c r="ES652" s="1373"/>
      <c r="ET652" s="1373"/>
      <c r="EU652" s="1373"/>
      <c r="EV652" s="1373"/>
      <c r="EW652" s="1373" t="e">
        <f t="shared" si="7"/>
        <v>#VALUE!</v>
      </c>
      <c r="EX652" s="1373"/>
      <c r="EY652" s="1373"/>
      <c r="EZ652" s="1373"/>
      <c r="FA652" s="1373"/>
    </row>
    <row r="653" spans="1:157" ht="13" customHeight="1">
      <c r="A653" s="22"/>
      <c r="B653" t="s">
        <v>580</v>
      </c>
      <c r="G653" s="1453" t="str">
        <f>G645</f>
        <v xml:space="preserve">Sacramento											</v>
      </c>
      <c r="H653" s="1453"/>
      <c r="I653" s="1453"/>
      <c r="J653" s="1453"/>
      <c r="K653" s="1453"/>
      <c r="L653" s="1453"/>
      <c r="M653" s="1453"/>
      <c r="N653" s="1453"/>
      <c r="O653" s="1453"/>
      <c r="P653" s="1453"/>
      <c r="Q653" s="1453"/>
      <c r="R653" s="1453"/>
      <c r="T653" s="22"/>
      <c r="U653" t="s">
        <v>580</v>
      </c>
      <c r="Z653" s="1453" t="str">
        <f>G579</f>
        <v>San Rafael</v>
      </c>
      <c r="AA653" s="1453"/>
      <c r="AB653" s="1453"/>
      <c r="AC653" s="1453"/>
      <c r="AD653" s="1453"/>
      <c r="AE653" s="1453"/>
      <c r="AF653" s="1453"/>
      <c r="AG653" s="1453"/>
      <c r="AH653" s="1453"/>
      <c r="AI653" s="1453"/>
      <c r="AJ653" s="1453"/>
      <c r="AK653" s="1453"/>
      <c r="AZ653" s="34"/>
      <c r="BA653" s="34"/>
      <c r="BB653" s="34"/>
      <c r="BC653" s="34"/>
      <c r="BD653" s="34"/>
      <c r="BE653" s="34"/>
      <c r="BF653" s="34"/>
      <c r="BG653" s="34"/>
      <c r="BH653" s="34"/>
      <c r="BI653" s="34"/>
      <c r="BJ653" s="34"/>
      <c r="BK653" s="34"/>
      <c r="BL653" s="34"/>
      <c r="BM653" s="34"/>
      <c r="DX653" s="1373" t="e">
        <f t="shared" si="2"/>
        <v>#VALUE!</v>
      </c>
      <c r="DY653" s="1373"/>
      <c r="DZ653" s="1373"/>
      <c r="EA653" s="1373"/>
      <c r="EB653" s="1373"/>
      <c r="EC653" s="1373" t="e">
        <f t="shared" si="3"/>
        <v>#VALUE!</v>
      </c>
      <c r="ED653" s="1373"/>
      <c r="EE653" s="1373"/>
      <c r="EF653" s="1373"/>
      <c r="EG653" s="1373"/>
      <c r="EH653" s="1373" t="e">
        <f t="shared" si="4"/>
        <v>#VALUE!</v>
      </c>
      <c r="EI653" s="1373"/>
      <c r="EJ653" s="1373"/>
      <c r="EK653" s="1373"/>
      <c r="EL653" s="1373"/>
      <c r="EM653" s="1373" t="e">
        <f t="shared" si="5"/>
        <v>#VALUE!</v>
      </c>
      <c r="EN653" s="1373"/>
      <c r="EO653" s="1373"/>
      <c r="EP653" s="1373"/>
      <c r="EQ653" s="1373"/>
      <c r="ER653" s="1373" t="e">
        <f t="shared" si="6"/>
        <v>#VALUE!</v>
      </c>
      <c r="ES653" s="1373"/>
      <c r="ET653" s="1373"/>
      <c r="EU653" s="1373"/>
      <c r="EV653" s="1373"/>
      <c r="EW653" s="1373" t="e">
        <f t="shared" si="7"/>
        <v>#VALUE!</v>
      </c>
      <c r="EX653" s="1373"/>
      <c r="EY653" s="1373"/>
      <c r="EZ653" s="1373"/>
      <c r="FA653" s="1373"/>
    </row>
    <row r="654" spans="1:157" ht="13" customHeight="1">
      <c r="A654" s="22"/>
      <c r="B654" t="s">
        <v>17</v>
      </c>
      <c r="G654" s="1453" t="str">
        <f>G646</f>
        <v>Natalie Cooper</v>
      </c>
      <c r="H654" s="1453"/>
      <c r="I654" s="1453"/>
      <c r="J654" s="1453"/>
      <c r="K654" s="1453"/>
      <c r="L654" s="1453"/>
      <c r="M654" s="1453"/>
      <c r="N654" s="1453"/>
      <c r="O654" s="1453"/>
      <c r="P654" s="1453"/>
      <c r="Q654" s="1453"/>
      <c r="R654" s="1453"/>
      <c r="T654" s="22"/>
      <c r="U654" t="s">
        <v>17</v>
      </c>
      <c r="Z654" s="1453" t="str">
        <f>G580</f>
        <v>Leelee Thomas</v>
      </c>
      <c r="AA654" s="1453"/>
      <c r="AB654" s="1453"/>
      <c r="AC654" s="1453"/>
      <c r="AD654" s="1453"/>
      <c r="AE654" s="1453"/>
      <c r="AF654" s="1453"/>
      <c r="AG654" s="1453"/>
      <c r="AH654" s="1453"/>
      <c r="AI654" s="1453"/>
      <c r="AJ654" s="1453"/>
      <c r="AK654" s="1453"/>
      <c r="AZ654" s="34"/>
      <c r="BA654" s="34"/>
      <c r="BB654" s="34"/>
      <c r="BC654" s="34"/>
      <c r="BD654" s="34"/>
      <c r="BE654" s="34"/>
      <c r="BF654" s="34"/>
      <c r="BG654" s="34"/>
      <c r="BH654" s="34"/>
      <c r="BI654" s="34"/>
      <c r="BJ654" s="34"/>
      <c r="BK654" s="34"/>
      <c r="BL654" s="34"/>
      <c r="BM654" s="34"/>
      <c r="DX654" s="1373" t="e">
        <f t="shared" si="2"/>
        <v>#VALUE!</v>
      </c>
      <c r="DY654" s="1373"/>
      <c r="DZ654" s="1373"/>
      <c r="EA654" s="1373"/>
      <c r="EB654" s="1373"/>
      <c r="EC654" s="1373" t="e">
        <f t="shared" si="3"/>
        <v>#VALUE!</v>
      </c>
      <c r="ED654" s="1373"/>
      <c r="EE654" s="1373"/>
      <c r="EF654" s="1373"/>
      <c r="EG654" s="1373"/>
      <c r="EH654" s="1373" t="e">
        <f t="shared" si="4"/>
        <v>#VALUE!</v>
      </c>
      <c r="EI654" s="1373"/>
      <c r="EJ654" s="1373"/>
      <c r="EK654" s="1373"/>
      <c r="EL654" s="1373"/>
      <c r="EM654" s="1373" t="e">
        <f t="shared" si="5"/>
        <v>#VALUE!</v>
      </c>
      <c r="EN654" s="1373"/>
      <c r="EO654" s="1373"/>
      <c r="EP654" s="1373"/>
      <c r="EQ654" s="1373"/>
      <c r="ER654" s="1373" t="e">
        <f t="shared" si="6"/>
        <v>#VALUE!</v>
      </c>
      <c r="ES654" s="1373"/>
      <c r="ET654" s="1373"/>
      <c r="EU654" s="1373"/>
      <c r="EV654" s="1373"/>
      <c r="EW654" s="1373" t="e">
        <f t="shared" si="7"/>
        <v>#VALUE!</v>
      </c>
      <c r="EX654" s="1373"/>
      <c r="EY654" s="1373"/>
      <c r="EZ654" s="1373"/>
      <c r="FA654" s="1373"/>
    </row>
    <row r="655" spans="1:157" ht="13" customHeight="1">
      <c r="A655" s="22"/>
      <c r="B655" t="s">
        <v>315</v>
      </c>
      <c r="G655" s="1467" t="str">
        <f>G647</f>
        <v xml:space="preserve">(916) 326-8801				</v>
      </c>
      <c r="H655" s="1467"/>
      <c r="I655" s="1467"/>
      <c r="J655" s="1467"/>
      <c r="K655" s="1467"/>
      <c r="L655" s="1467"/>
      <c r="O655" s="33" t="s">
        <v>205</v>
      </c>
      <c r="P655" s="1454"/>
      <c r="Q655" s="1454"/>
      <c r="R655" s="1454"/>
      <c r="T655" s="22"/>
      <c r="U655" t="s">
        <v>315</v>
      </c>
      <c r="Z655" s="1467" t="str">
        <f>G581</f>
        <v>415-473-6697</v>
      </c>
      <c r="AA655" s="1467"/>
      <c r="AB655" s="1467"/>
      <c r="AC655" s="1467"/>
      <c r="AD655" s="1467"/>
      <c r="AE655" s="1467"/>
      <c r="AH655" s="33" t="s">
        <v>205</v>
      </c>
      <c r="AI655" s="1454"/>
      <c r="AJ655" s="1454"/>
      <c r="AK655" s="1454"/>
      <c r="AZ655" s="34"/>
      <c r="BA655" s="34"/>
      <c r="BB655" s="34"/>
      <c r="BC655" s="34"/>
      <c r="BD655" s="34"/>
      <c r="BE655" s="34"/>
      <c r="BF655" s="34"/>
      <c r="BG655" s="34"/>
      <c r="BH655" s="34"/>
      <c r="BI655" s="34"/>
      <c r="BJ655" s="34"/>
      <c r="BK655" s="34"/>
      <c r="BL655" s="34"/>
      <c r="BM655" s="34"/>
      <c r="DX655" s="1373" t="e">
        <f t="shared" si="2"/>
        <v>#VALUE!</v>
      </c>
      <c r="DY655" s="1373"/>
      <c r="DZ655" s="1373"/>
      <c r="EA655" s="1373"/>
      <c r="EB655" s="1373"/>
      <c r="EC655" s="1373" t="e">
        <f t="shared" si="3"/>
        <v>#VALUE!</v>
      </c>
      <c r="ED655" s="1373"/>
      <c r="EE655" s="1373"/>
      <c r="EF655" s="1373"/>
      <c r="EG655" s="1373"/>
      <c r="EH655" s="1373" t="e">
        <f t="shared" si="4"/>
        <v>#VALUE!</v>
      </c>
      <c r="EI655" s="1373"/>
      <c r="EJ655" s="1373"/>
      <c r="EK655" s="1373"/>
      <c r="EL655" s="1373"/>
      <c r="EM655" s="1373" t="e">
        <f t="shared" si="5"/>
        <v>#VALUE!</v>
      </c>
      <c r="EN655" s="1373"/>
      <c r="EO655" s="1373"/>
      <c r="EP655" s="1373"/>
      <c r="EQ655" s="1373"/>
      <c r="ER655" s="1373" t="e">
        <f t="shared" si="6"/>
        <v>#VALUE!</v>
      </c>
      <c r="ES655" s="1373"/>
      <c r="ET655" s="1373"/>
      <c r="EU655" s="1373"/>
      <c r="EV655" s="1373"/>
      <c r="EW655" s="1373" t="e">
        <f t="shared" si="7"/>
        <v>#VALUE!</v>
      </c>
      <c r="EX655" s="1373"/>
      <c r="EY655" s="1373"/>
      <c r="EZ655" s="1373"/>
      <c r="FA655" s="1373"/>
    </row>
    <row r="656" spans="1:157" ht="13" customHeight="1">
      <c r="A656" s="22"/>
      <c r="B656" t="s">
        <v>18</v>
      </c>
      <c r="H656" s="1409" t="s">
        <v>457</v>
      </c>
      <c r="I656" s="1409"/>
      <c r="J656" s="1409"/>
      <c r="K656" s="1409"/>
      <c r="L656" s="1409"/>
      <c r="M656" s="1409"/>
      <c r="N656" s="1409"/>
      <c r="O656" s="1409"/>
      <c r="P656" s="1409"/>
      <c r="Q656" s="1409"/>
      <c r="R656" s="1409"/>
      <c r="T656" s="22"/>
      <c r="U656" t="s">
        <v>18</v>
      </c>
      <c r="AA656" s="1409" t="s">
        <v>457</v>
      </c>
      <c r="AB656" s="1409"/>
      <c r="AC656" s="1409"/>
      <c r="AD656" s="1409"/>
      <c r="AE656" s="1409"/>
      <c r="AF656" s="1409"/>
      <c r="AG656" s="1409"/>
      <c r="AH656" s="1409"/>
      <c r="AI656" s="1409"/>
      <c r="AJ656" s="1409"/>
      <c r="AK656" s="1409"/>
      <c r="AZ656" s="34"/>
      <c r="BA656" s="34"/>
      <c r="BB656" s="34"/>
      <c r="BC656" s="34"/>
      <c r="BD656" s="34"/>
      <c r="BE656" s="34"/>
      <c r="BF656" s="34"/>
      <c r="BG656" s="34"/>
      <c r="BH656" s="34"/>
      <c r="BI656" s="34"/>
      <c r="BJ656" s="34"/>
      <c r="BK656" s="34"/>
      <c r="BL656" s="34"/>
      <c r="BM656" s="34"/>
      <c r="DX656" s="1373" t="e">
        <f t="shared" si="2"/>
        <v>#VALUE!</v>
      </c>
      <c r="DY656" s="1373"/>
      <c r="DZ656" s="1373"/>
      <c r="EA656" s="1373"/>
      <c r="EB656" s="1373"/>
      <c r="EC656" s="1373" t="e">
        <f t="shared" si="3"/>
        <v>#VALUE!</v>
      </c>
      <c r="ED656" s="1373"/>
      <c r="EE656" s="1373"/>
      <c r="EF656" s="1373"/>
      <c r="EG656" s="1373"/>
      <c r="EH656" s="1373" t="e">
        <f t="shared" si="4"/>
        <v>#VALUE!</v>
      </c>
      <c r="EI656" s="1373"/>
      <c r="EJ656" s="1373"/>
      <c r="EK656" s="1373"/>
      <c r="EL656" s="1373"/>
      <c r="EM656" s="1373" t="e">
        <f t="shared" si="5"/>
        <v>#VALUE!</v>
      </c>
      <c r="EN656" s="1373"/>
      <c r="EO656" s="1373"/>
      <c r="EP656" s="1373"/>
      <c r="EQ656" s="1373"/>
      <c r="ER656" s="1373" t="e">
        <f t="shared" si="6"/>
        <v>#VALUE!</v>
      </c>
      <c r="ES656" s="1373"/>
      <c r="ET656" s="1373"/>
      <c r="EU656" s="1373"/>
      <c r="EV656" s="1373"/>
      <c r="EW656" s="1373" t="e">
        <f t="shared" si="7"/>
        <v>#VALUE!</v>
      </c>
      <c r="EX656" s="1373"/>
      <c r="EY656" s="1373"/>
      <c r="EZ656" s="1373"/>
      <c r="FA656" s="1373"/>
    </row>
    <row r="657" spans="1:157" ht="13" customHeight="1">
      <c r="A657" s="22"/>
      <c r="B657" t="s">
        <v>20</v>
      </c>
      <c r="N657" s="1426" t="s">
        <v>545</v>
      </c>
      <c r="O657" s="1426"/>
      <c r="T657" s="22"/>
      <c r="U657" t="s">
        <v>20</v>
      </c>
      <c r="AG657" s="1426" t="s">
        <v>545</v>
      </c>
      <c r="AH657" s="1426"/>
      <c r="AZ657" s="34"/>
      <c r="BA657" s="34"/>
      <c r="BB657" s="34"/>
      <c r="BC657" s="34"/>
      <c r="BD657" s="34"/>
      <c r="BE657" s="34"/>
      <c r="BF657" s="34"/>
      <c r="BG657" s="34"/>
      <c r="BH657" s="34"/>
      <c r="BI657" s="34"/>
      <c r="BJ657" s="34"/>
      <c r="BK657" s="34"/>
      <c r="BL657" s="34"/>
      <c r="BM657" s="34"/>
      <c r="DX657" s="1373" t="e">
        <f t="shared" si="2"/>
        <v>#VALUE!</v>
      </c>
      <c r="DY657" s="1373"/>
      <c r="DZ657" s="1373"/>
      <c r="EA657" s="1373"/>
      <c r="EB657" s="1373"/>
      <c r="EC657" s="1373" t="e">
        <f t="shared" si="3"/>
        <v>#VALUE!</v>
      </c>
      <c r="ED657" s="1373"/>
      <c r="EE657" s="1373"/>
      <c r="EF657" s="1373"/>
      <c r="EG657" s="1373"/>
      <c r="EH657" s="1373" t="e">
        <f t="shared" si="4"/>
        <v>#VALUE!</v>
      </c>
      <c r="EI657" s="1373"/>
      <c r="EJ657" s="1373"/>
      <c r="EK657" s="1373"/>
      <c r="EL657" s="1373"/>
      <c r="EM657" s="1373" t="e">
        <f t="shared" si="5"/>
        <v>#VALUE!</v>
      </c>
      <c r="EN657" s="1373"/>
      <c r="EO657" s="1373"/>
      <c r="EP657" s="1373"/>
      <c r="EQ657" s="1373"/>
      <c r="ER657" s="1373" t="e">
        <f t="shared" si="6"/>
        <v>#VALUE!</v>
      </c>
      <c r="ES657" s="1373"/>
      <c r="ET657" s="1373"/>
      <c r="EU657" s="1373"/>
      <c r="EV657" s="1373"/>
      <c r="EW657" s="1373" t="e">
        <f t="shared" si="7"/>
        <v>#VALUE!</v>
      </c>
      <c r="EX657" s="1373"/>
      <c r="EY657" s="1373"/>
      <c r="EZ657" s="1373"/>
      <c r="FA657" s="1373"/>
    </row>
    <row r="658" spans="1:157" ht="13" customHeight="1">
      <c r="A658" s="22"/>
      <c r="T658" s="22"/>
      <c r="AZ658" s="34"/>
      <c r="BA658" s="34"/>
      <c r="BB658" s="34"/>
      <c r="BC658" s="34"/>
      <c r="BD658" s="34"/>
      <c r="BE658" s="34"/>
      <c r="BF658" s="34"/>
      <c r="BG658" s="34"/>
      <c r="BH658" s="34"/>
      <c r="BI658" s="34"/>
      <c r="BJ658" s="34"/>
      <c r="BK658" s="34"/>
      <c r="BL658" s="34"/>
      <c r="BM658" s="34"/>
      <c r="DX658" s="1373" t="e">
        <f t="shared" si="2"/>
        <v>#VALUE!</v>
      </c>
      <c r="DY658" s="1373"/>
      <c r="DZ658" s="1373"/>
      <c r="EA658" s="1373"/>
      <c r="EB658" s="1373"/>
      <c r="EC658" s="1373" t="e">
        <f t="shared" si="3"/>
        <v>#VALUE!</v>
      </c>
      <c r="ED658" s="1373"/>
      <c r="EE658" s="1373"/>
      <c r="EF658" s="1373"/>
      <c r="EG658" s="1373"/>
      <c r="EH658" s="1373" t="e">
        <f t="shared" si="4"/>
        <v>#VALUE!</v>
      </c>
      <c r="EI658" s="1373"/>
      <c r="EJ658" s="1373"/>
      <c r="EK658" s="1373"/>
      <c r="EL658" s="1373"/>
      <c r="EM658" s="1373" t="e">
        <f t="shared" si="5"/>
        <v>#VALUE!</v>
      </c>
      <c r="EN658" s="1373"/>
      <c r="EO658" s="1373"/>
      <c r="EP658" s="1373"/>
      <c r="EQ658" s="1373"/>
      <c r="ER658" s="1373" t="e">
        <f t="shared" si="6"/>
        <v>#VALUE!</v>
      </c>
      <c r="ES658" s="1373"/>
      <c r="ET658" s="1373"/>
      <c r="EU658" s="1373"/>
      <c r="EV658" s="1373"/>
      <c r="EW658" s="1373" t="e">
        <f t="shared" si="7"/>
        <v>#VALUE!</v>
      </c>
      <c r="EX658" s="1373"/>
      <c r="EY658" s="1373"/>
      <c r="EZ658" s="1373"/>
      <c r="FA658" s="1373"/>
    </row>
    <row r="659" spans="1:157" ht="13" customHeight="1">
      <c r="A659" s="55" t="s">
        <v>763</v>
      </c>
      <c r="B659" t="s">
        <v>463</v>
      </c>
      <c r="G659" s="1468" t="str">
        <f>C631</f>
        <v xml:space="preserve">Deferred Developer Fee </v>
      </c>
      <c r="H659" s="1468"/>
      <c r="I659" s="1468"/>
      <c r="J659" s="1468"/>
      <c r="K659" s="1468"/>
      <c r="L659" s="1468"/>
      <c r="M659" s="1468"/>
      <c r="N659" s="1468"/>
      <c r="O659" s="1468"/>
      <c r="P659" s="1468"/>
      <c r="Q659" s="1468"/>
      <c r="R659" s="1468"/>
      <c r="T659" s="55" t="s">
        <v>584</v>
      </c>
      <c r="U659" t="s">
        <v>463</v>
      </c>
      <c r="Z659" s="1468" t="str">
        <f>C632</f>
        <v>Cash flow from operations</v>
      </c>
      <c r="AA659" s="1468"/>
      <c r="AB659" s="1468"/>
      <c r="AC659" s="1468"/>
      <c r="AD659" s="1468"/>
      <c r="AE659" s="1468"/>
      <c r="AF659" s="1468"/>
      <c r="AG659" s="1468"/>
      <c r="AH659" s="1468"/>
      <c r="AI659" s="1468"/>
      <c r="AJ659" s="1468"/>
      <c r="AK659" s="1468"/>
      <c r="AZ659" s="34"/>
      <c r="BA659" s="34"/>
      <c r="BB659" s="34"/>
      <c r="BC659" s="34"/>
      <c r="BD659" s="34"/>
      <c r="BE659" s="34"/>
      <c r="BF659" s="34"/>
      <c r="BG659" s="34"/>
      <c r="BH659" s="34"/>
      <c r="BI659" s="34"/>
      <c r="BJ659" s="34"/>
      <c r="BK659" s="34"/>
      <c r="BL659" s="34"/>
      <c r="BM659" s="34"/>
      <c r="DX659" s="1373" t="e">
        <f t="shared" si="2"/>
        <v>#VALUE!</v>
      </c>
      <c r="DY659" s="1373"/>
      <c r="DZ659" s="1373"/>
      <c r="EA659" s="1373"/>
      <c r="EB659" s="1373"/>
      <c r="EC659" s="1373" t="e">
        <f t="shared" si="3"/>
        <v>#VALUE!</v>
      </c>
      <c r="ED659" s="1373"/>
      <c r="EE659" s="1373"/>
      <c r="EF659" s="1373"/>
      <c r="EG659" s="1373"/>
      <c r="EH659" s="1373" t="e">
        <f t="shared" si="4"/>
        <v>#VALUE!</v>
      </c>
      <c r="EI659" s="1373"/>
      <c r="EJ659" s="1373"/>
      <c r="EK659" s="1373"/>
      <c r="EL659" s="1373"/>
      <c r="EM659" s="1373" t="e">
        <f t="shared" si="5"/>
        <v>#VALUE!</v>
      </c>
      <c r="EN659" s="1373"/>
      <c r="EO659" s="1373"/>
      <c r="EP659" s="1373"/>
      <c r="EQ659" s="1373"/>
      <c r="ER659" s="1373" t="e">
        <f t="shared" si="6"/>
        <v>#VALUE!</v>
      </c>
      <c r="ES659" s="1373"/>
      <c r="ET659" s="1373"/>
      <c r="EU659" s="1373"/>
      <c r="EV659" s="1373"/>
      <c r="EW659" s="1373" t="e">
        <f t="shared" si="7"/>
        <v>#VALUE!</v>
      </c>
      <c r="EX659" s="1373"/>
      <c r="EY659" s="1373"/>
      <c r="EZ659" s="1373"/>
      <c r="FA659" s="1373"/>
    </row>
    <row r="660" spans="1:157" ht="13" customHeight="1">
      <c r="A660" s="22"/>
      <c r="B660" t="s">
        <v>85</v>
      </c>
      <c r="G660" s="1409" t="str">
        <f>Z578</f>
        <v xml:space="preserve">400 Galleria Parkway, Suite 1450											</v>
      </c>
      <c r="H660" s="1409"/>
      <c r="I660" s="1409"/>
      <c r="J660" s="1409"/>
      <c r="K660" s="1409"/>
      <c r="L660" s="1409"/>
      <c r="M660" s="1409"/>
      <c r="N660" s="1409"/>
      <c r="O660" s="1409"/>
      <c r="P660" s="1409"/>
      <c r="Q660" s="1409"/>
      <c r="R660" s="1409"/>
      <c r="T660" s="22"/>
      <c r="U660" t="s">
        <v>85</v>
      </c>
      <c r="Z660" s="1409"/>
      <c r="AA660" s="1409"/>
      <c r="AB660" s="1409"/>
      <c r="AC660" s="1409"/>
      <c r="AD660" s="1409"/>
      <c r="AE660" s="1409"/>
      <c r="AF660" s="1409"/>
      <c r="AG660" s="1409"/>
      <c r="AH660" s="1409"/>
      <c r="AI660" s="1409"/>
      <c r="AJ660" s="1409"/>
      <c r="AK660" s="1409"/>
      <c r="AZ660" s="34"/>
      <c r="BA660" s="34"/>
      <c r="BB660" s="34"/>
      <c r="BC660" s="34"/>
      <c r="BD660" s="34"/>
      <c r="BE660" s="34"/>
      <c r="BF660" s="34"/>
      <c r="BG660" s="34"/>
      <c r="BH660" s="34"/>
      <c r="BI660" s="34"/>
      <c r="BJ660" s="34"/>
      <c r="BK660" s="34"/>
      <c r="BL660" s="34"/>
      <c r="BM660" s="34"/>
      <c r="DX660" s="1373" t="e">
        <f t="shared" si="2"/>
        <v>#VALUE!</v>
      </c>
      <c r="DY660" s="1373"/>
      <c r="DZ660" s="1373"/>
      <c r="EA660" s="1373"/>
      <c r="EB660" s="1373"/>
      <c r="EC660" s="1373" t="e">
        <f t="shared" si="3"/>
        <v>#VALUE!</v>
      </c>
      <c r="ED660" s="1373"/>
      <c r="EE660" s="1373"/>
      <c r="EF660" s="1373"/>
      <c r="EG660" s="1373"/>
      <c r="EH660" s="1373" t="e">
        <f t="shared" si="4"/>
        <v>#VALUE!</v>
      </c>
      <c r="EI660" s="1373"/>
      <c r="EJ660" s="1373"/>
      <c r="EK660" s="1373"/>
      <c r="EL660" s="1373"/>
      <c r="EM660" s="1373" t="e">
        <f t="shared" si="5"/>
        <v>#VALUE!</v>
      </c>
      <c r="EN660" s="1373"/>
      <c r="EO660" s="1373"/>
      <c r="EP660" s="1373"/>
      <c r="EQ660" s="1373"/>
      <c r="ER660" s="1373" t="e">
        <f t="shared" si="6"/>
        <v>#VALUE!</v>
      </c>
      <c r="ES660" s="1373"/>
      <c r="ET660" s="1373"/>
      <c r="EU660" s="1373"/>
      <c r="EV660" s="1373"/>
      <c r="EW660" s="1373" t="e">
        <f t="shared" si="7"/>
        <v>#VALUE!</v>
      </c>
      <c r="EX660" s="1373"/>
      <c r="EY660" s="1373"/>
      <c r="EZ660" s="1373"/>
      <c r="FA660" s="1373"/>
    </row>
    <row r="661" spans="1:157" ht="13" customHeight="1">
      <c r="A661" s="22"/>
      <c r="B661" t="s">
        <v>580</v>
      </c>
      <c r="G661" s="1409" t="str">
        <f>Z579</f>
        <v xml:space="preserve">Atlanta											</v>
      </c>
      <c r="H661" s="1409"/>
      <c r="I661" s="1409"/>
      <c r="J661" s="1409"/>
      <c r="K661" s="1409"/>
      <c r="L661" s="1409"/>
      <c r="M661" s="1409"/>
      <c r="N661" s="1409"/>
      <c r="O661" s="1409"/>
      <c r="P661" s="1409"/>
      <c r="Q661" s="1409"/>
      <c r="R661" s="1409"/>
      <c r="T661" s="22"/>
      <c r="U661" t="s">
        <v>580</v>
      </c>
      <c r="Z661" s="1453"/>
      <c r="AA661" s="1453"/>
      <c r="AB661" s="1453"/>
      <c r="AC661" s="1453"/>
      <c r="AD661" s="1453"/>
      <c r="AE661" s="1453"/>
      <c r="AF661" s="1453"/>
      <c r="AG661" s="1453"/>
      <c r="AH661" s="1453"/>
      <c r="AI661" s="1453"/>
      <c r="AJ661" s="1453"/>
      <c r="AK661" s="1453"/>
      <c r="AZ661" s="34"/>
      <c r="BA661" s="34"/>
      <c r="BB661" s="34"/>
      <c r="BC661" s="34"/>
      <c r="BD661" s="34"/>
      <c r="BE661" s="34"/>
      <c r="BF661" s="34"/>
      <c r="BG661" s="34"/>
      <c r="BH661" s="34"/>
      <c r="BI661" s="34"/>
      <c r="BJ661" s="34"/>
      <c r="BK661" s="34"/>
      <c r="BL661" s="34"/>
      <c r="BM661" s="34"/>
      <c r="DX661" s="1373" t="e">
        <f t="shared" si="2"/>
        <v>#VALUE!</v>
      </c>
      <c r="DY661" s="1373"/>
      <c r="DZ661" s="1373"/>
      <c r="EA661" s="1373"/>
      <c r="EB661" s="1373"/>
      <c r="EC661" s="1373" t="e">
        <f t="shared" si="3"/>
        <v>#VALUE!</v>
      </c>
      <c r="ED661" s="1373"/>
      <c r="EE661" s="1373"/>
      <c r="EF661" s="1373"/>
      <c r="EG661" s="1373"/>
      <c r="EH661" s="1373" t="e">
        <f t="shared" si="4"/>
        <v>#VALUE!</v>
      </c>
      <c r="EI661" s="1373"/>
      <c r="EJ661" s="1373"/>
      <c r="EK661" s="1373"/>
      <c r="EL661" s="1373"/>
      <c r="EM661" s="1373" t="e">
        <f t="shared" si="5"/>
        <v>#VALUE!</v>
      </c>
      <c r="EN661" s="1373"/>
      <c r="EO661" s="1373"/>
      <c r="EP661" s="1373"/>
      <c r="EQ661" s="1373"/>
      <c r="ER661" s="1373" t="e">
        <f t="shared" si="6"/>
        <v>#VALUE!</v>
      </c>
      <c r="ES661" s="1373"/>
      <c r="ET661" s="1373"/>
      <c r="EU661" s="1373"/>
      <c r="EV661" s="1373"/>
      <c r="EW661" s="1373" t="e">
        <f t="shared" si="7"/>
        <v>#VALUE!</v>
      </c>
      <c r="EX661" s="1373"/>
      <c r="EY661" s="1373"/>
      <c r="EZ661" s="1373"/>
      <c r="FA661" s="1373"/>
    </row>
    <row r="662" spans="1:157" ht="13" customHeight="1">
      <c r="A662" s="22"/>
      <c r="B662" t="s">
        <v>17</v>
      </c>
      <c r="G662" s="1409" t="str">
        <f>Z580</f>
        <v xml:space="preserve">Kevin Fitzpatrick											</v>
      </c>
      <c r="H662" s="1409"/>
      <c r="I662" s="1409"/>
      <c r="J662" s="1409"/>
      <c r="K662" s="1409"/>
      <c r="L662" s="1409"/>
      <c r="M662" s="1409"/>
      <c r="N662" s="1409"/>
      <c r="O662" s="1409"/>
      <c r="P662" s="1409"/>
      <c r="Q662" s="1409"/>
      <c r="R662" s="1409"/>
      <c r="T662" s="22"/>
      <c r="U662" t="s">
        <v>17</v>
      </c>
      <c r="Z662" s="1453"/>
      <c r="AA662" s="1453"/>
      <c r="AB662" s="1453"/>
      <c r="AC662" s="1453"/>
      <c r="AD662" s="1453"/>
      <c r="AE662" s="1453"/>
      <c r="AF662" s="1453"/>
      <c r="AG662" s="1453"/>
      <c r="AH662" s="1453"/>
      <c r="AI662" s="1453"/>
      <c r="AJ662" s="1453"/>
      <c r="AK662" s="145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73" t="e">
        <f t="shared" si="2"/>
        <v>#VALUE!</v>
      </c>
      <c r="DY662" s="1373"/>
      <c r="DZ662" s="1373"/>
      <c r="EA662" s="1373"/>
      <c r="EB662" s="1373"/>
      <c r="EC662" s="1373" t="e">
        <f t="shared" si="3"/>
        <v>#VALUE!</v>
      </c>
      <c r="ED662" s="1373"/>
      <c r="EE662" s="1373"/>
      <c r="EF662" s="1373"/>
      <c r="EG662" s="1373"/>
      <c r="EH662" s="1373" t="e">
        <f t="shared" si="4"/>
        <v>#VALUE!</v>
      </c>
      <c r="EI662" s="1373"/>
      <c r="EJ662" s="1373"/>
      <c r="EK662" s="1373"/>
      <c r="EL662" s="1373"/>
      <c r="EM662" s="1373" t="e">
        <f t="shared" si="5"/>
        <v>#VALUE!</v>
      </c>
      <c r="EN662" s="1373"/>
      <c r="EO662" s="1373"/>
      <c r="EP662" s="1373"/>
      <c r="EQ662" s="1373"/>
      <c r="ER662" s="1373" t="e">
        <f t="shared" si="6"/>
        <v>#VALUE!</v>
      </c>
      <c r="ES662" s="1373"/>
      <c r="ET662" s="1373"/>
      <c r="EU662" s="1373"/>
      <c r="EV662" s="1373"/>
      <c r="EW662" s="1373" t="e">
        <f t="shared" si="7"/>
        <v>#VALUE!</v>
      </c>
      <c r="EX662" s="1373"/>
      <c r="EY662" s="1373"/>
      <c r="EZ662" s="1373"/>
      <c r="FA662" s="1373"/>
    </row>
    <row r="663" spans="1:157" ht="13" customHeight="1">
      <c r="A663" s="22"/>
      <c r="B663" t="s">
        <v>315</v>
      </c>
      <c r="G663" s="1467" t="str">
        <f>Z581</f>
        <v xml:space="preserve">203-274-4359					</v>
      </c>
      <c r="H663" s="1467"/>
      <c r="I663" s="1467"/>
      <c r="J663" s="1467"/>
      <c r="K663" s="1467"/>
      <c r="L663" s="1467"/>
      <c r="O663" s="33" t="s">
        <v>205</v>
      </c>
      <c r="P663" s="1454"/>
      <c r="Q663" s="1454"/>
      <c r="R663" s="1454"/>
      <c r="T663" s="22"/>
      <c r="U663" t="s">
        <v>315</v>
      </c>
      <c r="Z663" s="1467"/>
      <c r="AA663" s="1467"/>
      <c r="AB663" s="1467"/>
      <c r="AC663" s="1467"/>
      <c r="AD663" s="1467"/>
      <c r="AE663" s="1467"/>
      <c r="AH663" s="33" t="s">
        <v>205</v>
      </c>
      <c r="AI663" s="1454"/>
      <c r="AJ663" s="1454"/>
      <c r="AK663" s="1454"/>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73" t="e">
        <f t="shared" si="2"/>
        <v>#VALUE!</v>
      </c>
      <c r="DY663" s="1373"/>
      <c r="DZ663" s="1373"/>
      <c r="EA663" s="1373"/>
      <c r="EB663" s="1373"/>
      <c r="EC663" s="1373" t="e">
        <f t="shared" si="3"/>
        <v>#VALUE!</v>
      </c>
      <c r="ED663" s="1373"/>
      <c r="EE663" s="1373"/>
      <c r="EF663" s="1373"/>
      <c r="EG663" s="1373"/>
      <c r="EH663" s="1373" t="e">
        <f t="shared" si="4"/>
        <v>#VALUE!</v>
      </c>
      <c r="EI663" s="1373"/>
      <c r="EJ663" s="1373"/>
      <c r="EK663" s="1373"/>
      <c r="EL663" s="1373"/>
      <c r="EM663" s="1373" t="e">
        <f t="shared" si="5"/>
        <v>#VALUE!</v>
      </c>
      <c r="EN663" s="1373"/>
      <c r="EO663" s="1373"/>
      <c r="EP663" s="1373"/>
      <c r="EQ663" s="1373"/>
      <c r="ER663" s="1373" t="e">
        <f t="shared" si="6"/>
        <v>#VALUE!</v>
      </c>
      <c r="ES663" s="1373"/>
      <c r="ET663" s="1373"/>
      <c r="EU663" s="1373"/>
      <c r="EV663" s="1373"/>
      <c r="EW663" s="1373" t="e">
        <f t="shared" si="7"/>
        <v>#VALUE!</v>
      </c>
      <c r="EX663" s="1373"/>
      <c r="EY663" s="1373"/>
      <c r="EZ663" s="1373"/>
      <c r="FA663" s="1373"/>
    </row>
    <row r="664" spans="1:157" ht="13" customHeight="1">
      <c r="A664" s="22"/>
      <c r="B664" t="s">
        <v>18</v>
      </c>
      <c r="H664" s="1409" t="s">
        <v>458</v>
      </c>
      <c r="I664" s="1409"/>
      <c r="J664" s="1409"/>
      <c r="K664" s="1409"/>
      <c r="L664" s="1409"/>
      <c r="M664" s="1409"/>
      <c r="N664" s="1409"/>
      <c r="O664" s="1409"/>
      <c r="P664" s="1409"/>
      <c r="Q664" s="1409"/>
      <c r="R664" s="1409"/>
      <c r="T664" s="22"/>
      <c r="U664" t="s">
        <v>18</v>
      </c>
      <c r="AA664" s="1409"/>
      <c r="AB664" s="1409"/>
      <c r="AC664" s="1409"/>
      <c r="AD664" s="1409"/>
      <c r="AE664" s="1409"/>
      <c r="AF664" s="1409"/>
      <c r="AG664" s="1409"/>
      <c r="AH664" s="1409"/>
      <c r="AI664" s="1409"/>
      <c r="AJ664" s="1409"/>
      <c r="AK664" s="1409"/>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73" t="e">
        <f t="shared" si="2"/>
        <v>#VALUE!</v>
      </c>
      <c r="DY664" s="1373"/>
      <c r="DZ664" s="1373"/>
      <c r="EA664" s="1373"/>
      <c r="EB664" s="1373"/>
      <c r="EC664" s="1373" t="e">
        <f t="shared" si="3"/>
        <v>#VALUE!</v>
      </c>
      <c r="ED664" s="1373"/>
      <c r="EE664" s="1373"/>
      <c r="EF664" s="1373"/>
      <c r="EG664" s="1373"/>
      <c r="EH664" s="1373" t="e">
        <f t="shared" si="4"/>
        <v>#VALUE!</v>
      </c>
      <c r="EI664" s="1373"/>
      <c r="EJ664" s="1373"/>
      <c r="EK664" s="1373"/>
      <c r="EL664" s="1373"/>
      <c r="EM664" s="1373" t="e">
        <f t="shared" si="5"/>
        <v>#VALUE!</v>
      </c>
      <c r="EN664" s="1373"/>
      <c r="EO664" s="1373"/>
      <c r="EP664" s="1373"/>
      <c r="EQ664" s="1373"/>
      <c r="ER664" s="1373" t="e">
        <f t="shared" si="6"/>
        <v>#VALUE!</v>
      </c>
      <c r="ES664" s="1373"/>
      <c r="ET664" s="1373"/>
      <c r="EU664" s="1373"/>
      <c r="EV664" s="1373"/>
      <c r="EW664" s="1373" t="e">
        <f t="shared" si="7"/>
        <v>#VALUE!</v>
      </c>
      <c r="EX664" s="1373"/>
      <c r="EY664" s="1373"/>
      <c r="EZ664" s="1373"/>
      <c r="FA664" s="1373"/>
    </row>
    <row r="665" spans="1:157" ht="13" customHeight="1">
      <c r="A665" s="22"/>
      <c r="B665" t="s">
        <v>20</v>
      </c>
      <c r="N665" s="1426" t="s">
        <v>669</v>
      </c>
      <c r="O665" s="1426"/>
      <c r="T665" s="22"/>
      <c r="U665" t="s">
        <v>20</v>
      </c>
      <c r="AG665" s="1426" t="s">
        <v>669</v>
      </c>
      <c r="AH665" s="142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73" t="e">
        <f t="shared" si="2"/>
        <v>#VALUE!</v>
      </c>
      <c r="DY665" s="1373"/>
      <c r="DZ665" s="1373"/>
      <c r="EA665" s="1373"/>
      <c r="EB665" s="1373"/>
      <c r="EC665" s="1373" t="e">
        <f t="shared" si="3"/>
        <v>#VALUE!</v>
      </c>
      <c r="ED665" s="1373"/>
      <c r="EE665" s="1373"/>
      <c r="EF665" s="1373"/>
      <c r="EG665" s="1373"/>
      <c r="EH665" s="1373" t="e">
        <f t="shared" si="4"/>
        <v>#VALUE!</v>
      </c>
      <c r="EI665" s="1373"/>
      <c r="EJ665" s="1373"/>
      <c r="EK665" s="1373"/>
      <c r="EL665" s="1373"/>
      <c r="EM665" s="1373" t="e">
        <f t="shared" si="5"/>
        <v>#VALUE!</v>
      </c>
      <c r="EN665" s="1373"/>
      <c r="EO665" s="1373"/>
      <c r="EP665" s="1373"/>
      <c r="EQ665" s="1373"/>
      <c r="ER665" s="1373" t="e">
        <f t="shared" si="6"/>
        <v>#VALUE!</v>
      </c>
      <c r="ES665" s="1373"/>
      <c r="ET665" s="1373"/>
      <c r="EU665" s="1373"/>
      <c r="EV665" s="1373"/>
      <c r="EW665" s="1373" t="e">
        <f t="shared" si="7"/>
        <v>#VALUE!</v>
      </c>
      <c r="EX665" s="1373"/>
      <c r="EY665" s="1373"/>
      <c r="EZ665" s="1373"/>
      <c r="FA665" s="1373"/>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73" t="e">
        <f t="shared" si="2"/>
        <v>#VALUE!</v>
      </c>
      <c r="DY666" s="1373"/>
      <c r="DZ666" s="1373"/>
      <c r="EA666" s="1373"/>
      <c r="EB666" s="1373"/>
      <c r="EC666" s="1373" t="e">
        <f t="shared" si="3"/>
        <v>#VALUE!</v>
      </c>
      <c r="ED666" s="1373"/>
      <c r="EE666" s="1373"/>
      <c r="EF666" s="1373"/>
      <c r="EG666" s="1373"/>
      <c r="EH666" s="1373" t="e">
        <f t="shared" si="4"/>
        <v>#VALUE!</v>
      </c>
      <c r="EI666" s="1373"/>
      <c r="EJ666" s="1373"/>
      <c r="EK666" s="1373"/>
      <c r="EL666" s="1373"/>
      <c r="EM666" s="1373" t="e">
        <f t="shared" si="5"/>
        <v>#VALUE!</v>
      </c>
      <c r="EN666" s="1373"/>
      <c r="EO666" s="1373"/>
      <c r="EP666" s="1373"/>
      <c r="EQ666" s="1373"/>
      <c r="ER666" s="1373" t="e">
        <f t="shared" si="6"/>
        <v>#VALUE!</v>
      </c>
      <c r="ES666" s="1373"/>
      <c r="ET666" s="1373"/>
      <c r="EU666" s="1373"/>
      <c r="EV666" s="1373"/>
      <c r="EW666" s="1373" t="e">
        <f t="shared" si="7"/>
        <v>#VALUE!</v>
      </c>
      <c r="EX666" s="1373"/>
      <c r="EY666" s="1373"/>
      <c r="EZ666" s="1373"/>
      <c r="FA666" s="1373"/>
    </row>
    <row r="667" spans="1:157" ht="13" customHeight="1">
      <c r="A667" s="55" t="s">
        <v>455</v>
      </c>
      <c r="B667" t="s">
        <v>463</v>
      </c>
      <c r="G667" s="1468">
        <f>C633</f>
        <v>0</v>
      </c>
      <c r="H667" s="1468"/>
      <c r="I667" s="1468"/>
      <c r="J667" s="1468"/>
      <c r="K667" s="1468"/>
      <c r="L667" s="1468"/>
      <c r="M667" s="1468"/>
      <c r="N667" s="1468"/>
      <c r="O667" s="1468"/>
      <c r="P667" s="1468"/>
      <c r="Q667" s="1468"/>
      <c r="R667" s="1468"/>
      <c r="T667" s="55" t="s">
        <v>456</v>
      </c>
      <c r="U667" t="s">
        <v>463</v>
      </c>
      <c r="Z667" s="1468">
        <f>C634</f>
        <v>0</v>
      </c>
      <c r="AA667" s="1468"/>
      <c r="AB667" s="1468"/>
      <c r="AC667" s="1468"/>
      <c r="AD667" s="1468"/>
      <c r="AE667" s="1468"/>
      <c r="AF667" s="1468"/>
      <c r="AG667" s="1468"/>
      <c r="AH667" s="1468"/>
      <c r="AI667" s="1468"/>
      <c r="AJ667" s="1468"/>
      <c r="AK667" s="1468"/>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73" t="e">
        <f t="shared" si="2"/>
        <v>#VALUE!</v>
      </c>
      <c r="DY667" s="1373"/>
      <c r="DZ667" s="1373"/>
      <c r="EA667" s="1373"/>
      <c r="EB667" s="1373"/>
      <c r="EC667" s="1373" t="e">
        <f t="shared" si="3"/>
        <v>#VALUE!</v>
      </c>
      <c r="ED667" s="1373"/>
      <c r="EE667" s="1373"/>
      <c r="EF667" s="1373"/>
      <c r="EG667" s="1373"/>
      <c r="EH667" s="1373" t="e">
        <f t="shared" si="4"/>
        <v>#VALUE!</v>
      </c>
      <c r="EI667" s="1373"/>
      <c r="EJ667" s="1373"/>
      <c r="EK667" s="1373"/>
      <c r="EL667" s="1373"/>
      <c r="EM667" s="1373" t="e">
        <f t="shared" si="5"/>
        <v>#VALUE!</v>
      </c>
      <c r="EN667" s="1373"/>
      <c r="EO667" s="1373"/>
      <c r="EP667" s="1373"/>
      <c r="EQ667" s="1373"/>
      <c r="ER667" s="1373" t="e">
        <f t="shared" si="6"/>
        <v>#VALUE!</v>
      </c>
      <c r="ES667" s="1373"/>
      <c r="ET667" s="1373"/>
      <c r="EU667" s="1373"/>
      <c r="EV667" s="1373"/>
      <c r="EW667" s="1373" t="e">
        <f t="shared" si="7"/>
        <v>#VALUE!</v>
      </c>
      <c r="EX667" s="1373"/>
      <c r="EY667" s="1373"/>
      <c r="EZ667" s="1373"/>
      <c r="FA667" s="1373"/>
    </row>
    <row r="668" spans="1:157" ht="13" customHeight="1">
      <c r="A668" s="22"/>
      <c r="B668" t="s">
        <v>85</v>
      </c>
      <c r="G668" s="1409"/>
      <c r="H668" s="1409"/>
      <c r="I668" s="1409"/>
      <c r="J668" s="1409"/>
      <c r="K668" s="1409"/>
      <c r="L668" s="1409"/>
      <c r="M668" s="1409"/>
      <c r="N668" s="1409"/>
      <c r="O668" s="1409"/>
      <c r="P668" s="1409"/>
      <c r="Q668" s="1409"/>
      <c r="R668" s="1409"/>
      <c r="T668" s="22"/>
      <c r="U668" t="s">
        <v>85</v>
      </c>
      <c r="Z668" s="1409"/>
      <c r="AA668" s="1409"/>
      <c r="AB668" s="1409"/>
      <c r="AC668" s="1409"/>
      <c r="AD668" s="1409"/>
      <c r="AE668" s="1409"/>
      <c r="AF668" s="1409"/>
      <c r="AG668" s="1409"/>
      <c r="AH668" s="1409"/>
      <c r="AI668" s="1409"/>
      <c r="AJ668" s="1409"/>
      <c r="AK668" s="1409"/>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73" t="e">
        <f t="shared" si="2"/>
        <v>#VALUE!</v>
      </c>
      <c r="DY668" s="1373"/>
      <c r="DZ668" s="1373"/>
      <c r="EA668" s="1373"/>
      <c r="EB668" s="1373"/>
      <c r="EC668" s="1373" t="e">
        <f t="shared" si="3"/>
        <v>#VALUE!</v>
      </c>
      <c r="ED668" s="1373"/>
      <c r="EE668" s="1373"/>
      <c r="EF668" s="1373"/>
      <c r="EG668" s="1373"/>
      <c r="EH668" s="1373" t="e">
        <f t="shared" si="4"/>
        <v>#VALUE!</v>
      </c>
      <c r="EI668" s="1373"/>
      <c r="EJ668" s="1373"/>
      <c r="EK668" s="1373"/>
      <c r="EL668" s="1373"/>
      <c r="EM668" s="1373" t="e">
        <f t="shared" si="5"/>
        <v>#VALUE!</v>
      </c>
      <c r="EN668" s="1373"/>
      <c r="EO668" s="1373"/>
      <c r="EP668" s="1373"/>
      <c r="EQ668" s="1373"/>
      <c r="ER668" s="1373" t="e">
        <f t="shared" si="6"/>
        <v>#VALUE!</v>
      </c>
      <c r="ES668" s="1373"/>
      <c r="ET668" s="1373"/>
      <c r="EU668" s="1373"/>
      <c r="EV668" s="1373"/>
      <c r="EW668" s="1373" t="e">
        <f t="shared" si="7"/>
        <v>#VALUE!</v>
      </c>
      <c r="EX668" s="1373"/>
      <c r="EY668" s="1373"/>
      <c r="EZ668" s="1373"/>
      <c r="FA668" s="1373"/>
    </row>
    <row r="669" spans="1:157" ht="13" customHeight="1">
      <c r="A669" s="22"/>
      <c r="B669" t="s">
        <v>580</v>
      </c>
      <c r="G669" s="1409"/>
      <c r="H669" s="1409"/>
      <c r="I669" s="1409"/>
      <c r="J669" s="1409"/>
      <c r="K669" s="1409"/>
      <c r="L669" s="1409"/>
      <c r="M669" s="1409"/>
      <c r="N669" s="1409"/>
      <c r="O669" s="1409"/>
      <c r="P669" s="1409"/>
      <c r="Q669" s="1409"/>
      <c r="R669" s="1409"/>
      <c r="T669" s="22"/>
      <c r="U669" t="s">
        <v>580</v>
      </c>
      <c r="Z669" s="1453"/>
      <c r="AA669" s="1453"/>
      <c r="AB669" s="1453"/>
      <c r="AC669" s="1453"/>
      <c r="AD669" s="1453"/>
      <c r="AE669" s="1453"/>
      <c r="AF669" s="1453"/>
      <c r="AG669" s="1453"/>
      <c r="AH669" s="1453"/>
      <c r="AI669" s="1453"/>
      <c r="AJ669" s="1453"/>
      <c r="AK669" s="1453"/>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73" t="e">
        <f t="shared" si="2"/>
        <v>#VALUE!</v>
      </c>
      <c r="DY669" s="1373"/>
      <c r="DZ669" s="1373"/>
      <c r="EA669" s="1373"/>
      <c r="EB669" s="1373"/>
      <c r="EC669" s="1373" t="e">
        <f t="shared" si="3"/>
        <v>#VALUE!</v>
      </c>
      <c r="ED669" s="1373"/>
      <c r="EE669" s="1373"/>
      <c r="EF669" s="1373"/>
      <c r="EG669" s="1373"/>
      <c r="EH669" s="1373" t="e">
        <f t="shared" si="4"/>
        <v>#VALUE!</v>
      </c>
      <c r="EI669" s="1373"/>
      <c r="EJ669" s="1373"/>
      <c r="EK669" s="1373"/>
      <c r="EL669" s="1373"/>
      <c r="EM669" s="1373" t="e">
        <f t="shared" si="5"/>
        <v>#VALUE!</v>
      </c>
      <c r="EN669" s="1373"/>
      <c r="EO669" s="1373"/>
      <c r="EP669" s="1373"/>
      <c r="EQ669" s="1373"/>
      <c r="ER669" s="1373" t="e">
        <f t="shared" si="6"/>
        <v>#VALUE!</v>
      </c>
      <c r="ES669" s="1373"/>
      <c r="ET669" s="1373"/>
      <c r="EU669" s="1373"/>
      <c r="EV669" s="1373"/>
      <c r="EW669" s="1373" t="e">
        <f t="shared" si="7"/>
        <v>#VALUE!</v>
      </c>
      <c r="EX669" s="1373"/>
      <c r="EY669" s="1373"/>
      <c r="EZ669" s="1373"/>
      <c r="FA669" s="1373"/>
    </row>
    <row r="670" spans="1:157" ht="13" customHeight="1">
      <c r="A670" s="22"/>
      <c r="B670" t="s">
        <v>17</v>
      </c>
      <c r="G670" s="1409"/>
      <c r="H670" s="1409"/>
      <c r="I670" s="1409"/>
      <c r="J670" s="1409"/>
      <c r="K670" s="1409"/>
      <c r="L670" s="1409"/>
      <c r="M670" s="1409"/>
      <c r="N670" s="1409"/>
      <c r="O670" s="1409"/>
      <c r="P670" s="1409"/>
      <c r="Q670" s="1409"/>
      <c r="R670" s="1409"/>
      <c r="T670" s="22"/>
      <c r="U670" t="s">
        <v>17</v>
      </c>
      <c r="Z670" s="1453"/>
      <c r="AA670" s="1453"/>
      <c r="AB670" s="1453"/>
      <c r="AC670" s="1453"/>
      <c r="AD670" s="1453"/>
      <c r="AE670" s="1453"/>
      <c r="AF670" s="1453"/>
      <c r="AG670" s="1453"/>
      <c r="AH670" s="1453"/>
      <c r="AI670" s="1453"/>
      <c r="AJ670" s="1453"/>
      <c r="AK670" s="1453"/>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73">
        <f>SUMIF(DX635:EB669,"&gt;0")</f>
        <v>0</v>
      </c>
      <c r="DY670" s="1373"/>
      <c r="DZ670" s="1373"/>
      <c r="EA670" s="1373"/>
      <c r="EB670" s="1373"/>
      <c r="EC670" s="1373">
        <f>SUMIF(EC635:EG669,"&gt;0")</f>
        <v>2046.2444444444445</v>
      </c>
      <c r="ED670" s="1373"/>
      <c r="EE670" s="1373"/>
      <c r="EF670" s="1373"/>
      <c r="EG670" s="1373"/>
      <c r="EH670" s="1373">
        <f>SUMIF(EH635:EL669,"&gt;0")</f>
        <v>2392.0425531914893</v>
      </c>
      <c r="EI670" s="1373"/>
      <c r="EJ670" s="1373"/>
      <c r="EK670" s="1373"/>
      <c r="EL670" s="1373"/>
      <c r="EM670" s="1373">
        <f>SUMIF(EM635:EQ669,"&gt;0")</f>
        <v>2942.5625</v>
      </c>
      <c r="EN670" s="1373"/>
      <c r="EO670" s="1373"/>
      <c r="EP670" s="1373"/>
      <c r="EQ670" s="1373"/>
      <c r="ER670" s="1373">
        <f>SUMIF(ER635:EV669,"&gt;0")</f>
        <v>0</v>
      </c>
      <c r="ES670" s="1373"/>
      <c r="ET670" s="1373"/>
      <c r="EU670" s="1373"/>
      <c r="EV670" s="1373"/>
      <c r="EW670" s="1373">
        <f>SUMIF(EW635:FA669,"&gt;0")</f>
        <v>0</v>
      </c>
      <c r="EX670" s="1373"/>
      <c r="EY670" s="1373"/>
      <c r="EZ670" s="1373"/>
      <c r="FA670" s="1373"/>
    </row>
    <row r="671" spans="1:157" ht="13" customHeight="1">
      <c r="A671" s="22"/>
      <c r="B671" t="s">
        <v>315</v>
      </c>
      <c r="G671" s="1467"/>
      <c r="H671" s="1467"/>
      <c r="I671" s="1467"/>
      <c r="J671" s="1467"/>
      <c r="K671" s="1467"/>
      <c r="L671" s="1467"/>
      <c r="O671" s="33" t="s">
        <v>205</v>
      </c>
      <c r="P671" s="1454"/>
      <c r="Q671" s="1454"/>
      <c r="R671" s="1454"/>
      <c r="T671" s="22"/>
      <c r="U671" t="s">
        <v>315</v>
      </c>
      <c r="Z671" s="1467"/>
      <c r="AA671" s="1467"/>
      <c r="AB671" s="1467"/>
      <c r="AC671" s="1467"/>
      <c r="AD671" s="1467"/>
      <c r="AE671" s="1467"/>
      <c r="AH671" s="33" t="s">
        <v>205</v>
      </c>
      <c r="AI671" s="1454"/>
      <c r="AJ671" s="1454"/>
      <c r="AK671" s="1454"/>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409"/>
      <c r="I672" s="1409"/>
      <c r="J672" s="1409"/>
      <c r="K672" s="1409"/>
      <c r="L672" s="1409"/>
      <c r="M672" s="1409"/>
      <c r="N672" s="1409"/>
      <c r="O672" s="1409"/>
      <c r="P672" s="1409"/>
      <c r="Q672" s="1409"/>
      <c r="R672" s="1409"/>
      <c r="T672" s="22"/>
      <c r="U672" t="s">
        <v>18</v>
      </c>
      <c r="AA672" s="1409"/>
      <c r="AB672" s="1409"/>
      <c r="AC672" s="1409"/>
      <c r="AD672" s="1409"/>
      <c r="AE672" s="1409"/>
      <c r="AF672" s="1409"/>
      <c r="AG672" s="1409"/>
      <c r="AH672" s="1409"/>
      <c r="AI672" s="1409"/>
      <c r="AJ672" s="1409"/>
      <c r="AK672" s="1409"/>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426" t="s">
        <v>669</v>
      </c>
      <c r="O673" s="1426"/>
      <c r="T673" s="22"/>
      <c r="U673" t="s">
        <v>20</v>
      </c>
      <c r="AG673" s="1426" t="s">
        <v>669</v>
      </c>
      <c r="AH673" s="1426"/>
      <c r="AZ673" s="3"/>
    </row>
    <row r="674" spans="1:52" ht="13" customHeight="1">
      <c r="A674" s="22"/>
      <c r="T674" s="22"/>
      <c r="AZ674" s="3"/>
    </row>
    <row r="675" spans="1:52" ht="13" customHeight="1">
      <c r="A675" s="55" t="s">
        <v>461</v>
      </c>
      <c r="B675" t="s">
        <v>463</v>
      </c>
      <c r="G675" s="1468">
        <f>C635</f>
        <v>0</v>
      </c>
      <c r="H675" s="1468"/>
      <c r="I675" s="1468"/>
      <c r="J675" s="1468"/>
      <c r="K675" s="1468"/>
      <c r="L675" s="1468"/>
      <c r="M675" s="1468"/>
      <c r="N675" s="1468"/>
      <c r="O675" s="1468"/>
      <c r="P675" s="1468"/>
      <c r="Q675" s="1468"/>
      <c r="R675" s="1468"/>
      <c r="T675" s="55" t="s">
        <v>646</v>
      </c>
      <c r="U675" t="s">
        <v>463</v>
      </c>
      <c r="Z675" s="1468">
        <f>C636</f>
        <v>0</v>
      </c>
      <c r="AA675" s="1468"/>
      <c r="AB675" s="1468"/>
      <c r="AC675" s="1468"/>
      <c r="AD675" s="1468"/>
      <c r="AE675" s="1468"/>
      <c r="AF675" s="1468"/>
      <c r="AG675" s="1468"/>
      <c r="AH675" s="1468"/>
      <c r="AI675" s="1468"/>
      <c r="AJ675" s="1468"/>
      <c r="AK675" s="1468"/>
      <c r="AZ675" s="3"/>
    </row>
    <row r="676" spans="1:52" ht="13" customHeight="1">
      <c r="A676" s="22"/>
      <c r="B676" t="s">
        <v>85</v>
      </c>
      <c r="G676" s="1409"/>
      <c r="H676" s="1409"/>
      <c r="I676" s="1409"/>
      <c r="J676" s="1409"/>
      <c r="K676" s="1409"/>
      <c r="L676" s="1409"/>
      <c r="M676" s="1409"/>
      <c r="N676" s="1409"/>
      <c r="O676" s="1409"/>
      <c r="P676" s="1409"/>
      <c r="Q676" s="1409"/>
      <c r="R676" s="1409"/>
      <c r="T676" s="22"/>
      <c r="U676" t="s">
        <v>85</v>
      </c>
      <c r="Z676" s="1409"/>
      <c r="AA676" s="1409"/>
      <c r="AB676" s="1409"/>
      <c r="AC676" s="1409"/>
      <c r="AD676" s="1409"/>
      <c r="AE676" s="1409"/>
      <c r="AF676" s="1409"/>
      <c r="AG676" s="1409"/>
      <c r="AH676" s="1409"/>
      <c r="AI676" s="1409"/>
      <c r="AJ676" s="1409"/>
      <c r="AK676" s="1409"/>
      <c r="AZ676" s="3"/>
    </row>
    <row r="677" spans="1:52" ht="13" customHeight="1">
      <c r="A677" s="22"/>
      <c r="B677" t="s">
        <v>580</v>
      </c>
      <c r="G677" s="1409"/>
      <c r="H677" s="1409"/>
      <c r="I677" s="1409"/>
      <c r="J677" s="1409"/>
      <c r="K677" s="1409"/>
      <c r="L677" s="1409"/>
      <c r="M677" s="1409"/>
      <c r="N677" s="1409"/>
      <c r="O677" s="1409"/>
      <c r="P677" s="1409"/>
      <c r="Q677" s="1409"/>
      <c r="R677" s="1409"/>
      <c r="T677" s="22"/>
      <c r="U677" t="s">
        <v>580</v>
      </c>
      <c r="Z677" s="1453"/>
      <c r="AA677" s="1453"/>
      <c r="AB677" s="1453"/>
      <c r="AC677" s="1453"/>
      <c r="AD677" s="1453"/>
      <c r="AE677" s="1453"/>
      <c r="AF677" s="1453"/>
      <c r="AG677" s="1453"/>
      <c r="AH677" s="1453"/>
      <c r="AI677" s="1453"/>
      <c r="AJ677" s="1453"/>
      <c r="AK677" s="1453"/>
      <c r="AZ677" s="3"/>
    </row>
    <row r="678" spans="1:52" ht="13" customHeight="1">
      <c r="A678" s="22"/>
      <c r="B678" t="s">
        <v>17</v>
      </c>
      <c r="G678" s="1409"/>
      <c r="H678" s="1409"/>
      <c r="I678" s="1409"/>
      <c r="J678" s="1409"/>
      <c r="K678" s="1409"/>
      <c r="L678" s="1409"/>
      <c r="M678" s="1409"/>
      <c r="N678" s="1409"/>
      <c r="O678" s="1409"/>
      <c r="P678" s="1409"/>
      <c r="Q678" s="1409"/>
      <c r="R678" s="1409"/>
      <c r="T678" s="22"/>
      <c r="U678" t="s">
        <v>17</v>
      </c>
      <c r="Z678" s="1453"/>
      <c r="AA678" s="1453"/>
      <c r="AB678" s="1453"/>
      <c r="AC678" s="1453"/>
      <c r="AD678" s="1453"/>
      <c r="AE678" s="1453"/>
      <c r="AF678" s="1453"/>
      <c r="AG678" s="1453"/>
      <c r="AH678" s="1453"/>
      <c r="AI678" s="1453"/>
      <c r="AJ678" s="1453"/>
      <c r="AK678" s="1453"/>
      <c r="AZ678" s="3"/>
    </row>
    <row r="679" spans="1:52" ht="13" customHeight="1">
      <c r="A679" s="22"/>
      <c r="B679" t="s">
        <v>315</v>
      </c>
      <c r="G679" s="1467"/>
      <c r="H679" s="1467"/>
      <c r="I679" s="1467"/>
      <c r="J679" s="1467"/>
      <c r="K679" s="1467"/>
      <c r="L679" s="1467"/>
      <c r="O679" s="33" t="s">
        <v>205</v>
      </c>
      <c r="P679" s="1454"/>
      <c r="Q679" s="1454"/>
      <c r="R679" s="1454"/>
      <c r="T679" s="22"/>
      <c r="U679" t="s">
        <v>315</v>
      </c>
      <c r="Z679" s="1467"/>
      <c r="AA679" s="1467"/>
      <c r="AB679" s="1467"/>
      <c r="AC679" s="1467"/>
      <c r="AD679" s="1467"/>
      <c r="AE679" s="1467"/>
      <c r="AH679" s="33" t="s">
        <v>205</v>
      </c>
      <c r="AI679" s="1454"/>
      <c r="AJ679" s="1454"/>
      <c r="AK679" s="1454"/>
      <c r="AZ679" s="3"/>
    </row>
    <row r="680" spans="1:52" ht="13" customHeight="1">
      <c r="A680" s="22"/>
      <c r="B680" t="s">
        <v>18</v>
      </c>
      <c r="H680" s="1409"/>
      <c r="I680" s="1409"/>
      <c r="J680" s="1409"/>
      <c r="K680" s="1409"/>
      <c r="L680" s="1409"/>
      <c r="M680" s="1409"/>
      <c r="N680" s="1409"/>
      <c r="O680" s="1409"/>
      <c r="P680" s="1409"/>
      <c r="Q680" s="1409"/>
      <c r="R680" s="1409"/>
      <c r="T680" s="22"/>
      <c r="U680" t="s">
        <v>18</v>
      </c>
      <c r="AA680" s="1409"/>
      <c r="AB680" s="1409"/>
      <c r="AC680" s="1409"/>
      <c r="AD680" s="1409"/>
      <c r="AE680" s="1409"/>
      <c r="AF680" s="1409"/>
      <c r="AG680" s="1409"/>
      <c r="AH680" s="1409"/>
      <c r="AI680" s="1409"/>
      <c r="AJ680" s="1409"/>
      <c r="AK680" s="1409"/>
      <c r="AZ680" s="3"/>
    </row>
    <row r="681" spans="1:52" ht="13" customHeight="1">
      <c r="A681" s="22"/>
      <c r="B681" t="s">
        <v>20</v>
      </c>
      <c r="N681" s="1426" t="s">
        <v>669</v>
      </c>
      <c r="O681" s="1426"/>
      <c r="T681" s="22"/>
      <c r="U681" t="s">
        <v>20</v>
      </c>
      <c r="AG681" s="1426" t="s">
        <v>669</v>
      </c>
      <c r="AH681" s="1426"/>
      <c r="AZ681" s="3"/>
    </row>
    <row r="682" spans="1:52" ht="13" customHeight="1">
      <c r="A682" s="22"/>
      <c r="T682" s="22"/>
      <c r="AZ682" s="3"/>
    </row>
    <row r="683" spans="1:52" ht="13" customHeight="1">
      <c r="A683" s="55" t="s">
        <v>361</v>
      </c>
      <c r="B683" t="s">
        <v>463</v>
      </c>
      <c r="G683" s="1468">
        <f>C637</f>
        <v>0</v>
      </c>
      <c r="H683" s="1468"/>
      <c r="I683" s="1468"/>
      <c r="J683" s="1468"/>
      <c r="K683" s="1468"/>
      <c r="L683" s="1468"/>
      <c r="M683" s="1468"/>
      <c r="N683" s="1468"/>
      <c r="O683" s="1468"/>
      <c r="P683" s="1468"/>
      <c r="Q683" s="1468"/>
      <c r="R683" s="1468"/>
      <c r="T683" s="55" t="s">
        <v>362</v>
      </c>
      <c r="U683" t="s">
        <v>463</v>
      </c>
      <c r="Z683" s="1468">
        <f>C638</f>
        <v>0</v>
      </c>
      <c r="AA683" s="1468"/>
      <c r="AB683" s="1468"/>
      <c r="AC683" s="1468"/>
      <c r="AD683" s="1468"/>
      <c r="AE683" s="1468"/>
      <c r="AF683" s="1468"/>
      <c r="AG683" s="1468"/>
      <c r="AH683" s="1468"/>
      <c r="AI683" s="1468"/>
      <c r="AJ683" s="1468"/>
      <c r="AK683" s="1468"/>
      <c r="AZ683" s="3"/>
    </row>
    <row r="684" spans="1:52" ht="13" customHeight="1">
      <c r="B684" t="s">
        <v>85</v>
      </c>
      <c r="G684" s="1409"/>
      <c r="H684" s="1409"/>
      <c r="I684" s="1409"/>
      <c r="J684" s="1409"/>
      <c r="K684" s="1409"/>
      <c r="L684" s="1409"/>
      <c r="M684" s="1409"/>
      <c r="N684" s="1409"/>
      <c r="O684" s="1409"/>
      <c r="P684" s="1409"/>
      <c r="Q684" s="1409"/>
      <c r="R684" s="1409"/>
      <c r="T684" s="22"/>
      <c r="U684" t="s">
        <v>85</v>
      </c>
      <c r="Z684" s="1409"/>
      <c r="AA684" s="1409"/>
      <c r="AB684" s="1409"/>
      <c r="AC684" s="1409"/>
      <c r="AD684" s="1409"/>
      <c r="AE684" s="1409"/>
      <c r="AF684" s="1409"/>
      <c r="AG684" s="1409"/>
      <c r="AH684" s="1409"/>
      <c r="AI684" s="1409"/>
      <c r="AJ684" s="1409"/>
      <c r="AK684" s="1409"/>
      <c r="AZ684" s="3"/>
    </row>
    <row r="685" spans="1:52" ht="13" customHeight="1">
      <c r="B685" t="s">
        <v>580</v>
      </c>
      <c r="G685" s="1409"/>
      <c r="H685" s="1409"/>
      <c r="I685" s="1409"/>
      <c r="J685" s="1409"/>
      <c r="K685" s="1409"/>
      <c r="L685" s="1409"/>
      <c r="M685" s="1409"/>
      <c r="N685" s="1409"/>
      <c r="O685" s="1409"/>
      <c r="P685" s="1409"/>
      <c r="Q685" s="1409"/>
      <c r="R685" s="1409"/>
      <c r="U685" t="s">
        <v>580</v>
      </c>
      <c r="Z685" s="1453"/>
      <c r="AA685" s="1453"/>
      <c r="AB685" s="1453"/>
      <c r="AC685" s="1453"/>
      <c r="AD685" s="1453"/>
      <c r="AE685" s="1453"/>
      <c r="AF685" s="1453"/>
      <c r="AG685" s="1453"/>
      <c r="AH685" s="1453"/>
      <c r="AI685" s="1453"/>
      <c r="AJ685" s="1453"/>
      <c r="AK685" s="1453"/>
      <c r="AZ685" s="3"/>
    </row>
    <row r="686" spans="1:52" ht="13" customHeight="1">
      <c r="B686" t="s">
        <v>17</v>
      </c>
      <c r="G686" s="1409"/>
      <c r="H686" s="1409"/>
      <c r="I686" s="1409"/>
      <c r="J686" s="1409"/>
      <c r="K686" s="1409"/>
      <c r="L686" s="1409"/>
      <c r="M686" s="1409"/>
      <c r="N686" s="1409"/>
      <c r="O686" s="1409"/>
      <c r="P686" s="1409"/>
      <c r="Q686" s="1409"/>
      <c r="R686" s="1409"/>
      <c r="U686" t="s">
        <v>17</v>
      </c>
      <c r="Z686" s="1453"/>
      <c r="AA686" s="1453"/>
      <c r="AB686" s="1453"/>
      <c r="AC686" s="1453"/>
      <c r="AD686" s="1453"/>
      <c r="AE686" s="1453"/>
      <c r="AF686" s="1453"/>
      <c r="AG686" s="1453"/>
      <c r="AH686" s="1453"/>
      <c r="AI686" s="1453"/>
      <c r="AJ686" s="1453"/>
      <c r="AK686" s="1453"/>
      <c r="AZ686" s="3"/>
    </row>
    <row r="687" spans="1:52" ht="13" customHeight="1">
      <c r="B687" t="s">
        <v>315</v>
      </c>
      <c r="G687" s="1467"/>
      <c r="H687" s="1467"/>
      <c r="I687" s="1467"/>
      <c r="J687" s="1467"/>
      <c r="K687" s="1467"/>
      <c r="L687" s="1467"/>
      <c r="O687" s="33" t="s">
        <v>205</v>
      </c>
      <c r="P687" s="1454"/>
      <c r="Q687" s="1454"/>
      <c r="R687" s="1454"/>
      <c r="U687" t="s">
        <v>315</v>
      </c>
      <c r="Z687" s="1467"/>
      <c r="AA687" s="1467"/>
      <c r="AB687" s="1467"/>
      <c r="AC687" s="1467"/>
      <c r="AD687" s="1467"/>
      <c r="AE687" s="1467"/>
      <c r="AH687" s="33" t="s">
        <v>205</v>
      </c>
      <c r="AI687" s="1454"/>
      <c r="AJ687" s="1454"/>
      <c r="AK687" s="1454"/>
      <c r="AZ687" s="3"/>
    </row>
    <row r="688" spans="1:52" ht="13" customHeight="1">
      <c r="B688" t="s">
        <v>18</v>
      </c>
      <c r="H688" s="1409"/>
      <c r="I688" s="1409"/>
      <c r="J688" s="1409"/>
      <c r="K688" s="1409"/>
      <c r="L688" s="1409"/>
      <c r="M688" s="1409"/>
      <c r="N688" s="1409"/>
      <c r="O688" s="1409"/>
      <c r="P688" s="1409"/>
      <c r="Q688" s="1409"/>
      <c r="R688" s="1409"/>
      <c r="U688" t="s">
        <v>18</v>
      </c>
      <c r="AA688" s="1409"/>
      <c r="AB688" s="1409"/>
      <c r="AC688" s="1409"/>
      <c r="AD688" s="1409"/>
      <c r="AE688" s="1409"/>
      <c r="AF688" s="1409"/>
      <c r="AG688" s="1409"/>
      <c r="AH688" s="1409"/>
      <c r="AI688" s="1409"/>
      <c r="AJ688" s="1409"/>
      <c r="AK688" s="1409"/>
      <c r="AZ688" s="3"/>
    </row>
    <row r="689" spans="1:67" ht="13" customHeight="1">
      <c r="B689" t="s">
        <v>20</v>
      </c>
      <c r="N689" s="1426" t="s">
        <v>669</v>
      </c>
      <c r="O689" s="1426"/>
      <c r="U689" t="s">
        <v>20</v>
      </c>
      <c r="AG689" s="1426" t="s">
        <v>669</v>
      </c>
      <c r="AH689" s="1426"/>
      <c r="AZ689" s="3"/>
    </row>
    <row r="690" spans="1:67" ht="13" customHeight="1">
      <c r="AZ690" s="3"/>
    </row>
    <row r="691" spans="1:67" ht="13" customHeight="1">
      <c r="A691" s="2" t="s">
        <v>576</v>
      </c>
      <c r="C691" s="2" t="s">
        <v>326</v>
      </c>
      <c r="E691" s="130"/>
      <c r="F691" s="130"/>
      <c r="G691" s="130"/>
      <c r="H691" s="130"/>
      <c r="AZ691" s="3"/>
    </row>
    <row r="692" spans="1:67" ht="13" customHeight="1">
      <c r="B692" s="135"/>
      <c r="C692" s="135"/>
      <c r="D692" s="136" t="s">
        <v>433</v>
      </c>
      <c r="E692" s="135"/>
      <c r="F692" s="135"/>
      <c r="G692" s="135"/>
      <c r="H692" s="135"/>
      <c r="AZ692" s="3"/>
    </row>
    <row r="693" spans="1:67" ht="13" customHeight="1">
      <c r="B693" s="135"/>
      <c r="C693" s="135"/>
      <c r="E693" s="136" t="s">
        <v>434</v>
      </c>
      <c r="F693" s="135"/>
      <c r="G693" s="135"/>
      <c r="H693" s="135"/>
      <c r="AE693" s="1426" t="s">
        <v>545</v>
      </c>
      <c r="AF693" s="1426"/>
      <c r="AZ693" s="3"/>
    </row>
    <row r="694" spans="1:67" ht="13" customHeight="1">
      <c r="B694" s="135"/>
      <c r="C694" s="135"/>
      <c r="D694" s="136" t="s">
        <v>437</v>
      </c>
      <c r="E694" s="135"/>
      <c r="F694" s="135"/>
      <c r="G694" s="135"/>
      <c r="H694" s="135"/>
      <c r="AE694" s="1426" t="s">
        <v>669</v>
      </c>
      <c r="AF694" s="1426"/>
      <c r="AZ694" s="3"/>
    </row>
    <row r="695" spans="1:67" ht="13" customHeight="1">
      <c r="B695" s="135"/>
      <c r="C695" s="135"/>
      <c r="D695" s="136" t="s">
        <v>920</v>
      </c>
      <c r="E695" s="135"/>
      <c r="F695" s="135"/>
      <c r="G695" s="135"/>
      <c r="H695" s="135"/>
      <c r="AE695" s="1504">
        <v>45909</v>
      </c>
      <c r="AF695" s="1504"/>
      <c r="AG695" s="1504"/>
      <c r="AH695" s="1504"/>
      <c r="AI695" s="1504"/>
    </row>
    <row r="696" spans="1:67" ht="13" customHeight="1">
      <c r="B696" s="135"/>
      <c r="C696" s="135"/>
      <c r="D696" s="317" t="s">
        <v>983</v>
      </c>
      <c r="E696" s="135"/>
      <c r="F696" s="135"/>
      <c r="G696" s="135"/>
      <c r="H696" s="135"/>
      <c r="AE696" s="1645">
        <v>45980</v>
      </c>
      <c r="AF696" s="1645"/>
      <c r="AG696" s="1645"/>
      <c r="AH696" s="1645"/>
      <c r="AI696" s="1645"/>
    </row>
    <row r="697" spans="1:67" ht="13" customHeight="1">
      <c r="B697" s="135"/>
      <c r="C697" s="135"/>
    </row>
    <row r="698" spans="1:67" ht="13" customHeight="1">
      <c r="B698" s="135"/>
      <c r="C698" s="135"/>
      <c r="D698" s="136" t="s">
        <v>816</v>
      </c>
      <c r="E698" s="135"/>
      <c r="F698" s="135"/>
      <c r="G698" s="135"/>
      <c r="H698" s="135"/>
      <c r="AE698" s="1504">
        <f>AE696+180</f>
        <v>46160</v>
      </c>
      <c r="AF698" s="1504"/>
      <c r="AG698" s="1504"/>
      <c r="AH698" s="1504"/>
      <c r="AI698" s="1504"/>
    </row>
    <row r="699" spans="1:67" ht="13" customHeight="1">
      <c r="B699" s="135"/>
      <c r="C699" s="135"/>
      <c r="D699" s="136" t="s">
        <v>435</v>
      </c>
      <c r="E699" s="135"/>
      <c r="F699" s="135"/>
      <c r="G699" s="135"/>
      <c r="H699" s="135"/>
      <c r="AE699" s="1648">
        <v>0.27</v>
      </c>
      <c r="AF699" s="1648"/>
      <c r="AG699" s="1648"/>
      <c r="AH699" s="1648"/>
      <c r="AI699" s="1648"/>
    </row>
    <row r="700" spans="1:67" ht="13" customHeight="1">
      <c r="B700" s="135"/>
      <c r="C700" s="135"/>
      <c r="D700" s="136" t="s">
        <v>436</v>
      </c>
      <c r="E700" s="135"/>
      <c r="F700" s="135"/>
      <c r="G700" s="135"/>
      <c r="H700" s="135"/>
      <c r="W700" s="1468" t="str">
        <f>H335</f>
        <v xml:space="preserve">CalHFA										</v>
      </c>
      <c r="X700" s="1468"/>
      <c r="Y700" s="1468"/>
      <c r="Z700" s="1468"/>
      <c r="AA700" s="1468"/>
      <c r="AB700" s="1468"/>
      <c r="AC700" s="1468"/>
      <c r="AD700" s="1468"/>
      <c r="AE700" s="1468"/>
      <c r="AF700" s="1468"/>
      <c r="AG700" s="1468"/>
      <c r="AH700" s="1468"/>
      <c r="AI700" s="1468"/>
      <c r="AJ700" s="1468"/>
      <c r="AK700" s="1468"/>
    </row>
    <row r="701" spans="1:67" ht="13" customHeight="1">
      <c r="B701" s="135"/>
      <c r="C701" s="135"/>
      <c r="D701" s="136"/>
      <c r="E701" s="135"/>
      <c r="F701" s="135"/>
      <c r="G701" s="135"/>
      <c r="H701" s="135"/>
    </row>
    <row r="702" spans="1:67" ht="13" customHeight="1">
      <c r="B702" s="135"/>
      <c r="C702" s="135"/>
      <c r="D702" s="136" t="s">
        <v>438</v>
      </c>
      <c r="E702" s="135"/>
      <c r="F702" s="135"/>
      <c r="G702" s="135"/>
      <c r="H702" s="135"/>
      <c r="AE702" s="1426" t="s">
        <v>669</v>
      </c>
      <c r="AF702" s="1426"/>
      <c r="AZ702" s="4" t="s">
        <v>323</v>
      </c>
    </row>
    <row r="703" spans="1:67" ht="13" customHeight="1">
      <c r="B703" s="135"/>
      <c r="C703" s="135"/>
      <c r="D703" s="136" t="s">
        <v>442</v>
      </c>
      <c r="E703" s="135"/>
      <c r="F703" s="135"/>
      <c r="G703" s="135"/>
      <c r="H703" s="135"/>
      <c r="W703" s="1409"/>
      <c r="X703" s="1409"/>
      <c r="Y703" s="1409"/>
      <c r="Z703" s="1409"/>
      <c r="AA703" s="1409"/>
      <c r="AB703" s="1409"/>
      <c r="AC703" s="1409"/>
      <c r="AD703" s="1409"/>
      <c r="AE703" s="1409"/>
      <c r="AF703" s="1409"/>
      <c r="AG703" s="1409"/>
      <c r="AH703" s="1409"/>
      <c r="AI703" s="1409"/>
      <c r="AJ703" s="1409"/>
      <c r="AK703" s="1409"/>
      <c r="AZ703" s="4" t="s">
        <v>324</v>
      </c>
    </row>
    <row r="704" spans="1:67" ht="13" customHeight="1">
      <c r="B704" s="135"/>
      <c r="C704" s="135"/>
      <c r="D704" s="136" t="s">
        <v>87</v>
      </c>
      <c r="E704" s="135"/>
      <c r="F704" s="135"/>
      <c r="G704" s="135"/>
      <c r="H704" s="135"/>
      <c r="J704" s="1409"/>
      <c r="K704" s="1409"/>
      <c r="L704" s="1409"/>
      <c r="M704" s="1409"/>
      <c r="N704" s="1409"/>
      <c r="O704" s="1409"/>
      <c r="P704" s="1409"/>
      <c r="Q704" s="1409"/>
      <c r="R704" s="1409"/>
      <c r="S704" s="1409"/>
      <c r="T704" s="1409"/>
      <c r="U704" s="1409"/>
      <c r="V704" s="1409"/>
      <c r="W704" s="1409"/>
      <c r="X704" s="1409"/>
      <c r="AZ704" s="4" t="s">
        <v>163</v>
      </c>
      <c r="BB704" s="34"/>
      <c r="BC704" s="34"/>
      <c r="BD704" s="34"/>
      <c r="BE704" s="3"/>
      <c r="BF704" s="3"/>
      <c r="BJ704" s="3"/>
      <c r="BK704" s="3"/>
      <c r="BL704" s="3"/>
      <c r="BM704" s="3"/>
      <c r="BN704" s="34"/>
      <c r="BO704" s="34"/>
    </row>
    <row r="705" spans="1:185" ht="13" customHeight="1">
      <c r="B705" s="135"/>
      <c r="C705" s="135"/>
      <c r="D705" s="136" t="s">
        <v>88</v>
      </c>
      <c r="J705" s="1467"/>
      <c r="K705" s="1467"/>
      <c r="L705" s="1467"/>
      <c r="M705" s="1467"/>
      <c r="N705" s="1467"/>
      <c r="O705" s="1467"/>
      <c r="P705" s="4" t="s">
        <v>205</v>
      </c>
      <c r="Q705" s="4"/>
      <c r="R705" s="1454"/>
      <c r="S705" s="1454"/>
      <c r="T705" s="1454"/>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443</v>
      </c>
      <c r="W706" s="1409" t="s">
        <v>306</v>
      </c>
      <c r="X706" s="1409"/>
      <c r="Y706" s="1409"/>
      <c r="Z706" s="1409"/>
      <c r="AA706" s="1409"/>
      <c r="AB706" s="1409"/>
      <c r="AC706" s="1409"/>
      <c r="AD706" s="1409"/>
      <c r="AE706" s="1409"/>
      <c r="AF706" s="1409"/>
      <c r="AG706" s="1409"/>
      <c r="AH706" s="1409"/>
      <c r="AI706" s="1409"/>
      <c r="AJ706" s="1409"/>
      <c r="AK706" s="1409"/>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409" t="s">
        <v>333</v>
      </c>
      <c r="F707" s="1409"/>
      <c r="G707" s="1409"/>
      <c r="H707" s="1409"/>
      <c r="I707" s="1409"/>
      <c r="J707" s="1409"/>
      <c r="K707" s="1409"/>
      <c r="L707" s="1409"/>
      <c r="M707" s="1409"/>
      <c r="N707" s="1409"/>
      <c r="O707" s="1409"/>
      <c r="P707" s="1409"/>
      <c r="Q707" s="1409"/>
      <c r="R707" s="1409"/>
      <c r="S707" s="1409"/>
      <c r="T707" s="1409"/>
      <c r="U707" s="1409"/>
      <c r="V707" s="1409"/>
      <c r="W707" s="1409"/>
      <c r="X707" s="1409"/>
      <c r="Y707" s="1409"/>
      <c r="Z707" s="1409"/>
      <c r="AA707" s="1409"/>
      <c r="AB707" s="1409"/>
      <c r="AC707" s="1409"/>
      <c r="AD707" s="1409"/>
      <c r="AE707" s="1409"/>
      <c r="AF707" s="1409"/>
      <c r="AG707" s="1409"/>
      <c r="AH707" s="1409"/>
      <c r="AI707" s="1409"/>
      <c r="AJ707" s="1409"/>
      <c r="AK707" s="1409"/>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74" t="s">
        <v>95</v>
      </c>
      <c r="B709" s="1274"/>
      <c r="C709" s="1274"/>
      <c r="D709" s="1274"/>
      <c r="E709" s="1274"/>
      <c r="F709" s="1274"/>
      <c r="G709" s="1274"/>
      <c r="H709" s="1274"/>
      <c r="I709" s="1274"/>
      <c r="J709" s="1274"/>
      <c r="K709" s="1274"/>
      <c r="L709" s="1274"/>
      <c r="M709" s="1274"/>
      <c r="N709" s="1274"/>
      <c r="O709" s="1274"/>
      <c r="P709" s="1274"/>
      <c r="Q709" s="1274"/>
      <c r="R709" s="1274"/>
      <c r="S709" s="1274"/>
      <c r="T709" s="1274"/>
      <c r="U709" s="1274"/>
      <c r="V709" s="1274"/>
      <c r="W709" s="1274"/>
      <c r="X709" s="1274"/>
      <c r="Y709" s="1274"/>
      <c r="Z709" s="1274"/>
      <c r="AA709" s="1274"/>
      <c r="AB709" s="1274"/>
      <c r="AC709" s="1274"/>
      <c r="AD709" s="1274"/>
      <c r="AE709" s="1274"/>
      <c r="AF709" s="1274"/>
      <c r="AG709" s="1274"/>
      <c r="AH709" s="1274"/>
      <c r="AI709" s="1274"/>
      <c r="AJ709" s="1274"/>
      <c r="AK709" s="1274"/>
      <c r="AL709" s="1274"/>
      <c r="AM709" s="1274"/>
      <c r="AN709" s="1274"/>
      <c r="AO709" s="1274"/>
      <c r="AP709" s="1274"/>
      <c r="AQ709" s="1274"/>
      <c r="AR709" s="1274"/>
      <c r="AS709" s="1274"/>
      <c r="AT709" s="127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74"/>
      <c r="B710" s="1274"/>
      <c r="C710" s="1274"/>
      <c r="D710" s="1274"/>
      <c r="E710" s="1274"/>
      <c r="F710" s="1274"/>
      <c r="G710" s="1274"/>
      <c r="H710" s="1274"/>
      <c r="I710" s="1274"/>
      <c r="J710" s="1274"/>
      <c r="K710" s="1274"/>
      <c r="L710" s="1274"/>
      <c r="M710" s="1274"/>
      <c r="N710" s="1274"/>
      <c r="O710" s="1274"/>
      <c r="P710" s="1274"/>
      <c r="Q710" s="1274"/>
      <c r="R710" s="1274"/>
      <c r="S710" s="1274"/>
      <c r="T710" s="1274"/>
      <c r="U710" s="1274"/>
      <c r="V710" s="1274"/>
      <c r="W710" s="1274"/>
      <c r="X710" s="1274"/>
      <c r="Y710" s="1274"/>
      <c r="Z710" s="1274"/>
      <c r="AA710" s="1274"/>
      <c r="AB710" s="1274"/>
      <c r="AC710" s="1274"/>
      <c r="AD710" s="1274"/>
      <c r="AE710" s="1274"/>
      <c r="AF710" s="1274"/>
      <c r="AG710" s="1274"/>
      <c r="AH710" s="1274"/>
      <c r="AI710" s="1274"/>
      <c r="AJ710" s="1274"/>
      <c r="AK710" s="1274"/>
      <c r="AL710" s="1274"/>
      <c r="AM710" s="1274"/>
      <c r="AN710" s="1274"/>
      <c r="AO710" s="1274"/>
      <c r="AP710" s="1274"/>
      <c r="AQ710" s="1274"/>
      <c r="AR710" s="1274"/>
      <c r="AS710" s="1274"/>
      <c r="AT710" s="127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74"/>
      <c r="B711" s="1274"/>
      <c r="C711" s="1274"/>
      <c r="D711" s="1274"/>
      <c r="E711" s="1274"/>
      <c r="F711" s="1274"/>
      <c r="G711" s="1274"/>
      <c r="H711" s="1274"/>
      <c r="I711" s="1274"/>
      <c r="J711" s="1274"/>
      <c r="K711" s="1274"/>
      <c r="L711" s="1274"/>
      <c r="M711" s="1274"/>
      <c r="N711" s="1274"/>
      <c r="O711" s="1274"/>
      <c r="P711" s="1274"/>
      <c r="Q711" s="1274"/>
      <c r="R711" s="1274"/>
      <c r="S711" s="1274"/>
      <c r="T711" s="1274"/>
      <c r="U711" s="1274"/>
      <c r="V711" s="1274"/>
      <c r="W711" s="1274"/>
      <c r="X711" s="1274"/>
      <c r="Y711" s="1274"/>
      <c r="Z711" s="1274"/>
      <c r="AA711" s="1274"/>
      <c r="AB711" s="1274"/>
      <c r="AC711" s="1274"/>
      <c r="AD711" s="1274"/>
      <c r="AE711" s="1274"/>
      <c r="AF711" s="1274"/>
      <c r="AG711" s="1274"/>
      <c r="AH711" s="1274"/>
      <c r="AI711" s="1274"/>
      <c r="AJ711" s="1274"/>
      <c r="AK711" s="1274"/>
      <c r="AL711" s="1274"/>
      <c r="AM711" s="1274"/>
      <c r="AN711" s="1274"/>
      <c r="AO711" s="1274"/>
      <c r="AP711" s="1274"/>
      <c r="AQ711" s="1274"/>
      <c r="AR711" s="1274"/>
      <c r="AS711" s="1274"/>
      <c r="AT711" s="127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491" t="s">
        <v>388</v>
      </c>
      <c r="C714" s="1492"/>
      <c r="D714" s="1492"/>
      <c r="E714" s="1492"/>
      <c r="F714" s="1493"/>
      <c r="G714" s="1491" t="s">
        <v>284</v>
      </c>
      <c r="H714" s="1492"/>
      <c r="I714" s="1492"/>
      <c r="J714" s="1493"/>
      <c r="K714" s="1506" t="s">
        <v>1679</v>
      </c>
      <c r="L714" s="1507"/>
      <c r="M714" s="1507"/>
      <c r="N714" s="1508"/>
      <c r="O714" s="1491" t="s">
        <v>447</v>
      </c>
      <c r="P714" s="1492"/>
      <c r="Q714" s="1492"/>
      <c r="R714" s="1492"/>
      <c r="S714" s="1493"/>
      <c r="T714" s="1505" t="s">
        <v>1949</v>
      </c>
      <c r="U714" s="1492"/>
      <c r="V714" s="1492"/>
      <c r="W714" s="1493"/>
      <c r="X714" s="1505" t="s">
        <v>1951</v>
      </c>
      <c r="Y714" s="1492"/>
      <c r="Z714" s="1492"/>
      <c r="AA714" s="1492"/>
      <c r="AB714" s="1493"/>
      <c r="AC714" s="1505" t="s">
        <v>1950</v>
      </c>
      <c r="AD714" s="1492"/>
      <c r="AE714" s="1492"/>
      <c r="AF714" s="1492"/>
      <c r="AG714" s="1493"/>
      <c r="AH714" s="1505" t="s">
        <v>1952</v>
      </c>
      <c r="AI714" s="1492"/>
      <c r="AJ714" s="1493"/>
      <c r="AK714" s="1505" t="s">
        <v>1979</v>
      </c>
      <c r="AL714" s="1492"/>
      <c r="AM714" s="1492"/>
      <c r="AN714" s="1492"/>
      <c r="AO714" s="149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494"/>
      <c r="C715" s="1495"/>
      <c r="D715" s="1495"/>
      <c r="E715" s="1495"/>
      <c r="F715" s="1496"/>
      <c r="G715" s="1494"/>
      <c r="H715" s="1495"/>
      <c r="I715" s="1495"/>
      <c r="J715" s="1496"/>
      <c r="K715" s="1509"/>
      <c r="L715" s="1510"/>
      <c r="M715" s="1510"/>
      <c r="N715" s="1511"/>
      <c r="O715" s="1494"/>
      <c r="P715" s="1495"/>
      <c r="Q715" s="1495"/>
      <c r="R715" s="1495"/>
      <c r="S715" s="1496"/>
      <c r="T715" s="1494"/>
      <c r="U715" s="1495"/>
      <c r="V715" s="1495"/>
      <c r="W715" s="1496"/>
      <c r="X715" s="1494"/>
      <c r="Y715" s="1495"/>
      <c r="Z715" s="1495"/>
      <c r="AA715" s="1495"/>
      <c r="AB715" s="1496"/>
      <c r="AC715" s="1494"/>
      <c r="AD715" s="1495"/>
      <c r="AE715" s="1495"/>
      <c r="AF715" s="1495"/>
      <c r="AG715" s="1496"/>
      <c r="AH715" s="1494"/>
      <c r="AI715" s="1495"/>
      <c r="AJ715" s="1496"/>
      <c r="AK715" s="1494"/>
      <c r="AL715" s="1495"/>
      <c r="AM715" s="1495"/>
      <c r="AN715" s="1495"/>
      <c r="AO715" s="149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494"/>
      <c r="C716" s="1495"/>
      <c r="D716" s="1495"/>
      <c r="E716" s="1495"/>
      <c r="F716" s="1496"/>
      <c r="G716" s="1494"/>
      <c r="H716" s="1495"/>
      <c r="I716" s="1495"/>
      <c r="J716" s="1496"/>
      <c r="K716" s="1509"/>
      <c r="L716" s="1510"/>
      <c r="M716" s="1510"/>
      <c r="N716" s="1511"/>
      <c r="O716" s="1494"/>
      <c r="P716" s="1495"/>
      <c r="Q716" s="1495"/>
      <c r="R716" s="1495"/>
      <c r="S716" s="1496"/>
      <c r="T716" s="1494"/>
      <c r="U716" s="1495"/>
      <c r="V716" s="1495"/>
      <c r="W716" s="1496"/>
      <c r="X716" s="1494"/>
      <c r="Y716" s="1495"/>
      <c r="Z716" s="1495"/>
      <c r="AA716" s="1495"/>
      <c r="AB716" s="1496"/>
      <c r="AC716" s="1494"/>
      <c r="AD716" s="1495"/>
      <c r="AE716" s="1495"/>
      <c r="AF716" s="1495"/>
      <c r="AG716" s="1496"/>
      <c r="AH716" s="1494"/>
      <c r="AI716" s="1495"/>
      <c r="AJ716" s="1496"/>
      <c r="AK716" s="1494"/>
      <c r="AL716" s="1495"/>
      <c r="AM716" s="1495"/>
      <c r="AN716" s="1495"/>
      <c r="AO716" s="1496"/>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497"/>
      <c r="C717" s="1498"/>
      <c r="D717" s="1498"/>
      <c r="E717" s="1498"/>
      <c r="F717" s="1499"/>
      <c r="G717" s="1497"/>
      <c r="H717" s="1498"/>
      <c r="I717" s="1498"/>
      <c r="J717" s="1499"/>
      <c r="K717" s="1509"/>
      <c r="L717" s="1510"/>
      <c r="M717" s="1510"/>
      <c r="N717" s="1511"/>
      <c r="O717" s="1497"/>
      <c r="P717" s="1498"/>
      <c r="Q717" s="1498"/>
      <c r="R717" s="1498"/>
      <c r="S717" s="1499"/>
      <c r="T717" s="1497"/>
      <c r="U717" s="1498"/>
      <c r="V717" s="1498"/>
      <c r="W717" s="1499"/>
      <c r="X717" s="1497"/>
      <c r="Y717" s="1498"/>
      <c r="Z717" s="1498"/>
      <c r="AA717" s="1498"/>
      <c r="AB717" s="1499"/>
      <c r="AC717" s="1497"/>
      <c r="AD717" s="1498"/>
      <c r="AE717" s="1498"/>
      <c r="AF717" s="1498"/>
      <c r="AG717" s="1499"/>
      <c r="AH717" s="1497"/>
      <c r="AI717" s="1498"/>
      <c r="AJ717" s="1499"/>
      <c r="AK717" s="1497"/>
      <c r="AL717" s="1498"/>
      <c r="AM717" s="1498"/>
      <c r="AN717" s="1498"/>
      <c r="AO717" s="1499"/>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339"/>
      <c r="CJ717" s="1341"/>
      <c r="CK717" s="121" t="s">
        <v>475</v>
      </c>
      <c r="CL717" s="122"/>
      <c r="CM717" s="1339"/>
      <c r="CN717" s="1341"/>
      <c r="CO717" s="3"/>
      <c r="CP717" s="1783" t="s">
        <v>633</v>
      </c>
      <c r="CQ717" s="1784"/>
      <c r="CR717" s="1784"/>
      <c r="CS717" s="1784"/>
      <c r="CT717" s="1785"/>
      <c r="CU717" s="1469" t="s">
        <v>324</v>
      </c>
      <c r="CV717" s="1469"/>
      <c r="CW717" s="1469"/>
      <c r="CX717" s="1469"/>
      <c r="CY717" s="1469"/>
      <c r="CZ717" s="1469" t="s">
        <v>163</v>
      </c>
      <c r="DA717" s="1469"/>
      <c r="DB717" s="1469"/>
      <c r="DC717" s="1469"/>
      <c r="DD717" s="1469"/>
      <c r="DE717" s="1469" t="s">
        <v>164</v>
      </c>
      <c r="DF717" s="1469"/>
      <c r="DG717" s="1469"/>
      <c r="DH717" s="1469"/>
      <c r="DI717" s="1469"/>
      <c r="DJ717" s="1469" t="s">
        <v>460</v>
      </c>
      <c r="DK717" s="1469"/>
      <c r="DL717" s="1469"/>
      <c r="DM717" s="1469"/>
      <c r="DN717" s="1469"/>
      <c r="DO717" s="1469" t="s">
        <v>30</v>
      </c>
      <c r="DP717" s="1469"/>
      <c r="DQ717" s="1469"/>
      <c r="DR717" s="1469"/>
      <c r="DS717" s="1469"/>
      <c r="DT717" s="89"/>
      <c r="DU717" s="1469" t="s">
        <v>633</v>
      </c>
      <c r="DV717" s="1469"/>
      <c r="DW717" s="1469"/>
      <c r="DX717" s="1469"/>
      <c r="DY717" s="1469"/>
      <c r="DZ717" s="1469" t="s">
        <v>324</v>
      </c>
      <c r="EA717" s="1469"/>
      <c r="EB717" s="1469"/>
      <c r="EC717" s="1469"/>
      <c r="ED717" s="1469"/>
      <c r="EE717" s="1469" t="s">
        <v>163</v>
      </c>
      <c r="EF717" s="1469"/>
      <c r="EG717" s="1469"/>
      <c r="EH717" s="1469"/>
      <c r="EI717" s="1469"/>
      <c r="EJ717" s="1469" t="s">
        <v>164</v>
      </c>
      <c r="EK717" s="1469"/>
      <c r="EL717" s="1469"/>
      <c r="EM717" s="1469"/>
      <c r="EN717" s="1469"/>
      <c r="EO717" s="1469" t="s">
        <v>460</v>
      </c>
      <c r="EP717" s="1469"/>
      <c r="EQ717" s="1469"/>
      <c r="ER717" s="1469"/>
      <c r="ES717" s="1469"/>
      <c r="ET717" s="1469" t="s">
        <v>30</v>
      </c>
      <c r="EU717" s="1469"/>
      <c r="EV717" s="1469"/>
      <c r="EW717" s="1469"/>
      <c r="EX717" s="1469"/>
      <c r="EY717" s="4"/>
      <c r="EZ717" s="1469" t="s">
        <v>633</v>
      </c>
      <c r="FA717" s="1469"/>
      <c r="FB717" s="1469"/>
      <c r="FC717" s="1469"/>
      <c r="FD717" s="1469"/>
      <c r="FE717" s="1469" t="s">
        <v>324</v>
      </c>
      <c r="FF717" s="1469"/>
      <c r="FG717" s="1469"/>
      <c r="FH717" s="1469"/>
      <c r="FI717" s="1469"/>
      <c r="FJ717" s="1469" t="s">
        <v>163</v>
      </c>
      <c r="FK717" s="1469"/>
      <c r="FL717" s="1469"/>
      <c r="FM717" s="1469"/>
      <c r="FN717" s="1469"/>
      <c r="FO717" s="1469" t="s">
        <v>164</v>
      </c>
      <c r="FP717" s="1469"/>
      <c r="FQ717" s="1469"/>
      <c r="FR717" s="1469"/>
      <c r="FS717" s="1469"/>
      <c r="FT717" s="1469" t="s">
        <v>460</v>
      </c>
      <c r="FU717" s="1469"/>
      <c r="FV717" s="1469"/>
      <c r="FW717" s="1469"/>
      <c r="FX717" s="1469"/>
      <c r="FY717" s="1469" t="s">
        <v>30</v>
      </c>
      <c r="FZ717" s="1469"/>
      <c r="GA717" s="1469"/>
      <c r="GB717" s="1469"/>
      <c r="GC717" s="1469"/>
    </row>
    <row r="718" spans="1:185" ht="13" customHeight="1">
      <c r="A718" s="4"/>
      <c r="B718" s="1359" t="s">
        <v>324</v>
      </c>
      <c r="C718" s="1360"/>
      <c r="D718" s="1360"/>
      <c r="E718" s="1360"/>
      <c r="F718" s="1361"/>
      <c r="G718" s="1368">
        <v>5</v>
      </c>
      <c r="H718" s="1369"/>
      <c r="I718" s="1369"/>
      <c r="J718" s="1370"/>
      <c r="K718" s="1584">
        <v>675</v>
      </c>
      <c r="L718" s="1585"/>
      <c r="M718" s="1585"/>
      <c r="N718" s="1586"/>
      <c r="O718" s="1450">
        <v>1063</v>
      </c>
      <c r="P718" s="1451"/>
      <c r="Q718" s="1451"/>
      <c r="R718" s="1451"/>
      <c r="S718" s="1452"/>
      <c r="T718" s="1450">
        <v>25</v>
      </c>
      <c r="U718" s="1451"/>
      <c r="V718" s="1451"/>
      <c r="W718" s="1452"/>
      <c r="X718" s="1362">
        <f t="shared" ref="X718:X741" si="8">O718+T718</f>
        <v>1088</v>
      </c>
      <c r="Y718" s="1363"/>
      <c r="Z718" s="1363"/>
      <c r="AA718" s="1363"/>
      <c r="AB718" s="1364"/>
      <c r="AC718" s="1593">
        <v>0.3</v>
      </c>
      <c r="AD718" s="1594"/>
      <c r="AE718" s="1594"/>
      <c r="AF718" s="1594"/>
      <c r="AG718" s="1595"/>
      <c r="AH718" s="1365">
        <f>IF($AC718&gt;0,($X718/$AZ718), "")</f>
        <v>0.30005515719801434</v>
      </c>
      <c r="AI718" s="1366"/>
      <c r="AJ718" s="1367"/>
      <c r="AK718" s="1359" t="s">
        <v>591</v>
      </c>
      <c r="AL718" s="1360"/>
      <c r="AM718" s="1360"/>
      <c r="AN718" s="1360"/>
      <c r="AO718" s="1361"/>
      <c r="AP718" s="3"/>
      <c r="AQ718" s="3"/>
      <c r="AR718" s="3"/>
      <c r="AS718" s="3"/>
      <c r="AZ718" s="118">
        <f t="shared" ref="AZ718:AZ752" si="9">IF($G718=0,"N/A",VLOOKUP($T$189,TC_Rent,(MATCH($B718,bedrooms,FALSE)),FALSE))</f>
        <v>3626</v>
      </c>
      <c r="BA718" s="3"/>
      <c r="BB718" s="3"/>
      <c r="BC718" s="3"/>
      <c r="BD718" s="3"/>
      <c r="BE718" s="204"/>
      <c r="BF718" s="293">
        <f t="shared" ref="BF718:BF752" si="10">G718</f>
        <v>5</v>
      </c>
      <c r="BG718" s="297">
        <f t="shared" ref="BG718:BG752" si="11">IF($BF$753=0,0,BF718/$BF$753)</f>
        <v>4.0322580645161289E-2</v>
      </c>
      <c r="BH718" s="298">
        <f t="shared" ref="BH718:BH752" si="12">IF(BG718=0,"",BG718*AC718)</f>
        <v>1.2096774193548387E-2</v>
      </c>
      <c r="BI718" s="3"/>
      <c r="BJ718" s="3"/>
      <c r="BK718" s="3"/>
      <c r="BL718" s="3"/>
      <c r="BM718" s="3"/>
      <c r="BN718" s="3"/>
      <c r="BS718" s="293">
        <f t="shared" ref="BS718:BS752" si="13">G718</f>
        <v>5</v>
      </c>
      <c r="BT718" s="297">
        <f t="shared" ref="BT718:BT752" si="14">IF($BS$753=0,0,BS718/$BS$753)</f>
        <v>4.0322580645161289E-2</v>
      </c>
      <c r="BU718" s="298">
        <f t="shared" ref="BU718:BU752" si="15">IF(BT718=0,"",BT718*AH718)</f>
        <v>1.2098998274113482E-2</v>
      </c>
      <c r="CC718" s="3"/>
      <c r="CD718" s="3"/>
      <c r="CE718" s="3"/>
      <c r="CF718" s="3"/>
      <c r="CG718" s="1355">
        <f>IF(AND(AC718&lt;=0.5,AC718&gt;=0.36),1,0)</f>
        <v>0</v>
      </c>
      <c r="CH718" s="1357"/>
      <c r="CI718" s="1339">
        <f>IF(CG718=1,G718,0)</f>
        <v>0</v>
      </c>
      <c r="CJ718" s="1341"/>
      <c r="CK718" s="1355">
        <f t="shared" ref="CK718:CK752" si="16">IF(AND(AC718&lt;=0.35,AC718&gt;0),1,0)</f>
        <v>1</v>
      </c>
      <c r="CL718" s="1357"/>
      <c r="CM718" s="1339">
        <f t="shared" ref="CM718:CM752" si="17">IF(CK718=1,G718,0)</f>
        <v>5</v>
      </c>
      <c r="CN718" s="1341"/>
      <c r="CO718" s="3"/>
      <c r="CP718" s="1336">
        <f t="shared" ref="CP718:CP752" si="18">IF(B718="SRO/Studio",G718,0)</f>
        <v>0</v>
      </c>
      <c r="CQ718" s="1337"/>
      <c r="CR718" s="1337"/>
      <c r="CS718" s="1337"/>
      <c r="CT718" s="1338"/>
      <c r="CU718" s="1358">
        <f t="shared" ref="CU718:CU752" si="19">IF(B718="1 Bedroom",G718,0)</f>
        <v>5</v>
      </c>
      <c r="CV718" s="1358"/>
      <c r="CW718" s="1358"/>
      <c r="CX718" s="1358"/>
      <c r="CY718" s="1358"/>
      <c r="CZ718" s="1358">
        <f t="shared" ref="CZ718:CZ752" si="20">IF(B718="2 Bedrooms",G718,0)</f>
        <v>0</v>
      </c>
      <c r="DA718" s="1358"/>
      <c r="DB718" s="1358"/>
      <c r="DC718" s="1358"/>
      <c r="DD718" s="1358"/>
      <c r="DE718" s="1358">
        <f t="shared" ref="DE718:DE752" si="21">IF(B718="3 Bedrooms",G718,0)</f>
        <v>0</v>
      </c>
      <c r="DF718" s="1358"/>
      <c r="DG718" s="1358"/>
      <c r="DH718" s="1358"/>
      <c r="DI718" s="1358"/>
      <c r="DJ718" s="1358">
        <f t="shared" ref="DJ718:DJ752" si="22">IF(B718="4 Bedrooms",G718,0)</f>
        <v>0</v>
      </c>
      <c r="DK718" s="1358"/>
      <c r="DL718" s="1358"/>
      <c r="DM718" s="1358"/>
      <c r="DN718" s="1358"/>
      <c r="DO718" s="1358">
        <f t="shared" ref="DO718:DO752" si="23">IF(B718="5 Bedrooms",G718,0)</f>
        <v>0</v>
      </c>
      <c r="DP718" s="1358"/>
      <c r="DQ718" s="1358"/>
      <c r="DR718" s="1358"/>
      <c r="DS718" s="1358"/>
      <c r="DT718" s="6"/>
      <c r="DU718" s="1372">
        <f t="shared" ref="DU718:DU752" si="24">IF(AND(B718="SRO/Studio",AC718&lt;=0.3),G718,0)</f>
        <v>0</v>
      </c>
      <c r="DV718" s="1372"/>
      <c r="DW718" s="1372"/>
      <c r="DX718" s="1372"/>
      <c r="DY718" s="1372"/>
      <c r="DZ718" s="1372">
        <f t="shared" ref="DZ718:DZ752" si="25">IF(AND(B718="1 Bedroom",AC718&lt;=0.3),G718,0)</f>
        <v>5</v>
      </c>
      <c r="EA718" s="1372"/>
      <c r="EB718" s="1372"/>
      <c r="EC718" s="1372"/>
      <c r="ED718" s="1372"/>
      <c r="EE718" s="1372">
        <f t="shared" ref="EE718:EE752" si="26">IF(AND(B718="2 Bedrooms",AC718&lt;=0.3),G718,0)</f>
        <v>0</v>
      </c>
      <c r="EF718" s="1372"/>
      <c r="EG718" s="1372"/>
      <c r="EH718" s="1372"/>
      <c r="EI718" s="1372"/>
      <c r="EJ718" s="1372">
        <f t="shared" ref="EJ718:EJ752" si="27">IF(AND(B718="3 Bedrooms",AC718&lt;=0.3),G718,0)</f>
        <v>0</v>
      </c>
      <c r="EK718" s="1372"/>
      <c r="EL718" s="1372"/>
      <c r="EM718" s="1372"/>
      <c r="EN718" s="1372"/>
      <c r="EO718" s="1372">
        <f t="shared" ref="EO718:EO752" si="28">IF(AND(B718="4 Bedrooms",AC718&lt;=0.3),G718,0)</f>
        <v>0</v>
      </c>
      <c r="EP718" s="1372"/>
      <c r="EQ718" s="1372"/>
      <c r="ER718" s="1372"/>
      <c r="ES718" s="1372"/>
      <c r="ET718" s="1372">
        <f t="shared" ref="ET718:ET752" si="29">IF(AND(B718="5 Bedrooms",AC718&lt;=0.3),G718,0)</f>
        <v>0</v>
      </c>
      <c r="EU718" s="1372"/>
      <c r="EV718" s="1372"/>
      <c r="EW718" s="1372"/>
      <c r="EX718" s="1372"/>
      <c r="EY718" s="4"/>
      <c r="EZ718" s="1355" t="str">
        <f t="shared" ref="EZ718:EZ752" si="30">IF(CP718&gt;0,O718,"")</f>
        <v/>
      </c>
      <c r="FA718" s="1356"/>
      <c r="FB718" s="1356"/>
      <c r="FC718" s="1356"/>
      <c r="FD718" s="1357"/>
      <c r="FE718" s="1355">
        <f t="shared" ref="FE718:FE752" si="31">IF(CU718&gt;0,O718,"")</f>
        <v>1063</v>
      </c>
      <c r="FF718" s="1356"/>
      <c r="FG718" s="1356"/>
      <c r="FH718" s="1356"/>
      <c r="FI718" s="1357"/>
      <c r="FJ718" s="1355" t="str">
        <f t="shared" ref="FJ718:FJ752" si="32">IF(CZ718&gt;0,O718,"")</f>
        <v/>
      </c>
      <c r="FK718" s="1356"/>
      <c r="FL718" s="1356"/>
      <c r="FM718" s="1356"/>
      <c r="FN718" s="1357"/>
      <c r="FO718" s="1355" t="str">
        <f t="shared" ref="FO718:FO752" si="33">IF(DE718&gt;0,O718,"")</f>
        <v/>
      </c>
      <c r="FP718" s="1356"/>
      <c r="FQ718" s="1356"/>
      <c r="FR718" s="1356"/>
      <c r="FS718" s="1357"/>
      <c r="FT718" s="1355" t="str">
        <f t="shared" ref="FT718:FT752" si="34">IF(DJ718&gt;0,O718,"")</f>
        <v/>
      </c>
      <c r="FU718" s="1356"/>
      <c r="FV718" s="1356"/>
      <c r="FW718" s="1356"/>
      <c r="FX718" s="1357"/>
      <c r="FY718" s="1355" t="str">
        <f t="shared" ref="FY718:FY752" si="35">IF(DO718&gt;0,O718,"")</f>
        <v/>
      </c>
      <c r="FZ718" s="1356"/>
      <c r="GA718" s="1356"/>
      <c r="GB718" s="1356"/>
      <c r="GC718" s="1357"/>
    </row>
    <row r="719" spans="1:185" ht="13" customHeight="1">
      <c r="A719" s="4"/>
      <c r="B719" s="1359" t="s">
        <v>163</v>
      </c>
      <c r="C719" s="1360"/>
      <c r="D719" s="1360"/>
      <c r="E719" s="1360"/>
      <c r="F719" s="1361"/>
      <c r="G719" s="1368">
        <v>6</v>
      </c>
      <c r="H719" s="1369"/>
      <c r="I719" s="1369"/>
      <c r="J719" s="1370"/>
      <c r="K719" s="1584">
        <v>881</v>
      </c>
      <c r="L719" s="1585"/>
      <c r="M719" s="1585"/>
      <c r="N719" s="1586"/>
      <c r="O719" s="1450">
        <v>1225</v>
      </c>
      <c r="P719" s="1451"/>
      <c r="Q719" s="1451"/>
      <c r="R719" s="1451"/>
      <c r="S719" s="1452"/>
      <c r="T719" s="1450">
        <v>80</v>
      </c>
      <c r="U719" s="1451"/>
      <c r="V719" s="1451"/>
      <c r="W719" s="1452"/>
      <c r="X719" s="1362">
        <f t="shared" si="8"/>
        <v>1305</v>
      </c>
      <c r="Y719" s="1363"/>
      <c r="Z719" s="1363"/>
      <c r="AA719" s="1363"/>
      <c r="AB719" s="1364"/>
      <c r="AC719" s="1593">
        <v>0.3</v>
      </c>
      <c r="AD719" s="1594"/>
      <c r="AE719" s="1594"/>
      <c r="AF719" s="1594"/>
      <c r="AG719" s="1595"/>
      <c r="AH719" s="1365">
        <f t="shared" ref="AH719:AH752" si="36">IF($AC719&gt;0,($X719/$AZ719), "")</f>
        <v>0.29986213235294118</v>
      </c>
      <c r="AI719" s="1366"/>
      <c r="AJ719" s="1367"/>
      <c r="AK719" s="1359" t="s">
        <v>591</v>
      </c>
      <c r="AL719" s="1360"/>
      <c r="AM719" s="1360"/>
      <c r="AN719" s="1360"/>
      <c r="AO719" s="1361"/>
      <c r="AP719" s="3"/>
      <c r="AQ719" s="3"/>
      <c r="AR719" s="3"/>
      <c r="AS719" s="3"/>
      <c r="AZ719" s="118">
        <f t="shared" si="9"/>
        <v>4352</v>
      </c>
      <c r="BA719" s="3"/>
      <c r="BB719" s="3"/>
      <c r="BC719" s="3"/>
      <c r="BD719" s="3"/>
      <c r="BE719" s="204"/>
      <c r="BF719" s="294">
        <f t="shared" si="10"/>
        <v>6</v>
      </c>
      <c r="BG719" s="297">
        <f t="shared" si="11"/>
        <v>4.8387096774193547E-2</v>
      </c>
      <c r="BH719" s="298">
        <f t="shared" si="12"/>
        <v>1.4516129032258063E-2</v>
      </c>
      <c r="BI719" s="3"/>
      <c r="BJ719" s="3"/>
      <c r="BK719" s="3"/>
      <c r="BL719" s="3"/>
      <c r="BM719" s="3"/>
      <c r="BN719" s="3"/>
      <c r="BS719" s="294">
        <f t="shared" si="13"/>
        <v>6</v>
      </c>
      <c r="BT719" s="297">
        <f t="shared" si="14"/>
        <v>4.8387096774193547E-2</v>
      </c>
      <c r="BU719" s="298">
        <f t="shared" si="15"/>
        <v>1.4509458017077799E-2</v>
      </c>
      <c r="CC719" s="3"/>
      <c r="CD719" s="3"/>
      <c r="CE719" s="3"/>
      <c r="CF719" s="3"/>
      <c r="CG719" s="1355">
        <f t="shared" ref="CG719:CG752" si="37">IF(AND(AC719&lt;=0.5,AC719&gt;=0.36),1,0)</f>
        <v>0</v>
      </c>
      <c r="CH719" s="1357"/>
      <c r="CI719" s="1339">
        <f t="shared" ref="CI719:CI752" si="38">IF(CG719=1,G719,0)</f>
        <v>0</v>
      </c>
      <c r="CJ719" s="1341"/>
      <c r="CK719" s="1355">
        <f t="shared" si="16"/>
        <v>1</v>
      </c>
      <c r="CL719" s="1357"/>
      <c r="CM719" s="1339">
        <f t="shared" si="17"/>
        <v>6</v>
      </c>
      <c r="CN719" s="1341"/>
      <c r="CO719" s="3"/>
      <c r="CP719" s="1336">
        <f t="shared" si="18"/>
        <v>0</v>
      </c>
      <c r="CQ719" s="1337"/>
      <c r="CR719" s="1337"/>
      <c r="CS719" s="1337"/>
      <c r="CT719" s="1338"/>
      <c r="CU719" s="1358">
        <f t="shared" si="19"/>
        <v>0</v>
      </c>
      <c r="CV719" s="1358"/>
      <c r="CW719" s="1358"/>
      <c r="CX719" s="1358"/>
      <c r="CY719" s="1358"/>
      <c r="CZ719" s="1358">
        <f t="shared" si="20"/>
        <v>6</v>
      </c>
      <c r="DA719" s="1358"/>
      <c r="DB719" s="1358"/>
      <c r="DC719" s="1358"/>
      <c r="DD719" s="1358"/>
      <c r="DE719" s="1358">
        <f t="shared" si="21"/>
        <v>0</v>
      </c>
      <c r="DF719" s="1358"/>
      <c r="DG719" s="1358"/>
      <c r="DH719" s="1358"/>
      <c r="DI719" s="1358"/>
      <c r="DJ719" s="1358">
        <f t="shared" si="22"/>
        <v>0</v>
      </c>
      <c r="DK719" s="1358"/>
      <c r="DL719" s="1358"/>
      <c r="DM719" s="1358"/>
      <c r="DN719" s="1358"/>
      <c r="DO719" s="1358">
        <f t="shared" si="23"/>
        <v>0</v>
      </c>
      <c r="DP719" s="1358"/>
      <c r="DQ719" s="1358"/>
      <c r="DR719" s="1358"/>
      <c r="DS719" s="1358"/>
      <c r="DT719" s="6"/>
      <c r="DU719" s="1372">
        <f t="shared" si="24"/>
        <v>0</v>
      </c>
      <c r="DV719" s="1372"/>
      <c r="DW719" s="1372"/>
      <c r="DX719" s="1372"/>
      <c r="DY719" s="1372"/>
      <c r="DZ719" s="1372">
        <f t="shared" si="25"/>
        <v>0</v>
      </c>
      <c r="EA719" s="1372"/>
      <c r="EB719" s="1372"/>
      <c r="EC719" s="1372"/>
      <c r="ED719" s="1372"/>
      <c r="EE719" s="1372">
        <f t="shared" si="26"/>
        <v>6</v>
      </c>
      <c r="EF719" s="1372"/>
      <c r="EG719" s="1372"/>
      <c r="EH719" s="1372"/>
      <c r="EI719" s="1372"/>
      <c r="EJ719" s="1372">
        <f t="shared" si="27"/>
        <v>0</v>
      </c>
      <c r="EK719" s="1372"/>
      <c r="EL719" s="1372"/>
      <c r="EM719" s="1372"/>
      <c r="EN719" s="1372"/>
      <c r="EO719" s="1372">
        <f t="shared" si="28"/>
        <v>0</v>
      </c>
      <c r="EP719" s="1372"/>
      <c r="EQ719" s="1372"/>
      <c r="ER719" s="1372"/>
      <c r="ES719" s="1372"/>
      <c r="ET719" s="1372">
        <f t="shared" si="29"/>
        <v>0</v>
      </c>
      <c r="EU719" s="1372"/>
      <c r="EV719" s="1372"/>
      <c r="EW719" s="1372"/>
      <c r="EX719" s="1372"/>
      <c r="EY719" s="4"/>
      <c r="EZ719" s="1355" t="str">
        <f t="shared" si="30"/>
        <v/>
      </c>
      <c r="FA719" s="1356"/>
      <c r="FB719" s="1356"/>
      <c r="FC719" s="1356"/>
      <c r="FD719" s="1357"/>
      <c r="FE719" s="1355" t="str">
        <f t="shared" si="31"/>
        <v/>
      </c>
      <c r="FF719" s="1356"/>
      <c r="FG719" s="1356"/>
      <c r="FH719" s="1356"/>
      <c r="FI719" s="1357"/>
      <c r="FJ719" s="1355">
        <f t="shared" si="32"/>
        <v>1225</v>
      </c>
      <c r="FK719" s="1356"/>
      <c r="FL719" s="1356"/>
      <c r="FM719" s="1356"/>
      <c r="FN719" s="1357"/>
      <c r="FO719" s="1355" t="str">
        <f t="shared" si="33"/>
        <v/>
      </c>
      <c r="FP719" s="1356"/>
      <c r="FQ719" s="1356"/>
      <c r="FR719" s="1356"/>
      <c r="FS719" s="1357"/>
      <c r="FT719" s="1355" t="str">
        <f t="shared" si="34"/>
        <v/>
      </c>
      <c r="FU719" s="1356"/>
      <c r="FV719" s="1356"/>
      <c r="FW719" s="1356"/>
      <c r="FX719" s="1357"/>
      <c r="FY719" s="1355" t="str">
        <f t="shared" si="35"/>
        <v/>
      </c>
      <c r="FZ719" s="1356"/>
      <c r="GA719" s="1356"/>
      <c r="GB719" s="1356"/>
      <c r="GC719" s="1357"/>
    </row>
    <row r="720" spans="1:185" ht="13" customHeight="1">
      <c r="A720" s="4"/>
      <c r="B720" s="1359" t="s">
        <v>164</v>
      </c>
      <c r="C720" s="1360"/>
      <c r="D720" s="1360"/>
      <c r="E720" s="1360"/>
      <c r="F720" s="1361"/>
      <c r="G720" s="1368">
        <v>3</v>
      </c>
      <c r="H720" s="1369"/>
      <c r="I720" s="1369"/>
      <c r="J720" s="1370"/>
      <c r="K720" s="1584">
        <v>1125</v>
      </c>
      <c r="L720" s="1585"/>
      <c r="M720" s="1585"/>
      <c r="N720" s="1586"/>
      <c r="O720" s="1450">
        <v>1465</v>
      </c>
      <c r="P720" s="1451"/>
      <c r="Q720" s="1451"/>
      <c r="R720" s="1451"/>
      <c r="S720" s="1452"/>
      <c r="T720" s="1450">
        <v>43</v>
      </c>
      <c r="U720" s="1451"/>
      <c r="V720" s="1451"/>
      <c r="W720" s="1452"/>
      <c r="X720" s="1362">
        <f t="shared" si="8"/>
        <v>1508</v>
      </c>
      <c r="Y720" s="1363"/>
      <c r="Z720" s="1363"/>
      <c r="AA720" s="1363"/>
      <c r="AB720" s="1364"/>
      <c r="AC720" s="1593">
        <v>0.3</v>
      </c>
      <c r="AD720" s="1594"/>
      <c r="AE720" s="1594"/>
      <c r="AF720" s="1594"/>
      <c r="AG720" s="1595"/>
      <c r="AH720" s="1365">
        <f t="shared" si="36"/>
        <v>0.29992044550517105</v>
      </c>
      <c r="AI720" s="1366"/>
      <c r="AJ720" s="1367"/>
      <c r="AK720" s="1359" t="s">
        <v>591</v>
      </c>
      <c r="AL720" s="1360"/>
      <c r="AM720" s="1360"/>
      <c r="AN720" s="1360"/>
      <c r="AO720" s="1361"/>
      <c r="AP720" s="3"/>
      <c r="AQ720" s="3"/>
      <c r="AR720" s="3"/>
      <c r="AS720" s="3"/>
      <c r="AZ720" s="118">
        <f t="shared" si="9"/>
        <v>5028</v>
      </c>
      <c r="BA720" s="3"/>
      <c r="BB720" s="3"/>
      <c r="BC720" s="3"/>
      <c r="BD720" s="3"/>
      <c r="BE720" s="204"/>
      <c r="BF720" s="294">
        <f t="shared" si="10"/>
        <v>3</v>
      </c>
      <c r="BG720" s="297">
        <f t="shared" si="11"/>
        <v>2.4193548387096774E-2</v>
      </c>
      <c r="BH720" s="298">
        <f t="shared" si="12"/>
        <v>7.2580645161290317E-3</v>
      </c>
      <c r="BI720" s="3"/>
      <c r="BJ720" s="3"/>
      <c r="BK720" s="3"/>
      <c r="BL720" s="3"/>
      <c r="BM720" s="3"/>
      <c r="BN720" s="3"/>
      <c r="BS720" s="294">
        <f t="shared" si="13"/>
        <v>3</v>
      </c>
      <c r="BT720" s="297">
        <f t="shared" si="14"/>
        <v>2.4193548387096774E-2</v>
      </c>
      <c r="BU720" s="298">
        <f t="shared" si="15"/>
        <v>7.2561398106089766E-3</v>
      </c>
      <c r="CC720" s="3"/>
      <c r="CD720" s="3"/>
      <c r="CE720" s="3"/>
      <c r="CF720" s="3"/>
      <c r="CG720" s="1355">
        <f t="shared" si="37"/>
        <v>0</v>
      </c>
      <c r="CH720" s="1357"/>
      <c r="CI720" s="1339">
        <f t="shared" si="38"/>
        <v>0</v>
      </c>
      <c r="CJ720" s="1341"/>
      <c r="CK720" s="1355">
        <f t="shared" si="16"/>
        <v>1</v>
      </c>
      <c r="CL720" s="1357"/>
      <c r="CM720" s="1339">
        <f t="shared" si="17"/>
        <v>3</v>
      </c>
      <c r="CN720" s="1341"/>
      <c r="CO720" s="3"/>
      <c r="CP720" s="1336">
        <f t="shared" si="18"/>
        <v>0</v>
      </c>
      <c r="CQ720" s="1337"/>
      <c r="CR720" s="1337"/>
      <c r="CS720" s="1337"/>
      <c r="CT720" s="1338"/>
      <c r="CU720" s="1358">
        <f t="shared" si="19"/>
        <v>0</v>
      </c>
      <c r="CV720" s="1358"/>
      <c r="CW720" s="1358"/>
      <c r="CX720" s="1358"/>
      <c r="CY720" s="1358"/>
      <c r="CZ720" s="1358">
        <f t="shared" si="20"/>
        <v>0</v>
      </c>
      <c r="DA720" s="1358"/>
      <c r="DB720" s="1358"/>
      <c r="DC720" s="1358"/>
      <c r="DD720" s="1358"/>
      <c r="DE720" s="1358">
        <f t="shared" si="21"/>
        <v>3</v>
      </c>
      <c r="DF720" s="1358"/>
      <c r="DG720" s="1358"/>
      <c r="DH720" s="1358"/>
      <c r="DI720" s="1358"/>
      <c r="DJ720" s="1358">
        <f t="shared" si="22"/>
        <v>0</v>
      </c>
      <c r="DK720" s="1358"/>
      <c r="DL720" s="1358"/>
      <c r="DM720" s="1358"/>
      <c r="DN720" s="1358"/>
      <c r="DO720" s="1358">
        <f t="shared" si="23"/>
        <v>0</v>
      </c>
      <c r="DP720" s="1358"/>
      <c r="DQ720" s="1358"/>
      <c r="DR720" s="1358"/>
      <c r="DS720" s="1358"/>
      <c r="DT720" s="6"/>
      <c r="DU720" s="1372">
        <f t="shared" si="24"/>
        <v>0</v>
      </c>
      <c r="DV720" s="1372"/>
      <c r="DW720" s="1372"/>
      <c r="DX720" s="1372"/>
      <c r="DY720" s="1372"/>
      <c r="DZ720" s="1372">
        <f t="shared" si="25"/>
        <v>0</v>
      </c>
      <c r="EA720" s="1372"/>
      <c r="EB720" s="1372"/>
      <c r="EC720" s="1372"/>
      <c r="ED720" s="1372"/>
      <c r="EE720" s="1372">
        <f t="shared" si="26"/>
        <v>0</v>
      </c>
      <c r="EF720" s="1372"/>
      <c r="EG720" s="1372"/>
      <c r="EH720" s="1372"/>
      <c r="EI720" s="1372"/>
      <c r="EJ720" s="1372">
        <f t="shared" si="27"/>
        <v>3</v>
      </c>
      <c r="EK720" s="1372"/>
      <c r="EL720" s="1372"/>
      <c r="EM720" s="1372"/>
      <c r="EN720" s="1372"/>
      <c r="EO720" s="1372">
        <f t="shared" si="28"/>
        <v>0</v>
      </c>
      <c r="EP720" s="1372"/>
      <c r="EQ720" s="1372"/>
      <c r="ER720" s="1372"/>
      <c r="ES720" s="1372"/>
      <c r="ET720" s="1372">
        <f t="shared" si="29"/>
        <v>0</v>
      </c>
      <c r="EU720" s="1372"/>
      <c r="EV720" s="1372"/>
      <c r="EW720" s="1372"/>
      <c r="EX720" s="1372"/>
      <c r="EZ720" s="1355" t="str">
        <f t="shared" si="30"/>
        <v/>
      </c>
      <c r="FA720" s="1356"/>
      <c r="FB720" s="1356"/>
      <c r="FC720" s="1356"/>
      <c r="FD720" s="1357"/>
      <c r="FE720" s="1355" t="str">
        <f t="shared" si="31"/>
        <v/>
      </c>
      <c r="FF720" s="1356"/>
      <c r="FG720" s="1356"/>
      <c r="FH720" s="1356"/>
      <c r="FI720" s="1357"/>
      <c r="FJ720" s="1355" t="str">
        <f t="shared" si="32"/>
        <v/>
      </c>
      <c r="FK720" s="1356"/>
      <c r="FL720" s="1356"/>
      <c r="FM720" s="1356"/>
      <c r="FN720" s="1357"/>
      <c r="FO720" s="1355">
        <f t="shared" si="33"/>
        <v>1465</v>
      </c>
      <c r="FP720" s="1356"/>
      <c r="FQ720" s="1356"/>
      <c r="FR720" s="1356"/>
      <c r="FS720" s="1357"/>
      <c r="FT720" s="1355" t="str">
        <f t="shared" si="34"/>
        <v/>
      </c>
      <c r="FU720" s="1356"/>
      <c r="FV720" s="1356"/>
      <c r="FW720" s="1356"/>
      <c r="FX720" s="1357"/>
      <c r="FY720" s="1355" t="str">
        <f t="shared" si="35"/>
        <v/>
      </c>
      <c r="FZ720" s="1356"/>
      <c r="GA720" s="1356"/>
      <c r="GB720" s="1356"/>
      <c r="GC720" s="1357"/>
    </row>
    <row r="721" spans="1:185" ht="13" customHeight="1">
      <c r="B721" s="1359" t="s">
        <v>324</v>
      </c>
      <c r="C721" s="1360"/>
      <c r="D721" s="1360"/>
      <c r="E721" s="1360"/>
      <c r="F721" s="1361"/>
      <c r="G721" s="1368">
        <v>19</v>
      </c>
      <c r="H721" s="1369"/>
      <c r="I721" s="1369"/>
      <c r="J721" s="1370"/>
      <c r="K721" s="1584">
        <v>675</v>
      </c>
      <c r="L721" s="1585"/>
      <c r="M721" s="1585"/>
      <c r="N721" s="1586"/>
      <c r="O721" s="1450">
        <v>1788</v>
      </c>
      <c r="P721" s="1451"/>
      <c r="Q721" s="1451"/>
      <c r="R721" s="1451"/>
      <c r="S721" s="1452"/>
      <c r="T721" s="1450">
        <v>25</v>
      </c>
      <c r="U721" s="1451"/>
      <c r="V721" s="1451"/>
      <c r="W721" s="1452"/>
      <c r="X721" s="1362">
        <f t="shared" si="8"/>
        <v>1813</v>
      </c>
      <c r="Y721" s="1363"/>
      <c r="Z721" s="1363"/>
      <c r="AA721" s="1363"/>
      <c r="AB721" s="1364"/>
      <c r="AC721" s="1593">
        <v>0.5</v>
      </c>
      <c r="AD721" s="1594"/>
      <c r="AE721" s="1594"/>
      <c r="AF721" s="1594"/>
      <c r="AG721" s="1595"/>
      <c r="AH721" s="1365">
        <f t="shared" si="36"/>
        <v>0.5</v>
      </c>
      <c r="AI721" s="1366"/>
      <c r="AJ721" s="1367"/>
      <c r="AK721" s="1359" t="s">
        <v>591</v>
      </c>
      <c r="AL721" s="1360"/>
      <c r="AM721" s="1360"/>
      <c r="AN721" s="1360"/>
      <c r="AO721" s="1361"/>
      <c r="AP721" s="3"/>
      <c r="AQ721" s="3"/>
      <c r="AR721" s="3"/>
      <c r="AS721" s="3"/>
      <c r="AY721" s="116"/>
      <c r="AZ721" s="118">
        <f t="shared" si="9"/>
        <v>3626</v>
      </c>
      <c r="BA721" s="3"/>
      <c r="BB721" s="3"/>
      <c r="BC721" s="3"/>
      <c r="BD721" s="3"/>
      <c r="BE721" s="204"/>
      <c r="BF721" s="294">
        <f t="shared" si="10"/>
        <v>19</v>
      </c>
      <c r="BG721" s="297">
        <f t="shared" si="11"/>
        <v>0.15322580645161291</v>
      </c>
      <c r="BH721" s="298">
        <f t="shared" si="12"/>
        <v>7.6612903225806453E-2</v>
      </c>
      <c r="BI721" s="3"/>
      <c r="BJ721" s="3"/>
      <c r="BK721" s="3"/>
      <c r="BL721" s="3"/>
      <c r="BM721" s="3"/>
      <c r="BN721" s="3"/>
      <c r="BS721" s="294">
        <f t="shared" si="13"/>
        <v>19</v>
      </c>
      <c r="BT721" s="297">
        <f t="shared" si="14"/>
        <v>0.15322580645161291</v>
      </c>
      <c r="BU721" s="298">
        <f t="shared" si="15"/>
        <v>7.6612903225806453E-2</v>
      </c>
      <c r="CC721" s="3"/>
      <c r="CD721" s="3"/>
      <c r="CE721" s="3"/>
      <c r="CF721" s="3"/>
      <c r="CG721" s="1355">
        <f t="shared" si="37"/>
        <v>1</v>
      </c>
      <c r="CH721" s="1357"/>
      <c r="CI721" s="1339">
        <f t="shared" si="38"/>
        <v>19</v>
      </c>
      <c r="CJ721" s="1341"/>
      <c r="CK721" s="1355">
        <f t="shared" si="16"/>
        <v>0</v>
      </c>
      <c r="CL721" s="1357"/>
      <c r="CM721" s="1339">
        <f t="shared" si="17"/>
        <v>0</v>
      </c>
      <c r="CN721" s="1341"/>
      <c r="CO721" s="3"/>
      <c r="CP721" s="1336">
        <f t="shared" si="18"/>
        <v>0</v>
      </c>
      <c r="CQ721" s="1337"/>
      <c r="CR721" s="1337"/>
      <c r="CS721" s="1337"/>
      <c r="CT721" s="1338"/>
      <c r="CU721" s="1358">
        <f t="shared" si="19"/>
        <v>19</v>
      </c>
      <c r="CV721" s="1358"/>
      <c r="CW721" s="1358"/>
      <c r="CX721" s="1358"/>
      <c r="CY721" s="1358"/>
      <c r="CZ721" s="1358">
        <f t="shared" si="20"/>
        <v>0</v>
      </c>
      <c r="DA721" s="1358"/>
      <c r="DB721" s="1358"/>
      <c r="DC721" s="1358"/>
      <c r="DD721" s="1358"/>
      <c r="DE721" s="1358">
        <f t="shared" si="21"/>
        <v>0</v>
      </c>
      <c r="DF721" s="1358"/>
      <c r="DG721" s="1358"/>
      <c r="DH721" s="1358"/>
      <c r="DI721" s="1358"/>
      <c r="DJ721" s="1358">
        <f t="shared" si="22"/>
        <v>0</v>
      </c>
      <c r="DK721" s="1358"/>
      <c r="DL721" s="1358"/>
      <c r="DM721" s="1358"/>
      <c r="DN721" s="1358"/>
      <c r="DO721" s="1358">
        <f t="shared" si="23"/>
        <v>0</v>
      </c>
      <c r="DP721" s="1358"/>
      <c r="DQ721" s="1358"/>
      <c r="DR721" s="1358"/>
      <c r="DS721" s="1358"/>
      <c r="DT721" s="6"/>
      <c r="DU721" s="1372">
        <f t="shared" si="24"/>
        <v>0</v>
      </c>
      <c r="DV721" s="1372"/>
      <c r="DW721" s="1372"/>
      <c r="DX721" s="1372"/>
      <c r="DY721" s="1372"/>
      <c r="DZ721" s="1372">
        <f t="shared" si="25"/>
        <v>0</v>
      </c>
      <c r="EA721" s="1372"/>
      <c r="EB721" s="1372"/>
      <c r="EC721" s="1372"/>
      <c r="ED721" s="1372"/>
      <c r="EE721" s="1372">
        <f t="shared" si="26"/>
        <v>0</v>
      </c>
      <c r="EF721" s="1372"/>
      <c r="EG721" s="1372"/>
      <c r="EH721" s="1372"/>
      <c r="EI721" s="1372"/>
      <c r="EJ721" s="1372">
        <f t="shared" si="27"/>
        <v>0</v>
      </c>
      <c r="EK721" s="1372"/>
      <c r="EL721" s="1372"/>
      <c r="EM721" s="1372"/>
      <c r="EN721" s="1372"/>
      <c r="EO721" s="1372">
        <f t="shared" si="28"/>
        <v>0</v>
      </c>
      <c r="EP721" s="1372"/>
      <c r="EQ721" s="1372"/>
      <c r="ER721" s="1372"/>
      <c r="ES721" s="1372"/>
      <c r="ET721" s="1372">
        <f t="shared" si="29"/>
        <v>0</v>
      </c>
      <c r="EU721" s="1372"/>
      <c r="EV721" s="1372"/>
      <c r="EW721" s="1372"/>
      <c r="EX721" s="1372"/>
      <c r="EZ721" s="1355" t="str">
        <f t="shared" si="30"/>
        <v/>
      </c>
      <c r="FA721" s="1356"/>
      <c r="FB721" s="1356"/>
      <c r="FC721" s="1356"/>
      <c r="FD721" s="1357"/>
      <c r="FE721" s="1355">
        <f t="shared" si="31"/>
        <v>1788</v>
      </c>
      <c r="FF721" s="1356"/>
      <c r="FG721" s="1356"/>
      <c r="FH721" s="1356"/>
      <c r="FI721" s="1357"/>
      <c r="FJ721" s="1355" t="str">
        <f t="shared" si="32"/>
        <v/>
      </c>
      <c r="FK721" s="1356"/>
      <c r="FL721" s="1356"/>
      <c r="FM721" s="1356"/>
      <c r="FN721" s="1357"/>
      <c r="FO721" s="1355" t="str">
        <f t="shared" si="33"/>
        <v/>
      </c>
      <c r="FP721" s="1356"/>
      <c r="FQ721" s="1356"/>
      <c r="FR721" s="1356"/>
      <c r="FS721" s="1357"/>
      <c r="FT721" s="1355" t="str">
        <f t="shared" si="34"/>
        <v/>
      </c>
      <c r="FU721" s="1356"/>
      <c r="FV721" s="1356"/>
      <c r="FW721" s="1356"/>
      <c r="FX721" s="1357"/>
      <c r="FY721" s="1355" t="str">
        <f t="shared" si="35"/>
        <v/>
      </c>
      <c r="FZ721" s="1356"/>
      <c r="GA721" s="1356"/>
      <c r="GB721" s="1356"/>
      <c r="GC721" s="1357"/>
    </row>
    <row r="722" spans="1:185" ht="13" customHeight="1">
      <c r="B722" s="1359" t="s">
        <v>163</v>
      </c>
      <c r="C722" s="1360"/>
      <c r="D722" s="1360"/>
      <c r="E722" s="1360"/>
      <c r="F722" s="1361"/>
      <c r="G722" s="1368">
        <v>19</v>
      </c>
      <c r="H722" s="1369"/>
      <c r="I722" s="1369"/>
      <c r="J722" s="1370"/>
      <c r="K722" s="1584">
        <v>881</v>
      </c>
      <c r="L722" s="1585"/>
      <c r="M722" s="1585"/>
      <c r="N722" s="1586"/>
      <c r="O722" s="1450">
        <v>2096</v>
      </c>
      <c r="P722" s="1451"/>
      <c r="Q722" s="1451"/>
      <c r="R722" s="1451"/>
      <c r="S722" s="1452"/>
      <c r="T722" s="1450">
        <v>80</v>
      </c>
      <c r="U722" s="1451"/>
      <c r="V722" s="1451"/>
      <c r="W722" s="1452"/>
      <c r="X722" s="1362">
        <f t="shared" si="8"/>
        <v>2176</v>
      </c>
      <c r="Y722" s="1363"/>
      <c r="Z722" s="1363"/>
      <c r="AA722" s="1363"/>
      <c r="AB722" s="1364"/>
      <c r="AC722" s="1593">
        <v>0.5</v>
      </c>
      <c r="AD722" s="1594"/>
      <c r="AE722" s="1594"/>
      <c r="AF722" s="1594"/>
      <c r="AG722" s="1595"/>
      <c r="AH722" s="1365">
        <f t="shared" si="36"/>
        <v>0.5</v>
      </c>
      <c r="AI722" s="1366"/>
      <c r="AJ722" s="1367"/>
      <c r="AK722" s="1359" t="s">
        <v>591</v>
      </c>
      <c r="AL722" s="1360"/>
      <c r="AM722" s="1360"/>
      <c r="AN722" s="1360"/>
      <c r="AO722" s="1361"/>
      <c r="AP722" s="3"/>
      <c r="AQ722" s="3"/>
      <c r="AR722" s="3"/>
      <c r="AS722" s="3"/>
      <c r="AY722" s="116"/>
      <c r="AZ722" s="118">
        <f t="shared" si="9"/>
        <v>4352</v>
      </c>
      <c r="BA722" s="3"/>
      <c r="BB722" s="3"/>
      <c r="BC722" s="3"/>
      <c r="BD722" s="3"/>
      <c r="BE722" s="204"/>
      <c r="BF722" s="294">
        <f t="shared" si="10"/>
        <v>19</v>
      </c>
      <c r="BG722" s="297">
        <f t="shared" si="11"/>
        <v>0.15322580645161291</v>
      </c>
      <c r="BH722" s="298">
        <f t="shared" si="12"/>
        <v>7.6612903225806453E-2</v>
      </c>
      <c r="BI722" s="3"/>
      <c r="BJ722" s="3"/>
      <c r="BK722" s="3"/>
      <c r="BL722" s="3"/>
      <c r="BM722" s="3"/>
      <c r="BN722" s="3"/>
      <c r="BS722" s="294">
        <f t="shared" si="13"/>
        <v>19</v>
      </c>
      <c r="BT722" s="297">
        <f t="shared" si="14"/>
        <v>0.15322580645161291</v>
      </c>
      <c r="BU722" s="298">
        <f t="shared" si="15"/>
        <v>7.6612903225806453E-2</v>
      </c>
      <c r="CC722" s="3"/>
      <c r="CD722" s="3"/>
      <c r="CE722" s="3"/>
      <c r="CF722" s="3"/>
      <c r="CG722" s="1355">
        <f t="shared" si="37"/>
        <v>1</v>
      </c>
      <c r="CH722" s="1357"/>
      <c r="CI722" s="1339">
        <f t="shared" si="38"/>
        <v>19</v>
      </c>
      <c r="CJ722" s="1341"/>
      <c r="CK722" s="1355">
        <f t="shared" si="16"/>
        <v>0</v>
      </c>
      <c r="CL722" s="1357"/>
      <c r="CM722" s="1339">
        <f t="shared" si="17"/>
        <v>0</v>
      </c>
      <c r="CN722" s="1341"/>
      <c r="CO722" s="3"/>
      <c r="CP722" s="1336">
        <f t="shared" si="18"/>
        <v>0</v>
      </c>
      <c r="CQ722" s="1337"/>
      <c r="CR722" s="1337"/>
      <c r="CS722" s="1337"/>
      <c r="CT722" s="1338"/>
      <c r="CU722" s="1358">
        <f t="shared" si="19"/>
        <v>0</v>
      </c>
      <c r="CV722" s="1358"/>
      <c r="CW722" s="1358"/>
      <c r="CX722" s="1358"/>
      <c r="CY722" s="1358"/>
      <c r="CZ722" s="1358">
        <f t="shared" si="20"/>
        <v>19</v>
      </c>
      <c r="DA722" s="1358"/>
      <c r="DB722" s="1358"/>
      <c r="DC722" s="1358"/>
      <c r="DD722" s="1358"/>
      <c r="DE722" s="1358">
        <f t="shared" si="21"/>
        <v>0</v>
      </c>
      <c r="DF722" s="1358"/>
      <c r="DG722" s="1358"/>
      <c r="DH722" s="1358"/>
      <c r="DI722" s="1358"/>
      <c r="DJ722" s="1358">
        <f t="shared" si="22"/>
        <v>0</v>
      </c>
      <c r="DK722" s="1358"/>
      <c r="DL722" s="1358"/>
      <c r="DM722" s="1358"/>
      <c r="DN722" s="1358"/>
      <c r="DO722" s="1358">
        <f t="shared" si="23"/>
        <v>0</v>
      </c>
      <c r="DP722" s="1358"/>
      <c r="DQ722" s="1358"/>
      <c r="DR722" s="1358"/>
      <c r="DS722" s="1358"/>
      <c r="DT722" s="6"/>
      <c r="DU722" s="1372">
        <f t="shared" si="24"/>
        <v>0</v>
      </c>
      <c r="DV722" s="1372"/>
      <c r="DW722" s="1372"/>
      <c r="DX722" s="1372"/>
      <c r="DY722" s="1372"/>
      <c r="DZ722" s="1372">
        <f t="shared" si="25"/>
        <v>0</v>
      </c>
      <c r="EA722" s="1372"/>
      <c r="EB722" s="1372"/>
      <c r="EC722" s="1372"/>
      <c r="ED722" s="1372"/>
      <c r="EE722" s="1372">
        <f t="shared" si="26"/>
        <v>0</v>
      </c>
      <c r="EF722" s="1372"/>
      <c r="EG722" s="1372"/>
      <c r="EH722" s="1372"/>
      <c r="EI722" s="1372"/>
      <c r="EJ722" s="1372">
        <f t="shared" si="27"/>
        <v>0</v>
      </c>
      <c r="EK722" s="1372"/>
      <c r="EL722" s="1372"/>
      <c r="EM722" s="1372"/>
      <c r="EN722" s="1372"/>
      <c r="EO722" s="1372">
        <f t="shared" si="28"/>
        <v>0</v>
      </c>
      <c r="EP722" s="1372"/>
      <c r="EQ722" s="1372"/>
      <c r="ER722" s="1372"/>
      <c r="ES722" s="1372"/>
      <c r="ET722" s="1372">
        <f t="shared" si="29"/>
        <v>0</v>
      </c>
      <c r="EU722" s="1372"/>
      <c r="EV722" s="1372"/>
      <c r="EW722" s="1372"/>
      <c r="EX722" s="1372"/>
      <c r="EZ722" s="1355" t="str">
        <f t="shared" si="30"/>
        <v/>
      </c>
      <c r="FA722" s="1356"/>
      <c r="FB722" s="1356"/>
      <c r="FC722" s="1356"/>
      <c r="FD722" s="1357"/>
      <c r="FE722" s="1355" t="str">
        <f t="shared" si="31"/>
        <v/>
      </c>
      <c r="FF722" s="1356"/>
      <c r="FG722" s="1356"/>
      <c r="FH722" s="1356"/>
      <c r="FI722" s="1357"/>
      <c r="FJ722" s="1355">
        <f t="shared" si="32"/>
        <v>2096</v>
      </c>
      <c r="FK722" s="1356"/>
      <c r="FL722" s="1356"/>
      <c r="FM722" s="1356"/>
      <c r="FN722" s="1357"/>
      <c r="FO722" s="1355" t="str">
        <f t="shared" si="33"/>
        <v/>
      </c>
      <c r="FP722" s="1356"/>
      <c r="FQ722" s="1356"/>
      <c r="FR722" s="1356"/>
      <c r="FS722" s="1357"/>
      <c r="FT722" s="1355" t="str">
        <f t="shared" si="34"/>
        <v/>
      </c>
      <c r="FU722" s="1356"/>
      <c r="FV722" s="1356"/>
      <c r="FW722" s="1356"/>
      <c r="FX722" s="1357"/>
      <c r="FY722" s="1355" t="str">
        <f t="shared" si="35"/>
        <v/>
      </c>
      <c r="FZ722" s="1356"/>
      <c r="GA722" s="1356"/>
      <c r="GB722" s="1356"/>
      <c r="GC722" s="1357"/>
    </row>
    <row r="723" spans="1:185" ht="13" customHeight="1">
      <c r="B723" s="1359" t="s">
        <v>164</v>
      </c>
      <c r="C723" s="1360"/>
      <c r="D723" s="1360"/>
      <c r="E723" s="1360"/>
      <c r="F723" s="1361"/>
      <c r="G723" s="1368">
        <v>11</v>
      </c>
      <c r="H723" s="1369"/>
      <c r="I723" s="1369"/>
      <c r="J723" s="1370"/>
      <c r="K723" s="1584">
        <v>1125</v>
      </c>
      <c r="L723" s="1585"/>
      <c r="M723" s="1585"/>
      <c r="N723" s="1586"/>
      <c r="O723" s="1450">
        <v>2471</v>
      </c>
      <c r="P723" s="1451"/>
      <c r="Q723" s="1451"/>
      <c r="R723" s="1451"/>
      <c r="S723" s="1452"/>
      <c r="T723" s="1450">
        <v>43</v>
      </c>
      <c r="U723" s="1451"/>
      <c r="V723" s="1451"/>
      <c r="W723" s="1452"/>
      <c r="X723" s="1362">
        <f t="shared" si="8"/>
        <v>2514</v>
      </c>
      <c r="Y723" s="1363"/>
      <c r="Z723" s="1363"/>
      <c r="AA723" s="1363"/>
      <c r="AB723" s="1364"/>
      <c r="AC723" s="1593">
        <v>0.5</v>
      </c>
      <c r="AD723" s="1594"/>
      <c r="AE723" s="1594"/>
      <c r="AF723" s="1594"/>
      <c r="AG723" s="1595"/>
      <c r="AH723" s="1365">
        <f t="shared" si="36"/>
        <v>0.5</v>
      </c>
      <c r="AI723" s="1366"/>
      <c r="AJ723" s="1367"/>
      <c r="AK723" s="1359" t="s">
        <v>591</v>
      </c>
      <c r="AL723" s="1360"/>
      <c r="AM723" s="1360"/>
      <c r="AN723" s="1360"/>
      <c r="AO723" s="1361"/>
      <c r="AP723" s="3"/>
      <c r="AQ723" s="3"/>
      <c r="AR723" s="3"/>
      <c r="AS723" s="3"/>
      <c r="AY723" s="116"/>
      <c r="AZ723" s="118">
        <f t="shared" si="9"/>
        <v>5028</v>
      </c>
      <c r="BA723" s="3"/>
      <c r="BB723" s="3"/>
      <c r="BC723" s="3"/>
      <c r="BD723" s="3"/>
      <c r="BE723" s="204"/>
      <c r="BF723" s="294">
        <f t="shared" si="10"/>
        <v>11</v>
      </c>
      <c r="BG723" s="297">
        <f t="shared" si="11"/>
        <v>8.8709677419354843E-2</v>
      </c>
      <c r="BH723" s="298">
        <f t="shared" si="12"/>
        <v>4.4354838709677422E-2</v>
      </c>
      <c r="BI723" s="3"/>
      <c r="BJ723" s="3"/>
      <c r="BK723" s="3"/>
      <c r="BL723" s="3"/>
      <c r="BM723" s="3"/>
      <c r="BN723" s="3"/>
      <c r="BS723" s="294">
        <f t="shared" si="13"/>
        <v>11</v>
      </c>
      <c r="BT723" s="297">
        <f t="shared" si="14"/>
        <v>8.8709677419354843E-2</v>
      </c>
      <c r="BU723" s="298">
        <f t="shared" si="15"/>
        <v>4.4354838709677422E-2</v>
      </c>
      <c r="CC723" s="3"/>
      <c r="CD723" s="3"/>
      <c r="CE723" s="3"/>
      <c r="CF723" s="3"/>
      <c r="CG723" s="1355">
        <f t="shared" si="37"/>
        <v>1</v>
      </c>
      <c r="CH723" s="1357"/>
      <c r="CI723" s="1339">
        <f t="shared" si="38"/>
        <v>11</v>
      </c>
      <c r="CJ723" s="1341"/>
      <c r="CK723" s="1355">
        <f t="shared" si="16"/>
        <v>0</v>
      </c>
      <c r="CL723" s="1357"/>
      <c r="CM723" s="1339">
        <f t="shared" si="17"/>
        <v>0</v>
      </c>
      <c r="CN723" s="1341"/>
      <c r="CO723" s="3"/>
      <c r="CP723" s="1336">
        <f t="shared" si="18"/>
        <v>0</v>
      </c>
      <c r="CQ723" s="1337"/>
      <c r="CR723" s="1337"/>
      <c r="CS723" s="1337"/>
      <c r="CT723" s="1338"/>
      <c r="CU723" s="1358">
        <f t="shared" si="19"/>
        <v>0</v>
      </c>
      <c r="CV723" s="1358"/>
      <c r="CW723" s="1358"/>
      <c r="CX723" s="1358"/>
      <c r="CY723" s="1358"/>
      <c r="CZ723" s="1358">
        <f t="shared" si="20"/>
        <v>0</v>
      </c>
      <c r="DA723" s="1358"/>
      <c r="DB723" s="1358"/>
      <c r="DC723" s="1358"/>
      <c r="DD723" s="1358"/>
      <c r="DE723" s="1358">
        <f t="shared" si="21"/>
        <v>11</v>
      </c>
      <c r="DF723" s="1358"/>
      <c r="DG723" s="1358"/>
      <c r="DH723" s="1358"/>
      <c r="DI723" s="1358"/>
      <c r="DJ723" s="1358">
        <f t="shared" si="22"/>
        <v>0</v>
      </c>
      <c r="DK723" s="1358"/>
      <c r="DL723" s="1358"/>
      <c r="DM723" s="1358"/>
      <c r="DN723" s="1358"/>
      <c r="DO723" s="1358">
        <f t="shared" si="23"/>
        <v>0</v>
      </c>
      <c r="DP723" s="1358"/>
      <c r="DQ723" s="1358"/>
      <c r="DR723" s="1358"/>
      <c r="DS723" s="1358"/>
      <c r="DT723" s="6"/>
      <c r="DU723" s="1372">
        <f t="shared" si="24"/>
        <v>0</v>
      </c>
      <c r="DV723" s="1372"/>
      <c r="DW723" s="1372"/>
      <c r="DX723" s="1372"/>
      <c r="DY723" s="1372"/>
      <c r="DZ723" s="1372">
        <f t="shared" si="25"/>
        <v>0</v>
      </c>
      <c r="EA723" s="1372"/>
      <c r="EB723" s="1372"/>
      <c r="EC723" s="1372"/>
      <c r="ED723" s="1372"/>
      <c r="EE723" s="1372">
        <f t="shared" si="26"/>
        <v>0</v>
      </c>
      <c r="EF723" s="1372"/>
      <c r="EG723" s="1372"/>
      <c r="EH723" s="1372"/>
      <c r="EI723" s="1372"/>
      <c r="EJ723" s="1372">
        <f t="shared" si="27"/>
        <v>0</v>
      </c>
      <c r="EK723" s="1372"/>
      <c r="EL723" s="1372"/>
      <c r="EM723" s="1372"/>
      <c r="EN723" s="1372"/>
      <c r="EO723" s="1372">
        <f t="shared" si="28"/>
        <v>0</v>
      </c>
      <c r="EP723" s="1372"/>
      <c r="EQ723" s="1372"/>
      <c r="ER723" s="1372"/>
      <c r="ES723" s="1372"/>
      <c r="ET723" s="1372">
        <f t="shared" si="29"/>
        <v>0</v>
      </c>
      <c r="EU723" s="1372"/>
      <c r="EV723" s="1372"/>
      <c r="EW723" s="1372"/>
      <c r="EX723" s="1372"/>
      <c r="EZ723" s="1355" t="str">
        <f t="shared" si="30"/>
        <v/>
      </c>
      <c r="FA723" s="1356"/>
      <c r="FB723" s="1356"/>
      <c r="FC723" s="1356"/>
      <c r="FD723" s="1357"/>
      <c r="FE723" s="1355" t="str">
        <f t="shared" si="31"/>
        <v/>
      </c>
      <c r="FF723" s="1356"/>
      <c r="FG723" s="1356"/>
      <c r="FH723" s="1356"/>
      <c r="FI723" s="1357"/>
      <c r="FJ723" s="1355" t="str">
        <f t="shared" si="32"/>
        <v/>
      </c>
      <c r="FK723" s="1356"/>
      <c r="FL723" s="1356"/>
      <c r="FM723" s="1356"/>
      <c r="FN723" s="1357"/>
      <c r="FO723" s="1355">
        <f t="shared" si="33"/>
        <v>2471</v>
      </c>
      <c r="FP723" s="1356"/>
      <c r="FQ723" s="1356"/>
      <c r="FR723" s="1356"/>
      <c r="FS723" s="1357"/>
      <c r="FT723" s="1355" t="str">
        <f t="shared" si="34"/>
        <v/>
      </c>
      <c r="FU723" s="1356"/>
      <c r="FV723" s="1356"/>
      <c r="FW723" s="1356"/>
      <c r="FX723" s="1357"/>
      <c r="FY723" s="1355" t="str">
        <f t="shared" si="35"/>
        <v/>
      </c>
      <c r="FZ723" s="1356"/>
      <c r="GA723" s="1356"/>
      <c r="GB723" s="1356"/>
      <c r="GC723" s="1357"/>
    </row>
    <row r="724" spans="1:185" ht="13" customHeight="1">
      <c r="B724" s="1359" t="s">
        <v>324</v>
      </c>
      <c r="C724" s="1360"/>
      <c r="D724" s="1360"/>
      <c r="E724" s="1360"/>
      <c r="F724" s="1361"/>
      <c r="G724" s="1368">
        <v>21</v>
      </c>
      <c r="H724" s="1369"/>
      <c r="I724" s="1369"/>
      <c r="J724" s="1370"/>
      <c r="K724" s="1584">
        <v>675</v>
      </c>
      <c r="L724" s="1585"/>
      <c r="M724" s="1585"/>
      <c r="N724" s="1586"/>
      <c r="O724" s="1450">
        <v>2514</v>
      </c>
      <c r="P724" s="1451"/>
      <c r="Q724" s="1451"/>
      <c r="R724" s="1451"/>
      <c r="S724" s="1452"/>
      <c r="T724" s="1450">
        <v>25</v>
      </c>
      <c r="U724" s="1451"/>
      <c r="V724" s="1451"/>
      <c r="W724" s="1452"/>
      <c r="X724" s="1362">
        <f t="shared" si="8"/>
        <v>2539</v>
      </c>
      <c r="Y724" s="1363"/>
      <c r="Z724" s="1363"/>
      <c r="AA724" s="1363"/>
      <c r="AB724" s="1364"/>
      <c r="AC724" s="1593">
        <v>0.7</v>
      </c>
      <c r="AD724" s="1594"/>
      <c r="AE724" s="1594"/>
      <c r="AF724" s="1594"/>
      <c r="AG724" s="1595"/>
      <c r="AH724" s="1365">
        <f t="shared" si="36"/>
        <v>0.70022062879205738</v>
      </c>
      <c r="AI724" s="1366"/>
      <c r="AJ724" s="1367"/>
      <c r="AK724" s="1359" t="s">
        <v>591</v>
      </c>
      <c r="AL724" s="1360"/>
      <c r="AM724" s="1360"/>
      <c r="AN724" s="1360"/>
      <c r="AO724" s="1361"/>
      <c r="AP724" s="3"/>
      <c r="AQ724" s="3"/>
      <c r="AR724" s="3"/>
      <c r="AS724" s="3"/>
      <c r="AY724" s="116"/>
      <c r="AZ724" s="118">
        <f t="shared" si="9"/>
        <v>3626</v>
      </c>
      <c r="BA724" s="3"/>
      <c r="BB724" s="3"/>
      <c r="BC724" s="3"/>
      <c r="BD724" s="3"/>
      <c r="BE724" s="204"/>
      <c r="BF724" s="294">
        <f t="shared" si="10"/>
        <v>21</v>
      </c>
      <c r="BG724" s="297">
        <f t="shared" si="11"/>
        <v>0.16935483870967741</v>
      </c>
      <c r="BH724" s="298">
        <f t="shared" si="12"/>
        <v>0.11854838709677418</v>
      </c>
      <c r="BI724" s="3"/>
      <c r="BJ724" s="3"/>
      <c r="BK724" s="3"/>
      <c r="BL724" s="3"/>
      <c r="BM724" s="3"/>
      <c r="BN724" s="3"/>
      <c r="BS724" s="294">
        <f t="shared" si="13"/>
        <v>21</v>
      </c>
      <c r="BT724" s="297">
        <f t="shared" si="14"/>
        <v>0.16935483870967741</v>
      </c>
      <c r="BU724" s="298">
        <f t="shared" si="15"/>
        <v>0.11858575165026777</v>
      </c>
      <c r="CC724" s="3"/>
      <c r="CE724" s="3"/>
      <c r="CF724" s="3"/>
      <c r="CG724" s="1355">
        <f t="shared" si="37"/>
        <v>0</v>
      </c>
      <c r="CH724" s="1357"/>
      <c r="CI724" s="1339">
        <f t="shared" si="38"/>
        <v>0</v>
      </c>
      <c r="CJ724" s="1341"/>
      <c r="CK724" s="1355">
        <f t="shared" si="16"/>
        <v>0</v>
      </c>
      <c r="CL724" s="1357"/>
      <c r="CM724" s="1339">
        <f t="shared" si="17"/>
        <v>0</v>
      </c>
      <c r="CN724" s="1341"/>
      <c r="CO724" s="3"/>
      <c r="CP724" s="1336">
        <f t="shared" si="18"/>
        <v>0</v>
      </c>
      <c r="CQ724" s="1337"/>
      <c r="CR724" s="1337"/>
      <c r="CS724" s="1337"/>
      <c r="CT724" s="1338"/>
      <c r="CU724" s="1358">
        <f t="shared" si="19"/>
        <v>21</v>
      </c>
      <c r="CV724" s="1358"/>
      <c r="CW724" s="1358"/>
      <c r="CX724" s="1358"/>
      <c r="CY724" s="1358"/>
      <c r="CZ724" s="1358">
        <f t="shared" si="20"/>
        <v>0</v>
      </c>
      <c r="DA724" s="1358"/>
      <c r="DB724" s="1358"/>
      <c r="DC724" s="1358"/>
      <c r="DD724" s="1358"/>
      <c r="DE724" s="1358">
        <f t="shared" si="21"/>
        <v>0</v>
      </c>
      <c r="DF724" s="1358"/>
      <c r="DG724" s="1358"/>
      <c r="DH724" s="1358"/>
      <c r="DI724" s="1358"/>
      <c r="DJ724" s="1358">
        <f t="shared" si="22"/>
        <v>0</v>
      </c>
      <c r="DK724" s="1358"/>
      <c r="DL724" s="1358"/>
      <c r="DM724" s="1358"/>
      <c r="DN724" s="1358"/>
      <c r="DO724" s="1358">
        <f t="shared" si="23"/>
        <v>0</v>
      </c>
      <c r="DP724" s="1358"/>
      <c r="DQ724" s="1358"/>
      <c r="DR724" s="1358"/>
      <c r="DS724" s="1358"/>
      <c r="DT724" s="6"/>
      <c r="DU724" s="1372">
        <f t="shared" si="24"/>
        <v>0</v>
      </c>
      <c r="DV724" s="1372"/>
      <c r="DW724" s="1372"/>
      <c r="DX724" s="1372"/>
      <c r="DY724" s="1372"/>
      <c r="DZ724" s="1372">
        <f t="shared" si="25"/>
        <v>0</v>
      </c>
      <c r="EA724" s="1372"/>
      <c r="EB724" s="1372"/>
      <c r="EC724" s="1372"/>
      <c r="ED724" s="1372"/>
      <c r="EE724" s="1372">
        <f t="shared" si="26"/>
        <v>0</v>
      </c>
      <c r="EF724" s="1372"/>
      <c r="EG724" s="1372"/>
      <c r="EH724" s="1372"/>
      <c r="EI724" s="1372"/>
      <c r="EJ724" s="1372">
        <f t="shared" si="27"/>
        <v>0</v>
      </c>
      <c r="EK724" s="1372"/>
      <c r="EL724" s="1372"/>
      <c r="EM724" s="1372"/>
      <c r="EN724" s="1372"/>
      <c r="EO724" s="1372">
        <f t="shared" si="28"/>
        <v>0</v>
      </c>
      <c r="EP724" s="1372"/>
      <c r="EQ724" s="1372"/>
      <c r="ER724" s="1372"/>
      <c r="ES724" s="1372"/>
      <c r="ET724" s="1372">
        <f t="shared" si="29"/>
        <v>0</v>
      </c>
      <c r="EU724" s="1372"/>
      <c r="EV724" s="1372"/>
      <c r="EW724" s="1372"/>
      <c r="EX724" s="1372"/>
      <c r="EZ724" s="1355" t="str">
        <f t="shared" si="30"/>
        <v/>
      </c>
      <c r="FA724" s="1356"/>
      <c r="FB724" s="1356"/>
      <c r="FC724" s="1356"/>
      <c r="FD724" s="1357"/>
      <c r="FE724" s="1355">
        <f t="shared" si="31"/>
        <v>2514</v>
      </c>
      <c r="FF724" s="1356"/>
      <c r="FG724" s="1356"/>
      <c r="FH724" s="1356"/>
      <c r="FI724" s="1357"/>
      <c r="FJ724" s="1355" t="str">
        <f t="shared" si="32"/>
        <v/>
      </c>
      <c r="FK724" s="1356"/>
      <c r="FL724" s="1356"/>
      <c r="FM724" s="1356"/>
      <c r="FN724" s="1357"/>
      <c r="FO724" s="1355" t="str">
        <f t="shared" si="33"/>
        <v/>
      </c>
      <c r="FP724" s="1356"/>
      <c r="FQ724" s="1356"/>
      <c r="FR724" s="1356"/>
      <c r="FS724" s="1357"/>
      <c r="FT724" s="1355" t="str">
        <f t="shared" si="34"/>
        <v/>
      </c>
      <c r="FU724" s="1356"/>
      <c r="FV724" s="1356"/>
      <c r="FW724" s="1356"/>
      <c r="FX724" s="1357"/>
      <c r="FY724" s="1355" t="str">
        <f t="shared" si="35"/>
        <v/>
      </c>
      <c r="FZ724" s="1356"/>
      <c r="GA724" s="1356"/>
      <c r="GB724" s="1356"/>
      <c r="GC724" s="1357"/>
    </row>
    <row r="725" spans="1:185" ht="13" customHeight="1">
      <c r="B725" s="1359" t="s">
        <v>163</v>
      </c>
      <c r="C725" s="1360"/>
      <c r="D725" s="1360"/>
      <c r="E725" s="1360"/>
      <c r="F725" s="1361"/>
      <c r="G725" s="1368">
        <v>22</v>
      </c>
      <c r="H725" s="1369"/>
      <c r="I725" s="1369"/>
      <c r="J725" s="1370"/>
      <c r="K725" s="1584">
        <v>881</v>
      </c>
      <c r="L725" s="1585"/>
      <c r="M725" s="1585"/>
      <c r="N725" s="1586"/>
      <c r="O725" s="1450">
        <v>2966</v>
      </c>
      <c r="P725" s="1451"/>
      <c r="Q725" s="1451"/>
      <c r="R725" s="1451"/>
      <c r="S725" s="1452"/>
      <c r="T725" s="1450">
        <v>80</v>
      </c>
      <c r="U725" s="1451"/>
      <c r="V725" s="1451"/>
      <c r="W725" s="1452"/>
      <c r="X725" s="1362">
        <f t="shared" si="8"/>
        <v>3046</v>
      </c>
      <c r="Y725" s="1363"/>
      <c r="Z725" s="1363"/>
      <c r="AA725" s="1363"/>
      <c r="AB725" s="1364"/>
      <c r="AC725" s="1593">
        <v>0.7</v>
      </c>
      <c r="AD725" s="1594"/>
      <c r="AE725" s="1594"/>
      <c r="AF725" s="1594"/>
      <c r="AG725" s="1595"/>
      <c r="AH725" s="1365">
        <f t="shared" si="36"/>
        <v>0.69990808823529416</v>
      </c>
      <c r="AI725" s="1366"/>
      <c r="AJ725" s="1367"/>
      <c r="AK725" s="1359" t="s">
        <v>591</v>
      </c>
      <c r="AL725" s="1360"/>
      <c r="AM725" s="1360"/>
      <c r="AN725" s="1360"/>
      <c r="AO725" s="1361"/>
      <c r="AP725" s="3"/>
      <c r="AQ725" s="3"/>
      <c r="AR725" s="3"/>
      <c r="AS725" s="3"/>
      <c r="AY725" s="1085"/>
      <c r="AZ725" s="118">
        <f t="shared" si="9"/>
        <v>4352</v>
      </c>
      <c r="BA725" s="3"/>
      <c r="BB725" s="3"/>
      <c r="BC725" s="3"/>
      <c r="BD725" s="3"/>
      <c r="BE725" s="204"/>
      <c r="BF725" s="294">
        <f t="shared" si="10"/>
        <v>22</v>
      </c>
      <c r="BG725" s="297">
        <f t="shared" si="11"/>
        <v>0.17741935483870969</v>
      </c>
      <c r="BH725" s="298">
        <f t="shared" si="12"/>
        <v>0.12419354838709677</v>
      </c>
      <c r="BI725" s="3"/>
      <c r="BJ725" s="3"/>
      <c r="BK725" s="3"/>
      <c r="BL725" s="3"/>
      <c r="BM725" s="3"/>
      <c r="BN725" s="3"/>
      <c r="BS725" s="294">
        <f t="shared" si="13"/>
        <v>22</v>
      </c>
      <c r="BT725" s="297">
        <f t="shared" si="14"/>
        <v>0.17741935483870969</v>
      </c>
      <c r="BU725" s="298">
        <f t="shared" si="15"/>
        <v>0.12417724146110058</v>
      </c>
      <c r="BV725" s="292"/>
      <c r="BW725" s="3"/>
      <c r="BX725" s="3"/>
      <c r="BY725" s="3"/>
      <c r="BZ725" s="3"/>
      <c r="CA725" s="3"/>
      <c r="CB725" s="3"/>
      <c r="CC725" s="3"/>
      <c r="CE725" s="3"/>
      <c r="CF725" s="3"/>
      <c r="CG725" s="1355">
        <f t="shared" si="37"/>
        <v>0</v>
      </c>
      <c r="CH725" s="1357"/>
      <c r="CI725" s="1339">
        <f t="shared" si="38"/>
        <v>0</v>
      </c>
      <c r="CJ725" s="1341"/>
      <c r="CK725" s="1355">
        <f t="shared" si="16"/>
        <v>0</v>
      </c>
      <c r="CL725" s="1357"/>
      <c r="CM725" s="1339">
        <f t="shared" si="17"/>
        <v>0</v>
      </c>
      <c r="CN725" s="1341"/>
      <c r="CO725" s="3"/>
      <c r="CP725" s="1336">
        <f t="shared" si="18"/>
        <v>0</v>
      </c>
      <c r="CQ725" s="1337"/>
      <c r="CR725" s="1337"/>
      <c r="CS725" s="1337"/>
      <c r="CT725" s="1338"/>
      <c r="CU725" s="1358">
        <f t="shared" si="19"/>
        <v>0</v>
      </c>
      <c r="CV725" s="1358"/>
      <c r="CW725" s="1358"/>
      <c r="CX725" s="1358"/>
      <c r="CY725" s="1358"/>
      <c r="CZ725" s="1358">
        <f t="shared" si="20"/>
        <v>22</v>
      </c>
      <c r="DA725" s="1358"/>
      <c r="DB725" s="1358"/>
      <c r="DC725" s="1358"/>
      <c r="DD725" s="1358"/>
      <c r="DE725" s="1358">
        <f t="shared" si="21"/>
        <v>0</v>
      </c>
      <c r="DF725" s="1358"/>
      <c r="DG725" s="1358"/>
      <c r="DH725" s="1358"/>
      <c r="DI725" s="1358"/>
      <c r="DJ725" s="1358">
        <f t="shared" si="22"/>
        <v>0</v>
      </c>
      <c r="DK725" s="1358"/>
      <c r="DL725" s="1358"/>
      <c r="DM725" s="1358"/>
      <c r="DN725" s="1358"/>
      <c r="DO725" s="1358">
        <f t="shared" si="23"/>
        <v>0</v>
      </c>
      <c r="DP725" s="1358"/>
      <c r="DQ725" s="1358"/>
      <c r="DR725" s="1358"/>
      <c r="DS725" s="1358"/>
      <c r="DT725" s="6"/>
      <c r="DU725" s="1372">
        <f t="shared" si="24"/>
        <v>0</v>
      </c>
      <c r="DV725" s="1372"/>
      <c r="DW725" s="1372"/>
      <c r="DX725" s="1372"/>
      <c r="DY725" s="1372"/>
      <c r="DZ725" s="1372">
        <f t="shared" si="25"/>
        <v>0</v>
      </c>
      <c r="EA725" s="1372"/>
      <c r="EB725" s="1372"/>
      <c r="EC725" s="1372"/>
      <c r="ED725" s="1372"/>
      <c r="EE725" s="1372">
        <f t="shared" si="26"/>
        <v>0</v>
      </c>
      <c r="EF725" s="1372"/>
      <c r="EG725" s="1372"/>
      <c r="EH725" s="1372"/>
      <c r="EI725" s="1372"/>
      <c r="EJ725" s="1372">
        <f t="shared" si="27"/>
        <v>0</v>
      </c>
      <c r="EK725" s="1372"/>
      <c r="EL725" s="1372"/>
      <c r="EM725" s="1372"/>
      <c r="EN725" s="1372"/>
      <c r="EO725" s="1372">
        <f t="shared" si="28"/>
        <v>0</v>
      </c>
      <c r="EP725" s="1372"/>
      <c r="EQ725" s="1372"/>
      <c r="ER725" s="1372"/>
      <c r="ES725" s="1372"/>
      <c r="ET725" s="1372">
        <f t="shared" si="29"/>
        <v>0</v>
      </c>
      <c r="EU725" s="1372"/>
      <c r="EV725" s="1372"/>
      <c r="EW725" s="1372"/>
      <c r="EX725" s="1372"/>
      <c r="EZ725" s="1355" t="str">
        <f t="shared" si="30"/>
        <v/>
      </c>
      <c r="FA725" s="1356"/>
      <c r="FB725" s="1356"/>
      <c r="FC725" s="1356"/>
      <c r="FD725" s="1357"/>
      <c r="FE725" s="1355" t="str">
        <f t="shared" si="31"/>
        <v/>
      </c>
      <c r="FF725" s="1356"/>
      <c r="FG725" s="1356"/>
      <c r="FH725" s="1356"/>
      <c r="FI725" s="1357"/>
      <c r="FJ725" s="1355">
        <f t="shared" si="32"/>
        <v>2966</v>
      </c>
      <c r="FK725" s="1356"/>
      <c r="FL725" s="1356"/>
      <c r="FM725" s="1356"/>
      <c r="FN725" s="1357"/>
      <c r="FO725" s="1355" t="str">
        <f t="shared" si="33"/>
        <v/>
      </c>
      <c r="FP725" s="1356"/>
      <c r="FQ725" s="1356"/>
      <c r="FR725" s="1356"/>
      <c r="FS725" s="1357"/>
      <c r="FT725" s="1355" t="str">
        <f t="shared" si="34"/>
        <v/>
      </c>
      <c r="FU725" s="1356"/>
      <c r="FV725" s="1356"/>
      <c r="FW725" s="1356"/>
      <c r="FX725" s="1357"/>
      <c r="FY725" s="1355" t="str">
        <f t="shared" si="35"/>
        <v/>
      </c>
      <c r="FZ725" s="1356"/>
      <c r="GA725" s="1356"/>
      <c r="GB725" s="1356"/>
      <c r="GC725" s="1357"/>
    </row>
    <row r="726" spans="1:185" ht="13" customHeight="1">
      <c r="B726" s="1359" t="s">
        <v>164</v>
      </c>
      <c r="C726" s="1360"/>
      <c r="D726" s="1360"/>
      <c r="E726" s="1360"/>
      <c r="F726" s="1361"/>
      <c r="G726" s="1368">
        <v>18</v>
      </c>
      <c r="H726" s="1369"/>
      <c r="I726" s="1369"/>
      <c r="J726" s="1370"/>
      <c r="K726" s="1584">
        <v>1125</v>
      </c>
      <c r="L726" s="1585"/>
      <c r="M726" s="1585"/>
      <c r="N726" s="1586"/>
      <c r="O726" s="1450">
        <v>3477</v>
      </c>
      <c r="P726" s="1451"/>
      <c r="Q726" s="1451"/>
      <c r="R726" s="1451"/>
      <c r="S726" s="1452"/>
      <c r="T726" s="1450">
        <v>43</v>
      </c>
      <c r="U726" s="1451"/>
      <c r="V726" s="1451"/>
      <c r="W726" s="1452"/>
      <c r="X726" s="1362">
        <f t="shared" si="8"/>
        <v>3520</v>
      </c>
      <c r="Y726" s="1363"/>
      <c r="Z726" s="1363"/>
      <c r="AA726" s="1363"/>
      <c r="AB726" s="1364"/>
      <c r="AC726" s="1593">
        <v>0.7</v>
      </c>
      <c r="AD726" s="1594"/>
      <c r="AE726" s="1594"/>
      <c r="AF726" s="1594"/>
      <c r="AG726" s="1595"/>
      <c r="AH726" s="1365">
        <f t="shared" si="36"/>
        <v>0.70007955449482895</v>
      </c>
      <c r="AI726" s="1366"/>
      <c r="AJ726" s="1367"/>
      <c r="AK726" s="1359" t="s">
        <v>591</v>
      </c>
      <c r="AL726" s="1360"/>
      <c r="AM726" s="1360"/>
      <c r="AN726" s="1360"/>
      <c r="AO726" s="1361"/>
      <c r="AP726" s="3"/>
      <c r="AQ726" s="3"/>
      <c r="AR726" s="3"/>
      <c r="AS726" s="3"/>
      <c r="AY726" s="1085"/>
      <c r="AZ726" s="118">
        <f t="shared" si="9"/>
        <v>5028</v>
      </c>
      <c r="BA726" s="3"/>
      <c r="BB726" s="3"/>
      <c r="BC726" s="3"/>
      <c r="BD726" s="3"/>
      <c r="BE726" s="204"/>
      <c r="BF726" s="294">
        <f t="shared" si="10"/>
        <v>18</v>
      </c>
      <c r="BG726" s="297">
        <f t="shared" si="11"/>
        <v>0.14516129032258066</v>
      </c>
      <c r="BH726" s="298">
        <f t="shared" si="12"/>
        <v>0.10161290322580645</v>
      </c>
      <c r="BI726" s="3"/>
      <c r="BJ726" s="3"/>
      <c r="BK726" s="3"/>
      <c r="BL726" s="3"/>
      <c r="BM726" s="3"/>
      <c r="BN726" s="3"/>
      <c r="BS726" s="294">
        <f t="shared" si="13"/>
        <v>18</v>
      </c>
      <c r="BT726" s="297">
        <f t="shared" si="14"/>
        <v>0.14516129032258066</v>
      </c>
      <c r="BU726" s="298">
        <f t="shared" si="15"/>
        <v>0.10162445145892679</v>
      </c>
      <c r="BV726" s="3"/>
      <c r="BW726" s="3"/>
      <c r="BX726" s="3"/>
      <c r="BY726" s="3"/>
      <c r="BZ726" s="3"/>
      <c r="CA726" s="3"/>
      <c r="CB726" s="3"/>
      <c r="CC726" s="3"/>
      <c r="CE726" s="3"/>
      <c r="CF726" s="3"/>
      <c r="CG726" s="1355">
        <f t="shared" si="37"/>
        <v>0</v>
      </c>
      <c r="CH726" s="1357"/>
      <c r="CI726" s="1339">
        <f t="shared" si="38"/>
        <v>0</v>
      </c>
      <c r="CJ726" s="1341"/>
      <c r="CK726" s="1355">
        <f t="shared" si="16"/>
        <v>0</v>
      </c>
      <c r="CL726" s="1357"/>
      <c r="CM726" s="1339">
        <f t="shared" si="17"/>
        <v>0</v>
      </c>
      <c r="CN726" s="1341"/>
      <c r="CO726" s="3"/>
      <c r="CP726" s="1336">
        <f t="shared" si="18"/>
        <v>0</v>
      </c>
      <c r="CQ726" s="1337"/>
      <c r="CR726" s="1337"/>
      <c r="CS726" s="1337"/>
      <c r="CT726" s="1338"/>
      <c r="CU726" s="1358">
        <f t="shared" si="19"/>
        <v>0</v>
      </c>
      <c r="CV726" s="1358"/>
      <c r="CW726" s="1358"/>
      <c r="CX726" s="1358"/>
      <c r="CY726" s="1358"/>
      <c r="CZ726" s="1358">
        <f t="shared" si="20"/>
        <v>0</v>
      </c>
      <c r="DA726" s="1358"/>
      <c r="DB726" s="1358"/>
      <c r="DC726" s="1358"/>
      <c r="DD726" s="1358"/>
      <c r="DE726" s="1358">
        <f t="shared" si="21"/>
        <v>18</v>
      </c>
      <c r="DF726" s="1358"/>
      <c r="DG726" s="1358"/>
      <c r="DH726" s="1358"/>
      <c r="DI726" s="1358"/>
      <c r="DJ726" s="1358">
        <f t="shared" si="22"/>
        <v>0</v>
      </c>
      <c r="DK726" s="1358"/>
      <c r="DL726" s="1358"/>
      <c r="DM726" s="1358"/>
      <c r="DN726" s="1358"/>
      <c r="DO726" s="1358">
        <f t="shared" si="23"/>
        <v>0</v>
      </c>
      <c r="DP726" s="1358"/>
      <c r="DQ726" s="1358"/>
      <c r="DR726" s="1358"/>
      <c r="DS726" s="1358"/>
      <c r="DT726" s="6"/>
      <c r="DU726" s="1372">
        <f t="shared" si="24"/>
        <v>0</v>
      </c>
      <c r="DV726" s="1372"/>
      <c r="DW726" s="1372"/>
      <c r="DX726" s="1372"/>
      <c r="DY726" s="1372"/>
      <c r="DZ726" s="1372">
        <f t="shared" si="25"/>
        <v>0</v>
      </c>
      <c r="EA726" s="1372"/>
      <c r="EB726" s="1372"/>
      <c r="EC726" s="1372"/>
      <c r="ED726" s="1372"/>
      <c r="EE726" s="1372">
        <f t="shared" si="26"/>
        <v>0</v>
      </c>
      <c r="EF726" s="1372"/>
      <c r="EG726" s="1372"/>
      <c r="EH726" s="1372"/>
      <c r="EI726" s="1372"/>
      <c r="EJ726" s="1372">
        <f t="shared" si="27"/>
        <v>0</v>
      </c>
      <c r="EK726" s="1372"/>
      <c r="EL726" s="1372"/>
      <c r="EM726" s="1372"/>
      <c r="EN726" s="1372"/>
      <c r="EO726" s="1372">
        <f t="shared" si="28"/>
        <v>0</v>
      </c>
      <c r="EP726" s="1372"/>
      <c r="EQ726" s="1372"/>
      <c r="ER726" s="1372"/>
      <c r="ES726" s="1372"/>
      <c r="ET726" s="1372">
        <f t="shared" si="29"/>
        <v>0</v>
      </c>
      <c r="EU726" s="1372"/>
      <c r="EV726" s="1372"/>
      <c r="EW726" s="1372"/>
      <c r="EX726" s="1372"/>
      <c r="EY726" s="4"/>
      <c r="EZ726" s="1355" t="str">
        <f t="shared" si="30"/>
        <v/>
      </c>
      <c r="FA726" s="1356"/>
      <c r="FB726" s="1356"/>
      <c r="FC726" s="1356"/>
      <c r="FD726" s="1357"/>
      <c r="FE726" s="1355" t="str">
        <f t="shared" si="31"/>
        <v/>
      </c>
      <c r="FF726" s="1356"/>
      <c r="FG726" s="1356"/>
      <c r="FH726" s="1356"/>
      <c r="FI726" s="1357"/>
      <c r="FJ726" s="1355" t="str">
        <f t="shared" si="32"/>
        <v/>
      </c>
      <c r="FK726" s="1356"/>
      <c r="FL726" s="1356"/>
      <c r="FM726" s="1356"/>
      <c r="FN726" s="1357"/>
      <c r="FO726" s="1355">
        <f t="shared" si="33"/>
        <v>3477</v>
      </c>
      <c r="FP726" s="1356"/>
      <c r="FQ726" s="1356"/>
      <c r="FR726" s="1356"/>
      <c r="FS726" s="1357"/>
      <c r="FT726" s="1355" t="str">
        <f t="shared" si="34"/>
        <v/>
      </c>
      <c r="FU726" s="1356"/>
      <c r="FV726" s="1356"/>
      <c r="FW726" s="1356"/>
      <c r="FX726" s="1357"/>
      <c r="FY726" s="1355" t="str">
        <f t="shared" si="35"/>
        <v/>
      </c>
      <c r="FZ726" s="1356"/>
      <c r="GA726" s="1356"/>
      <c r="GB726" s="1356"/>
      <c r="GC726" s="1357"/>
    </row>
    <row r="727" spans="1:185" ht="13" customHeight="1">
      <c r="A727" s="4"/>
      <c r="B727" s="1359"/>
      <c r="C727" s="1360"/>
      <c r="D727" s="1360"/>
      <c r="E727" s="1360"/>
      <c r="F727" s="1361"/>
      <c r="G727" s="1368"/>
      <c r="H727" s="1369"/>
      <c r="I727" s="1369"/>
      <c r="J727" s="1370"/>
      <c r="K727" s="1584"/>
      <c r="L727" s="1585"/>
      <c r="M727" s="1585"/>
      <c r="N727" s="1586"/>
      <c r="O727" s="1450"/>
      <c r="P727" s="1451"/>
      <c r="Q727" s="1451"/>
      <c r="R727" s="1451"/>
      <c r="S727" s="1452"/>
      <c r="T727" s="1450"/>
      <c r="U727" s="1451"/>
      <c r="V727" s="1451"/>
      <c r="W727" s="1452"/>
      <c r="X727" s="1362">
        <f t="shared" si="8"/>
        <v>0</v>
      </c>
      <c r="Y727" s="1363"/>
      <c r="Z727" s="1363"/>
      <c r="AA727" s="1363"/>
      <c r="AB727" s="1364"/>
      <c r="AC727" s="1593"/>
      <c r="AD727" s="1594"/>
      <c r="AE727" s="1594"/>
      <c r="AF727" s="1594"/>
      <c r="AG727" s="1595"/>
      <c r="AH727" s="1365" t="str">
        <f t="shared" si="36"/>
        <v/>
      </c>
      <c r="AI727" s="1366"/>
      <c r="AJ727" s="1367"/>
      <c r="AK727" s="1359" t="s">
        <v>591</v>
      </c>
      <c r="AL727" s="1360"/>
      <c r="AM727" s="1360"/>
      <c r="AN727" s="1360"/>
      <c r="AO727" s="1361"/>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355">
        <f t="shared" si="37"/>
        <v>0</v>
      </c>
      <c r="CH727" s="1357"/>
      <c r="CI727" s="1339">
        <f t="shared" si="38"/>
        <v>0</v>
      </c>
      <c r="CJ727" s="1341"/>
      <c r="CK727" s="1355">
        <f t="shared" si="16"/>
        <v>0</v>
      </c>
      <c r="CL727" s="1357"/>
      <c r="CM727" s="1339">
        <f t="shared" si="17"/>
        <v>0</v>
      </c>
      <c r="CN727" s="1341"/>
      <c r="CO727" s="3"/>
      <c r="CP727" s="1336">
        <f t="shared" si="18"/>
        <v>0</v>
      </c>
      <c r="CQ727" s="1337"/>
      <c r="CR727" s="1337"/>
      <c r="CS727" s="1337"/>
      <c r="CT727" s="1338"/>
      <c r="CU727" s="1358">
        <f t="shared" si="19"/>
        <v>0</v>
      </c>
      <c r="CV727" s="1358"/>
      <c r="CW727" s="1358"/>
      <c r="CX727" s="1358"/>
      <c r="CY727" s="1358"/>
      <c r="CZ727" s="1358">
        <f t="shared" si="20"/>
        <v>0</v>
      </c>
      <c r="DA727" s="1358"/>
      <c r="DB727" s="1358"/>
      <c r="DC727" s="1358"/>
      <c r="DD727" s="1358"/>
      <c r="DE727" s="1358">
        <f t="shared" si="21"/>
        <v>0</v>
      </c>
      <c r="DF727" s="1358"/>
      <c r="DG727" s="1358"/>
      <c r="DH727" s="1358"/>
      <c r="DI727" s="1358"/>
      <c r="DJ727" s="1358">
        <f t="shared" si="22"/>
        <v>0</v>
      </c>
      <c r="DK727" s="1358"/>
      <c r="DL727" s="1358"/>
      <c r="DM727" s="1358"/>
      <c r="DN727" s="1358"/>
      <c r="DO727" s="1358">
        <f t="shared" si="23"/>
        <v>0</v>
      </c>
      <c r="DP727" s="1358"/>
      <c r="DQ727" s="1358"/>
      <c r="DR727" s="1358"/>
      <c r="DS727" s="1358"/>
      <c r="DT727" s="6"/>
      <c r="DU727" s="1372">
        <f t="shared" si="24"/>
        <v>0</v>
      </c>
      <c r="DV727" s="1372"/>
      <c r="DW727" s="1372"/>
      <c r="DX727" s="1372"/>
      <c r="DY727" s="1372"/>
      <c r="DZ727" s="1372">
        <f t="shared" si="25"/>
        <v>0</v>
      </c>
      <c r="EA727" s="1372"/>
      <c r="EB727" s="1372"/>
      <c r="EC727" s="1372"/>
      <c r="ED727" s="1372"/>
      <c r="EE727" s="1372">
        <f t="shared" si="26"/>
        <v>0</v>
      </c>
      <c r="EF727" s="1372"/>
      <c r="EG727" s="1372"/>
      <c r="EH727" s="1372"/>
      <c r="EI727" s="1372"/>
      <c r="EJ727" s="1372">
        <f t="shared" si="27"/>
        <v>0</v>
      </c>
      <c r="EK727" s="1372"/>
      <c r="EL727" s="1372"/>
      <c r="EM727" s="1372"/>
      <c r="EN727" s="1372"/>
      <c r="EO727" s="1372">
        <f t="shared" si="28"/>
        <v>0</v>
      </c>
      <c r="EP727" s="1372"/>
      <c r="EQ727" s="1372"/>
      <c r="ER727" s="1372"/>
      <c r="ES727" s="1372"/>
      <c r="ET727" s="1372">
        <f t="shared" si="29"/>
        <v>0</v>
      </c>
      <c r="EU727" s="1372"/>
      <c r="EV727" s="1372"/>
      <c r="EW727" s="1372"/>
      <c r="EX727" s="1372"/>
      <c r="EY727" s="4"/>
      <c r="EZ727" s="1355" t="str">
        <f t="shared" si="30"/>
        <v/>
      </c>
      <c r="FA727" s="1356"/>
      <c r="FB727" s="1356"/>
      <c r="FC727" s="1356"/>
      <c r="FD727" s="1357"/>
      <c r="FE727" s="1355" t="str">
        <f t="shared" si="31"/>
        <v/>
      </c>
      <c r="FF727" s="1356"/>
      <c r="FG727" s="1356"/>
      <c r="FH727" s="1356"/>
      <c r="FI727" s="1357"/>
      <c r="FJ727" s="1355" t="str">
        <f t="shared" si="32"/>
        <v/>
      </c>
      <c r="FK727" s="1356"/>
      <c r="FL727" s="1356"/>
      <c r="FM727" s="1356"/>
      <c r="FN727" s="1357"/>
      <c r="FO727" s="1355" t="str">
        <f t="shared" si="33"/>
        <v/>
      </c>
      <c r="FP727" s="1356"/>
      <c r="FQ727" s="1356"/>
      <c r="FR727" s="1356"/>
      <c r="FS727" s="1357"/>
      <c r="FT727" s="1355" t="str">
        <f t="shared" si="34"/>
        <v/>
      </c>
      <c r="FU727" s="1356"/>
      <c r="FV727" s="1356"/>
      <c r="FW727" s="1356"/>
      <c r="FX727" s="1357"/>
      <c r="FY727" s="1355" t="str">
        <f t="shared" si="35"/>
        <v/>
      </c>
      <c r="FZ727" s="1356"/>
      <c r="GA727" s="1356"/>
      <c r="GB727" s="1356"/>
      <c r="GC727" s="1357"/>
    </row>
    <row r="728" spans="1:185" ht="13" customHeight="1">
      <c r="A728" s="4"/>
      <c r="B728" s="1359"/>
      <c r="C728" s="1360"/>
      <c r="D728" s="1360"/>
      <c r="E728" s="1360"/>
      <c r="F728" s="1361"/>
      <c r="G728" s="1368"/>
      <c r="H728" s="1369"/>
      <c r="I728" s="1369"/>
      <c r="J728" s="1370"/>
      <c r="K728" s="1584"/>
      <c r="L728" s="1585"/>
      <c r="M728" s="1585"/>
      <c r="N728" s="1586"/>
      <c r="O728" s="1450"/>
      <c r="P728" s="1451"/>
      <c r="Q728" s="1451"/>
      <c r="R728" s="1451"/>
      <c r="S728" s="1452"/>
      <c r="T728" s="1450"/>
      <c r="U728" s="1451"/>
      <c r="V728" s="1451"/>
      <c r="W728" s="1452"/>
      <c r="X728" s="1362">
        <f t="shared" si="8"/>
        <v>0</v>
      </c>
      <c r="Y728" s="1363"/>
      <c r="Z728" s="1363"/>
      <c r="AA728" s="1363"/>
      <c r="AB728" s="1364"/>
      <c r="AC728" s="1593"/>
      <c r="AD728" s="1594"/>
      <c r="AE728" s="1594"/>
      <c r="AF728" s="1594"/>
      <c r="AG728" s="1595"/>
      <c r="AH728" s="1365" t="str">
        <f t="shared" si="36"/>
        <v/>
      </c>
      <c r="AI728" s="1366"/>
      <c r="AJ728" s="1367"/>
      <c r="AK728" s="1359" t="s">
        <v>591</v>
      </c>
      <c r="AL728" s="1360"/>
      <c r="AM728" s="1360"/>
      <c r="AN728" s="1360"/>
      <c r="AO728" s="1361"/>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355">
        <f t="shared" si="37"/>
        <v>0</v>
      </c>
      <c r="CH728" s="1357"/>
      <c r="CI728" s="1339">
        <f t="shared" si="38"/>
        <v>0</v>
      </c>
      <c r="CJ728" s="1341"/>
      <c r="CK728" s="1355">
        <f t="shared" si="16"/>
        <v>0</v>
      </c>
      <c r="CL728" s="1357"/>
      <c r="CM728" s="1339">
        <f t="shared" si="17"/>
        <v>0</v>
      </c>
      <c r="CN728" s="1341"/>
      <c r="CO728" s="3"/>
      <c r="CP728" s="1336">
        <f t="shared" si="18"/>
        <v>0</v>
      </c>
      <c r="CQ728" s="1337"/>
      <c r="CR728" s="1337"/>
      <c r="CS728" s="1337"/>
      <c r="CT728" s="1338"/>
      <c r="CU728" s="1358">
        <f t="shared" si="19"/>
        <v>0</v>
      </c>
      <c r="CV728" s="1358"/>
      <c r="CW728" s="1358"/>
      <c r="CX728" s="1358"/>
      <c r="CY728" s="1358"/>
      <c r="CZ728" s="1358">
        <f t="shared" si="20"/>
        <v>0</v>
      </c>
      <c r="DA728" s="1358"/>
      <c r="DB728" s="1358"/>
      <c r="DC728" s="1358"/>
      <c r="DD728" s="1358"/>
      <c r="DE728" s="1358">
        <f t="shared" si="21"/>
        <v>0</v>
      </c>
      <c r="DF728" s="1358"/>
      <c r="DG728" s="1358"/>
      <c r="DH728" s="1358"/>
      <c r="DI728" s="1358"/>
      <c r="DJ728" s="1358">
        <f t="shared" si="22"/>
        <v>0</v>
      </c>
      <c r="DK728" s="1358"/>
      <c r="DL728" s="1358"/>
      <c r="DM728" s="1358"/>
      <c r="DN728" s="1358"/>
      <c r="DO728" s="1358">
        <f t="shared" si="23"/>
        <v>0</v>
      </c>
      <c r="DP728" s="1358"/>
      <c r="DQ728" s="1358"/>
      <c r="DR728" s="1358"/>
      <c r="DS728" s="1358"/>
      <c r="DT728" s="6"/>
      <c r="DU728" s="1372">
        <f t="shared" si="24"/>
        <v>0</v>
      </c>
      <c r="DV728" s="1372"/>
      <c r="DW728" s="1372"/>
      <c r="DX728" s="1372"/>
      <c r="DY728" s="1372"/>
      <c r="DZ728" s="1372">
        <f t="shared" si="25"/>
        <v>0</v>
      </c>
      <c r="EA728" s="1372"/>
      <c r="EB728" s="1372"/>
      <c r="EC728" s="1372"/>
      <c r="ED728" s="1372"/>
      <c r="EE728" s="1372">
        <f t="shared" si="26"/>
        <v>0</v>
      </c>
      <c r="EF728" s="1372"/>
      <c r="EG728" s="1372"/>
      <c r="EH728" s="1372"/>
      <c r="EI728" s="1372"/>
      <c r="EJ728" s="1372">
        <f t="shared" si="27"/>
        <v>0</v>
      </c>
      <c r="EK728" s="1372"/>
      <c r="EL728" s="1372"/>
      <c r="EM728" s="1372"/>
      <c r="EN728" s="1372"/>
      <c r="EO728" s="1372">
        <f t="shared" si="28"/>
        <v>0</v>
      </c>
      <c r="EP728" s="1372"/>
      <c r="EQ728" s="1372"/>
      <c r="ER728" s="1372"/>
      <c r="ES728" s="1372"/>
      <c r="ET728" s="1372">
        <f t="shared" si="29"/>
        <v>0</v>
      </c>
      <c r="EU728" s="1372"/>
      <c r="EV728" s="1372"/>
      <c r="EW728" s="1372"/>
      <c r="EX728" s="1372"/>
      <c r="EY728" s="4"/>
      <c r="EZ728" s="1355" t="str">
        <f t="shared" si="30"/>
        <v/>
      </c>
      <c r="FA728" s="1356"/>
      <c r="FB728" s="1356"/>
      <c r="FC728" s="1356"/>
      <c r="FD728" s="1357"/>
      <c r="FE728" s="1355" t="str">
        <f t="shared" si="31"/>
        <v/>
      </c>
      <c r="FF728" s="1356"/>
      <c r="FG728" s="1356"/>
      <c r="FH728" s="1356"/>
      <c r="FI728" s="1357"/>
      <c r="FJ728" s="1355" t="str">
        <f t="shared" si="32"/>
        <v/>
      </c>
      <c r="FK728" s="1356"/>
      <c r="FL728" s="1356"/>
      <c r="FM728" s="1356"/>
      <c r="FN728" s="1357"/>
      <c r="FO728" s="1355" t="str">
        <f t="shared" si="33"/>
        <v/>
      </c>
      <c r="FP728" s="1356"/>
      <c r="FQ728" s="1356"/>
      <c r="FR728" s="1356"/>
      <c r="FS728" s="1357"/>
      <c r="FT728" s="1355" t="str">
        <f t="shared" si="34"/>
        <v/>
      </c>
      <c r="FU728" s="1356"/>
      <c r="FV728" s="1356"/>
      <c r="FW728" s="1356"/>
      <c r="FX728" s="1357"/>
      <c r="FY728" s="1355" t="str">
        <f t="shared" si="35"/>
        <v/>
      </c>
      <c r="FZ728" s="1356"/>
      <c r="GA728" s="1356"/>
      <c r="GB728" s="1356"/>
      <c r="GC728" s="1357"/>
    </row>
    <row r="729" spans="1:185" ht="13" customHeight="1">
      <c r="A729" s="4"/>
      <c r="B729" s="1359"/>
      <c r="C729" s="1360"/>
      <c r="D729" s="1360"/>
      <c r="E729" s="1360"/>
      <c r="F729" s="1361"/>
      <c r="G729" s="1368"/>
      <c r="H729" s="1369"/>
      <c r="I729" s="1369"/>
      <c r="J729" s="1370"/>
      <c r="K729" s="1584"/>
      <c r="L729" s="1585"/>
      <c r="M729" s="1585"/>
      <c r="N729" s="1586"/>
      <c r="O729" s="1450"/>
      <c r="P729" s="1451"/>
      <c r="Q729" s="1451"/>
      <c r="R729" s="1451"/>
      <c r="S729" s="1452"/>
      <c r="T729" s="1450"/>
      <c r="U729" s="1451"/>
      <c r="V729" s="1451"/>
      <c r="W729" s="1452"/>
      <c r="X729" s="1362">
        <f t="shared" si="8"/>
        <v>0</v>
      </c>
      <c r="Y729" s="1363"/>
      <c r="Z729" s="1363"/>
      <c r="AA729" s="1363"/>
      <c r="AB729" s="1364"/>
      <c r="AC729" s="1593"/>
      <c r="AD729" s="1594"/>
      <c r="AE729" s="1594"/>
      <c r="AF729" s="1594"/>
      <c r="AG729" s="1595"/>
      <c r="AH729" s="1365" t="str">
        <f t="shared" si="36"/>
        <v/>
      </c>
      <c r="AI729" s="1366"/>
      <c r="AJ729" s="1367"/>
      <c r="AK729" s="1359" t="s">
        <v>591</v>
      </c>
      <c r="AL729" s="1360"/>
      <c r="AM729" s="1360"/>
      <c r="AN729" s="1360"/>
      <c r="AO729" s="1361"/>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355">
        <f t="shared" si="37"/>
        <v>0</v>
      </c>
      <c r="CH729" s="1357"/>
      <c r="CI729" s="1339">
        <f t="shared" si="38"/>
        <v>0</v>
      </c>
      <c r="CJ729" s="1341"/>
      <c r="CK729" s="1355">
        <f t="shared" si="16"/>
        <v>0</v>
      </c>
      <c r="CL729" s="1357"/>
      <c r="CM729" s="1339">
        <f t="shared" si="17"/>
        <v>0</v>
      </c>
      <c r="CN729" s="1341"/>
      <c r="CO729" s="3"/>
      <c r="CP729" s="1336">
        <f t="shared" si="18"/>
        <v>0</v>
      </c>
      <c r="CQ729" s="1337"/>
      <c r="CR729" s="1337"/>
      <c r="CS729" s="1337"/>
      <c r="CT729" s="1338"/>
      <c r="CU729" s="1358">
        <f t="shared" si="19"/>
        <v>0</v>
      </c>
      <c r="CV729" s="1358"/>
      <c r="CW729" s="1358"/>
      <c r="CX729" s="1358"/>
      <c r="CY729" s="1358"/>
      <c r="CZ729" s="1358">
        <f t="shared" si="20"/>
        <v>0</v>
      </c>
      <c r="DA729" s="1358"/>
      <c r="DB729" s="1358"/>
      <c r="DC729" s="1358"/>
      <c r="DD729" s="1358"/>
      <c r="DE729" s="1358">
        <f t="shared" si="21"/>
        <v>0</v>
      </c>
      <c r="DF729" s="1358"/>
      <c r="DG729" s="1358"/>
      <c r="DH729" s="1358"/>
      <c r="DI729" s="1358"/>
      <c r="DJ729" s="1358">
        <f t="shared" si="22"/>
        <v>0</v>
      </c>
      <c r="DK729" s="1358"/>
      <c r="DL729" s="1358"/>
      <c r="DM729" s="1358"/>
      <c r="DN729" s="1358"/>
      <c r="DO729" s="1358">
        <f t="shared" si="23"/>
        <v>0</v>
      </c>
      <c r="DP729" s="1358"/>
      <c r="DQ729" s="1358"/>
      <c r="DR729" s="1358"/>
      <c r="DS729" s="1358"/>
      <c r="DT729" s="6"/>
      <c r="DU729" s="1372">
        <f t="shared" si="24"/>
        <v>0</v>
      </c>
      <c r="DV729" s="1372"/>
      <c r="DW729" s="1372"/>
      <c r="DX729" s="1372"/>
      <c r="DY729" s="1372"/>
      <c r="DZ729" s="1372">
        <f t="shared" si="25"/>
        <v>0</v>
      </c>
      <c r="EA729" s="1372"/>
      <c r="EB729" s="1372"/>
      <c r="EC729" s="1372"/>
      <c r="ED729" s="1372"/>
      <c r="EE729" s="1372">
        <f t="shared" si="26"/>
        <v>0</v>
      </c>
      <c r="EF729" s="1372"/>
      <c r="EG729" s="1372"/>
      <c r="EH729" s="1372"/>
      <c r="EI729" s="1372"/>
      <c r="EJ729" s="1372">
        <f t="shared" si="27"/>
        <v>0</v>
      </c>
      <c r="EK729" s="1372"/>
      <c r="EL729" s="1372"/>
      <c r="EM729" s="1372"/>
      <c r="EN729" s="1372"/>
      <c r="EO729" s="1372">
        <f t="shared" si="28"/>
        <v>0</v>
      </c>
      <c r="EP729" s="1372"/>
      <c r="EQ729" s="1372"/>
      <c r="ER729" s="1372"/>
      <c r="ES729" s="1372"/>
      <c r="ET729" s="1372">
        <f t="shared" si="29"/>
        <v>0</v>
      </c>
      <c r="EU729" s="1372"/>
      <c r="EV729" s="1372"/>
      <c r="EW729" s="1372"/>
      <c r="EX729" s="1372"/>
      <c r="EZ729" s="1355" t="str">
        <f t="shared" si="30"/>
        <v/>
      </c>
      <c r="FA729" s="1356"/>
      <c r="FB729" s="1356"/>
      <c r="FC729" s="1356"/>
      <c r="FD729" s="1357"/>
      <c r="FE729" s="1355" t="str">
        <f t="shared" si="31"/>
        <v/>
      </c>
      <c r="FF729" s="1356"/>
      <c r="FG729" s="1356"/>
      <c r="FH729" s="1356"/>
      <c r="FI729" s="1357"/>
      <c r="FJ729" s="1355" t="str">
        <f t="shared" si="32"/>
        <v/>
      </c>
      <c r="FK729" s="1356"/>
      <c r="FL729" s="1356"/>
      <c r="FM729" s="1356"/>
      <c r="FN729" s="1357"/>
      <c r="FO729" s="1355" t="str">
        <f t="shared" si="33"/>
        <v/>
      </c>
      <c r="FP729" s="1356"/>
      <c r="FQ729" s="1356"/>
      <c r="FR729" s="1356"/>
      <c r="FS729" s="1357"/>
      <c r="FT729" s="1355" t="str">
        <f t="shared" si="34"/>
        <v/>
      </c>
      <c r="FU729" s="1356"/>
      <c r="FV729" s="1356"/>
      <c r="FW729" s="1356"/>
      <c r="FX729" s="1357"/>
      <c r="FY729" s="1355" t="str">
        <f t="shared" si="35"/>
        <v/>
      </c>
      <c r="FZ729" s="1356"/>
      <c r="GA729" s="1356"/>
      <c r="GB729" s="1356"/>
      <c r="GC729" s="1357"/>
    </row>
    <row r="730" spans="1:185" ht="13" customHeight="1">
      <c r="B730" s="1359"/>
      <c r="C730" s="1360"/>
      <c r="D730" s="1360"/>
      <c r="E730" s="1360"/>
      <c r="F730" s="1361"/>
      <c r="G730" s="1368"/>
      <c r="H730" s="1369"/>
      <c r="I730" s="1369"/>
      <c r="J730" s="1370"/>
      <c r="K730" s="1584"/>
      <c r="L730" s="1585"/>
      <c r="M730" s="1585"/>
      <c r="N730" s="1586"/>
      <c r="O730" s="1450"/>
      <c r="P730" s="1451"/>
      <c r="Q730" s="1451"/>
      <c r="R730" s="1451"/>
      <c r="S730" s="1452"/>
      <c r="T730" s="1450"/>
      <c r="U730" s="1451"/>
      <c r="V730" s="1451"/>
      <c r="W730" s="1452"/>
      <c r="X730" s="1362">
        <f t="shared" si="8"/>
        <v>0</v>
      </c>
      <c r="Y730" s="1363"/>
      <c r="Z730" s="1363"/>
      <c r="AA730" s="1363"/>
      <c r="AB730" s="1364"/>
      <c r="AC730" s="1593"/>
      <c r="AD730" s="1594"/>
      <c r="AE730" s="1594"/>
      <c r="AF730" s="1594"/>
      <c r="AG730" s="1595"/>
      <c r="AH730" s="1365" t="str">
        <f t="shared" si="36"/>
        <v/>
      </c>
      <c r="AI730" s="1366"/>
      <c r="AJ730" s="1367"/>
      <c r="AK730" s="1359" t="s">
        <v>591</v>
      </c>
      <c r="AL730" s="1360"/>
      <c r="AM730" s="1360"/>
      <c r="AN730" s="1360"/>
      <c r="AO730" s="1361"/>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355">
        <f t="shared" si="37"/>
        <v>0</v>
      </c>
      <c r="CH730" s="1357"/>
      <c r="CI730" s="1339">
        <f t="shared" si="38"/>
        <v>0</v>
      </c>
      <c r="CJ730" s="1341"/>
      <c r="CK730" s="1355">
        <f t="shared" si="16"/>
        <v>0</v>
      </c>
      <c r="CL730" s="1357"/>
      <c r="CM730" s="1339">
        <f t="shared" si="17"/>
        <v>0</v>
      </c>
      <c r="CN730" s="1341"/>
      <c r="CO730" s="3"/>
      <c r="CP730" s="1336">
        <f t="shared" si="18"/>
        <v>0</v>
      </c>
      <c r="CQ730" s="1337"/>
      <c r="CR730" s="1337"/>
      <c r="CS730" s="1337"/>
      <c r="CT730" s="1338"/>
      <c r="CU730" s="1358">
        <f t="shared" si="19"/>
        <v>0</v>
      </c>
      <c r="CV730" s="1358"/>
      <c r="CW730" s="1358"/>
      <c r="CX730" s="1358"/>
      <c r="CY730" s="1358"/>
      <c r="CZ730" s="1358">
        <f t="shared" si="20"/>
        <v>0</v>
      </c>
      <c r="DA730" s="1358"/>
      <c r="DB730" s="1358"/>
      <c r="DC730" s="1358"/>
      <c r="DD730" s="1358"/>
      <c r="DE730" s="1358">
        <f t="shared" si="21"/>
        <v>0</v>
      </c>
      <c r="DF730" s="1358"/>
      <c r="DG730" s="1358"/>
      <c r="DH730" s="1358"/>
      <c r="DI730" s="1358"/>
      <c r="DJ730" s="1358">
        <f t="shared" si="22"/>
        <v>0</v>
      </c>
      <c r="DK730" s="1358"/>
      <c r="DL730" s="1358"/>
      <c r="DM730" s="1358"/>
      <c r="DN730" s="1358"/>
      <c r="DO730" s="1358">
        <f t="shared" si="23"/>
        <v>0</v>
      </c>
      <c r="DP730" s="1358"/>
      <c r="DQ730" s="1358"/>
      <c r="DR730" s="1358"/>
      <c r="DS730" s="1358"/>
      <c r="DT730" s="6"/>
      <c r="DU730" s="1372">
        <f t="shared" si="24"/>
        <v>0</v>
      </c>
      <c r="DV730" s="1372"/>
      <c r="DW730" s="1372"/>
      <c r="DX730" s="1372"/>
      <c r="DY730" s="1372"/>
      <c r="DZ730" s="1372">
        <f t="shared" si="25"/>
        <v>0</v>
      </c>
      <c r="EA730" s="1372"/>
      <c r="EB730" s="1372"/>
      <c r="EC730" s="1372"/>
      <c r="ED730" s="1372"/>
      <c r="EE730" s="1372">
        <f t="shared" si="26"/>
        <v>0</v>
      </c>
      <c r="EF730" s="1372"/>
      <c r="EG730" s="1372"/>
      <c r="EH730" s="1372"/>
      <c r="EI730" s="1372"/>
      <c r="EJ730" s="1372">
        <f t="shared" si="27"/>
        <v>0</v>
      </c>
      <c r="EK730" s="1372"/>
      <c r="EL730" s="1372"/>
      <c r="EM730" s="1372"/>
      <c r="EN730" s="1372"/>
      <c r="EO730" s="1372">
        <f t="shared" si="28"/>
        <v>0</v>
      </c>
      <c r="EP730" s="1372"/>
      <c r="EQ730" s="1372"/>
      <c r="ER730" s="1372"/>
      <c r="ES730" s="1372"/>
      <c r="ET730" s="1372">
        <f t="shared" si="29"/>
        <v>0</v>
      </c>
      <c r="EU730" s="1372"/>
      <c r="EV730" s="1372"/>
      <c r="EW730" s="1372"/>
      <c r="EX730" s="1372"/>
      <c r="EZ730" s="1355" t="str">
        <f t="shared" si="30"/>
        <v/>
      </c>
      <c r="FA730" s="1356"/>
      <c r="FB730" s="1356"/>
      <c r="FC730" s="1356"/>
      <c r="FD730" s="1357"/>
      <c r="FE730" s="1355" t="str">
        <f t="shared" si="31"/>
        <v/>
      </c>
      <c r="FF730" s="1356"/>
      <c r="FG730" s="1356"/>
      <c r="FH730" s="1356"/>
      <c r="FI730" s="1357"/>
      <c r="FJ730" s="1355" t="str">
        <f t="shared" si="32"/>
        <v/>
      </c>
      <c r="FK730" s="1356"/>
      <c r="FL730" s="1356"/>
      <c r="FM730" s="1356"/>
      <c r="FN730" s="1357"/>
      <c r="FO730" s="1355" t="str">
        <f t="shared" si="33"/>
        <v/>
      </c>
      <c r="FP730" s="1356"/>
      <c r="FQ730" s="1356"/>
      <c r="FR730" s="1356"/>
      <c r="FS730" s="1357"/>
      <c r="FT730" s="1355" t="str">
        <f t="shared" si="34"/>
        <v/>
      </c>
      <c r="FU730" s="1356"/>
      <c r="FV730" s="1356"/>
      <c r="FW730" s="1356"/>
      <c r="FX730" s="1357"/>
      <c r="FY730" s="1355" t="str">
        <f t="shared" si="35"/>
        <v/>
      </c>
      <c r="FZ730" s="1356"/>
      <c r="GA730" s="1356"/>
      <c r="GB730" s="1356"/>
      <c r="GC730" s="1357"/>
    </row>
    <row r="731" spans="1:185" ht="13" customHeight="1">
      <c r="B731" s="1359"/>
      <c r="C731" s="1360"/>
      <c r="D731" s="1360"/>
      <c r="E731" s="1360"/>
      <c r="F731" s="1361"/>
      <c r="G731" s="1368"/>
      <c r="H731" s="1369"/>
      <c r="I731" s="1369"/>
      <c r="J731" s="1370"/>
      <c r="K731" s="1584"/>
      <c r="L731" s="1585"/>
      <c r="M731" s="1585"/>
      <c r="N731" s="1586"/>
      <c r="O731" s="1450"/>
      <c r="P731" s="1451"/>
      <c r="Q731" s="1451"/>
      <c r="R731" s="1451"/>
      <c r="S731" s="1452"/>
      <c r="T731" s="1450"/>
      <c r="U731" s="1451"/>
      <c r="V731" s="1451"/>
      <c r="W731" s="1452"/>
      <c r="X731" s="1362">
        <f t="shared" si="8"/>
        <v>0</v>
      </c>
      <c r="Y731" s="1363"/>
      <c r="Z731" s="1363"/>
      <c r="AA731" s="1363"/>
      <c r="AB731" s="1364"/>
      <c r="AC731" s="1593"/>
      <c r="AD731" s="1594"/>
      <c r="AE731" s="1594"/>
      <c r="AF731" s="1594"/>
      <c r="AG731" s="1595"/>
      <c r="AH731" s="1365" t="str">
        <f t="shared" si="36"/>
        <v/>
      </c>
      <c r="AI731" s="1366"/>
      <c r="AJ731" s="1367"/>
      <c r="AK731" s="1359" t="s">
        <v>591</v>
      </c>
      <c r="AL731" s="1360"/>
      <c r="AM731" s="1360"/>
      <c r="AN731" s="1360"/>
      <c r="AO731" s="1361"/>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55">
        <f t="shared" si="37"/>
        <v>0</v>
      </c>
      <c r="CH731" s="1357"/>
      <c r="CI731" s="1339">
        <f t="shared" si="38"/>
        <v>0</v>
      </c>
      <c r="CJ731" s="1341"/>
      <c r="CK731" s="1355">
        <f t="shared" si="16"/>
        <v>0</v>
      </c>
      <c r="CL731" s="1357"/>
      <c r="CM731" s="1339">
        <f t="shared" si="17"/>
        <v>0</v>
      </c>
      <c r="CN731" s="1341"/>
      <c r="CO731" s="3"/>
      <c r="CP731" s="1336">
        <f t="shared" si="18"/>
        <v>0</v>
      </c>
      <c r="CQ731" s="1337"/>
      <c r="CR731" s="1337"/>
      <c r="CS731" s="1337"/>
      <c r="CT731" s="1338"/>
      <c r="CU731" s="1358">
        <f t="shared" si="19"/>
        <v>0</v>
      </c>
      <c r="CV731" s="1358"/>
      <c r="CW731" s="1358"/>
      <c r="CX731" s="1358"/>
      <c r="CY731" s="1358"/>
      <c r="CZ731" s="1358">
        <f t="shared" si="20"/>
        <v>0</v>
      </c>
      <c r="DA731" s="1358"/>
      <c r="DB731" s="1358"/>
      <c r="DC731" s="1358"/>
      <c r="DD731" s="1358"/>
      <c r="DE731" s="1358">
        <f t="shared" si="21"/>
        <v>0</v>
      </c>
      <c r="DF731" s="1358"/>
      <c r="DG731" s="1358"/>
      <c r="DH731" s="1358"/>
      <c r="DI731" s="1358"/>
      <c r="DJ731" s="1358">
        <f t="shared" si="22"/>
        <v>0</v>
      </c>
      <c r="DK731" s="1358"/>
      <c r="DL731" s="1358"/>
      <c r="DM731" s="1358"/>
      <c r="DN731" s="1358"/>
      <c r="DO731" s="1358">
        <f t="shared" si="23"/>
        <v>0</v>
      </c>
      <c r="DP731" s="1358"/>
      <c r="DQ731" s="1358"/>
      <c r="DR731" s="1358"/>
      <c r="DS731" s="1358"/>
      <c r="DT731" s="6"/>
      <c r="DU731" s="1372">
        <f t="shared" si="24"/>
        <v>0</v>
      </c>
      <c r="DV731" s="1372"/>
      <c r="DW731" s="1372"/>
      <c r="DX731" s="1372"/>
      <c r="DY731" s="1372"/>
      <c r="DZ731" s="1372">
        <f t="shared" si="25"/>
        <v>0</v>
      </c>
      <c r="EA731" s="1372"/>
      <c r="EB731" s="1372"/>
      <c r="EC731" s="1372"/>
      <c r="ED731" s="1372"/>
      <c r="EE731" s="1372">
        <f t="shared" si="26"/>
        <v>0</v>
      </c>
      <c r="EF731" s="1372"/>
      <c r="EG731" s="1372"/>
      <c r="EH731" s="1372"/>
      <c r="EI731" s="1372"/>
      <c r="EJ731" s="1372">
        <f t="shared" si="27"/>
        <v>0</v>
      </c>
      <c r="EK731" s="1372"/>
      <c r="EL731" s="1372"/>
      <c r="EM731" s="1372"/>
      <c r="EN731" s="1372"/>
      <c r="EO731" s="1372">
        <f t="shared" si="28"/>
        <v>0</v>
      </c>
      <c r="EP731" s="1372"/>
      <c r="EQ731" s="1372"/>
      <c r="ER731" s="1372"/>
      <c r="ES731" s="1372"/>
      <c r="ET731" s="1372">
        <f t="shared" si="29"/>
        <v>0</v>
      </c>
      <c r="EU731" s="1372"/>
      <c r="EV731" s="1372"/>
      <c r="EW731" s="1372"/>
      <c r="EX731" s="1372"/>
      <c r="EZ731" s="1355" t="str">
        <f t="shared" si="30"/>
        <v/>
      </c>
      <c r="FA731" s="1356"/>
      <c r="FB731" s="1356"/>
      <c r="FC731" s="1356"/>
      <c r="FD731" s="1357"/>
      <c r="FE731" s="1355" t="str">
        <f t="shared" si="31"/>
        <v/>
      </c>
      <c r="FF731" s="1356"/>
      <c r="FG731" s="1356"/>
      <c r="FH731" s="1356"/>
      <c r="FI731" s="1357"/>
      <c r="FJ731" s="1355" t="str">
        <f t="shared" si="32"/>
        <v/>
      </c>
      <c r="FK731" s="1356"/>
      <c r="FL731" s="1356"/>
      <c r="FM731" s="1356"/>
      <c r="FN731" s="1357"/>
      <c r="FO731" s="1355" t="str">
        <f t="shared" si="33"/>
        <v/>
      </c>
      <c r="FP731" s="1356"/>
      <c r="FQ731" s="1356"/>
      <c r="FR731" s="1356"/>
      <c r="FS731" s="1357"/>
      <c r="FT731" s="1355" t="str">
        <f t="shared" si="34"/>
        <v/>
      </c>
      <c r="FU731" s="1356"/>
      <c r="FV731" s="1356"/>
      <c r="FW731" s="1356"/>
      <c r="FX731" s="1357"/>
      <c r="FY731" s="1355" t="str">
        <f t="shared" si="35"/>
        <v/>
      </c>
      <c r="FZ731" s="1356"/>
      <c r="GA731" s="1356"/>
      <c r="GB731" s="1356"/>
      <c r="GC731" s="1357"/>
    </row>
    <row r="732" spans="1:185" ht="13" customHeight="1">
      <c r="B732" s="1359"/>
      <c r="C732" s="1360"/>
      <c r="D732" s="1360"/>
      <c r="E732" s="1360"/>
      <c r="F732" s="1361"/>
      <c r="G732" s="1368"/>
      <c r="H732" s="1369"/>
      <c r="I732" s="1369"/>
      <c r="J732" s="1370"/>
      <c r="K732" s="1584"/>
      <c r="L732" s="1585"/>
      <c r="M732" s="1585"/>
      <c r="N732" s="1586"/>
      <c r="O732" s="1450"/>
      <c r="P732" s="1451"/>
      <c r="Q732" s="1451"/>
      <c r="R732" s="1451"/>
      <c r="S732" s="1452"/>
      <c r="T732" s="1450"/>
      <c r="U732" s="1451"/>
      <c r="V732" s="1451"/>
      <c r="W732" s="1452"/>
      <c r="X732" s="1362">
        <f t="shared" si="8"/>
        <v>0</v>
      </c>
      <c r="Y732" s="1363"/>
      <c r="Z732" s="1363"/>
      <c r="AA732" s="1363"/>
      <c r="AB732" s="1364"/>
      <c r="AC732" s="1593"/>
      <c r="AD732" s="1594"/>
      <c r="AE732" s="1594"/>
      <c r="AF732" s="1594"/>
      <c r="AG732" s="1595"/>
      <c r="AH732" s="1365" t="str">
        <f t="shared" si="36"/>
        <v/>
      </c>
      <c r="AI732" s="1366"/>
      <c r="AJ732" s="1367"/>
      <c r="AK732" s="1359" t="s">
        <v>591</v>
      </c>
      <c r="AL732" s="1360"/>
      <c r="AM732" s="1360"/>
      <c r="AN732" s="1360"/>
      <c r="AO732" s="1361"/>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5">
        <f t="shared" si="37"/>
        <v>0</v>
      </c>
      <c r="CH732" s="1357"/>
      <c r="CI732" s="1339">
        <f t="shared" si="38"/>
        <v>0</v>
      </c>
      <c r="CJ732" s="1341"/>
      <c r="CK732" s="1355">
        <f t="shared" si="16"/>
        <v>0</v>
      </c>
      <c r="CL732" s="1357"/>
      <c r="CM732" s="1339">
        <f t="shared" si="17"/>
        <v>0</v>
      </c>
      <c r="CN732" s="1341"/>
      <c r="CO732" s="3"/>
      <c r="CP732" s="1336">
        <f t="shared" si="18"/>
        <v>0</v>
      </c>
      <c r="CQ732" s="1337"/>
      <c r="CR732" s="1337"/>
      <c r="CS732" s="1337"/>
      <c r="CT732" s="1338"/>
      <c r="CU732" s="1358">
        <f t="shared" si="19"/>
        <v>0</v>
      </c>
      <c r="CV732" s="1358"/>
      <c r="CW732" s="1358"/>
      <c r="CX732" s="1358"/>
      <c r="CY732" s="1358"/>
      <c r="CZ732" s="1358">
        <f t="shared" si="20"/>
        <v>0</v>
      </c>
      <c r="DA732" s="1358"/>
      <c r="DB732" s="1358"/>
      <c r="DC732" s="1358"/>
      <c r="DD732" s="1358"/>
      <c r="DE732" s="1358">
        <f t="shared" si="21"/>
        <v>0</v>
      </c>
      <c r="DF732" s="1358"/>
      <c r="DG732" s="1358"/>
      <c r="DH732" s="1358"/>
      <c r="DI732" s="1358"/>
      <c r="DJ732" s="1358">
        <f t="shared" si="22"/>
        <v>0</v>
      </c>
      <c r="DK732" s="1358"/>
      <c r="DL732" s="1358"/>
      <c r="DM732" s="1358"/>
      <c r="DN732" s="1358"/>
      <c r="DO732" s="1358">
        <f t="shared" si="23"/>
        <v>0</v>
      </c>
      <c r="DP732" s="1358"/>
      <c r="DQ732" s="1358"/>
      <c r="DR732" s="1358"/>
      <c r="DS732" s="1358"/>
      <c r="DT732" s="6"/>
      <c r="DU732" s="1372">
        <f t="shared" si="24"/>
        <v>0</v>
      </c>
      <c r="DV732" s="1372"/>
      <c r="DW732" s="1372"/>
      <c r="DX732" s="1372"/>
      <c r="DY732" s="1372"/>
      <c r="DZ732" s="1372">
        <f t="shared" si="25"/>
        <v>0</v>
      </c>
      <c r="EA732" s="1372"/>
      <c r="EB732" s="1372"/>
      <c r="EC732" s="1372"/>
      <c r="ED732" s="1372"/>
      <c r="EE732" s="1372">
        <f t="shared" si="26"/>
        <v>0</v>
      </c>
      <c r="EF732" s="1372"/>
      <c r="EG732" s="1372"/>
      <c r="EH732" s="1372"/>
      <c r="EI732" s="1372"/>
      <c r="EJ732" s="1372">
        <f t="shared" si="27"/>
        <v>0</v>
      </c>
      <c r="EK732" s="1372"/>
      <c r="EL732" s="1372"/>
      <c r="EM732" s="1372"/>
      <c r="EN732" s="1372"/>
      <c r="EO732" s="1372">
        <f t="shared" si="28"/>
        <v>0</v>
      </c>
      <c r="EP732" s="1372"/>
      <c r="EQ732" s="1372"/>
      <c r="ER732" s="1372"/>
      <c r="ES732" s="1372"/>
      <c r="ET732" s="1372">
        <f t="shared" si="29"/>
        <v>0</v>
      </c>
      <c r="EU732" s="1372"/>
      <c r="EV732" s="1372"/>
      <c r="EW732" s="1372"/>
      <c r="EX732" s="1372"/>
      <c r="EZ732" s="1355" t="str">
        <f t="shared" si="30"/>
        <v/>
      </c>
      <c r="FA732" s="1356"/>
      <c r="FB732" s="1356"/>
      <c r="FC732" s="1356"/>
      <c r="FD732" s="1357"/>
      <c r="FE732" s="1355" t="str">
        <f t="shared" si="31"/>
        <v/>
      </c>
      <c r="FF732" s="1356"/>
      <c r="FG732" s="1356"/>
      <c r="FH732" s="1356"/>
      <c r="FI732" s="1357"/>
      <c r="FJ732" s="1355" t="str">
        <f t="shared" si="32"/>
        <v/>
      </c>
      <c r="FK732" s="1356"/>
      <c r="FL732" s="1356"/>
      <c r="FM732" s="1356"/>
      <c r="FN732" s="1357"/>
      <c r="FO732" s="1355" t="str">
        <f t="shared" si="33"/>
        <v/>
      </c>
      <c r="FP732" s="1356"/>
      <c r="FQ732" s="1356"/>
      <c r="FR732" s="1356"/>
      <c r="FS732" s="1357"/>
      <c r="FT732" s="1355" t="str">
        <f t="shared" si="34"/>
        <v/>
      </c>
      <c r="FU732" s="1356"/>
      <c r="FV732" s="1356"/>
      <c r="FW732" s="1356"/>
      <c r="FX732" s="1357"/>
      <c r="FY732" s="1355" t="str">
        <f t="shared" si="35"/>
        <v/>
      </c>
      <c r="FZ732" s="1356"/>
      <c r="GA732" s="1356"/>
      <c r="GB732" s="1356"/>
      <c r="GC732" s="1357"/>
    </row>
    <row r="733" spans="1:185" ht="13" customHeight="1">
      <c r="B733" s="1359"/>
      <c r="C733" s="1360"/>
      <c r="D733" s="1360"/>
      <c r="E733" s="1360"/>
      <c r="F733" s="1361"/>
      <c r="G733" s="1368"/>
      <c r="H733" s="1369"/>
      <c r="I733" s="1369"/>
      <c r="J733" s="1370"/>
      <c r="K733" s="1584"/>
      <c r="L733" s="1585"/>
      <c r="M733" s="1585"/>
      <c r="N733" s="1586"/>
      <c r="O733" s="1450"/>
      <c r="P733" s="1451"/>
      <c r="Q733" s="1451"/>
      <c r="R733" s="1451"/>
      <c r="S733" s="1452"/>
      <c r="T733" s="1450"/>
      <c r="U733" s="1451"/>
      <c r="V733" s="1451"/>
      <c r="W733" s="1452"/>
      <c r="X733" s="1362">
        <f t="shared" si="8"/>
        <v>0</v>
      </c>
      <c r="Y733" s="1363"/>
      <c r="Z733" s="1363"/>
      <c r="AA733" s="1363"/>
      <c r="AB733" s="1364"/>
      <c r="AC733" s="1593"/>
      <c r="AD733" s="1594"/>
      <c r="AE733" s="1594"/>
      <c r="AF733" s="1594"/>
      <c r="AG733" s="1595"/>
      <c r="AH733" s="1365" t="str">
        <f t="shared" si="36"/>
        <v/>
      </c>
      <c r="AI733" s="1366"/>
      <c r="AJ733" s="1367"/>
      <c r="AK733" s="1359" t="s">
        <v>591</v>
      </c>
      <c r="AL733" s="1360"/>
      <c r="AM733" s="1360"/>
      <c r="AN733" s="1360"/>
      <c r="AO733" s="1361"/>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5">
        <f t="shared" si="37"/>
        <v>0</v>
      </c>
      <c r="CH733" s="1357"/>
      <c r="CI733" s="1339">
        <f t="shared" si="38"/>
        <v>0</v>
      </c>
      <c r="CJ733" s="1341"/>
      <c r="CK733" s="1355">
        <f t="shared" si="16"/>
        <v>0</v>
      </c>
      <c r="CL733" s="1357"/>
      <c r="CM733" s="1339">
        <f t="shared" si="17"/>
        <v>0</v>
      </c>
      <c r="CN733" s="1341"/>
      <c r="CO733" s="3"/>
      <c r="CP733" s="1336">
        <f t="shared" si="18"/>
        <v>0</v>
      </c>
      <c r="CQ733" s="1337"/>
      <c r="CR733" s="1337"/>
      <c r="CS733" s="1337"/>
      <c r="CT733" s="1338"/>
      <c r="CU733" s="1358">
        <f t="shared" si="19"/>
        <v>0</v>
      </c>
      <c r="CV733" s="1358"/>
      <c r="CW733" s="1358"/>
      <c r="CX733" s="1358"/>
      <c r="CY733" s="1358"/>
      <c r="CZ733" s="1358">
        <f t="shared" si="20"/>
        <v>0</v>
      </c>
      <c r="DA733" s="1358"/>
      <c r="DB733" s="1358"/>
      <c r="DC733" s="1358"/>
      <c r="DD733" s="1358"/>
      <c r="DE733" s="1358">
        <f t="shared" si="21"/>
        <v>0</v>
      </c>
      <c r="DF733" s="1358"/>
      <c r="DG733" s="1358"/>
      <c r="DH733" s="1358"/>
      <c r="DI733" s="1358"/>
      <c r="DJ733" s="1358">
        <f t="shared" si="22"/>
        <v>0</v>
      </c>
      <c r="DK733" s="1358"/>
      <c r="DL733" s="1358"/>
      <c r="DM733" s="1358"/>
      <c r="DN733" s="1358"/>
      <c r="DO733" s="1358">
        <f t="shared" si="23"/>
        <v>0</v>
      </c>
      <c r="DP733" s="1358"/>
      <c r="DQ733" s="1358"/>
      <c r="DR733" s="1358"/>
      <c r="DS733" s="1358"/>
      <c r="DT733" s="6"/>
      <c r="DU733" s="1372">
        <f t="shared" si="24"/>
        <v>0</v>
      </c>
      <c r="DV733" s="1372"/>
      <c r="DW733" s="1372"/>
      <c r="DX733" s="1372"/>
      <c r="DY733" s="1372"/>
      <c r="DZ733" s="1372">
        <f t="shared" si="25"/>
        <v>0</v>
      </c>
      <c r="EA733" s="1372"/>
      <c r="EB733" s="1372"/>
      <c r="EC733" s="1372"/>
      <c r="ED733" s="1372"/>
      <c r="EE733" s="1372">
        <f t="shared" si="26"/>
        <v>0</v>
      </c>
      <c r="EF733" s="1372"/>
      <c r="EG733" s="1372"/>
      <c r="EH733" s="1372"/>
      <c r="EI733" s="1372"/>
      <c r="EJ733" s="1372">
        <f t="shared" si="27"/>
        <v>0</v>
      </c>
      <c r="EK733" s="1372"/>
      <c r="EL733" s="1372"/>
      <c r="EM733" s="1372"/>
      <c r="EN733" s="1372"/>
      <c r="EO733" s="1372">
        <f t="shared" si="28"/>
        <v>0</v>
      </c>
      <c r="EP733" s="1372"/>
      <c r="EQ733" s="1372"/>
      <c r="ER733" s="1372"/>
      <c r="ES733" s="1372"/>
      <c r="ET733" s="1372">
        <f t="shared" si="29"/>
        <v>0</v>
      </c>
      <c r="EU733" s="1372"/>
      <c r="EV733" s="1372"/>
      <c r="EW733" s="1372"/>
      <c r="EX733" s="1372"/>
      <c r="EZ733" s="1355" t="str">
        <f t="shared" si="30"/>
        <v/>
      </c>
      <c r="FA733" s="1356"/>
      <c r="FB733" s="1356"/>
      <c r="FC733" s="1356"/>
      <c r="FD733" s="1357"/>
      <c r="FE733" s="1355" t="str">
        <f t="shared" si="31"/>
        <v/>
      </c>
      <c r="FF733" s="1356"/>
      <c r="FG733" s="1356"/>
      <c r="FH733" s="1356"/>
      <c r="FI733" s="1357"/>
      <c r="FJ733" s="1355" t="str">
        <f t="shared" si="32"/>
        <v/>
      </c>
      <c r="FK733" s="1356"/>
      <c r="FL733" s="1356"/>
      <c r="FM733" s="1356"/>
      <c r="FN733" s="1357"/>
      <c r="FO733" s="1355" t="str">
        <f t="shared" si="33"/>
        <v/>
      </c>
      <c r="FP733" s="1356"/>
      <c r="FQ733" s="1356"/>
      <c r="FR733" s="1356"/>
      <c r="FS733" s="1357"/>
      <c r="FT733" s="1355" t="str">
        <f t="shared" si="34"/>
        <v/>
      </c>
      <c r="FU733" s="1356"/>
      <c r="FV733" s="1356"/>
      <c r="FW733" s="1356"/>
      <c r="FX733" s="1357"/>
      <c r="FY733" s="1355" t="str">
        <f t="shared" si="35"/>
        <v/>
      </c>
      <c r="FZ733" s="1356"/>
      <c r="GA733" s="1356"/>
      <c r="GB733" s="1356"/>
      <c r="GC733" s="1357"/>
    </row>
    <row r="734" spans="1:185" ht="13" customHeight="1">
      <c r="B734" s="1359"/>
      <c r="C734" s="1360"/>
      <c r="D734" s="1360"/>
      <c r="E734" s="1360"/>
      <c r="F734" s="1361"/>
      <c r="G734" s="1368"/>
      <c r="H734" s="1369"/>
      <c r="I734" s="1369"/>
      <c r="J734" s="1370"/>
      <c r="K734" s="1584"/>
      <c r="L734" s="1585"/>
      <c r="M734" s="1585"/>
      <c r="N734" s="1586"/>
      <c r="O734" s="1450"/>
      <c r="P734" s="1451"/>
      <c r="Q734" s="1451"/>
      <c r="R734" s="1451"/>
      <c r="S734" s="1452"/>
      <c r="T734" s="1450"/>
      <c r="U734" s="1451"/>
      <c r="V734" s="1451"/>
      <c r="W734" s="1452"/>
      <c r="X734" s="1362">
        <f t="shared" si="8"/>
        <v>0</v>
      </c>
      <c r="Y734" s="1363"/>
      <c r="Z734" s="1363"/>
      <c r="AA734" s="1363"/>
      <c r="AB734" s="1364"/>
      <c r="AC734" s="1593"/>
      <c r="AD734" s="1594"/>
      <c r="AE734" s="1594"/>
      <c r="AF734" s="1594"/>
      <c r="AG734" s="1595"/>
      <c r="AH734" s="1365" t="str">
        <f t="shared" si="36"/>
        <v/>
      </c>
      <c r="AI734" s="1366"/>
      <c r="AJ734" s="1367"/>
      <c r="AK734" s="1359" t="s">
        <v>591</v>
      </c>
      <c r="AL734" s="1360"/>
      <c r="AM734" s="1360"/>
      <c r="AN734" s="1360"/>
      <c r="AO734" s="1361"/>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5">
        <f t="shared" si="37"/>
        <v>0</v>
      </c>
      <c r="CH734" s="1357"/>
      <c r="CI734" s="1339">
        <f t="shared" si="38"/>
        <v>0</v>
      </c>
      <c r="CJ734" s="1341"/>
      <c r="CK734" s="1355">
        <f t="shared" si="16"/>
        <v>0</v>
      </c>
      <c r="CL734" s="1357"/>
      <c r="CM734" s="1339">
        <f t="shared" si="17"/>
        <v>0</v>
      </c>
      <c r="CN734" s="1341"/>
      <c r="CO734" s="3"/>
      <c r="CP734" s="1336">
        <f t="shared" si="18"/>
        <v>0</v>
      </c>
      <c r="CQ734" s="1337"/>
      <c r="CR734" s="1337"/>
      <c r="CS734" s="1337"/>
      <c r="CT734" s="1338"/>
      <c r="CU734" s="1358">
        <f t="shared" si="19"/>
        <v>0</v>
      </c>
      <c r="CV734" s="1358"/>
      <c r="CW734" s="1358"/>
      <c r="CX734" s="1358"/>
      <c r="CY734" s="1358"/>
      <c r="CZ734" s="1358">
        <f t="shared" si="20"/>
        <v>0</v>
      </c>
      <c r="DA734" s="1358"/>
      <c r="DB734" s="1358"/>
      <c r="DC734" s="1358"/>
      <c r="DD734" s="1358"/>
      <c r="DE734" s="1358">
        <f t="shared" si="21"/>
        <v>0</v>
      </c>
      <c r="DF734" s="1358"/>
      <c r="DG734" s="1358"/>
      <c r="DH734" s="1358"/>
      <c r="DI734" s="1358"/>
      <c r="DJ734" s="1358">
        <f t="shared" si="22"/>
        <v>0</v>
      </c>
      <c r="DK734" s="1358"/>
      <c r="DL734" s="1358"/>
      <c r="DM734" s="1358"/>
      <c r="DN734" s="1358"/>
      <c r="DO734" s="1358">
        <f t="shared" si="23"/>
        <v>0</v>
      </c>
      <c r="DP734" s="1358"/>
      <c r="DQ734" s="1358"/>
      <c r="DR734" s="1358"/>
      <c r="DS734" s="1358"/>
      <c r="DT734" s="6"/>
      <c r="DU734" s="1372">
        <f t="shared" si="24"/>
        <v>0</v>
      </c>
      <c r="DV734" s="1372"/>
      <c r="DW734" s="1372"/>
      <c r="DX734" s="1372"/>
      <c r="DY734" s="1372"/>
      <c r="DZ734" s="1372">
        <f t="shared" si="25"/>
        <v>0</v>
      </c>
      <c r="EA734" s="1372"/>
      <c r="EB734" s="1372"/>
      <c r="EC734" s="1372"/>
      <c r="ED734" s="1372"/>
      <c r="EE734" s="1372">
        <f t="shared" si="26"/>
        <v>0</v>
      </c>
      <c r="EF734" s="1372"/>
      <c r="EG734" s="1372"/>
      <c r="EH734" s="1372"/>
      <c r="EI734" s="1372"/>
      <c r="EJ734" s="1372">
        <f t="shared" si="27"/>
        <v>0</v>
      </c>
      <c r="EK734" s="1372"/>
      <c r="EL734" s="1372"/>
      <c r="EM734" s="1372"/>
      <c r="EN734" s="1372"/>
      <c r="EO734" s="1372">
        <f t="shared" si="28"/>
        <v>0</v>
      </c>
      <c r="EP734" s="1372"/>
      <c r="EQ734" s="1372"/>
      <c r="ER734" s="1372"/>
      <c r="ES734" s="1372"/>
      <c r="ET734" s="1372">
        <f t="shared" si="29"/>
        <v>0</v>
      </c>
      <c r="EU734" s="1372"/>
      <c r="EV734" s="1372"/>
      <c r="EW734" s="1372"/>
      <c r="EX734" s="1372"/>
      <c r="EZ734" s="1355" t="str">
        <f t="shared" si="30"/>
        <v/>
      </c>
      <c r="FA734" s="1356"/>
      <c r="FB734" s="1356"/>
      <c r="FC734" s="1356"/>
      <c r="FD734" s="1357"/>
      <c r="FE734" s="1355" t="str">
        <f t="shared" si="31"/>
        <v/>
      </c>
      <c r="FF734" s="1356"/>
      <c r="FG734" s="1356"/>
      <c r="FH734" s="1356"/>
      <c r="FI734" s="1357"/>
      <c r="FJ734" s="1355" t="str">
        <f t="shared" si="32"/>
        <v/>
      </c>
      <c r="FK734" s="1356"/>
      <c r="FL734" s="1356"/>
      <c r="FM734" s="1356"/>
      <c r="FN734" s="1357"/>
      <c r="FO734" s="1355" t="str">
        <f t="shared" si="33"/>
        <v/>
      </c>
      <c r="FP734" s="1356"/>
      <c r="FQ734" s="1356"/>
      <c r="FR734" s="1356"/>
      <c r="FS734" s="1357"/>
      <c r="FT734" s="1355" t="str">
        <f t="shared" si="34"/>
        <v/>
      </c>
      <c r="FU734" s="1356"/>
      <c r="FV734" s="1356"/>
      <c r="FW734" s="1356"/>
      <c r="FX734" s="1357"/>
      <c r="FY734" s="1355" t="str">
        <f t="shared" si="35"/>
        <v/>
      </c>
      <c r="FZ734" s="1356"/>
      <c r="GA734" s="1356"/>
      <c r="GB734" s="1356"/>
      <c r="GC734" s="1357"/>
    </row>
    <row r="735" spans="1:185" ht="13" customHeight="1">
      <c r="B735" s="1359"/>
      <c r="C735" s="1360"/>
      <c r="D735" s="1360"/>
      <c r="E735" s="1360"/>
      <c r="F735" s="1361"/>
      <c r="G735" s="1368"/>
      <c r="H735" s="1369"/>
      <c r="I735" s="1369"/>
      <c r="J735" s="1370"/>
      <c r="K735" s="1584"/>
      <c r="L735" s="1585"/>
      <c r="M735" s="1585"/>
      <c r="N735" s="1586"/>
      <c r="O735" s="1450"/>
      <c r="P735" s="1451"/>
      <c r="Q735" s="1451"/>
      <c r="R735" s="1451"/>
      <c r="S735" s="1452"/>
      <c r="T735" s="1450"/>
      <c r="U735" s="1451"/>
      <c r="V735" s="1451"/>
      <c r="W735" s="1452"/>
      <c r="X735" s="1362">
        <f t="shared" si="8"/>
        <v>0</v>
      </c>
      <c r="Y735" s="1363"/>
      <c r="Z735" s="1363"/>
      <c r="AA735" s="1363"/>
      <c r="AB735" s="1364"/>
      <c r="AC735" s="1593"/>
      <c r="AD735" s="1594"/>
      <c r="AE735" s="1594"/>
      <c r="AF735" s="1594"/>
      <c r="AG735" s="1595"/>
      <c r="AH735" s="1365" t="str">
        <f t="shared" si="36"/>
        <v/>
      </c>
      <c r="AI735" s="1366"/>
      <c r="AJ735" s="1367"/>
      <c r="AK735" s="1359" t="s">
        <v>591</v>
      </c>
      <c r="AL735" s="1360"/>
      <c r="AM735" s="1360"/>
      <c r="AN735" s="1360"/>
      <c r="AO735" s="1361"/>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5">
        <f t="shared" si="37"/>
        <v>0</v>
      </c>
      <c r="CH735" s="1357"/>
      <c r="CI735" s="1339">
        <f t="shared" si="38"/>
        <v>0</v>
      </c>
      <c r="CJ735" s="1341"/>
      <c r="CK735" s="1355">
        <f t="shared" si="16"/>
        <v>0</v>
      </c>
      <c r="CL735" s="1357"/>
      <c r="CM735" s="1339">
        <f t="shared" si="17"/>
        <v>0</v>
      </c>
      <c r="CN735" s="1341"/>
      <c r="CO735" s="3"/>
      <c r="CP735" s="1336">
        <f t="shared" si="18"/>
        <v>0</v>
      </c>
      <c r="CQ735" s="1337"/>
      <c r="CR735" s="1337"/>
      <c r="CS735" s="1337"/>
      <c r="CT735" s="1338"/>
      <c r="CU735" s="1358">
        <f t="shared" si="19"/>
        <v>0</v>
      </c>
      <c r="CV735" s="1358"/>
      <c r="CW735" s="1358"/>
      <c r="CX735" s="1358"/>
      <c r="CY735" s="1358"/>
      <c r="CZ735" s="1358">
        <f t="shared" si="20"/>
        <v>0</v>
      </c>
      <c r="DA735" s="1358"/>
      <c r="DB735" s="1358"/>
      <c r="DC735" s="1358"/>
      <c r="DD735" s="1358"/>
      <c r="DE735" s="1358">
        <f t="shared" si="21"/>
        <v>0</v>
      </c>
      <c r="DF735" s="1358"/>
      <c r="DG735" s="1358"/>
      <c r="DH735" s="1358"/>
      <c r="DI735" s="1358"/>
      <c r="DJ735" s="1358">
        <f t="shared" si="22"/>
        <v>0</v>
      </c>
      <c r="DK735" s="1358"/>
      <c r="DL735" s="1358"/>
      <c r="DM735" s="1358"/>
      <c r="DN735" s="1358"/>
      <c r="DO735" s="1358">
        <f t="shared" si="23"/>
        <v>0</v>
      </c>
      <c r="DP735" s="1358"/>
      <c r="DQ735" s="1358"/>
      <c r="DR735" s="1358"/>
      <c r="DS735" s="1358"/>
      <c r="DT735" s="6"/>
      <c r="DU735" s="1372">
        <f t="shared" si="24"/>
        <v>0</v>
      </c>
      <c r="DV735" s="1372"/>
      <c r="DW735" s="1372"/>
      <c r="DX735" s="1372"/>
      <c r="DY735" s="1372"/>
      <c r="DZ735" s="1372">
        <f t="shared" si="25"/>
        <v>0</v>
      </c>
      <c r="EA735" s="1372"/>
      <c r="EB735" s="1372"/>
      <c r="EC735" s="1372"/>
      <c r="ED735" s="1372"/>
      <c r="EE735" s="1372">
        <f t="shared" si="26"/>
        <v>0</v>
      </c>
      <c r="EF735" s="1372"/>
      <c r="EG735" s="1372"/>
      <c r="EH735" s="1372"/>
      <c r="EI735" s="1372"/>
      <c r="EJ735" s="1372">
        <f t="shared" si="27"/>
        <v>0</v>
      </c>
      <c r="EK735" s="1372"/>
      <c r="EL735" s="1372"/>
      <c r="EM735" s="1372"/>
      <c r="EN735" s="1372"/>
      <c r="EO735" s="1372">
        <f t="shared" si="28"/>
        <v>0</v>
      </c>
      <c r="EP735" s="1372"/>
      <c r="EQ735" s="1372"/>
      <c r="ER735" s="1372"/>
      <c r="ES735" s="1372"/>
      <c r="ET735" s="1372">
        <f t="shared" si="29"/>
        <v>0</v>
      </c>
      <c r="EU735" s="1372"/>
      <c r="EV735" s="1372"/>
      <c r="EW735" s="1372"/>
      <c r="EX735" s="1372"/>
      <c r="EZ735" s="1355" t="str">
        <f t="shared" si="30"/>
        <v/>
      </c>
      <c r="FA735" s="1356"/>
      <c r="FB735" s="1356"/>
      <c r="FC735" s="1356"/>
      <c r="FD735" s="1357"/>
      <c r="FE735" s="1355" t="str">
        <f t="shared" si="31"/>
        <v/>
      </c>
      <c r="FF735" s="1356"/>
      <c r="FG735" s="1356"/>
      <c r="FH735" s="1356"/>
      <c r="FI735" s="1357"/>
      <c r="FJ735" s="1355" t="str">
        <f t="shared" si="32"/>
        <v/>
      </c>
      <c r="FK735" s="1356"/>
      <c r="FL735" s="1356"/>
      <c r="FM735" s="1356"/>
      <c r="FN735" s="1357"/>
      <c r="FO735" s="1355" t="str">
        <f t="shared" si="33"/>
        <v/>
      </c>
      <c r="FP735" s="1356"/>
      <c r="FQ735" s="1356"/>
      <c r="FR735" s="1356"/>
      <c r="FS735" s="1357"/>
      <c r="FT735" s="1355" t="str">
        <f t="shared" si="34"/>
        <v/>
      </c>
      <c r="FU735" s="1356"/>
      <c r="FV735" s="1356"/>
      <c r="FW735" s="1356"/>
      <c r="FX735" s="1357"/>
      <c r="FY735" s="1355" t="str">
        <f t="shared" si="35"/>
        <v/>
      </c>
      <c r="FZ735" s="1356"/>
      <c r="GA735" s="1356"/>
      <c r="GB735" s="1356"/>
      <c r="GC735" s="1357"/>
    </row>
    <row r="736" spans="1:185" ht="13" customHeight="1">
      <c r="B736" s="1359"/>
      <c r="C736" s="1360"/>
      <c r="D736" s="1360"/>
      <c r="E736" s="1360"/>
      <c r="F736" s="1361"/>
      <c r="G736" s="1368"/>
      <c r="H736" s="1369"/>
      <c r="I736" s="1369"/>
      <c r="J736" s="1370"/>
      <c r="K736" s="1584"/>
      <c r="L736" s="1585"/>
      <c r="M736" s="1585"/>
      <c r="N736" s="1586"/>
      <c r="O736" s="1450"/>
      <c r="P736" s="1451"/>
      <c r="Q736" s="1451"/>
      <c r="R736" s="1451"/>
      <c r="S736" s="1452"/>
      <c r="T736" s="1450"/>
      <c r="U736" s="1451"/>
      <c r="V736" s="1451"/>
      <c r="W736" s="1452"/>
      <c r="X736" s="1362">
        <f t="shared" si="8"/>
        <v>0</v>
      </c>
      <c r="Y736" s="1363"/>
      <c r="Z736" s="1363"/>
      <c r="AA736" s="1363"/>
      <c r="AB736" s="1364"/>
      <c r="AC736" s="1593"/>
      <c r="AD736" s="1594"/>
      <c r="AE736" s="1594"/>
      <c r="AF736" s="1594"/>
      <c r="AG736" s="1595"/>
      <c r="AH736" s="1365" t="str">
        <f t="shared" si="36"/>
        <v/>
      </c>
      <c r="AI736" s="1366"/>
      <c r="AJ736" s="1367"/>
      <c r="AK736" s="1359" t="s">
        <v>591</v>
      </c>
      <c r="AL736" s="1360"/>
      <c r="AM736" s="1360"/>
      <c r="AN736" s="1360"/>
      <c r="AO736" s="1361"/>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5">
        <f t="shared" si="37"/>
        <v>0</v>
      </c>
      <c r="CH736" s="1357"/>
      <c r="CI736" s="1339">
        <f t="shared" si="38"/>
        <v>0</v>
      </c>
      <c r="CJ736" s="1341"/>
      <c r="CK736" s="1355">
        <f t="shared" si="16"/>
        <v>0</v>
      </c>
      <c r="CL736" s="1357"/>
      <c r="CM736" s="1339">
        <f t="shared" si="17"/>
        <v>0</v>
      </c>
      <c r="CN736" s="1341"/>
      <c r="CO736" s="3"/>
      <c r="CP736" s="1336">
        <f t="shared" si="18"/>
        <v>0</v>
      </c>
      <c r="CQ736" s="1337"/>
      <c r="CR736" s="1337"/>
      <c r="CS736" s="1337"/>
      <c r="CT736" s="1338"/>
      <c r="CU736" s="1358">
        <f t="shared" si="19"/>
        <v>0</v>
      </c>
      <c r="CV736" s="1358"/>
      <c r="CW736" s="1358"/>
      <c r="CX736" s="1358"/>
      <c r="CY736" s="1358"/>
      <c r="CZ736" s="1358">
        <f t="shared" si="20"/>
        <v>0</v>
      </c>
      <c r="DA736" s="1358"/>
      <c r="DB736" s="1358"/>
      <c r="DC736" s="1358"/>
      <c r="DD736" s="1358"/>
      <c r="DE736" s="1358">
        <f t="shared" si="21"/>
        <v>0</v>
      </c>
      <c r="DF736" s="1358"/>
      <c r="DG736" s="1358"/>
      <c r="DH736" s="1358"/>
      <c r="DI736" s="1358"/>
      <c r="DJ736" s="1358">
        <f t="shared" si="22"/>
        <v>0</v>
      </c>
      <c r="DK736" s="1358"/>
      <c r="DL736" s="1358"/>
      <c r="DM736" s="1358"/>
      <c r="DN736" s="1358"/>
      <c r="DO736" s="1358">
        <f t="shared" si="23"/>
        <v>0</v>
      </c>
      <c r="DP736" s="1358"/>
      <c r="DQ736" s="1358"/>
      <c r="DR736" s="1358"/>
      <c r="DS736" s="1358"/>
      <c r="DT736" s="6"/>
      <c r="DU736" s="1372">
        <f t="shared" si="24"/>
        <v>0</v>
      </c>
      <c r="DV736" s="1372"/>
      <c r="DW736" s="1372"/>
      <c r="DX736" s="1372"/>
      <c r="DY736" s="1372"/>
      <c r="DZ736" s="1372">
        <f t="shared" si="25"/>
        <v>0</v>
      </c>
      <c r="EA736" s="1372"/>
      <c r="EB736" s="1372"/>
      <c r="EC736" s="1372"/>
      <c r="ED736" s="1372"/>
      <c r="EE736" s="1372">
        <f t="shared" si="26"/>
        <v>0</v>
      </c>
      <c r="EF736" s="1372"/>
      <c r="EG736" s="1372"/>
      <c r="EH736" s="1372"/>
      <c r="EI736" s="1372"/>
      <c r="EJ736" s="1372">
        <f t="shared" si="27"/>
        <v>0</v>
      </c>
      <c r="EK736" s="1372"/>
      <c r="EL736" s="1372"/>
      <c r="EM736" s="1372"/>
      <c r="EN736" s="1372"/>
      <c r="EO736" s="1372">
        <f t="shared" si="28"/>
        <v>0</v>
      </c>
      <c r="EP736" s="1372"/>
      <c r="EQ736" s="1372"/>
      <c r="ER736" s="1372"/>
      <c r="ES736" s="1372"/>
      <c r="ET736" s="1372">
        <f t="shared" si="29"/>
        <v>0</v>
      </c>
      <c r="EU736" s="1372"/>
      <c r="EV736" s="1372"/>
      <c r="EW736" s="1372"/>
      <c r="EX736" s="1372"/>
      <c r="EZ736" s="1355" t="str">
        <f t="shared" si="30"/>
        <v/>
      </c>
      <c r="FA736" s="1356"/>
      <c r="FB736" s="1356"/>
      <c r="FC736" s="1356"/>
      <c r="FD736" s="1357"/>
      <c r="FE736" s="1355" t="str">
        <f t="shared" si="31"/>
        <v/>
      </c>
      <c r="FF736" s="1356"/>
      <c r="FG736" s="1356"/>
      <c r="FH736" s="1356"/>
      <c r="FI736" s="1357"/>
      <c r="FJ736" s="1355" t="str">
        <f t="shared" si="32"/>
        <v/>
      </c>
      <c r="FK736" s="1356"/>
      <c r="FL736" s="1356"/>
      <c r="FM736" s="1356"/>
      <c r="FN736" s="1357"/>
      <c r="FO736" s="1355" t="str">
        <f t="shared" si="33"/>
        <v/>
      </c>
      <c r="FP736" s="1356"/>
      <c r="FQ736" s="1356"/>
      <c r="FR736" s="1356"/>
      <c r="FS736" s="1357"/>
      <c r="FT736" s="1355" t="str">
        <f t="shared" si="34"/>
        <v/>
      </c>
      <c r="FU736" s="1356"/>
      <c r="FV736" s="1356"/>
      <c r="FW736" s="1356"/>
      <c r="FX736" s="1357"/>
      <c r="FY736" s="1355" t="str">
        <f t="shared" si="35"/>
        <v/>
      </c>
      <c r="FZ736" s="1356"/>
      <c r="GA736" s="1356"/>
      <c r="GB736" s="1356"/>
      <c r="GC736" s="1357"/>
    </row>
    <row r="737" spans="1:185" ht="13" customHeight="1">
      <c r="B737" s="1359"/>
      <c r="C737" s="1360"/>
      <c r="D737" s="1360"/>
      <c r="E737" s="1360"/>
      <c r="F737" s="1361"/>
      <c r="G737" s="1368"/>
      <c r="H737" s="1369"/>
      <c r="I737" s="1369"/>
      <c r="J737" s="1370"/>
      <c r="K737" s="1584"/>
      <c r="L737" s="1585"/>
      <c r="M737" s="1585"/>
      <c r="N737" s="1586"/>
      <c r="O737" s="1450"/>
      <c r="P737" s="1451"/>
      <c r="Q737" s="1451"/>
      <c r="R737" s="1451"/>
      <c r="S737" s="1452"/>
      <c r="T737" s="1450"/>
      <c r="U737" s="1451"/>
      <c r="V737" s="1451"/>
      <c r="W737" s="1452"/>
      <c r="X737" s="1362">
        <f t="shared" si="8"/>
        <v>0</v>
      </c>
      <c r="Y737" s="1363"/>
      <c r="Z737" s="1363"/>
      <c r="AA737" s="1363"/>
      <c r="AB737" s="1364"/>
      <c r="AC737" s="1593"/>
      <c r="AD737" s="1594"/>
      <c r="AE737" s="1594"/>
      <c r="AF737" s="1594"/>
      <c r="AG737" s="1595"/>
      <c r="AH737" s="1365" t="str">
        <f t="shared" si="36"/>
        <v/>
      </c>
      <c r="AI737" s="1366"/>
      <c r="AJ737" s="1367"/>
      <c r="AK737" s="1359" t="s">
        <v>591</v>
      </c>
      <c r="AL737" s="1360"/>
      <c r="AM737" s="1360"/>
      <c r="AN737" s="1360"/>
      <c r="AO737" s="1361"/>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5">
        <f t="shared" si="37"/>
        <v>0</v>
      </c>
      <c r="CH737" s="1357"/>
      <c r="CI737" s="1339">
        <f t="shared" si="38"/>
        <v>0</v>
      </c>
      <c r="CJ737" s="1341"/>
      <c r="CK737" s="1355">
        <f t="shared" si="16"/>
        <v>0</v>
      </c>
      <c r="CL737" s="1357"/>
      <c r="CM737" s="1339">
        <f t="shared" si="17"/>
        <v>0</v>
      </c>
      <c r="CN737" s="1341"/>
      <c r="CO737" s="3"/>
      <c r="CP737" s="1336">
        <f t="shared" si="18"/>
        <v>0</v>
      </c>
      <c r="CQ737" s="1337"/>
      <c r="CR737" s="1337"/>
      <c r="CS737" s="1337"/>
      <c r="CT737" s="1338"/>
      <c r="CU737" s="1358">
        <f t="shared" si="19"/>
        <v>0</v>
      </c>
      <c r="CV737" s="1358"/>
      <c r="CW737" s="1358"/>
      <c r="CX737" s="1358"/>
      <c r="CY737" s="1358"/>
      <c r="CZ737" s="1358">
        <f t="shared" si="20"/>
        <v>0</v>
      </c>
      <c r="DA737" s="1358"/>
      <c r="DB737" s="1358"/>
      <c r="DC737" s="1358"/>
      <c r="DD737" s="1358"/>
      <c r="DE737" s="1358">
        <f t="shared" si="21"/>
        <v>0</v>
      </c>
      <c r="DF737" s="1358"/>
      <c r="DG737" s="1358"/>
      <c r="DH737" s="1358"/>
      <c r="DI737" s="1358"/>
      <c r="DJ737" s="1358">
        <f t="shared" si="22"/>
        <v>0</v>
      </c>
      <c r="DK737" s="1358"/>
      <c r="DL737" s="1358"/>
      <c r="DM737" s="1358"/>
      <c r="DN737" s="1358"/>
      <c r="DO737" s="1358">
        <f t="shared" si="23"/>
        <v>0</v>
      </c>
      <c r="DP737" s="1358"/>
      <c r="DQ737" s="1358"/>
      <c r="DR737" s="1358"/>
      <c r="DS737" s="1358"/>
      <c r="DT737" s="6"/>
      <c r="DU737" s="1372">
        <f t="shared" si="24"/>
        <v>0</v>
      </c>
      <c r="DV737" s="1372"/>
      <c r="DW737" s="1372"/>
      <c r="DX737" s="1372"/>
      <c r="DY737" s="1372"/>
      <c r="DZ737" s="1372">
        <f t="shared" si="25"/>
        <v>0</v>
      </c>
      <c r="EA737" s="1372"/>
      <c r="EB737" s="1372"/>
      <c r="EC737" s="1372"/>
      <c r="ED737" s="1372"/>
      <c r="EE737" s="1372">
        <f t="shared" si="26"/>
        <v>0</v>
      </c>
      <c r="EF737" s="1372"/>
      <c r="EG737" s="1372"/>
      <c r="EH737" s="1372"/>
      <c r="EI737" s="1372"/>
      <c r="EJ737" s="1372">
        <f t="shared" si="27"/>
        <v>0</v>
      </c>
      <c r="EK737" s="1372"/>
      <c r="EL737" s="1372"/>
      <c r="EM737" s="1372"/>
      <c r="EN737" s="1372"/>
      <c r="EO737" s="1372">
        <f t="shared" si="28"/>
        <v>0</v>
      </c>
      <c r="EP737" s="1372"/>
      <c r="EQ737" s="1372"/>
      <c r="ER737" s="1372"/>
      <c r="ES737" s="1372"/>
      <c r="ET737" s="1372">
        <f t="shared" si="29"/>
        <v>0</v>
      </c>
      <c r="EU737" s="1372"/>
      <c r="EV737" s="1372"/>
      <c r="EW737" s="1372"/>
      <c r="EX737" s="1372"/>
      <c r="EZ737" s="1355" t="str">
        <f t="shared" si="30"/>
        <v/>
      </c>
      <c r="FA737" s="1356"/>
      <c r="FB737" s="1356"/>
      <c r="FC737" s="1356"/>
      <c r="FD737" s="1357"/>
      <c r="FE737" s="1355" t="str">
        <f t="shared" si="31"/>
        <v/>
      </c>
      <c r="FF737" s="1356"/>
      <c r="FG737" s="1356"/>
      <c r="FH737" s="1356"/>
      <c r="FI737" s="1357"/>
      <c r="FJ737" s="1355" t="str">
        <f t="shared" si="32"/>
        <v/>
      </c>
      <c r="FK737" s="1356"/>
      <c r="FL737" s="1356"/>
      <c r="FM737" s="1356"/>
      <c r="FN737" s="1357"/>
      <c r="FO737" s="1355" t="str">
        <f t="shared" si="33"/>
        <v/>
      </c>
      <c r="FP737" s="1356"/>
      <c r="FQ737" s="1356"/>
      <c r="FR737" s="1356"/>
      <c r="FS737" s="1357"/>
      <c r="FT737" s="1355" t="str">
        <f t="shared" si="34"/>
        <v/>
      </c>
      <c r="FU737" s="1356"/>
      <c r="FV737" s="1356"/>
      <c r="FW737" s="1356"/>
      <c r="FX737" s="1357"/>
      <c r="FY737" s="1355" t="str">
        <f t="shared" si="35"/>
        <v/>
      </c>
      <c r="FZ737" s="1356"/>
      <c r="GA737" s="1356"/>
      <c r="GB737" s="1356"/>
      <c r="GC737" s="1357"/>
    </row>
    <row r="738" spans="1:185" ht="13" customHeight="1">
      <c r="B738" s="1359"/>
      <c r="C738" s="1360"/>
      <c r="D738" s="1360"/>
      <c r="E738" s="1360"/>
      <c r="F738" s="1361"/>
      <c r="G738" s="1368"/>
      <c r="H738" s="1369"/>
      <c r="I738" s="1369"/>
      <c r="J738" s="1370"/>
      <c r="K738" s="1584"/>
      <c r="L738" s="1585"/>
      <c r="M738" s="1585"/>
      <c r="N738" s="1586"/>
      <c r="O738" s="1450"/>
      <c r="P738" s="1451"/>
      <c r="Q738" s="1451"/>
      <c r="R738" s="1451"/>
      <c r="S738" s="1452"/>
      <c r="T738" s="1450"/>
      <c r="U738" s="1451"/>
      <c r="V738" s="1451"/>
      <c r="W738" s="1452"/>
      <c r="X738" s="1362">
        <f t="shared" si="8"/>
        <v>0</v>
      </c>
      <c r="Y738" s="1363"/>
      <c r="Z738" s="1363"/>
      <c r="AA738" s="1363"/>
      <c r="AB738" s="1364"/>
      <c r="AC738" s="1593"/>
      <c r="AD738" s="1594"/>
      <c r="AE738" s="1594"/>
      <c r="AF738" s="1594"/>
      <c r="AG738" s="1595"/>
      <c r="AH738" s="1365" t="str">
        <f t="shared" si="36"/>
        <v/>
      </c>
      <c r="AI738" s="1366"/>
      <c r="AJ738" s="1367"/>
      <c r="AK738" s="1359" t="s">
        <v>591</v>
      </c>
      <c r="AL738" s="1360"/>
      <c r="AM738" s="1360"/>
      <c r="AN738" s="1360"/>
      <c r="AO738" s="1361"/>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5">
        <f t="shared" si="37"/>
        <v>0</v>
      </c>
      <c r="CH738" s="1357"/>
      <c r="CI738" s="1339">
        <f t="shared" si="38"/>
        <v>0</v>
      </c>
      <c r="CJ738" s="1341"/>
      <c r="CK738" s="1355">
        <f t="shared" si="16"/>
        <v>0</v>
      </c>
      <c r="CL738" s="1357"/>
      <c r="CM738" s="1339">
        <f t="shared" si="17"/>
        <v>0</v>
      </c>
      <c r="CN738" s="1341"/>
      <c r="CO738" s="3"/>
      <c r="CP738" s="1336">
        <f t="shared" si="18"/>
        <v>0</v>
      </c>
      <c r="CQ738" s="1337"/>
      <c r="CR738" s="1337"/>
      <c r="CS738" s="1337"/>
      <c r="CT738" s="1338"/>
      <c r="CU738" s="1358">
        <f t="shared" si="19"/>
        <v>0</v>
      </c>
      <c r="CV738" s="1358"/>
      <c r="CW738" s="1358"/>
      <c r="CX738" s="1358"/>
      <c r="CY738" s="1358"/>
      <c r="CZ738" s="1358">
        <f t="shared" si="20"/>
        <v>0</v>
      </c>
      <c r="DA738" s="1358"/>
      <c r="DB738" s="1358"/>
      <c r="DC738" s="1358"/>
      <c r="DD738" s="1358"/>
      <c r="DE738" s="1358">
        <f t="shared" si="21"/>
        <v>0</v>
      </c>
      <c r="DF738" s="1358"/>
      <c r="DG738" s="1358"/>
      <c r="DH738" s="1358"/>
      <c r="DI738" s="1358"/>
      <c r="DJ738" s="1358">
        <f t="shared" si="22"/>
        <v>0</v>
      </c>
      <c r="DK738" s="1358"/>
      <c r="DL738" s="1358"/>
      <c r="DM738" s="1358"/>
      <c r="DN738" s="1358"/>
      <c r="DO738" s="1358">
        <f t="shared" si="23"/>
        <v>0</v>
      </c>
      <c r="DP738" s="1358"/>
      <c r="DQ738" s="1358"/>
      <c r="DR738" s="1358"/>
      <c r="DS738" s="1358"/>
      <c r="DT738" s="6"/>
      <c r="DU738" s="1372">
        <f t="shared" si="24"/>
        <v>0</v>
      </c>
      <c r="DV738" s="1372"/>
      <c r="DW738" s="1372"/>
      <c r="DX738" s="1372"/>
      <c r="DY738" s="1372"/>
      <c r="DZ738" s="1372">
        <f t="shared" si="25"/>
        <v>0</v>
      </c>
      <c r="EA738" s="1372"/>
      <c r="EB738" s="1372"/>
      <c r="EC738" s="1372"/>
      <c r="ED738" s="1372"/>
      <c r="EE738" s="1372">
        <f t="shared" si="26"/>
        <v>0</v>
      </c>
      <c r="EF738" s="1372"/>
      <c r="EG738" s="1372"/>
      <c r="EH738" s="1372"/>
      <c r="EI738" s="1372"/>
      <c r="EJ738" s="1372">
        <f t="shared" si="27"/>
        <v>0</v>
      </c>
      <c r="EK738" s="1372"/>
      <c r="EL738" s="1372"/>
      <c r="EM738" s="1372"/>
      <c r="EN738" s="1372"/>
      <c r="EO738" s="1372">
        <f t="shared" si="28"/>
        <v>0</v>
      </c>
      <c r="EP738" s="1372"/>
      <c r="EQ738" s="1372"/>
      <c r="ER738" s="1372"/>
      <c r="ES738" s="1372"/>
      <c r="ET738" s="1372">
        <f t="shared" si="29"/>
        <v>0</v>
      </c>
      <c r="EU738" s="1372"/>
      <c r="EV738" s="1372"/>
      <c r="EW738" s="1372"/>
      <c r="EX738" s="1372"/>
      <c r="EZ738" s="1355" t="str">
        <f t="shared" si="30"/>
        <v/>
      </c>
      <c r="FA738" s="1356"/>
      <c r="FB738" s="1356"/>
      <c r="FC738" s="1356"/>
      <c r="FD738" s="1357"/>
      <c r="FE738" s="1355" t="str">
        <f t="shared" si="31"/>
        <v/>
      </c>
      <c r="FF738" s="1356"/>
      <c r="FG738" s="1356"/>
      <c r="FH738" s="1356"/>
      <c r="FI738" s="1357"/>
      <c r="FJ738" s="1355" t="str">
        <f t="shared" si="32"/>
        <v/>
      </c>
      <c r="FK738" s="1356"/>
      <c r="FL738" s="1356"/>
      <c r="FM738" s="1356"/>
      <c r="FN738" s="1357"/>
      <c r="FO738" s="1355" t="str">
        <f t="shared" si="33"/>
        <v/>
      </c>
      <c r="FP738" s="1356"/>
      <c r="FQ738" s="1356"/>
      <c r="FR738" s="1356"/>
      <c r="FS738" s="1357"/>
      <c r="FT738" s="1355" t="str">
        <f t="shared" si="34"/>
        <v/>
      </c>
      <c r="FU738" s="1356"/>
      <c r="FV738" s="1356"/>
      <c r="FW738" s="1356"/>
      <c r="FX738" s="1357"/>
      <c r="FY738" s="1355" t="str">
        <f t="shared" si="35"/>
        <v/>
      </c>
      <c r="FZ738" s="1356"/>
      <c r="GA738" s="1356"/>
      <c r="GB738" s="1356"/>
      <c r="GC738" s="1357"/>
    </row>
    <row r="739" spans="1:185" ht="13" customHeight="1">
      <c r="B739" s="1359"/>
      <c r="C739" s="1360"/>
      <c r="D739" s="1360"/>
      <c r="E739" s="1360"/>
      <c r="F739" s="1361"/>
      <c r="G739" s="1368"/>
      <c r="H739" s="1369"/>
      <c r="I739" s="1369"/>
      <c r="J739" s="1370"/>
      <c r="K739" s="1584"/>
      <c r="L739" s="1585"/>
      <c r="M739" s="1585"/>
      <c r="N739" s="1586"/>
      <c r="O739" s="1450"/>
      <c r="P739" s="1451"/>
      <c r="Q739" s="1451"/>
      <c r="R739" s="1451"/>
      <c r="S739" s="1452"/>
      <c r="T739" s="1450"/>
      <c r="U739" s="1451"/>
      <c r="V739" s="1451"/>
      <c r="W739" s="1452"/>
      <c r="X739" s="1362">
        <f t="shared" si="8"/>
        <v>0</v>
      </c>
      <c r="Y739" s="1363"/>
      <c r="Z739" s="1363"/>
      <c r="AA739" s="1363"/>
      <c r="AB739" s="1364"/>
      <c r="AC739" s="1593"/>
      <c r="AD739" s="1594"/>
      <c r="AE739" s="1594"/>
      <c r="AF739" s="1594"/>
      <c r="AG739" s="1595"/>
      <c r="AH739" s="1365" t="str">
        <f t="shared" si="36"/>
        <v/>
      </c>
      <c r="AI739" s="1366"/>
      <c r="AJ739" s="1367"/>
      <c r="AK739" s="1359" t="s">
        <v>591</v>
      </c>
      <c r="AL739" s="1360"/>
      <c r="AM739" s="1360"/>
      <c r="AN739" s="1360"/>
      <c r="AO739" s="1361"/>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5">
        <f t="shared" si="37"/>
        <v>0</v>
      </c>
      <c r="CH739" s="1357"/>
      <c r="CI739" s="1339">
        <f t="shared" si="38"/>
        <v>0</v>
      </c>
      <c r="CJ739" s="1341"/>
      <c r="CK739" s="1355">
        <f t="shared" si="16"/>
        <v>0</v>
      </c>
      <c r="CL739" s="1357"/>
      <c r="CM739" s="1339">
        <f t="shared" si="17"/>
        <v>0</v>
      </c>
      <c r="CN739" s="1341"/>
      <c r="CO739" s="3"/>
      <c r="CP739" s="1336">
        <f t="shared" si="18"/>
        <v>0</v>
      </c>
      <c r="CQ739" s="1337"/>
      <c r="CR739" s="1337"/>
      <c r="CS739" s="1337"/>
      <c r="CT739" s="1338"/>
      <c r="CU739" s="1358">
        <f t="shared" si="19"/>
        <v>0</v>
      </c>
      <c r="CV739" s="1358"/>
      <c r="CW739" s="1358"/>
      <c r="CX739" s="1358"/>
      <c r="CY739" s="1358"/>
      <c r="CZ739" s="1358">
        <f t="shared" si="20"/>
        <v>0</v>
      </c>
      <c r="DA739" s="1358"/>
      <c r="DB739" s="1358"/>
      <c r="DC739" s="1358"/>
      <c r="DD739" s="1358"/>
      <c r="DE739" s="1358">
        <f t="shared" si="21"/>
        <v>0</v>
      </c>
      <c r="DF739" s="1358"/>
      <c r="DG739" s="1358"/>
      <c r="DH739" s="1358"/>
      <c r="DI739" s="1358"/>
      <c r="DJ739" s="1358">
        <f t="shared" si="22"/>
        <v>0</v>
      </c>
      <c r="DK739" s="1358"/>
      <c r="DL739" s="1358"/>
      <c r="DM739" s="1358"/>
      <c r="DN739" s="1358"/>
      <c r="DO739" s="1358">
        <f t="shared" si="23"/>
        <v>0</v>
      </c>
      <c r="DP739" s="1358"/>
      <c r="DQ739" s="1358"/>
      <c r="DR739" s="1358"/>
      <c r="DS739" s="1358"/>
      <c r="DT739" s="6"/>
      <c r="DU739" s="1372">
        <f t="shared" si="24"/>
        <v>0</v>
      </c>
      <c r="DV739" s="1372"/>
      <c r="DW739" s="1372"/>
      <c r="DX739" s="1372"/>
      <c r="DY739" s="1372"/>
      <c r="DZ739" s="1372">
        <f t="shared" si="25"/>
        <v>0</v>
      </c>
      <c r="EA739" s="1372"/>
      <c r="EB739" s="1372"/>
      <c r="EC739" s="1372"/>
      <c r="ED739" s="1372"/>
      <c r="EE739" s="1372">
        <f t="shared" si="26"/>
        <v>0</v>
      </c>
      <c r="EF739" s="1372"/>
      <c r="EG739" s="1372"/>
      <c r="EH739" s="1372"/>
      <c r="EI739" s="1372"/>
      <c r="EJ739" s="1372">
        <f t="shared" si="27"/>
        <v>0</v>
      </c>
      <c r="EK739" s="1372"/>
      <c r="EL739" s="1372"/>
      <c r="EM739" s="1372"/>
      <c r="EN739" s="1372"/>
      <c r="EO739" s="1372">
        <f t="shared" si="28"/>
        <v>0</v>
      </c>
      <c r="EP739" s="1372"/>
      <c r="EQ739" s="1372"/>
      <c r="ER739" s="1372"/>
      <c r="ES739" s="1372"/>
      <c r="ET739" s="1372">
        <f t="shared" si="29"/>
        <v>0</v>
      </c>
      <c r="EU739" s="1372"/>
      <c r="EV739" s="1372"/>
      <c r="EW739" s="1372"/>
      <c r="EX739" s="1372"/>
      <c r="EZ739" s="1355" t="str">
        <f t="shared" si="30"/>
        <v/>
      </c>
      <c r="FA739" s="1356"/>
      <c r="FB739" s="1356"/>
      <c r="FC739" s="1356"/>
      <c r="FD739" s="1357"/>
      <c r="FE739" s="1355" t="str">
        <f t="shared" si="31"/>
        <v/>
      </c>
      <c r="FF739" s="1356"/>
      <c r="FG739" s="1356"/>
      <c r="FH739" s="1356"/>
      <c r="FI739" s="1357"/>
      <c r="FJ739" s="1355" t="str">
        <f t="shared" si="32"/>
        <v/>
      </c>
      <c r="FK739" s="1356"/>
      <c r="FL739" s="1356"/>
      <c r="FM739" s="1356"/>
      <c r="FN739" s="1357"/>
      <c r="FO739" s="1355" t="str">
        <f t="shared" si="33"/>
        <v/>
      </c>
      <c r="FP739" s="1356"/>
      <c r="FQ739" s="1356"/>
      <c r="FR739" s="1356"/>
      <c r="FS739" s="1357"/>
      <c r="FT739" s="1355" t="str">
        <f t="shared" si="34"/>
        <v/>
      </c>
      <c r="FU739" s="1356"/>
      <c r="FV739" s="1356"/>
      <c r="FW739" s="1356"/>
      <c r="FX739" s="1357"/>
      <c r="FY739" s="1355" t="str">
        <f t="shared" si="35"/>
        <v/>
      </c>
      <c r="FZ739" s="1356"/>
      <c r="GA739" s="1356"/>
      <c r="GB739" s="1356"/>
      <c r="GC739" s="1357"/>
    </row>
    <row r="740" spans="1:185" ht="13" customHeight="1">
      <c r="B740" s="1359"/>
      <c r="C740" s="1360"/>
      <c r="D740" s="1360"/>
      <c r="E740" s="1360"/>
      <c r="F740" s="1361"/>
      <c r="G740" s="1368"/>
      <c r="H740" s="1369"/>
      <c r="I740" s="1369"/>
      <c r="J740" s="1370"/>
      <c r="K740" s="1584"/>
      <c r="L740" s="1585"/>
      <c r="M740" s="1585"/>
      <c r="N740" s="1586"/>
      <c r="O740" s="1450"/>
      <c r="P740" s="1451"/>
      <c r="Q740" s="1451"/>
      <c r="R740" s="1451"/>
      <c r="S740" s="1452"/>
      <c r="T740" s="1450"/>
      <c r="U740" s="1451"/>
      <c r="V740" s="1451"/>
      <c r="W740" s="1452"/>
      <c r="X740" s="1362">
        <f t="shared" si="8"/>
        <v>0</v>
      </c>
      <c r="Y740" s="1363"/>
      <c r="Z740" s="1363"/>
      <c r="AA740" s="1363"/>
      <c r="AB740" s="1364"/>
      <c r="AC740" s="1593"/>
      <c r="AD740" s="1594"/>
      <c r="AE740" s="1594"/>
      <c r="AF740" s="1594"/>
      <c r="AG740" s="1595"/>
      <c r="AH740" s="1365" t="str">
        <f t="shared" si="36"/>
        <v/>
      </c>
      <c r="AI740" s="1366"/>
      <c r="AJ740" s="1367"/>
      <c r="AK740" s="1359" t="s">
        <v>591</v>
      </c>
      <c r="AL740" s="1360"/>
      <c r="AM740" s="1360"/>
      <c r="AN740" s="1360"/>
      <c r="AO740" s="1361"/>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5">
        <f t="shared" si="37"/>
        <v>0</v>
      </c>
      <c r="CH740" s="1357"/>
      <c r="CI740" s="1339">
        <f t="shared" si="38"/>
        <v>0</v>
      </c>
      <c r="CJ740" s="1341"/>
      <c r="CK740" s="1355">
        <f t="shared" si="16"/>
        <v>0</v>
      </c>
      <c r="CL740" s="1357"/>
      <c r="CM740" s="1339">
        <f t="shared" si="17"/>
        <v>0</v>
      </c>
      <c r="CN740" s="1341"/>
      <c r="CO740" s="3"/>
      <c r="CP740" s="1336">
        <f t="shared" si="18"/>
        <v>0</v>
      </c>
      <c r="CQ740" s="1337"/>
      <c r="CR740" s="1337"/>
      <c r="CS740" s="1337"/>
      <c r="CT740" s="1338"/>
      <c r="CU740" s="1358">
        <f t="shared" si="19"/>
        <v>0</v>
      </c>
      <c r="CV740" s="1358"/>
      <c r="CW740" s="1358"/>
      <c r="CX740" s="1358"/>
      <c r="CY740" s="1358"/>
      <c r="CZ740" s="1358">
        <f t="shared" si="20"/>
        <v>0</v>
      </c>
      <c r="DA740" s="1358"/>
      <c r="DB740" s="1358"/>
      <c r="DC740" s="1358"/>
      <c r="DD740" s="1358"/>
      <c r="DE740" s="1358">
        <f t="shared" si="21"/>
        <v>0</v>
      </c>
      <c r="DF740" s="1358"/>
      <c r="DG740" s="1358"/>
      <c r="DH740" s="1358"/>
      <c r="DI740" s="1358"/>
      <c r="DJ740" s="1358">
        <f t="shared" si="22"/>
        <v>0</v>
      </c>
      <c r="DK740" s="1358"/>
      <c r="DL740" s="1358"/>
      <c r="DM740" s="1358"/>
      <c r="DN740" s="1358"/>
      <c r="DO740" s="1358">
        <f t="shared" si="23"/>
        <v>0</v>
      </c>
      <c r="DP740" s="1358"/>
      <c r="DQ740" s="1358"/>
      <c r="DR740" s="1358"/>
      <c r="DS740" s="1358"/>
      <c r="DT740" s="6"/>
      <c r="DU740" s="1372">
        <f t="shared" si="24"/>
        <v>0</v>
      </c>
      <c r="DV740" s="1372"/>
      <c r="DW740" s="1372"/>
      <c r="DX740" s="1372"/>
      <c r="DY740" s="1372"/>
      <c r="DZ740" s="1372">
        <f t="shared" si="25"/>
        <v>0</v>
      </c>
      <c r="EA740" s="1372"/>
      <c r="EB740" s="1372"/>
      <c r="EC740" s="1372"/>
      <c r="ED740" s="1372"/>
      <c r="EE740" s="1372">
        <f t="shared" si="26"/>
        <v>0</v>
      </c>
      <c r="EF740" s="1372"/>
      <c r="EG740" s="1372"/>
      <c r="EH740" s="1372"/>
      <c r="EI740" s="1372"/>
      <c r="EJ740" s="1372">
        <f t="shared" si="27"/>
        <v>0</v>
      </c>
      <c r="EK740" s="1372"/>
      <c r="EL740" s="1372"/>
      <c r="EM740" s="1372"/>
      <c r="EN740" s="1372"/>
      <c r="EO740" s="1372">
        <f t="shared" si="28"/>
        <v>0</v>
      </c>
      <c r="EP740" s="1372"/>
      <c r="EQ740" s="1372"/>
      <c r="ER740" s="1372"/>
      <c r="ES740" s="1372"/>
      <c r="ET740" s="1372">
        <f t="shared" si="29"/>
        <v>0</v>
      </c>
      <c r="EU740" s="1372"/>
      <c r="EV740" s="1372"/>
      <c r="EW740" s="1372"/>
      <c r="EX740" s="1372"/>
      <c r="EZ740" s="1355" t="str">
        <f t="shared" si="30"/>
        <v/>
      </c>
      <c r="FA740" s="1356"/>
      <c r="FB740" s="1356"/>
      <c r="FC740" s="1356"/>
      <c r="FD740" s="1357"/>
      <c r="FE740" s="1355" t="str">
        <f t="shared" si="31"/>
        <v/>
      </c>
      <c r="FF740" s="1356"/>
      <c r="FG740" s="1356"/>
      <c r="FH740" s="1356"/>
      <c r="FI740" s="1357"/>
      <c r="FJ740" s="1355" t="str">
        <f t="shared" si="32"/>
        <v/>
      </c>
      <c r="FK740" s="1356"/>
      <c r="FL740" s="1356"/>
      <c r="FM740" s="1356"/>
      <c r="FN740" s="1357"/>
      <c r="FO740" s="1355" t="str">
        <f t="shared" si="33"/>
        <v/>
      </c>
      <c r="FP740" s="1356"/>
      <c r="FQ740" s="1356"/>
      <c r="FR740" s="1356"/>
      <c r="FS740" s="1357"/>
      <c r="FT740" s="1355" t="str">
        <f t="shared" si="34"/>
        <v/>
      </c>
      <c r="FU740" s="1356"/>
      <c r="FV740" s="1356"/>
      <c r="FW740" s="1356"/>
      <c r="FX740" s="1357"/>
      <c r="FY740" s="1355" t="str">
        <f t="shared" si="35"/>
        <v/>
      </c>
      <c r="FZ740" s="1356"/>
      <c r="GA740" s="1356"/>
      <c r="GB740" s="1356"/>
      <c r="GC740" s="1357"/>
    </row>
    <row r="741" spans="1:185" ht="13" customHeight="1">
      <c r="B741" s="1359"/>
      <c r="C741" s="1360"/>
      <c r="D741" s="1360"/>
      <c r="E741" s="1360"/>
      <c r="F741" s="1361"/>
      <c r="G741" s="1368"/>
      <c r="H741" s="1369"/>
      <c r="I741" s="1369"/>
      <c r="J741" s="1370"/>
      <c r="K741" s="1584"/>
      <c r="L741" s="1585"/>
      <c r="M741" s="1585"/>
      <c r="N741" s="1586"/>
      <c r="O741" s="1450"/>
      <c r="P741" s="1451"/>
      <c r="Q741" s="1451"/>
      <c r="R741" s="1451"/>
      <c r="S741" s="1452"/>
      <c r="T741" s="1450"/>
      <c r="U741" s="1451"/>
      <c r="V741" s="1451"/>
      <c r="W741" s="1452"/>
      <c r="X741" s="1362">
        <f t="shared" si="8"/>
        <v>0</v>
      </c>
      <c r="Y741" s="1363"/>
      <c r="Z741" s="1363"/>
      <c r="AA741" s="1363"/>
      <c r="AB741" s="1364"/>
      <c r="AC741" s="1593"/>
      <c r="AD741" s="1594"/>
      <c r="AE741" s="1594"/>
      <c r="AF741" s="1594"/>
      <c r="AG741" s="1595"/>
      <c r="AH741" s="1365" t="str">
        <f t="shared" si="36"/>
        <v/>
      </c>
      <c r="AI741" s="1366"/>
      <c r="AJ741" s="1367"/>
      <c r="AK741" s="1359" t="s">
        <v>591</v>
      </c>
      <c r="AL741" s="1360"/>
      <c r="AM741" s="1360"/>
      <c r="AN741" s="1360"/>
      <c r="AO741" s="1361"/>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5">
        <f t="shared" si="37"/>
        <v>0</v>
      </c>
      <c r="CH741" s="1357"/>
      <c r="CI741" s="1339">
        <f t="shared" si="38"/>
        <v>0</v>
      </c>
      <c r="CJ741" s="1341"/>
      <c r="CK741" s="1355">
        <f t="shared" si="16"/>
        <v>0</v>
      </c>
      <c r="CL741" s="1357"/>
      <c r="CM741" s="1339">
        <f t="shared" si="17"/>
        <v>0</v>
      </c>
      <c r="CN741" s="1341"/>
      <c r="CO741" s="3"/>
      <c r="CP741" s="1336">
        <f t="shared" si="18"/>
        <v>0</v>
      </c>
      <c r="CQ741" s="1337"/>
      <c r="CR741" s="1337"/>
      <c r="CS741" s="1337"/>
      <c r="CT741" s="1338"/>
      <c r="CU741" s="1358">
        <f t="shared" si="19"/>
        <v>0</v>
      </c>
      <c r="CV741" s="1358"/>
      <c r="CW741" s="1358"/>
      <c r="CX741" s="1358"/>
      <c r="CY741" s="1358"/>
      <c r="CZ741" s="1358">
        <f t="shared" si="20"/>
        <v>0</v>
      </c>
      <c r="DA741" s="1358"/>
      <c r="DB741" s="1358"/>
      <c r="DC741" s="1358"/>
      <c r="DD741" s="1358"/>
      <c r="DE741" s="1358">
        <f t="shared" si="21"/>
        <v>0</v>
      </c>
      <c r="DF741" s="1358"/>
      <c r="DG741" s="1358"/>
      <c r="DH741" s="1358"/>
      <c r="DI741" s="1358"/>
      <c r="DJ741" s="1358">
        <f t="shared" si="22"/>
        <v>0</v>
      </c>
      <c r="DK741" s="1358"/>
      <c r="DL741" s="1358"/>
      <c r="DM741" s="1358"/>
      <c r="DN741" s="1358"/>
      <c r="DO741" s="1358">
        <f t="shared" si="23"/>
        <v>0</v>
      </c>
      <c r="DP741" s="1358"/>
      <c r="DQ741" s="1358"/>
      <c r="DR741" s="1358"/>
      <c r="DS741" s="1358"/>
      <c r="DT741" s="6"/>
      <c r="DU741" s="1372">
        <f t="shared" si="24"/>
        <v>0</v>
      </c>
      <c r="DV741" s="1372"/>
      <c r="DW741" s="1372"/>
      <c r="DX741" s="1372"/>
      <c r="DY741" s="1372"/>
      <c r="DZ741" s="1372">
        <f t="shared" si="25"/>
        <v>0</v>
      </c>
      <c r="EA741" s="1372"/>
      <c r="EB741" s="1372"/>
      <c r="EC741" s="1372"/>
      <c r="ED741" s="1372"/>
      <c r="EE741" s="1372">
        <f t="shared" si="26"/>
        <v>0</v>
      </c>
      <c r="EF741" s="1372"/>
      <c r="EG741" s="1372"/>
      <c r="EH741" s="1372"/>
      <c r="EI741" s="1372"/>
      <c r="EJ741" s="1372">
        <f t="shared" si="27"/>
        <v>0</v>
      </c>
      <c r="EK741" s="1372"/>
      <c r="EL741" s="1372"/>
      <c r="EM741" s="1372"/>
      <c r="EN741" s="1372"/>
      <c r="EO741" s="1372">
        <f t="shared" si="28"/>
        <v>0</v>
      </c>
      <c r="EP741" s="1372"/>
      <c r="EQ741" s="1372"/>
      <c r="ER741" s="1372"/>
      <c r="ES741" s="1372"/>
      <c r="ET741" s="1372">
        <f t="shared" si="29"/>
        <v>0</v>
      </c>
      <c r="EU741" s="1372"/>
      <c r="EV741" s="1372"/>
      <c r="EW741" s="1372"/>
      <c r="EX741" s="1372"/>
      <c r="EZ741" s="1355" t="str">
        <f t="shared" si="30"/>
        <v/>
      </c>
      <c r="FA741" s="1356"/>
      <c r="FB741" s="1356"/>
      <c r="FC741" s="1356"/>
      <c r="FD741" s="1357"/>
      <c r="FE741" s="1355" t="str">
        <f t="shared" si="31"/>
        <v/>
      </c>
      <c r="FF741" s="1356"/>
      <c r="FG741" s="1356"/>
      <c r="FH741" s="1356"/>
      <c r="FI741" s="1357"/>
      <c r="FJ741" s="1355" t="str">
        <f t="shared" si="32"/>
        <v/>
      </c>
      <c r="FK741" s="1356"/>
      <c r="FL741" s="1356"/>
      <c r="FM741" s="1356"/>
      <c r="FN741" s="1357"/>
      <c r="FO741" s="1355" t="str">
        <f t="shared" si="33"/>
        <v/>
      </c>
      <c r="FP741" s="1356"/>
      <c r="FQ741" s="1356"/>
      <c r="FR741" s="1356"/>
      <c r="FS741" s="1357"/>
      <c r="FT741" s="1355" t="str">
        <f t="shared" si="34"/>
        <v/>
      </c>
      <c r="FU741" s="1356"/>
      <c r="FV741" s="1356"/>
      <c r="FW741" s="1356"/>
      <c r="FX741" s="1357"/>
      <c r="FY741" s="1355" t="str">
        <f t="shared" si="35"/>
        <v/>
      </c>
      <c r="FZ741" s="1356"/>
      <c r="GA741" s="1356"/>
      <c r="GB741" s="1356"/>
      <c r="GC741" s="1357"/>
    </row>
    <row r="742" spans="1:185" ht="13" customHeight="1">
      <c r="B742" s="1359"/>
      <c r="C742" s="1360"/>
      <c r="D742" s="1360"/>
      <c r="E742" s="1360"/>
      <c r="F742" s="1361"/>
      <c r="G742" s="1368"/>
      <c r="H742" s="1369"/>
      <c r="I742" s="1369"/>
      <c r="J742" s="1370"/>
      <c r="K742" s="1584"/>
      <c r="L742" s="1585"/>
      <c r="M742" s="1585"/>
      <c r="N742" s="1586"/>
      <c r="O742" s="1450"/>
      <c r="P742" s="1451"/>
      <c r="Q742" s="1451"/>
      <c r="R742" s="1451"/>
      <c r="S742" s="1452"/>
      <c r="T742" s="1450"/>
      <c r="U742" s="1451"/>
      <c r="V742" s="1451"/>
      <c r="W742" s="1452"/>
      <c r="X742" s="1362">
        <f t="shared" ref="X742:X751" si="39">O742+T742</f>
        <v>0</v>
      </c>
      <c r="Y742" s="1363"/>
      <c r="Z742" s="1363"/>
      <c r="AA742" s="1363"/>
      <c r="AB742" s="1364"/>
      <c r="AC742" s="1593"/>
      <c r="AD742" s="1594"/>
      <c r="AE742" s="1594"/>
      <c r="AF742" s="1594"/>
      <c r="AG742" s="1595"/>
      <c r="AH742" s="1365" t="str">
        <f t="shared" si="36"/>
        <v/>
      </c>
      <c r="AI742" s="1366"/>
      <c r="AJ742" s="1367"/>
      <c r="AK742" s="1359" t="s">
        <v>591</v>
      </c>
      <c r="AL742" s="1360"/>
      <c r="AM742" s="1360"/>
      <c r="AN742" s="1360"/>
      <c r="AO742" s="1361"/>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5">
        <f t="shared" si="37"/>
        <v>0</v>
      </c>
      <c r="CH742" s="1357"/>
      <c r="CI742" s="1339">
        <f t="shared" si="38"/>
        <v>0</v>
      </c>
      <c r="CJ742" s="1341"/>
      <c r="CK742" s="1355">
        <f t="shared" si="16"/>
        <v>0</v>
      </c>
      <c r="CL742" s="1357"/>
      <c r="CM742" s="1339">
        <f t="shared" si="17"/>
        <v>0</v>
      </c>
      <c r="CN742" s="1341"/>
      <c r="CO742" s="3"/>
      <c r="CP742" s="1336">
        <f t="shared" si="18"/>
        <v>0</v>
      </c>
      <c r="CQ742" s="1337"/>
      <c r="CR742" s="1337"/>
      <c r="CS742" s="1337"/>
      <c r="CT742" s="1338"/>
      <c r="CU742" s="1358">
        <f t="shared" si="19"/>
        <v>0</v>
      </c>
      <c r="CV742" s="1358"/>
      <c r="CW742" s="1358"/>
      <c r="CX742" s="1358"/>
      <c r="CY742" s="1358"/>
      <c r="CZ742" s="1358">
        <f t="shared" si="20"/>
        <v>0</v>
      </c>
      <c r="DA742" s="1358"/>
      <c r="DB742" s="1358"/>
      <c r="DC742" s="1358"/>
      <c r="DD742" s="1358"/>
      <c r="DE742" s="1358">
        <f t="shared" si="21"/>
        <v>0</v>
      </c>
      <c r="DF742" s="1358"/>
      <c r="DG742" s="1358"/>
      <c r="DH742" s="1358"/>
      <c r="DI742" s="1358"/>
      <c r="DJ742" s="1358">
        <f t="shared" si="22"/>
        <v>0</v>
      </c>
      <c r="DK742" s="1358"/>
      <c r="DL742" s="1358"/>
      <c r="DM742" s="1358"/>
      <c r="DN742" s="1358"/>
      <c r="DO742" s="1358">
        <f t="shared" si="23"/>
        <v>0</v>
      </c>
      <c r="DP742" s="1358"/>
      <c r="DQ742" s="1358"/>
      <c r="DR742" s="1358"/>
      <c r="DS742" s="1358"/>
      <c r="DT742" s="6"/>
      <c r="DU742" s="1372">
        <f t="shared" si="24"/>
        <v>0</v>
      </c>
      <c r="DV742" s="1372"/>
      <c r="DW742" s="1372"/>
      <c r="DX742" s="1372"/>
      <c r="DY742" s="1372"/>
      <c r="DZ742" s="1372">
        <f t="shared" si="25"/>
        <v>0</v>
      </c>
      <c r="EA742" s="1372"/>
      <c r="EB742" s="1372"/>
      <c r="EC742" s="1372"/>
      <c r="ED742" s="1372"/>
      <c r="EE742" s="1372">
        <f t="shared" si="26"/>
        <v>0</v>
      </c>
      <c r="EF742" s="1372"/>
      <c r="EG742" s="1372"/>
      <c r="EH742" s="1372"/>
      <c r="EI742" s="1372"/>
      <c r="EJ742" s="1372">
        <f t="shared" si="27"/>
        <v>0</v>
      </c>
      <c r="EK742" s="1372"/>
      <c r="EL742" s="1372"/>
      <c r="EM742" s="1372"/>
      <c r="EN742" s="1372"/>
      <c r="EO742" s="1372">
        <f t="shared" si="28"/>
        <v>0</v>
      </c>
      <c r="EP742" s="1372"/>
      <c r="EQ742" s="1372"/>
      <c r="ER742" s="1372"/>
      <c r="ES742" s="1372"/>
      <c r="ET742" s="1372">
        <f t="shared" si="29"/>
        <v>0</v>
      </c>
      <c r="EU742" s="1372"/>
      <c r="EV742" s="1372"/>
      <c r="EW742" s="1372"/>
      <c r="EX742" s="1372"/>
      <c r="EZ742" s="1355" t="str">
        <f t="shared" si="30"/>
        <v/>
      </c>
      <c r="FA742" s="1356"/>
      <c r="FB742" s="1356"/>
      <c r="FC742" s="1356"/>
      <c r="FD742" s="1357"/>
      <c r="FE742" s="1355" t="str">
        <f t="shared" si="31"/>
        <v/>
      </c>
      <c r="FF742" s="1356"/>
      <c r="FG742" s="1356"/>
      <c r="FH742" s="1356"/>
      <c r="FI742" s="1357"/>
      <c r="FJ742" s="1355" t="str">
        <f t="shared" si="32"/>
        <v/>
      </c>
      <c r="FK742" s="1356"/>
      <c r="FL742" s="1356"/>
      <c r="FM742" s="1356"/>
      <c r="FN742" s="1357"/>
      <c r="FO742" s="1355" t="str">
        <f t="shared" si="33"/>
        <v/>
      </c>
      <c r="FP742" s="1356"/>
      <c r="FQ742" s="1356"/>
      <c r="FR742" s="1356"/>
      <c r="FS742" s="1357"/>
      <c r="FT742" s="1355" t="str">
        <f t="shared" si="34"/>
        <v/>
      </c>
      <c r="FU742" s="1356"/>
      <c r="FV742" s="1356"/>
      <c r="FW742" s="1356"/>
      <c r="FX742" s="1357"/>
      <c r="FY742" s="1355" t="str">
        <f t="shared" si="35"/>
        <v/>
      </c>
      <c r="FZ742" s="1356"/>
      <c r="GA742" s="1356"/>
      <c r="GB742" s="1356"/>
      <c r="GC742" s="1357"/>
    </row>
    <row r="743" spans="1:185" s="3" customFormat="1" ht="13" customHeight="1">
      <c r="A743"/>
      <c r="B743" s="1359"/>
      <c r="C743" s="1360"/>
      <c r="D743" s="1360"/>
      <c r="E743" s="1360"/>
      <c r="F743" s="1361"/>
      <c r="G743" s="1368"/>
      <c r="H743" s="1369"/>
      <c r="I743" s="1369"/>
      <c r="J743" s="1370"/>
      <c r="K743" s="1584"/>
      <c r="L743" s="1585"/>
      <c r="M743" s="1585"/>
      <c r="N743" s="1586"/>
      <c r="O743" s="1450"/>
      <c r="P743" s="1451"/>
      <c r="Q743" s="1451"/>
      <c r="R743" s="1451"/>
      <c r="S743" s="1452"/>
      <c r="T743" s="1450"/>
      <c r="U743" s="1451"/>
      <c r="V743" s="1451"/>
      <c r="W743" s="1452"/>
      <c r="X743" s="1362">
        <f t="shared" si="39"/>
        <v>0</v>
      </c>
      <c r="Y743" s="1363"/>
      <c r="Z743" s="1363"/>
      <c r="AA743" s="1363"/>
      <c r="AB743" s="1364"/>
      <c r="AC743" s="1593"/>
      <c r="AD743" s="1594"/>
      <c r="AE743" s="1594"/>
      <c r="AF743" s="1594"/>
      <c r="AG743" s="1595"/>
      <c r="AH743" s="1365" t="str">
        <f t="shared" si="36"/>
        <v/>
      </c>
      <c r="AI743" s="1366"/>
      <c r="AJ743" s="1367"/>
      <c r="AK743" s="1359" t="s">
        <v>591</v>
      </c>
      <c r="AL743" s="1360"/>
      <c r="AM743" s="1360"/>
      <c r="AN743" s="1360"/>
      <c r="AO743" s="1361"/>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5">
        <f t="shared" si="37"/>
        <v>0</v>
      </c>
      <c r="CH743" s="1357"/>
      <c r="CI743" s="1339">
        <f t="shared" si="38"/>
        <v>0</v>
      </c>
      <c r="CJ743" s="1341"/>
      <c r="CK743" s="1355">
        <f t="shared" si="16"/>
        <v>0</v>
      </c>
      <c r="CL743" s="1357"/>
      <c r="CM743" s="1339">
        <f t="shared" si="17"/>
        <v>0</v>
      </c>
      <c r="CN743" s="1341"/>
      <c r="CP743" s="1336">
        <f t="shared" si="18"/>
        <v>0</v>
      </c>
      <c r="CQ743" s="1337"/>
      <c r="CR743" s="1337"/>
      <c r="CS743" s="1337"/>
      <c r="CT743" s="1338"/>
      <c r="CU743" s="1358">
        <f t="shared" si="19"/>
        <v>0</v>
      </c>
      <c r="CV743" s="1358"/>
      <c r="CW743" s="1358"/>
      <c r="CX743" s="1358"/>
      <c r="CY743" s="1358"/>
      <c r="CZ743" s="1358">
        <f t="shared" si="20"/>
        <v>0</v>
      </c>
      <c r="DA743" s="1358"/>
      <c r="DB743" s="1358"/>
      <c r="DC743" s="1358"/>
      <c r="DD743" s="1358"/>
      <c r="DE743" s="1358">
        <f t="shared" si="21"/>
        <v>0</v>
      </c>
      <c r="DF743" s="1358"/>
      <c r="DG743" s="1358"/>
      <c r="DH743" s="1358"/>
      <c r="DI743" s="1358"/>
      <c r="DJ743" s="1358">
        <f t="shared" si="22"/>
        <v>0</v>
      </c>
      <c r="DK743" s="1358"/>
      <c r="DL743" s="1358"/>
      <c r="DM743" s="1358"/>
      <c r="DN743" s="1358"/>
      <c r="DO743" s="1358">
        <f t="shared" si="23"/>
        <v>0</v>
      </c>
      <c r="DP743" s="1358"/>
      <c r="DQ743" s="1358"/>
      <c r="DR743" s="1358"/>
      <c r="DS743" s="1358"/>
      <c r="DT743" s="6"/>
      <c r="DU743" s="1372">
        <f t="shared" si="24"/>
        <v>0</v>
      </c>
      <c r="DV743" s="1372"/>
      <c r="DW743" s="1372"/>
      <c r="DX743" s="1372"/>
      <c r="DY743" s="1372"/>
      <c r="DZ743" s="1372">
        <f t="shared" si="25"/>
        <v>0</v>
      </c>
      <c r="EA743" s="1372"/>
      <c r="EB743" s="1372"/>
      <c r="EC743" s="1372"/>
      <c r="ED743" s="1372"/>
      <c r="EE743" s="1372">
        <f t="shared" si="26"/>
        <v>0</v>
      </c>
      <c r="EF743" s="1372"/>
      <c r="EG743" s="1372"/>
      <c r="EH743" s="1372"/>
      <c r="EI743" s="1372"/>
      <c r="EJ743" s="1372">
        <f t="shared" si="27"/>
        <v>0</v>
      </c>
      <c r="EK743" s="1372"/>
      <c r="EL743" s="1372"/>
      <c r="EM743" s="1372"/>
      <c r="EN743" s="1372"/>
      <c r="EO743" s="1372">
        <f t="shared" si="28"/>
        <v>0</v>
      </c>
      <c r="EP743" s="1372"/>
      <c r="EQ743" s="1372"/>
      <c r="ER743" s="1372"/>
      <c r="ES743" s="1372"/>
      <c r="ET743" s="1372">
        <f t="shared" si="29"/>
        <v>0</v>
      </c>
      <c r="EU743" s="1372"/>
      <c r="EV743" s="1372"/>
      <c r="EW743" s="1372"/>
      <c r="EX743" s="1372"/>
      <c r="EY743"/>
      <c r="EZ743" s="1355" t="str">
        <f t="shared" si="30"/>
        <v/>
      </c>
      <c r="FA743" s="1356"/>
      <c r="FB743" s="1356"/>
      <c r="FC743" s="1356"/>
      <c r="FD743" s="1357"/>
      <c r="FE743" s="1355" t="str">
        <f t="shared" si="31"/>
        <v/>
      </c>
      <c r="FF743" s="1356"/>
      <c r="FG743" s="1356"/>
      <c r="FH743" s="1356"/>
      <c r="FI743" s="1357"/>
      <c r="FJ743" s="1355" t="str">
        <f t="shared" si="32"/>
        <v/>
      </c>
      <c r="FK743" s="1356"/>
      <c r="FL743" s="1356"/>
      <c r="FM743" s="1356"/>
      <c r="FN743" s="1357"/>
      <c r="FO743" s="1355" t="str">
        <f t="shared" si="33"/>
        <v/>
      </c>
      <c r="FP743" s="1356"/>
      <c r="FQ743" s="1356"/>
      <c r="FR743" s="1356"/>
      <c r="FS743" s="1357"/>
      <c r="FT743" s="1355" t="str">
        <f t="shared" si="34"/>
        <v/>
      </c>
      <c r="FU743" s="1356"/>
      <c r="FV743" s="1356"/>
      <c r="FW743" s="1356"/>
      <c r="FX743" s="1357"/>
      <c r="FY743" s="1355" t="str">
        <f t="shared" si="35"/>
        <v/>
      </c>
      <c r="FZ743" s="1356"/>
      <c r="GA743" s="1356"/>
      <c r="GB743" s="1356"/>
      <c r="GC743" s="1357"/>
    </row>
    <row r="744" spans="1:185" ht="13" customHeight="1">
      <c r="B744" s="1359"/>
      <c r="C744" s="1360"/>
      <c r="D744" s="1360"/>
      <c r="E744" s="1360"/>
      <c r="F744" s="1361"/>
      <c r="G744" s="1368"/>
      <c r="H744" s="1369"/>
      <c r="I744" s="1369"/>
      <c r="J744" s="1370"/>
      <c r="K744" s="1584"/>
      <c r="L744" s="1585"/>
      <c r="M744" s="1585"/>
      <c r="N744" s="1586"/>
      <c r="O744" s="1450"/>
      <c r="P744" s="1451"/>
      <c r="Q744" s="1451"/>
      <c r="R744" s="1451"/>
      <c r="S744" s="1452"/>
      <c r="T744" s="1450"/>
      <c r="U744" s="1451"/>
      <c r="V744" s="1451"/>
      <c r="W744" s="1452"/>
      <c r="X744" s="1362">
        <f t="shared" si="39"/>
        <v>0</v>
      </c>
      <c r="Y744" s="1363"/>
      <c r="Z744" s="1363"/>
      <c r="AA744" s="1363"/>
      <c r="AB744" s="1364"/>
      <c r="AC744" s="1593"/>
      <c r="AD744" s="1594"/>
      <c r="AE744" s="1594"/>
      <c r="AF744" s="1594"/>
      <c r="AG744" s="1595"/>
      <c r="AH744" s="1365" t="str">
        <f t="shared" si="36"/>
        <v/>
      </c>
      <c r="AI744" s="1366"/>
      <c r="AJ744" s="1367"/>
      <c r="AK744" s="1359" t="s">
        <v>591</v>
      </c>
      <c r="AL744" s="1360"/>
      <c r="AM744" s="1360"/>
      <c r="AN744" s="1360"/>
      <c r="AO744" s="1361"/>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5">
        <f t="shared" si="37"/>
        <v>0</v>
      </c>
      <c r="CH744" s="1357"/>
      <c r="CI744" s="1339">
        <f t="shared" si="38"/>
        <v>0</v>
      </c>
      <c r="CJ744" s="1341"/>
      <c r="CK744" s="1355">
        <f t="shared" si="16"/>
        <v>0</v>
      </c>
      <c r="CL744" s="1357"/>
      <c r="CM744" s="1339">
        <f t="shared" si="17"/>
        <v>0</v>
      </c>
      <c r="CN744" s="1341"/>
      <c r="CO744" s="3"/>
      <c r="CP744" s="1336">
        <f t="shared" si="18"/>
        <v>0</v>
      </c>
      <c r="CQ744" s="1337"/>
      <c r="CR744" s="1337"/>
      <c r="CS744" s="1337"/>
      <c r="CT744" s="1338"/>
      <c r="CU744" s="1358">
        <f t="shared" si="19"/>
        <v>0</v>
      </c>
      <c r="CV744" s="1358"/>
      <c r="CW744" s="1358"/>
      <c r="CX744" s="1358"/>
      <c r="CY744" s="1358"/>
      <c r="CZ744" s="1358">
        <f t="shared" si="20"/>
        <v>0</v>
      </c>
      <c r="DA744" s="1358"/>
      <c r="DB744" s="1358"/>
      <c r="DC744" s="1358"/>
      <c r="DD744" s="1358"/>
      <c r="DE744" s="1358">
        <f t="shared" si="21"/>
        <v>0</v>
      </c>
      <c r="DF744" s="1358"/>
      <c r="DG744" s="1358"/>
      <c r="DH744" s="1358"/>
      <c r="DI744" s="1358"/>
      <c r="DJ744" s="1358">
        <f t="shared" si="22"/>
        <v>0</v>
      </c>
      <c r="DK744" s="1358"/>
      <c r="DL744" s="1358"/>
      <c r="DM744" s="1358"/>
      <c r="DN744" s="1358"/>
      <c r="DO744" s="1358">
        <f t="shared" si="23"/>
        <v>0</v>
      </c>
      <c r="DP744" s="1358"/>
      <c r="DQ744" s="1358"/>
      <c r="DR744" s="1358"/>
      <c r="DS744" s="1358"/>
      <c r="DT744" s="6"/>
      <c r="DU744" s="1372">
        <f t="shared" si="24"/>
        <v>0</v>
      </c>
      <c r="DV744" s="1372"/>
      <c r="DW744" s="1372"/>
      <c r="DX744" s="1372"/>
      <c r="DY744" s="1372"/>
      <c r="DZ744" s="1372">
        <f t="shared" si="25"/>
        <v>0</v>
      </c>
      <c r="EA744" s="1372"/>
      <c r="EB744" s="1372"/>
      <c r="EC744" s="1372"/>
      <c r="ED744" s="1372"/>
      <c r="EE744" s="1372">
        <f t="shared" si="26"/>
        <v>0</v>
      </c>
      <c r="EF744" s="1372"/>
      <c r="EG744" s="1372"/>
      <c r="EH744" s="1372"/>
      <c r="EI744" s="1372"/>
      <c r="EJ744" s="1372">
        <f t="shared" si="27"/>
        <v>0</v>
      </c>
      <c r="EK744" s="1372"/>
      <c r="EL744" s="1372"/>
      <c r="EM744" s="1372"/>
      <c r="EN744" s="1372"/>
      <c r="EO744" s="1372">
        <f t="shared" si="28"/>
        <v>0</v>
      </c>
      <c r="EP744" s="1372"/>
      <c r="EQ744" s="1372"/>
      <c r="ER744" s="1372"/>
      <c r="ES744" s="1372"/>
      <c r="ET744" s="1372">
        <f t="shared" si="29"/>
        <v>0</v>
      </c>
      <c r="EU744" s="1372"/>
      <c r="EV744" s="1372"/>
      <c r="EW744" s="1372"/>
      <c r="EX744" s="1372"/>
      <c r="EZ744" s="1355" t="str">
        <f t="shared" si="30"/>
        <v/>
      </c>
      <c r="FA744" s="1356"/>
      <c r="FB744" s="1356"/>
      <c r="FC744" s="1356"/>
      <c r="FD744" s="1357"/>
      <c r="FE744" s="1355" t="str">
        <f t="shared" si="31"/>
        <v/>
      </c>
      <c r="FF744" s="1356"/>
      <c r="FG744" s="1356"/>
      <c r="FH744" s="1356"/>
      <c r="FI744" s="1357"/>
      <c r="FJ744" s="1355" t="str">
        <f t="shared" si="32"/>
        <v/>
      </c>
      <c r="FK744" s="1356"/>
      <c r="FL744" s="1356"/>
      <c r="FM744" s="1356"/>
      <c r="FN744" s="1357"/>
      <c r="FO744" s="1355" t="str">
        <f t="shared" si="33"/>
        <v/>
      </c>
      <c r="FP744" s="1356"/>
      <c r="FQ744" s="1356"/>
      <c r="FR744" s="1356"/>
      <c r="FS744" s="1357"/>
      <c r="FT744" s="1355" t="str">
        <f t="shared" si="34"/>
        <v/>
      </c>
      <c r="FU744" s="1356"/>
      <c r="FV744" s="1356"/>
      <c r="FW744" s="1356"/>
      <c r="FX744" s="1357"/>
      <c r="FY744" s="1355" t="str">
        <f t="shared" si="35"/>
        <v/>
      </c>
      <c r="FZ744" s="1356"/>
      <c r="GA744" s="1356"/>
      <c r="GB744" s="1356"/>
      <c r="GC744" s="1357"/>
    </row>
    <row r="745" spans="1:185" ht="13" customHeight="1">
      <c r="B745" s="1359"/>
      <c r="C745" s="1360"/>
      <c r="D745" s="1360"/>
      <c r="E745" s="1360"/>
      <c r="F745" s="1361"/>
      <c r="G745" s="1368"/>
      <c r="H745" s="1369"/>
      <c r="I745" s="1369"/>
      <c r="J745" s="1370"/>
      <c r="K745" s="1584"/>
      <c r="L745" s="1585"/>
      <c r="M745" s="1585"/>
      <c r="N745" s="1586"/>
      <c r="O745" s="1450"/>
      <c r="P745" s="1451"/>
      <c r="Q745" s="1451"/>
      <c r="R745" s="1451"/>
      <c r="S745" s="1452"/>
      <c r="T745" s="1450"/>
      <c r="U745" s="1451"/>
      <c r="V745" s="1451"/>
      <c r="W745" s="1452"/>
      <c r="X745" s="1362">
        <f t="shared" si="39"/>
        <v>0</v>
      </c>
      <c r="Y745" s="1363"/>
      <c r="Z745" s="1363"/>
      <c r="AA745" s="1363"/>
      <c r="AB745" s="1364"/>
      <c r="AC745" s="1593"/>
      <c r="AD745" s="1594"/>
      <c r="AE745" s="1594"/>
      <c r="AF745" s="1594"/>
      <c r="AG745" s="1595"/>
      <c r="AH745" s="1365" t="str">
        <f t="shared" si="36"/>
        <v/>
      </c>
      <c r="AI745" s="1366"/>
      <c r="AJ745" s="1367"/>
      <c r="AK745" s="1359" t="s">
        <v>591</v>
      </c>
      <c r="AL745" s="1360"/>
      <c r="AM745" s="1360"/>
      <c r="AN745" s="1360"/>
      <c r="AO745" s="1361"/>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5">
        <f t="shared" si="37"/>
        <v>0</v>
      </c>
      <c r="CH745" s="1357"/>
      <c r="CI745" s="1339">
        <f t="shared" si="38"/>
        <v>0</v>
      </c>
      <c r="CJ745" s="1341"/>
      <c r="CK745" s="1355">
        <f t="shared" si="16"/>
        <v>0</v>
      </c>
      <c r="CL745" s="1357"/>
      <c r="CM745" s="1339">
        <f t="shared" si="17"/>
        <v>0</v>
      </c>
      <c r="CN745" s="1341"/>
      <c r="CO745" s="3"/>
      <c r="CP745" s="1336">
        <f t="shared" si="18"/>
        <v>0</v>
      </c>
      <c r="CQ745" s="1337"/>
      <c r="CR745" s="1337"/>
      <c r="CS745" s="1337"/>
      <c r="CT745" s="1338"/>
      <c r="CU745" s="1358">
        <f t="shared" si="19"/>
        <v>0</v>
      </c>
      <c r="CV745" s="1358"/>
      <c r="CW745" s="1358"/>
      <c r="CX745" s="1358"/>
      <c r="CY745" s="1358"/>
      <c r="CZ745" s="1358">
        <f t="shared" si="20"/>
        <v>0</v>
      </c>
      <c r="DA745" s="1358"/>
      <c r="DB745" s="1358"/>
      <c r="DC745" s="1358"/>
      <c r="DD745" s="1358"/>
      <c r="DE745" s="1358">
        <f t="shared" si="21"/>
        <v>0</v>
      </c>
      <c r="DF745" s="1358"/>
      <c r="DG745" s="1358"/>
      <c r="DH745" s="1358"/>
      <c r="DI745" s="1358"/>
      <c r="DJ745" s="1358">
        <f t="shared" si="22"/>
        <v>0</v>
      </c>
      <c r="DK745" s="1358"/>
      <c r="DL745" s="1358"/>
      <c r="DM745" s="1358"/>
      <c r="DN745" s="1358"/>
      <c r="DO745" s="1358">
        <f t="shared" si="23"/>
        <v>0</v>
      </c>
      <c r="DP745" s="1358"/>
      <c r="DQ745" s="1358"/>
      <c r="DR745" s="1358"/>
      <c r="DS745" s="1358"/>
      <c r="DT745" s="6"/>
      <c r="DU745" s="1372">
        <f t="shared" si="24"/>
        <v>0</v>
      </c>
      <c r="DV745" s="1372"/>
      <c r="DW745" s="1372"/>
      <c r="DX745" s="1372"/>
      <c r="DY745" s="1372"/>
      <c r="DZ745" s="1372">
        <f t="shared" si="25"/>
        <v>0</v>
      </c>
      <c r="EA745" s="1372"/>
      <c r="EB745" s="1372"/>
      <c r="EC745" s="1372"/>
      <c r="ED745" s="1372"/>
      <c r="EE745" s="1372">
        <f t="shared" si="26"/>
        <v>0</v>
      </c>
      <c r="EF745" s="1372"/>
      <c r="EG745" s="1372"/>
      <c r="EH745" s="1372"/>
      <c r="EI745" s="1372"/>
      <c r="EJ745" s="1372">
        <f t="shared" si="27"/>
        <v>0</v>
      </c>
      <c r="EK745" s="1372"/>
      <c r="EL745" s="1372"/>
      <c r="EM745" s="1372"/>
      <c r="EN745" s="1372"/>
      <c r="EO745" s="1372">
        <f t="shared" si="28"/>
        <v>0</v>
      </c>
      <c r="EP745" s="1372"/>
      <c r="EQ745" s="1372"/>
      <c r="ER745" s="1372"/>
      <c r="ES745" s="1372"/>
      <c r="ET745" s="1372">
        <f t="shared" si="29"/>
        <v>0</v>
      </c>
      <c r="EU745" s="1372"/>
      <c r="EV745" s="1372"/>
      <c r="EW745" s="1372"/>
      <c r="EX745" s="1372"/>
      <c r="EZ745" s="1355" t="str">
        <f t="shared" si="30"/>
        <v/>
      </c>
      <c r="FA745" s="1356"/>
      <c r="FB745" s="1356"/>
      <c r="FC745" s="1356"/>
      <c r="FD745" s="1357"/>
      <c r="FE745" s="1355" t="str">
        <f t="shared" si="31"/>
        <v/>
      </c>
      <c r="FF745" s="1356"/>
      <c r="FG745" s="1356"/>
      <c r="FH745" s="1356"/>
      <c r="FI745" s="1357"/>
      <c r="FJ745" s="1355" t="str">
        <f t="shared" si="32"/>
        <v/>
      </c>
      <c r="FK745" s="1356"/>
      <c r="FL745" s="1356"/>
      <c r="FM745" s="1356"/>
      <c r="FN745" s="1357"/>
      <c r="FO745" s="1355" t="str">
        <f t="shared" si="33"/>
        <v/>
      </c>
      <c r="FP745" s="1356"/>
      <c r="FQ745" s="1356"/>
      <c r="FR745" s="1356"/>
      <c r="FS745" s="1357"/>
      <c r="FT745" s="1355" t="str">
        <f t="shared" si="34"/>
        <v/>
      </c>
      <c r="FU745" s="1356"/>
      <c r="FV745" s="1356"/>
      <c r="FW745" s="1356"/>
      <c r="FX745" s="1357"/>
      <c r="FY745" s="1355" t="str">
        <f t="shared" si="35"/>
        <v/>
      </c>
      <c r="FZ745" s="1356"/>
      <c r="GA745" s="1356"/>
      <c r="GB745" s="1356"/>
      <c r="GC745" s="1357"/>
    </row>
    <row r="746" spans="1:185" ht="13" customHeight="1">
      <c r="B746" s="1359"/>
      <c r="C746" s="1360"/>
      <c r="D746" s="1360"/>
      <c r="E746" s="1360"/>
      <c r="F746" s="1361"/>
      <c r="G746" s="1368"/>
      <c r="H746" s="1369"/>
      <c r="I746" s="1369"/>
      <c r="J746" s="1370"/>
      <c r="K746" s="1584"/>
      <c r="L746" s="1585"/>
      <c r="M746" s="1585"/>
      <c r="N746" s="1586"/>
      <c r="O746" s="1450"/>
      <c r="P746" s="1451"/>
      <c r="Q746" s="1451"/>
      <c r="R746" s="1451"/>
      <c r="S746" s="1452"/>
      <c r="T746" s="1450"/>
      <c r="U746" s="1451"/>
      <c r="V746" s="1451"/>
      <c r="W746" s="1452"/>
      <c r="X746" s="1362">
        <f t="shared" si="39"/>
        <v>0</v>
      </c>
      <c r="Y746" s="1363"/>
      <c r="Z746" s="1363"/>
      <c r="AA746" s="1363"/>
      <c r="AB746" s="1364"/>
      <c r="AC746" s="1593"/>
      <c r="AD746" s="1594"/>
      <c r="AE746" s="1594"/>
      <c r="AF746" s="1594"/>
      <c r="AG746" s="1595"/>
      <c r="AH746" s="1365" t="str">
        <f t="shared" si="36"/>
        <v/>
      </c>
      <c r="AI746" s="1366"/>
      <c r="AJ746" s="1367"/>
      <c r="AK746" s="1359" t="s">
        <v>591</v>
      </c>
      <c r="AL746" s="1360"/>
      <c r="AM746" s="1360"/>
      <c r="AN746" s="1360"/>
      <c r="AO746" s="1361"/>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5">
        <f t="shared" si="37"/>
        <v>0</v>
      </c>
      <c r="CH746" s="1357"/>
      <c r="CI746" s="1339">
        <f t="shared" si="38"/>
        <v>0</v>
      </c>
      <c r="CJ746" s="1341"/>
      <c r="CK746" s="1355">
        <f t="shared" si="16"/>
        <v>0</v>
      </c>
      <c r="CL746" s="1357"/>
      <c r="CM746" s="1339">
        <f t="shared" si="17"/>
        <v>0</v>
      </c>
      <c r="CN746" s="1341"/>
      <c r="CO746" s="3"/>
      <c r="CP746" s="1336">
        <f t="shared" si="18"/>
        <v>0</v>
      </c>
      <c r="CQ746" s="1337"/>
      <c r="CR746" s="1337"/>
      <c r="CS746" s="1337"/>
      <c r="CT746" s="1338"/>
      <c r="CU746" s="1358">
        <f t="shared" si="19"/>
        <v>0</v>
      </c>
      <c r="CV746" s="1358"/>
      <c r="CW746" s="1358"/>
      <c r="CX746" s="1358"/>
      <c r="CY746" s="1358"/>
      <c r="CZ746" s="1358">
        <f t="shared" si="20"/>
        <v>0</v>
      </c>
      <c r="DA746" s="1358"/>
      <c r="DB746" s="1358"/>
      <c r="DC746" s="1358"/>
      <c r="DD746" s="1358"/>
      <c r="DE746" s="1358">
        <f t="shared" si="21"/>
        <v>0</v>
      </c>
      <c r="DF746" s="1358"/>
      <c r="DG746" s="1358"/>
      <c r="DH746" s="1358"/>
      <c r="DI746" s="1358"/>
      <c r="DJ746" s="1358">
        <f t="shared" si="22"/>
        <v>0</v>
      </c>
      <c r="DK746" s="1358"/>
      <c r="DL746" s="1358"/>
      <c r="DM746" s="1358"/>
      <c r="DN746" s="1358"/>
      <c r="DO746" s="1358">
        <f t="shared" si="23"/>
        <v>0</v>
      </c>
      <c r="DP746" s="1358"/>
      <c r="DQ746" s="1358"/>
      <c r="DR746" s="1358"/>
      <c r="DS746" s="1358"/>
      <c r="DT746" s="6"/>
      <c r="DU746" s="1372">
        <f t="shared" si="24"/>
        <v>0</v>
      </c>
      <c r="DV746" s="1372"/>
      <c r="DW746" s="1372"/>
      <c r="DX746" s="1372"/>
      <c r="DY746" s="1372"/>
      <c r="DZ746" s="1372">
        <f t="shared" si="25"/>
        <v>0</v>
      </c>
      <c r="EA746" s="1372"/>
      <c r="EB746" s="1372"/>
      <c r="EC746" s="1372"/>
      <c r="ED746" s="1372"/>
      <c r="EE746" s="1372">
        <f t="shared" si="26"/>
        <v>0</v>
      </c>
      <c r="EF746" s="1372"/>
      <c r="EG746" s="1372"/>
      <c r="EH746" s="1372"/>
      <c r="EI746" s="1372"/>
      <c r="EJ746" s="1372">
        <f t="shared" si="27"/>
        <v>0</v>
      </c>
      <c r="EK746" s="1372"/>
      <c r="EL746" s="1372"/>
      <c r="EM746" s="1372"/>
      <c r="EN746" s="1372"/>
      <c r="EO746" s="1372">
        <f t="shared" si="28"/>
        <v>0</v>
      </c>
      <c r="EP746" s="1372"/>
      <c r="EQ746" s="1372"/>
      <c r="ER746" s="1372"/>
      <c r="ES746" s="1372"/>
      <c r="ET746" s="1372">
        <f t="shared" si="29"/>
        <v>0</v>
      </c>
      <c r="EU746" s="1372"/>
      <c r="EV746" s="1372"/>
      <c r="EW746" s="1372"/>
      <c r="EX746" s="1372"/>
      <c r="EZ746" s="1355" t="str">
        <f t="shared" si="30"/>
        <v/>
      </c>
      <c r="FA746" s="1356"/>
      <c r="FB746" s="1356"/>
      <c r="FC746" s="1356"/>
      <c r="FD746" s="1357"/>
      <c r="FE746" s="1355" t="str">
        <f t="shared" si="31"/>
        <v/>
      </c>
      <c r="FF746" s="1356"/>
      <c r="FG746" s="1356"/>
      <c r="FH746" s="1356"/>
      <c r="FI746" s="1357"/>
      <c r="FJ746" s="1355" t="str">
        <f t="shared" si="32"/>
        <v/>
      </c>
      <c r="FK746" s="1356"/>
      <c r="FL746" s="1356"/>
      <c r="FM746" s="1356"/>
      <c r="FN746" s="1357"/>
      <c r="FO746" s="1355" t="str">
        <f t="shared" si="33"/>
        <v/>
      </c>
      <c r="FP746" s="1356"/>
      <c r="FQ746" s="1356"/>
      <c r="FR746" s="1356"/>
      <c r="FS746" s="1357"/>
      <c r="FT746" s="1355" t="str">
        <f t="shared" si="34"/>
        <v/>
      </c>
      <c r="FU746" s="1356"/>
      <c r="FV746" s="1356"/>
      <c r="FW746" s="1356"/>
      <c r="FX746" s="1357"/>
      <c r="FY746" s="1355" t="str">
        <f t="shared" si="35"/>
        <v/>
      </c>
      <c r="FZ746" s="1356"/>
      <c r="GA746" s="1356"/>
      <c r="GB746" s="1356"/>
      <c r="GC746" s="1357"/>
    </row>
    <row r="747" spans="1:185" ht="13" customHeight="1">
      <c r="B747" s="1359"/>
      <c r="C747" s="1360"/>
      <c r="D747" s="1360"/>
      <c r="E747" s="1360"/>
      <c r="F747" s="1361"/>
      <c r="G747" s="1368"/>
      <c r="H747" s="1369"/>
      <c r="I747" s="1369"/>
      <c r="J747" s="1370"/>
      <c r="K747" s="1584"/>
      <c r="L747" s="1585"/>
      <c r="M747" s="1585"/>
      <c r="N747" s="1586"/>
      <c r="O747" s="1450"/>
      <c r="P747" s="1451"/>
      <c r="Q747" s="1451"/>
      <c r="R747" s="1451"/>
      <c r="S747" s="1452"/>
      <c r="T747" s="1450"/>
      <c r="U747" s="1451"/>
      <c r="V747" s="1451"/>
      <c r="W747" s="1452"/>
      <c r="X747" s="1362">
        <f t="shared" si="39"/>
        <v>0</v>
      </c>
      <c r="Y747" s="1363"/>
      <c r="Z747" s="1363"/>
      <c r="AA747" s="1363"/>
      <c r="AB747" s="1364"/>
      <c r="AC747" s="1593"/>
      <c r="AD747" s="1594"/>
      <c r="AE747" s="1594"/>
      <c r="AF747" s="1594"/>
      <c r="AG747" s="1595"/>
      <c r="AH747" s="1365" t="str">
        <f t="shared" si="36"/>
        <v/>
      </c>
      <c r="AI747" s="1366"/>
      <c r="AJ747" s="1367"/>
      <c r="AK747" s="1359" t="s">
        <v>591</v>
      </c>
      <c r="AL747" s="1360"/>
      <c r="AM747" s="1360"/>
      <c r="AN747" s="1360"/>
      <c r="AO747" s="1361"/>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5">
        <f t="shared" si="37"/>
        <v>0</v>
      </c>
      <c r="CH747" s="1357"/>
      <c r="CI747" s="1339">
        <f t="shared" si="38"/>
        <v>0</v>
      </c>
      <c r="CJ747" s="1341"/>
      <c r="CK747" s="1355">
        <f t="shared" si="16"/>
        <v>0</v>
      </c>
      <c r="CL747" s="1357"/>
      <c r="CM747" s="1339">
        <f t="shared" si="17"/>
        <v>0</v>
      </c>
      <c r="CN747" s="1341"/>
      <c r="CO747" s="3"/>
      <c r="CP747" s="1336">
        <f t="shared" si="18"/>
        <v>0</v>
      </c>
      <c r="CQ747" s="1337"/>
      <c r="CR747" s="1337"/>
      <c r="CS747" s="1337"/>
      <c r="CT747" s="1338"/>
      <c r="CU747" s="1358">
        <f t="shared" si="19"/>
        <v>0</v>
      </c>
      <c r="CV747" s="1358"/>
      <c r="CW747" s="1358"/>
      <c r="CX747" s="1358"/>
      <c r="CY747" s="1358"/>
      <c r="CZ747" s="1358">
        <f t="shared" si="20"/>
        <v>0</v>
      </c>
      <c r="DA747" s="1358"/>
      <c r="DB747" s="1358"/>
      <c r="DC747" s="1358"/>
      <c r="DD747" s="1358"/>
      <c r="DE747" s="1358">
        <f t="shared" si="21"/>
        <v>0</v>
      </c>
      <c r="DF747" s="1358"/>
      <c r="DG747" s="1358"/>
      <c r="DH747" s="1358"/>
      <c r="DI747" s="1358"/>
      <c r="DJ747" s="1358">
        <f t="shared" si="22"/>
        <v>0</v>
      </c>
      <c r="DK747" s="1358"/>
      <c r="DL747" s="1358"/>
      <c r="DM747" s="1358"/>
      <c r="DN747" s="1358"/>
      <c r="DO747" s="1358">
        <f t="shared" si="23"/>
        <v>0</v>
      </c>
      <c r="DP747" s="1358"/>
      <c r="DQ747" s="1358"/>
      <c r="DR747" s="1358"/>
      <c r="DS747" s="1358"/>
      <c r="DT747" s="6"/>
      <c r="DU747" s="1372">
        <f t="shared" si="24"/>
        <v>0</v>
      </c>
      <c r="DV747" s="1372"/>
      <c r="DW747" s="1372"/>
      <c r="DX747" s="1372"/>
      <c r="DY747" s="1372"/>
      <c r="DZ747" s="1372">
        <f t="shared" si="25"/>
        <v>0</v>
      </c>
      <c r="EA747" s="1372"/>
      <c r="EB747" s="1372"/>
      <c r="EC747" s="1372"/>
      <c r="ED747" s="1372"/>
      <c r="EE747" s="1372">
        <f t="shared" si="26"/>
        <v>0</v>
      </c>
      <c r="EF747" s="1372"/>
      <c r="EG747" s="1372"/>
      <c r="EH747" s="1372"/>
      <c r="EI747" s="1372"/>
      <c r="EJ747" s="1372">
        <f t="shared" si="27"/>
        <v>0</v>
      </c>
      <c r="EK747" s="1372"/>
      <c r="EL747" s="1372"/>
      <c r="EM747" s="1372"/>
      <c r="EN747" s="1372"/>
      <c r="EO747" s="1372">
        <f t="shared" si="28"/>
        <v>0</v>
      </c>
      <c r="EP747" s="1372"/>
      <c r="EQ747" s="1372"/>
      <c r="ER747" s="1372"/>
      <c r="ES747" s="1372"/>
      <c r="ET747" s="1372">
        <f t="shared" si="29"/>
        <v>0</v>
      </c>
      <c r="EU747" s="1372"/>
      <c r="EV747" s="1372"/>
      <c r="EW747" s="1372"/>
      <c r="EX747" s="1372"/>
      <c r="EZ747" s="1355" t="str">
        <f t="shared" si="30"/>
        <v/>
      </c>
      <c r="FA747" s="1356"/>
      <c r="FB747" s="1356"/>
      <c r="FC747" s="1356"/>
      <c r="FD747" s="1357"/>
      <c r="FE747" s="1355" t="str">
        <f t="shared" si="31"/>
        <v/>
      </c>
      <c r="FF747" s="1356"/>
      <c r="FG747" s="1356"/>
      <c r="FH747" s="1356"/>
      <c r="FI747" s="1357"/>
      <c r="FJ747" s="1355" t="str">
        <f t="shared" si="32"/>
        <v/>
      </c>
      <c r="FK747" s="1356"/>
      <c r="FL747" s="1356"/>
      <c r="FM747" s="1356"/>
      <c r="FN747" s="1357"/>
      <c r="FO747" s="1355" t="str">
        <f t="shared" si="33"/>
        <v/>
      </c>
      <c r="FP747" s="1356"/>
      <c r="FQ747" s="1356"/>
      <c r="FR747" s="1356"/>
      <c r="FS747" s="1357"/>
      <c r="FT747" s="1355" t="str">
        <f t="shared" si="34"/>
        <v/>
      </c>
      <c r="FU747" s="1356"/>
      <c r="FV747" s="1356"/>
      <c r="FW747" s="1356"/>
      <c r="FX747" s="1357"/>
      <c r="FY747" s="1355" t="str">
        <f t="shared" si="35"/>
        <v/>
      </c>
      <c r="FZ747" s="1356"/>
      <c r="GA747" s="1356"/>
      <c r="GB747" s="1356"/>
      <c r="GC747" s="1357"/>
    </row>
    <row r="748" spans="1:185" s="3" customFormat="1" ht="13" customHeight="1">
      <c r="A748"/>
      <c r="B748" s="1359"/>
      <c r="C748" s="1360"/>
      <c r="D748" s="1360"/>
      <c r="E748" s="1360"/>
      <c r="F748" s="1361"/>
      <c r="G748" s="1368"/>
      <c r="H748" s="1369"/>
      <c r="I748" s="1369"/>
      <c r="J748" s="1370"/>
      <c r="K748" s="1584"/>
      <c r="L748" s="1585"/>
      <c r="M748" s="1585"/>
      <c r="N748" s="1586"/>
      <c r="O748" s="1450"/>
      <c r="P748" s="1451"/>
      <c r="Q748" s="1451"/>
      <c r="R748" s="1451"/>
      <c r="S748" s="1452"/>
      <c r="T748" s="1450"/>
      <c r="U748" s="1451"/>
      <c r="V748" s="1451"/>
      <c r="W748" s="1452"/>
      <c r="X748" s="1362">
        <f t="shared" si="39"/>
        <v>0</v>
      </c>
      <c r="Y748" s="1363"/>
      <c r="Z748" s="1363"/>
      <c r="AA748" s="1363"/>
      <c r="AB748" s="1364"/>
      <c r="AC748" s="1593"/>
      <c r="AD748" s="1594"/>
      <c r="AE748" s="1594"/>
      <c r="AF748" s="1594"/>
      <c r="AG748" s="1595"/>
      <c r="AH748" s="1365" t="str">
        <f t="shared" si="36"/>
        <v/>
      </c>
      <c r="AI748" s="1366"/>
      <c r="AJ748" s="1367"/>
      <c r="AK748" s="1359" t="s">
        <v>591</v>
      </c>
      <c r="AL748" s="1360"/>
      <c r="AM748" s="1360"/>
      <c r="AN748" s="1360"/>
      <c r="AO748" s="1361"/>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5">
        <f t="shared" si="37"/>
        <v>0</v>
      </c>
      <c r="CH748" s="1357"/>
      <c r="CI748" s="1339">
        <f t="shared" si="38"/>
        <v>0</v>
      </c>
      <c r="CJ748" s="1341"/>
      <c r="CK748" s="1355">
        <f t="shared" si="16"/>
        <v>0</v>
      </c>
      <c r="CL748" s="1357"/>
      <c r="CM748" s="1339">
        <f t="shared" si="17"/>
        <v>0</v>
      </c>
      <c r="CN748" s="1341"/>
      <c r="CP748" s="1336">
        <f t="shared" si="18"/>
        <v>0</v>
      </c>
      <c r="CQ748" s="1337"/>
      <c r="CR748" s="1337"/>
      <c r="CS748" s="1337"/>
      <c r="CT748" s="1338"/>
      <c r="CU748" s="1358">
        <f t="shared" si="19"/>
        <v>0</v>
      </c>
      <c r="CV748" s="1358"/>
      <c r="CW748" s="1358"/>
      <c r="CX748" s="1358"/>
      <c r="CY748" s="1358"/>
      <c r="CZ748" s="1358">
        <f t="shared" si="20"/>
        <v>0</v>
      </c>
      <c r="DA748" s="1358"/>
      <c r="DB748" s="1358"/>
      <c r="DC748" s="1358"/>
      <c r="DD748" s="1358"/>
      <c r="DE748" s="1358">
        <f t="shared" si="21"/>
        <v>0</v>
      </c>
      <c r="DF748" s="1358"/>
      <c r="DG748" s="1358"/>
      <c r="DH748" s="1358"/>
      <c r="DI748" s="1358"/>
      <c r="DJ748" s="1358">
        <f t="shared" si="22"/>
        <v>0</v>
      </c>
      <c r="DK748" s="1358"/>
      <c r="DL748" s="1358"/>
      <c r="DM748" s="1358"/>
      <c r="DN748" s="1358"/>
      <c r="DO748" s="1358">
        <f t="shared" si="23"/>
        <v>0</v>
      </c>
      <c r="DP748" s="1358"/>
      <c r="DQ748" s="1358"/>
      <c r="DR748" s="1358"/>
      <c r="DS748" s="1358"/>
      <c r="DT748" s="6"/>
      <c r="DU748" s="1372">
        <f t="shared" si="24"/>
        <v>0</v>
      </c>
      <c r="DV748" s="1372"/>
      <c r="DW748" s="1372"/>
      <c r="DX748" s="1372"/>
      <c r="DY748" s="1372"/>
      <c r="DZ748" s="1372">
        <f t="shared" si="25"/>
        <v>0</v>
      </c>
      <c r="EA748" s="1372"/>
      <c r="EB748" s="1372"/>
      <c r="EC748" s="1372"/>
      <c r="ED748" s="1372"/>
      <c r="EE748" s="1372">
        <f t="shared" si="26"/>
        <v>0</v>
      </c>
      <c r="EF748" s="1372"/>
      <c r="EG748" s="1372"/>
      <c r="EH748" s="1372"/>
      <c r="EI748" s="1372"/>
      <c r="EJ748" s="1372">
        <f t="shared" si="27"/>
        <v>0</v>
      </c>
      <c r="EK748" s="1372"/>
      <c r="EL748" s="1372"/>
      <c r="EM748" s="1372"/>
      <c r="EN748" s="1372"/>
      <c r="EO748" s="1372">
        <f t="shared" si="28"/>
        <v>0</v>
      </c>
      <c r="EP748" s="1372"/>
      <c r="EQ748" s="1372"/>
      <c r="ER748" s="1372"/>
      <c r="ES748" s="1372"/>
      <c r="ET748" s="1372">
        <f t="shared" si="29"/>
        <v>0</v>
      </c>
      <c r="EU748" s="1372"/>
      <c r="EV748" s="1372"/>
      <c r="EW748" s="1372"/>
      <c r="EX748" s="1372"/>
      <c r="EY748"/>
      <c r="EZ748" s="1355" t="str">
        <f t="shared" si="30"/>
        <v/>
      </c>
      <c r="FA748" s="1356"/>
      <c r="FB748" s="1356"/>
      <c r="FC748" s="1356"/>
      <c r="FD748" s="1357"/>
      <c r="FE748" s="1355" t="str">
        <f t="shared" si="31"/>
        <v/>
      </c>
      <c r="FF748" s="1356"/>
      <c r="FG748" s="1356"/>
      <c r="FH748" s="1356"/>
      <c r="FI748" s="1357"/>
      <c r="FJ748" s="1355" t="str">
        <f t="shared" si="32"/>
        <v/>
      </c>
      <c r="FK748" s="1356"/>
      <c r="FL748" s="1356"/>
      <c r="FM748" s="1356"/>
      <c r="FN748" s="1357"/>
      <c r="FO748" s="1355" t="str">
        <f t="shared" si="33"/>
        <v/>
      </c>
      <c r="FP748" s="1356"/>
      <c r="FQ748" s="1356"/>
      <c r="FR748" s="1356"/>
      <c r="FS748" s="1357"/>
      <c r="FT748" s="1355" t="str">
        <f t="shared" si="34"/>
        <v/>
      </c>
      <c r="FU748" s="1356"/>
      <c r="FV748" s="1356"/>
      <c r="FW748" s="1356"/>
      <c r="FX748" s="1357"/>
      <c r="FY748" s="1355" t="str">
        <f t="shared" si="35"/>
        <v/>
      </c>
      <c r="FZ748" s="1356"/>
      <c r="GA748" s="1356"/>
      <c r="GB748" s="1356"/>
      <c r="GC748" s="1357"/>
    </row>
    <row r="749" spans="1:185" s="3" customFormat="1" ht="13" customHeight="1">
      <c r="A749"/>
      <c r="B749" s="1359"/>
      <c r="C749" s="1360"/>
      <c r="D749" s="1360"/>
      <c r="E749" s="1360"/>
      <c r="F749" s="1361"/>
      <c r="G749" s="1368"/>
      <c r="H749" s="1369"/>
      <c r="I749" s="1369"/>
      <c r="J749" s="1370"/>
      <c r="K749" s="1584"/>
      <c r="L749" s="1585"/>
      <c r="M749" s="1585"/>
      <c r="N749" s="1586"/>
      <c r="O749" s="1450"/>
      <c r="P749" s="1451"/>
      <c r="Q749" s="1451"/>
      <c r="R749" s="1451"/>
      <c r="S749" s="1452"/>
      <c r="T749" s="1450"/>
      <c r="U749" s="1451"/>
      <c r="V749" s="1451"/>
      <c r="W749" s="1452"/>
      <c r="X749" s="1362">
        <f t="shared" si="39"/>
        <v>0</v>
      </c>
      <c r="Y749" s="1363"/>
      <c r="Z749" s="1363"/>
      <c r="AA749" s="1363"/>
      <c r="AB749" s="1364"/>
      <c r="AC749" s="1593"/>
      <c r="AD749" s="1594"/>
      <c r="AE749" s="1594"/>
      <c r="AF749" s="1594"/>
      <c r="AG749" s="1595"/>
      <c r="AH749" s="1365" t="str">
        <f t="shared" si="36"/>
        <v/>
      </c>
      <c r="AI749" s="1366"/>
      <c r="AJ749" s="1367"/>
      <c r="AK749" s="1359" t="s">
        <v>591</v>
      </c>
      <c r="AL749" s="1360"/>
      <c r="AM749" s="1360"/>
      <c r="AN749" s="1360"/>
      <c r="AO749" s="1361"/>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5">
        <f t="shared" si="37"/>
        <v>0</v>
      </c>
      <c r="CH749" s="1357"/>
      <c r="CI749" s="1339">
        <f t="shared" si="38"/>
        <v>0</v>
      </c>
      <c r="CJ749" s="1341"/>
      <c r="CK749" s="1355">
        <f t="shared" si="16"/>
        <v>0</v>
      </c>
      <c r="CL749" s="1357"/>
      <c r="CM749" s="1339">
        <f t="shared" si="17"/>
        <v>0</v>
      </c>
      <c r="CN749" s="1341"/>
      <c r="CP749" s="1336">
        <f t="shared" si="18"/>
        <v>0</v>
      </c>
      <c r="CQ749" s="1337"/>
      <c r="CR749" s="1337"/>
      <c r="CS749" s="1337"/>
      <c r="CT749" s="1338"/>
      <c r="CU749" s="1358">
        <f t="shared" si="19"/>
        <v>0</v>
      </c>
      <c r="CV749" s="1358"/>
      <c r="CW749" s="1358"/>
      <c r="CX749" s="1358"/>
      <c r="CY749" s="1358"/>
      <c r="CZ749" s="1358">
        <f t="shared" si="20"/>
        <v>0</v>
      </c>
      <c r="DA749" s="1358"/>
      <c r="DB749" s="1358"/>
      <c r="DC749" s="1358"/>
      <c r="DD749" s="1358"/>
      <c r="DE749" s="1358">
        <f t="shared" si="21"/>
        <v>0</v>
      </c>
      <c r="DF749" s="1358"/>
      <c r="DG749" s="1358"/>
      <c r="DH749" s="1358"/>
      <c r="DI749" s="1358"/>
      <c r="DJ749" s="1358">
        <f t="shared" si="22"/>
        <v>0</v>
      </c>
      <c r="DK749" s="1358"/>
      <c r="DL749" s="1358"/>
      <c r="DM749" s="1358"/>
      <c r="DN749" s="1358"/>
      <c r="DO749" s="1358">
        <f t="shared" si="23"/>
        <v>0</v>
      </c>
      <c r="DP749" s="1358"/>
      <c r="DQ749" s="1358"/>
      <c r="DR749" s="1358"/>
      <c r="DS749" s="1358"/>
      <c r="DT749" s="6"/>
      <c r="DU749" s="1372">
        <f t="shared" si="24"/>
        <v>0</v>
      </c>
      <c r="DV749" s="1372"/>
      <c r="DW749" s="1372"/>
      <c r="DX749" s="1372"/>
      <c r="DY749" s="1372"/>
      <c r="DZ749" s="1372">
        <f t="shared" si="25"/>
        <v>0</v>
      </c>
      <c r="EA749" s="1372"/>
      <c r="EB749" s="1372"/>
      <c r="EC749" s="1372"/>
      <c r="ED749" s="1372"/>
      <c r="EE749" s="1372">
        <f t="shared" si="26"/>
        <v>0</v>
      </c>
      <c r="EF749" s="1372"/>
      <c r="EG749" s="1372"/>
      <c r="EH749" s="1372"/>
      <c r="EI749" s="1372"/>
      <c r="EJ749" s="1372">
        <f t="shared" si="27"/>
        <v>0</v>
      </c>
      <c r="EK749" s="1372"/>
      <c r="EL749" s="1372"/>
      <c r="EM749" s="1372"/>
      <c r="EN749" s="1372"/>
      <c r="EO749" s="1372">
        <f t="shared" si="28"/>
        <v>0</v>
      </c>
      <c r="EP749" s="1372"/>
      <c r="EQ749" s="1372"/>
      <c r="ER749" s="1372"/>
      <c r="ES749" s="1372"/>
      <c r="ET749" s="1372">
        <f t="shared" si="29"/>
        <v>0</v>
      </c>
      <c r="EU749" s="1372"/>
      <c r="EV749" s="1372"/>
      <c r="EW749" s="1372"/>
      <c r="EX749" s="1372"/>
      <c r="EY749"/>
      <c r="EZ749" s="1355" t="str">
        <f t="shared" si="30"/>
        <v/>
      </c>
      <c r="FA749" s="1356"/>
      <c r="FB749" s="1356"/>
      <c r="FC749" s="1356"/>
      <c r="FD749" s="1357"/>
      <c r="FE749" s="1355" t="str">
        <f t="shared" si="31"/>
        <v/>
      </c>
      <c r="FF749" s="1356"/>
      <c r="FG749" s="1356"/>
      <c r="FH749" s="1356"/>
      <c r="FI749" s="1357"/>
      <c r="FJ749" s="1355" t="str">
        <f t="shared" si="32"/>
        <v/>
      </c>
      <c r="FK749" s="1356"/>
      <c r="FL749" s="1356"/>
      <c r="FM749" s="1356"/>
      <c r="FN749" s="1357"/>
      <c r="FO749" s="1355" t="str">
        <f t="shared" si="33"/>
        <v/>
      </c>
      <c r="FP749" s="1356"/>
      <c r="FQ749" s="1356"/>
      <c r="FR749" s="1356"/>
      <c r="FS749" s="1357"/>
      <c r="FT749" s="1355" t="str">
        <f t="shared" si="34"/>
        <v/>
      </c>
      <c r="FU749" s="1356"/>
      <c r="FV749" s="1356"/>
      <c r="FW749" s="1356"/>
      <c r="FX749" s="1357"/>
      <c r="FY749" s="1355" t="str">
        <f t="shared" si="35"/>
        <v/>
      </c>
      <c r="FZ749" s="1356"/>
      <c r="GA749" s="1356"/>
      <c r="GB749" s="1356"/>
      <c r="GC749" s="1357"/>
    </row>
    <row r="750" spans="1:185" s="3" customFormat="1" ht="13" customHeight="1">
      <c r="A750"/>
      <c r="B750" s="1359"/>
      <c r="C750" s="1360"/>
      <c r="D750" s="1360"/>
      <c r="E750" s="1360"/>
      <c r="F750" s="1361"/>
      <c r="G750" s="1368"/>
      <c r="H750" s="1369"/>
      <c r="I750" s="1369"/>
      <c r="J750" s="1370"/>
      <c r="K750" s="1584"/>
      <c r="L750" s="1585"/>
      <c r="M750" s="1585"/>
      <c r="N750" s="1586"/>
      <c r="O750" s="1450"/>
      <c r="P750" s="1451"/>
      <c r="Q750" s="1451"/>
      <c r="R750" s="1451"/>
      <c r="S750" s="1452"/>
      <c r="T750" s="1450"/>
      <c r="U750" s="1451"/>
      <c r="V750" s="1451"/>
      <c r="W750" s="1452"/>
      <c r="X750" s="1362">
        <f t="shared" si="39"/>
        <v>0</v>
      </c>
      <c r="Y750" s="1363"/>
      <c r="Z750" s="1363"/>
      <c r="AA750" s="1363"/>
      <c r="AB750" s="1364"/>
      <c r="AC750" s="1593"/>
      <c r="AD750" s="1594"/>
      <c r="AE750" s="1594"/>
      <c r="AF750" s="1594"/>
      <c r="AG750" s="1595"/>
      <c r="AH750" s="1365" t="str">
        <f t="shared" si="36"/>
        <v/>
      </c>
      <c r="AI750" s="1366"/>
      <c r="AJ750" s="1367"/>
      <c r="AK750" s="1359" t="s">
        <v>591</v>
      </c>
      <c r="AL750" s="1360"/>
      <c r="AM750" s="1360"/>
      <c r="AN750" s="1360"/>
      <c r="AO750" s="1361"/>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5">
        <f t="shared" si="37"/>
        <v>0</v>
      </c>
      <c r="CH750" s="1357"/>
      <c r="CI750" s="1339">
        <f t="shared" si="38"/>
        <v>0</v>
      </c>
      <c r="CJ750" s="1341"/>
      <c r="CK750" s="1355">
        <f t="shared" si="16"/>
        <v>0</v>
      </c>
      <c r="CL750" s="1357"/>
      <c r="CM750" s="1339">
        <f t="shared" si="17"/>
        <v>0</v>
      </c>
      <c r="CN750" s="1341"/>
      <c r="CP750" s="1336">
        <f t="shared" si="18"/>
        <v>0</v>
      </c>
      <c r="CQ750" s="1337"/>
      <c r="CR750" s="1337"/>
      <c r="CS750" s="1337"/>
      <c r="CT750" s="1338"/>
      <c r="CU750" s="1358">
        <f t="shared" si="19"/>
        <v>0</v>
      </c>
      <c r="CV750" s="1358"/>
      <c r="CW750" s="1358"/>
      <c r="CX750" s="1358"/>
      <c r="CY750" s="1358"/>
      <c r="CZ750" s="1358">
        <f t="shared" si="20"/>
        <v>0</v>
      </c>
      <c r="DA750" s="1358"/>
      <c r="DB750" s="1358"/>
      <c r="DC750" s="1358"/>
      <c r="DD750" s="1358"/>
      <c r="DE750" s="1358">
        <f t="shared" si="21"/>
        <v>0</v>
      </c>
      <c r="DF750" s="1358"/>
      <c r="DG750" s="1358"/>
      <c r="DH750" s="1358"/>
      <c r="DI750" s="1358"/>
      <c r="DJ750" s="1358">
        <f t="shared" si="22"/>
        <v>0</v>
      </c>
      <c r="DK750" s="1358"/>
      <c r="DL750" s="1358"/>
      <c r="DM750" s="1358"/>
      <c r="DN750" s="1358"/>
      <c r="DO750" s="1358">
        <f t="shared" si="23"/>
        <v>0</v>
      </c>
      <c r="DP750" s="1358"/>
      <c r="DQ750" s="1358"/>
      <c r="DR750" s="1358"/>
      <c r="DS750" s="1358"/>
      <c r="DT750" s="6"/>
      <c r="DU750" s="1372">
        <f t="shared" si="24"/>
        <v>0</v>
      </c>
      <c r="DV750" s="1372"/>
      <c r="DW750" s="1372"/>
      <c r="DX750" s="1372"/>
      <c r="DY750" s="1372"/>
      <c r="DZ750" s="1372">
        <f t="shared" si="25"/>
        <v>0</v>
      </c>
      <c r="EA750" s="1372"/>
      <c r="EB750" s="1372"/>
      <c r="EC750" s="1372"/>
      <c r="ED750" s="1372"/>
      <c r="EE750" s="1372">
        <f t="shared" si="26"/>
        <v>0</v>
      </c>
      <c r="EF750" s="1372"/>
      <c r="EG750" s="1372"/>
      <c r="EH750" s="1372"/>
      <c r="EI750" s="1372"/>
      <c r="EJ750" s="1372">
        <f t="shared" si="27"/>
        <v>0</v>
      </c>
      <c r="EK750" s="1372"/>
      <c r="EL750" s="1372"/>
      <c r="EM750" s="1372"/>
      <c r="EN750" s="1372"/>
      <c r="EO750" s="1372">
        <f t="shared" si="28"/>
        <v>0</v>
      </c>
      <c r="EP750" s="1372"/>
      <c r="EQ750" s="1372"/>
      <c r="ER750" s="1372"/>
      <c r="ES750" s="1372"/>
      <c r="ET750" s="1372">
        <f t="shared" si="29"/>
        <v>0</v>
      </c>
      <c r="EU750" s="1372"/>
      <c r="EV750" s="1372"/>
      <c r="EW750" s="1372"/>
      <c r="EX750" s="1372"/>
      <c r="EY750"/>
      <c r="EZ750" s="1355" t="str">
        <f t="shared" si="30"/>
        <v/>
      </c>
      <c r="FA750" s="1356"/>
      <c r="FB750" s="1356"/>
      <c r="FC750" s="1356"/>
      <c r="FD750" s="1357"/>
      <c r="FE750" s="1355" t="str">
        <f t="shared" si="31"/>
        <v/>
      </c>
      <c r="FF750" s="1356"/>
      <c r="FG750" s="1356"/>
      <c r="FH750" s="1356"/>
      <c r="FI750" s="1357"/>
      <c r="FJ750" s="1355" t="str">
        <f t="shared" si="32"/>
        <v/>
      </c>
      <c r="FK750" s="1356"/>
      <c r="FL750" s="1356"/>
      <c r="FM750" s="1356"/>
      <c r="FN750" s="1357"/>
      <c r="FO750" s="1355" t="str">
        <f t="shared" si="33"/>
        <v/>
      </c>
      <c r="FP750" s="1356"/>
      <c r="FQ750" s="1356"/>
      <c r="FR750" s="1356"/>
      <c r="FS750" s="1357"/>
      <c r="FT750" s="1355" t="str">
        <f t="shared" si="34"/>
        <v/>
      </c>
      <c r="FU750" s="1356"/>
      <c r="FV750" s="1356"/>
      <c r="FW750" s="1356"/>
      <c r="FX750" s="1357"/>
      <c r="FY750" s="1355" t="str">
        <f t="shared" si="35"/>
        <v/>
      </c>
      <c r="FZ750" s="1356"/>
      <c r="GA750" s="1356"/>
      <c r="GB750" s="1356"/>
      <c r="GC750" s="1357"/>
    </row>
    <row r="751" spans="1:185" s="3" customFormat="1" ht="13" customHeight="1">
      <c r="A751"/>
      <c r="B751" s="1359"/>
      <c r="C751" s="1360"/>
      <c r="D751" s="1360"/>
      <c r="E751" s="1360"/>
      <c r="F751" s="1361"/>
      <c r="G751" s="1368"/>
      <c r="H751" s="1369"/>
      <c r="I751" s="1369"/>
      <c r="J751" s="1370"/>
      <c r="K751" s="1584"/>
      <c r="L751" s="1585"/>
      <c r="M751" s="1585"/>
      <c r="N751" s="1586"/>
      <c r="O751" s="1450"/>
      <c r="P751" s="1451"/>
      <c r="Q751" s="1451"/>
      <c r="R751" s="1451"/>
      <c r="S751" s="1452"/>
      <c r="T751" s="1450"/>
      <c r="U751" s="1451"/>
      <c r="V751" s="1451"/>
      <c r="W751" s="1452"/>
      <c r="X751" s="1362">
        <f t="shared" si="39"/>
        <v>0</v>
      </c>
      <c r="Y751" s="1363"/>
      <c r="Z751" s="1363"/>
      <c r="AA751" s="1363"/>
      <c r="AB751" s="1364"/>
      <c r="AC751" s="1593"/>
      <c r="AD751" s="1594"/>
      <c r="AE751" s="1594"/>
      <c r="AF751" s="1594"/>
      <c r="AG751" s="1595"/>
      <c r="AH751" s="1365" t="str">
        <f t="shared" si="36"/>
        <v/>
      </c>
      <c r="AI751" s="1366"/>
      <c r="AJ751" s="1367"/>
      <c r="AK751" s="1359" t="s">
        <v>591</v>
      </c>
      <c r="AL751" s="1360"/>
      <c r="AM751" s="1360"/>
      <c r="AN751" s="1360"/>
      <c r="AO751" s="1361"/>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5">
        <f t="shared" si="37"/>
        <v>0</v>
      </c>
      <c r="CH751" s="1357"/>
      <c r="CI751" s="1339">
        <f t="shared" si="38"/>
        <v>0</v>
      </c>
      <c r="CJ751" s="1341"/>
      <c r="CK751" s="1355">
        <f t="shared" si="16"/>
        <v>0</v>
      </c>
      <c r="CL751" s="1357"/>
      <c r="CM751" s="1339">
        <f t="shared" si="17"/>
        <v>0</v>
      </c>
      <c r="CN751" s="1341"/>
      <c r="CP751" s="1336">
        <f t="shared" si="18"/>
        <v>0</v>
      </c>
      <c r="CQ751" s="1337"/>
      <c r="CR751" s="1337"/>
      <c r="CS751" s="1337"/>
      <c r="CT751" s="1338"/>
      <c r="CU751" s="1358">
        <f t="shared" si="19"/>
        <v>0</v>
      </c>
      <c r="CV751" s="1358"/>
      <c r="CW751" s="1358"/>
      <c r="CX751" s="1358"/>
      <c r="CY751" s="1358"/>
      <c r="CZ751" s="1358">
        <f t="shared" si="20"/>
        <v>0</v>
      </c>
      <c r="DA751" s="1358"/>
      <c r="DB751" s="1358"/>
      <c r="DC751" s="1358"/>
      <c r="DD751" s="1358"/>
      <c r="DE751" s="1358">
        <f t="shared" si="21"/>
        <v>0</v>
      </c>
      <c r="DF751" s="1358"/>
      <c r="DG751" s="1358"/>
      <c r="DH751" s="1358"/>
      <c r="DI751" s="1358"/>
      <c r="DJ751" s="1358">
        <f t="shared" si="22"/>
        <v>0</v>
      </c>
      <c r="DK751" s="1358"/>
      <c r="DL751" s="1358"/>
      <c r="DM751" s="1358"/>
      <c r="DN751" s="1358"/>
      <c r="DO751" s="1358">
        <f t="shared" si="23"/>
        <v>0</v>
      </c>
      <c r="DP751" s="1358"/>
      <c r="DQ751" s="1358"/>
      <c r="DR751" s="1358"/>
      <c r="DS751" s="1358"/>
      <c r="DT751" s="6"/>
      <c r="DU751" s="1372">
        <f t="shared" si="24"/>
        <v>0</v>
      </c>
      <c r="DV751" s="1372"/>
      <c r="DW751" s="1372"/>
      <c r="DX751" s="1372"/>
      <c r="DY751" s="1372"/>
      <c r="DZ751" s="1372">
        <f t="shared" si="25"/>
        <v>0</v>
      </c>
      <c r="EA751" s="1372"/>
      <c r="EB751" s="1372"/>
      <c r="EC751" s="1372"/>
      <c r="ED751" s="1372"/>
      <c r="EE751" s="1372">
        <f t="shared" si="26"/>
        <v>0</v>
      </c>
      <c r="EF751" s="1372"/>
      <c r="EG751" s="1372"/>
      <c r="EH751" s="1372"/>
      <c r="EI751" s="1372"/>
      <c r="EJ751" s="1372">
        <f t="shared" si="27"/>
        <v>0</v>
      </c>
      <c r="EK751" s="1372"/>
      <c r="EL751" s="1372"/>
      <c r="EM751" s="1372"/>
      <c r="EN751" s="1372"/>
      <c r="EO751" s="1372">
        <f t="shared" si="28"/>
        <v>0</v>
      </c>
      <c r="EP751" s="1372"/>
      <c r="EQ751" s="1372"/>
      <c r="ER751" s="1372"/>
      <c r="ES751" s="1372"/>
      <c r="ET751" s="1372">
        <f t="shared" si="29"/>
        <v>0</v>
      </c>
      <c r="EU751" s="1372"/>
      <c r="EV751" s="1372"/>
      <c r="EW751" s="1372"/>
      <c r="EX751" s="1372"/>
      <c r="EY751"/>
      <c r="EZ751" s="1355" t="str">
        <f t="shared" si="30"/>
        <v/>
      </c>
      <c r="FA751" s="1356"/>
      <c r="FB751" s="1356"/>
      <c r="FC751" s="1356"/>
      <c r="FD751" s="1357"/>
      <c r="FE751" s="1355" t="str">
        <f t="shared" si="31"/>
        <v/>
      </c>
      <c r="FF751" s="1356"/>
      <c r="FG751" s="1356"/>
      <c r="FH751" s="1356"/>
      <c r="FI751" s="1357"/>
      <c r="FJ751" s="1355" t="str">
        <f t="shared" si="32"/>
        <v/>
      </c>
      <c r="FK751" s="1356"/>
      <c r="FL751" s="1356"/>
      <c r="FM751" s="1356"/>
      <c r="FN751" s="1357"/>
      <c r="FO751" s="1355" t="str">
        <f t="shared" si="33"/>
        <v/>
      </c>
      <c r="FP751" s="1356"/>
      <c r="FQ751" s="1356"/>
      <c r="FR751" s="1356"/>
      <c r="FS751" s="1357"/>
      <c r="FT751" s="1355" t="str">
        <f t="shared" si="34"/>
        <v/>
      </c>
      <c r="FU751" s="1356"/>
      <c r="FV751" s="1356"/>
      <c r="FW751" s="1356"/>
      <c r="FX751" s="1357"/>
      <c r="FY751" s="1355" t="str">
        <f t="shared" si="35"/>
        <v/>
      </c>
      <c r="FZ751" s="1356"/>
      <c r="GA751" s="1356"/>
      <c r="GB751" s="1356"/>
      <c r="GC751" s="1357"/>
    </row>
    <row r="752" spans="1:185" s="3" customFormat="1" ht="13" customHeight="1">
      <c r="A752"/>
      <c r="B752" s="1359"/>
      <c r="C752" s="1360"/>
      <c r="D752" s="1360"/>
      <c r="E752" s="1360"/>
      <c r="F752" s="1361"/>
      <c r="G752" s="1368"/>
      <c r="H752" s="1369"/>
      <c r="I752" s="1369"/>
      <c r="J752" s="1370"/>
      <c r="K752" s="1584"/>
      <c r="L752" s="1585"/>
      <c r="M752" s="1585"/>
      <c r="N752" s="1586"/>
      <c r="O752" s="1450"/>
      <c r="P752" s="1451"/>
      <c r="Q752" s="1451"/>
      <c r="R752" s="1451"/>
      <c r="S752" s="1452"/>
      <c r="T752" s="1450"/>
      <c r="U752" s="1451"/>
      <c r="V752" s="1451"/>
      <c r="W752" s="1452"/>
      <c r="X752" s="1362">
        <f>O752+T752</f>
        <v>0</v>
      </c>
      <c r="Y752" s="1363"/>
      <c r="Z752" s="1363"/>
      <c r="AA752" s="1363"/>
      <c r="AB752" s="1364"/>
      <c r="AC752" s="1593"/>
      <c r="AD752" s="1594"/>
      <c r="AE752" s="1594"/>
      <c r="AF752" s="1594"/>
      <c r="AG752" s="1595"/>
      <c r="AH752" s="1365" t="str">
        <f t="shared" si="36"/>
        <v/>
      </c>
      <c r="AI752" s="1366"/>
      <c r="AJ752" s="1367"/>
      <c r="AK752" s="1359" t="s">
        <v>591</v>
      </c>
      <c r="AL752" s="1360"/>
      <c r="AM752" s="1360"/>
      <c r="AN752" s="1360"/>
      <c r="AO752" s="1361"/>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5">
        <f t="shared" si="37"/>
        <v>0</v>
      </c>
      <c r="CH752" s="1357"/>
      <c r="CI752" s="1339">
        <f t="shared" si="38"/>
        <v>0</v>
      </c>
      <c r="CJ752" s="1341"/>
      <c r="CK752" s="1355">
        <f t="shared" si="16"/>
        <v>0</v>
      </c>
      <c r="CL752" s="1357"/>
      <c r="CM752" s="1339">
        <f t="shared" si="17"/>
        <v>0</v>
      </c>
      <c r="CN752" s="1341"/>
      <c r="CP752" s="1336">
        <f t="shared" si="18"/>
        <v>0</v>
      </c>
      <c r="CQ752" s="1337"/>
      <c r="CR752" s="1337"/>
      <c r="CS752" s="1337"/>
      <c r="CT752" s="1338"/>
      <c r="CU752" s="1358">
        <f t="shared" si="19"/>
        <v>0</v>
      </c>
      <c r="CV752" s="1358"/>
      <c r="CW752" s="1358"/>
      <c r="CX752" s="1358"/>
      <c r="CY752" s="1358"/>
      <c r="CZ752" s="1358">
        <f t="shared" si="20"/>
        <v>0</v>
      </c>
      <c r="DA752" s="1358"/>
      <c r="DB752" s="1358"/>
      <c r="DC752" s="1358"/>
      <c r="DD752" s="1358"/>
      <c r="DE752" s="1358">
        <f t="shared" si="21"/>
        <v>0</v>
      </c>
      <c r="DF752" s="1358"/>
      <c r="DG752" s="1358"/>
      <c r="DH752" s="1358"/>
      <c r="DI752" s="1358"/>
      <c r="DJ752" s="1358">
        <f t="shared" si="22"/>
        <v>0</v>
      </c>
      <c r="DK752" s="1358"/>
      <c r="DL752" s="1358"/>
      <c r="DM752" s="1358"/>
      <c r="DN752" s="1358"/>
      <c r="DO752" s="1358">
        <f t="shared" si="23"/>
        <v>0</v>
      </c>
      <c r="DP752" s="1358"/>
      <c r="DQ752" s="1358"/>
      <c r="DR752" s="1358"/>
      <c r="DS752" s="1358"/>
      <c r="DT752" s="6"/>
      <c r="DU752" s="1372">
        <f t="shared" si="24"/>
        <v>0</v>
      </c>
      <c r="DV752" s="1372"/>
      <c r="DW752" s="1372"/>
      <c r="DX752" s="1372"/>
      <c r="DY752" s="1372"/>
      <c r="DZ752" s="1372">
        <f t="shared" si="25"/>
        <v>0</v>
      </c>
      <c r="EA752" s="1372"/>
      <c r="EB752" s="1372"/>
      <c r="EC752" s="1372"/>
      <c r="ED752" s="1372"/>
      <c r="EE752" s="1372">
        <f t="shared" si="26"/>
        <v>0</v>
      </c>
      <c r="EF752" s="1372"/>
      <c r="EG752" s="1372"/>
      <c r="EH752" s="1372"/>
      <c r="EI752" s="1372"/>
      <c r="EJ752" s="1372">
        <f t="shared" si="27"/>
        <v>0</v>
      </c>
      <c r="EK752" s="1372"/>
      <c r="EL752" s="1372"/>
      <c r="EM752" s="1372"/>
      <c r="EN752" s="1372"/>
      <c r="EO752" s="1372">
        <f t="shared" si="28"/>
        <v>0</v>
      </c>
      <c r="EP752" s="1372"/>
      <c r="EQ752" s="1372"/>
      <c r="ER752" s="1372"/>
      <c r="ES752" s="1372"/>
      <c r="ET752" s="1372">
        <f t="shared" si="29"/>
        <v>0</v>
      </c>
      <c r="EU752" s="1372"/>
      <c r="EV752" s="1372"/>
      <c r="EW752" s="1372"/>
      <c r="EX752" s="1372"/>
      <c r="EY752"/>
      <c r="EZ752" s="1355" t="str">
        <f t="shared" si="30"/>
        <v/>
      </c>
      <c r="FA752" s="1356"/>
      <c r="FB752" s="1356"/>
      <c r="FC752" s="1356"/>
      <c r="FD752" s="1357"/>
      <c r="FE752" s="1355" t="str">
        <f t="shared" si="31"/>
        <v/>
      </c>
      <c r="FF752" s="1356"/>
      <c r="FG752" s="1356"/>
      <c r="FH752" s="1356"/>
      <c r="FI752" s="1357"/>
      <c r="FJ752" s="1355" t="str">
        <f t="shared" si="32"/>
        <v/>
      </c>
      <c r="FK752" s="1356"/>
      <c r="FL752" s="1356"/>
      <c r="FM752" s="1356"/>
      <c r="FN752" s="1357"/>
      <c r="FO752" s="1355" t="str">
        <f t="shared" si="33"/>
        <v/>
      </c>
      <c r="FP752" s="1356"/>
      <c r="FQ752" s="1356"/>
      <c r="FR752" s="1356"/>
      <c r="FS752" s="1357"/>
      <c r="FT752" s="1355" t="str">
        <f t="shared" si="34"/>
        <v/>
      </c>
      <c r="FU752" s="1356"/>
      <c r="FV752" s="1356"/>
      <c r="FW752" s="1356"/>
      <c r="FX752" s="1357"/>
      <c r="FY752" s="1355" t="str">
        <f t="shared" si="35"/>
        <v/>
      </c>
      <c r="FZ752" s="1356"/>
      <c r="GA752" s="1356"/>
      <c r="GB752" s="1356"/>
      <c r="GC752" s="1357"/>
    </row>
    <row r="753" spans="1:185" s="3" customFormat="1" ht="13" customHeight="1">
      <c r="A753"/>
      <c r="B753" s="1470" t="s">
        <v>125</v>
      </c>
      <c r="C753" s="1471"/>
      <c r="D753" s="1471"/>
      <c r="E753" s="1471"/>
      <c r="F753" s="1473"/>
      <c r="G753" s="1706">
        <f>SUM(G718:G752)</f>
        <v>124</v>
      </c>
      <c r="H753" s="1707"/>
      <c r="I753" s="1707"/>
      <c r="J753" s="1708"/>
      <c r="K753" s="902" t="s">
        <v>124</v>
      </c>
      <c r="L753" s="5"/>
      <c r="M753" s="5"/>
      <c r="N753" s="46"/>
      <c r="O753" s="1362">
        <f>SUMPRODUCT(G718:G752,O718:O752)</f>
        <v>298669</v>
      </c>
      <c r="P753" s="1363"/>
      <c r="Q753" s="1363"/>
      <c r="R753" s="1363"/>
      <c r="S753" s="1364"/>
      <c r="T753"/>
      <c r="U753"/>
      <c r="V753"/>
      <c r="W753"/>
      <c r="X753" s="904" t="s">
        <v>900</v>
      </c>
      <c r="Y753" s="903"/>
      <c r="Z753" s="903"/>
      <c r="AA753" s="903"/>
      <c r="AB753" s="905"/>
      <c r="AC753" s="1597">
        <f>BH753</f>
        <v>0.57580645161290323</v>
      </c>
      <c r="AD753" s="1598"/>
      <c r="AE753" s="1598"/>
      <c r="AF753" s="1598"/>
      <c r="AG753" s="1599"/>
      <c r="AH753" s="1597">
        <f>IFERROR(BU753,"")</f>
        <v>0.57583268583338576</v>
      </c>
      <c r="AI753" s="1598"/>
      <c r="AJ753" s="1599"/>
      <c r="AK753"/>
      <c r="AL753"/>
      <c r="AM753"/>
      <c r="AN753"/>
      <c r="AO753"/>
      <c r="AP753" s="205"/>
      <c r="AQ753" s="205"/>
      <c r="AR753" s="205"/>
      <c r="AS753" s="205"/>
      <c r="AT753"/>
      <c r="AU753"/>
      <c r="AV753"/>
      <c r="AW753"/>
      <c r="AX753"/>
      <c r="AY753"/>
      <c r="AZ753" s="34"/>
      <c r="BA753" s="34"/>
      <c r="BB753" s="34"/>
      <c r="BC753" s="34"/>
      <c r="BE753" s="290" t="s">
        <v>899</v>
      </c>
      <c r="BF753" s="299">
        <f>SUM(BF718:BF752)</f>
        <v>124</v>
      </c>
      <c r="BG753" s="300">
        <f>SUM(BG718:BG752)</f>
        <v>0.99999999999999989</v>
      </c>
      <c r="BH753" s="300">
        <f>SUM(BH718:BH752)</f>
        <v>0.57580645161290323</v>
      </c>
      <c r="BI753"/>
      <c r="BJ753"/>
      <c r="BK753"/>
      <c r="BL753"/>
      <c r="BO753"/>
      <c r="BP753"/>
      <c r="BQ753"/>
      <c r="BR753"/>
      <c r="BS753" s="859">
        <f>SUM(BS718:BS752)</f>
        <v>124</v>
      </c>
      <c r="BT753" s="300">
        <f>SUM(BT718:BT752)</f>
        <v>0.99999999999999989</v>
      </c>
      <c r="BU753" s="300">
        <f>SUM(BU718:BU752)</f>
        <v>0.57583268583338576</v>
      </c>
      <c r="CI753" s="1355">
        <f>SUM(CI718:CJ752)</f>
        <v>49</v>
      </c>
      <c r="CJ753" s="1357"/>
      <c r="CM753" s="1355">
        <f>SUM(CM718:CN752)</f>
        <v>14</v>
      </c>
      <c r="CN753" s="1357"/>
      <c r="CP753" s="1355">
        <f>SUM(CP718:CT752)</f>
        <v>0</v>
      </c>
      <c r="CQ753" s="1356"/>
      <c r="CR753" s="1356"/>
      <c r="CS753" s="1356"/>
      <c r="CT753" s="1357"/>
      <c r="CU753" s="1371">
        <f>SUM(CU718:CY752)</f>
        <v>45</v>
      </c>
      <c r="CV753" s="1371"/>
      <c r="CW753" s="1371"/>
      <c r="CX753" s="1371"/>
      <c r="CY753" s="1371"/>
      <c r="CZ753" s="1371">
        <f>SUM(CZ718:DD752)</f>
        <v>47</v>
      </c>
      <c r="DA753" s="1371"/>
      <c r="DB753" s="1371"/>
      <c r="DC753" s="1371"/>
      <c r="DD753" s="1371"/>
      <c r="DE753" s="1371">
        <f>SUM(DE718:DI752)</f>
        <v>32</v>
      </c>
      <c r="DF753" s="1371"/>
      <c r="DG753" s="1371"/>
      <c r="DH753" s="1371"/>
      <c r="DI753" s="1371"/>
      <c r="DJ753" s="1371">
        <f>SUM(DJ718:DN752)</f>
        <v>0</v>
      </c>
      <c r="DK753" s="1371"/>
      <c r="DL753" s="1371"/>
      <c r="DM753" s="1371"/>
      <c r="DN753" s="1371"/>
      <c r="DO753" s="1371">
        <f>SUM(DO718:DS752)</f>
        <v>0</v>
      </c>
      <c r="DP753" s="1371"/>
      <c r="DQ753" s="1371"/>
      <c r="DR753" s="1371"/>
      <c r="DS753" s="1371"/>
      <c r="DT753" s="354"/>
      <c r="DU753" s="1371">
        <f>SUM(DU718:DY752)</f>
        <v>0</v>
      </c>
      <c r="DV753" s="1371"/>
      <c r="DW753" s="1371"/>
      <c r="DX753" s="1371"/>
      <c r="DY753" s="1371"/>
      <c r="DZ753" s="1371">
        <f>SUM(DZ718:ED752)</f>
        <v>5</v>
      </c>
      <c r="EA753" s="1371"/>
      <c r="EB753" s="1371"/>
      <c r="EC753" s="1371"/>
      <c r="ED753" s="1371"/>
      <c r="EE753" s="1371">
        <f>SUM(EE718:EI752)</f>
        <v>6</v>
      </c>
      <c r="EF753" s="1371"/>
      <c r="EG753" s="1371"/>
      <c r="EH753" s="1371"/>
      <c r="EI753" s="1371"/>
      <c r="EJ753" s="1371">
        <f>SUM(EJ718:EN752)</f>
        <v>3</v>
      </c>
      <c r="EK753" s="1371"/>
      <c r="EL753" s="1371"/>
      <c r="EM753" s="1371"/>
      <c r="EN753" s="1371"/>
      <c r="EO753" s="1371">
        <f>SUM(EO718:ES752)</f>
        <v>0</v>
      </c>
      <c r="EP753" s="1371"/>
      <c r="EQ753" s="1371"/>
      <c r="ER753" s="1371"/>
      <c r="ES753" s="1371"/>
      <c r="ET753" s="1371">
        <f>SUM(ET718:EX752)</f>
        <v>0</v>
      </c>
      <c r="EU753" s="1371"/>
      <c r="EV753" s="1371"/>
      <c r="EW753" s="1371"/>
      <c r="EX753" s="1371"/>
      <c r="EY753"/>
      <c r="EZ753" s="1371">
        <f>SUM(EZ718:FD752)</f>
        <v>0</v>
      </c>
      <c r="FA753" s="1371"/>
      <c r="FB753" s="1371"/>
      <c r="FC753" s="1371"/>
      <c r="FD753" s="1371"/>
      <c r="FE753" s="1371">
        <f>SUM(FE718:FI752)</f>
        <v>5365</v>
      </c>
      <c r="FF753" s="1371"/>
      <c r="FG753" s="1371"/>
      <c r="FH753" s="1371"/>
      <c r="FI753" s="1371"/>
      <c r="FJ753" s="1371">
        <f>SUM(FJ718:FN752)</f>
        <v>6287</v>
      </c>
      <c r="FK753" s="1371"/>
      <c r="FL753" s="1371"/>
      <c r="FM753" s="1371"/>
      <c r="FN753" s="1371"/>
      <c r="FO753" s="1371">
        <f>SUM(FO718:FS752)</f>
        <v>7413</v>
      </c>
      <c r="FP753" s="1371"/>
      <c r="FQ753" s="1371"/>
      <c r="FR753" s="1371"/>
      <c r="FS753" s="1371"/>
      <c r="FT753" s="1371">
        <f>SUM(FT718:FX752)</f>
        <v>0</v>
      </c>
      <c r="FU753" s="1371"/>
      <c r="FV753" s="1371"/>
      <c r="FW753" s="1371"/>
      <c r="FX753" s="1371"/>
      <c r="FY753" s="1371">
        <f>SUM(FY718:GC752)</f>
        <v>0</v>
      </c>
      <c r="FZ753" s="1371"/>
      <c r="GA753" s="1371"/>
      <c r="GB753" s="1371"/>
      <c r="GC753" s="1371"/>
    </row>
    <row r="754" spans="1:185" s="3" customFormat="1" ht="13" customHeight="1">
      <c r="A754"/>
      <c r="B754" s="1710" t="s">
        <v>1893</v>
      </c>
      <c r="C754" s="1710"/>
      <c r="D754" s="1710"/>
      <c r="E754" s="1710"/>
      <c r="F754" s="1710"/>
      <c r="G754" s="1710"/>
      <c r="H754" s="1710"/>
      <c r="I754" s="1710"/>
      <c r="J754" s="1710"/>
      <c r="K754" s="1710"/>
      <c r="L754" s="1710"/>
      <c r="M754" s="1710"/>
      <c r="N754" s="1710"/>
      <c r="O754" s="1710"/>
      <c r="P754" s="1710"/>
      <c r="Q754" s="1710"/>
      <c r="R754" s="1710"/>
      <c r="S754" s="1710"/>
      <c r="T754" s="1710"/>
      <c r="U754" s="1710"/>
      <c r="V754" s="1710"/>
      <c r="W754" s="1710"/>
      <c r="X754" s="1710"/>
      <c r="Y754" s="1710"/>
      <c r="Z754" s="1710"/>
      <c r="AA754" s="1710"/>
      <c r="AB754" s="1710"/>
      <c r="AC754" s="1710"/>
      <c r="AD754" s="1710"/>
      <c r="AE754" s="1710"/>
      <c r="AF754" s="1710"/>
      <c r="AG754" s="1710"/>
      <c r="AH754" s="1710"/>
      <c r="AI754"/>
      <c r="AJ754"/>
      <c r="AK754"/>
      <c r="AT754"/>
      <c r="AU754"/>
      <c r="AV754"/>
      <c r="AW754"/>
      <c r="AX754"/>
      <c r="AY754"/>
      <c r="CD754"/>
      <c r="DN754" s="56" t="s">
        <v>1860</v>
      </c>
      <c r="DO754" s="1355">
        <f>CP753+CU753+CZ753+DE753+DJ753+DO753</f>
        <v>124</v>
      </c>
      <c r="DP754" s="1356"/>
      <c r="DQ754" s="1356"/>
      <c r="DR754" s="1356"/>
      <c r="DS754" s="1357"/>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710"/>
      <c r="C755" s="1710"/>
      <c r="D755" s="1710"/>
      <c r="E755" s="1710"/>
      <c r="F755" s="1710"/>
      <c r="G755" s="1710"/>
      <c r="H755" s="1710"/>
      <c r="I755" s="1710"/>
      <c r="J755" s="1710"/>
      <c r="K755" s="1710"/>
      <c r="L755" s="1710"/>
      <c r="M755" s="1710"/>
      <c r="N755" s="1710"/>
      <c r="O755" s="1710"/>
      <c r="P755" s="1710"/>
      <c r="Q755" s="1710"/>
      <c r="R755" s="1710"/>
      <c r="S755" s="1710"/>
      <c r="T755" s="1710"/>
      <c r="U755" s="1710"/>
      <c r="V755" s="1710"/>
      <c r="W755" s="1710"/>
      <c r="X755" s="1710"/>
      <c r="Y755" s="1710"/>
      <c r="Z755" s="1710"/>
      <c r="AA755" s="1710"/>
      <c r="AB755" s="1710"/>
      <c r="AC755" s="1710"/>
      <c r="AD755" s="1710"/>
      <c r="AE755" s="1710"/>
      <c r="AF755" s="1710"/>
      <c r="AG755" s="1710"/>
      <c r="AH755" s="171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45</v>
      </c>
      <c r="CZ755" s="3"/>
      <c r="DA755" s="3"/>
      <c r="DB755" s="3"/>
      <c r="DC755" s="3"/>
      <c r="DD755" s="861">
        <f>CZ753*2</f>
        <v>94</v>
      </c>
      <c r="DE755" s="3"/>
      <c r="DF755" s="3"/>
      <c r="DG755" s="3"/>
      <c r="DH755" s="3"/>
      <c r="DI755" s="861">
        <f>DE753*3</f>
        <v>96</v>
      </c>
      <c r="DJ755" s="3"/>
      <c r="DK755" s="3"/>
      <c r="DL755" s="3"/>
      <c r="DM755" s="3"/>
      <c r="DN755" s="861">
        <f>DJ753*4</f>
        <v>0</v>
      </c>
      <c r="DO755" s="3"/>
      <c r="DP755" s="3"/>
      <c r="DQ755" s="3"/>
      <c r="DR755" s="3"/>
      <c r="DS755" s="861">
        <f>DO753*5</f>
        <v>0</v>
      </c>
      <c r="DU755" s="861">
        <f>CT755+CY755+DD755+DI755+DN755+DS755</f>
        <v>235</v>
      </c>
      <c r="DV755" s="57" t="s">
        <v>1862</v>
      </c>
      <c r="DW755" s="3"/>
      <c r="DX755" s="3"/>
      <c r="DY755" s="3"/>
      <c r="DZ755" s="3"/>
      <c r="EA755" s="3"/>
      <c r="EB755" s="3"/>
      <c r="EC755" s="3"/>
      <c r="ED755" s="3"/>
      <c r="EE755" s="3"/>
      <c r="EF755" s="3"/>
      <c r="EG755" s="3"/>
      <c r="EH755" s="3"/>
    </row>
    <row r="756" spans="1:185" ht="13" customHeight="1">
      <c r="A756" s="3"/>
      <c r="B756" s="3"/>
      <c r="C756" s="118" t="s">
        <v>1891</v>
      </c>
      <c r="D756" s="1032"/>
      <c r="E756" s="1032"/>
      <c r="F756" s="1032"/>
      <c r="G756" s="1033"/>
      <c r="H756" s="1033"/>
      <c r="I756" s="1033"/>
      <c r="J756" s="1033"/>
      <c r="K756" s="1032"/>
      <c r="L756" s="1032"/>
      <c r="M756" s="1032"/>
      <c r="N756" s="1032"/>
      <c r="O756" s="1371">
        <f>DU755</f>
        <v>235</v>
      </c>
      <c r="P756" s="1371"/>
      <c r="Q756" s="1371"/>
      <c r="R756" s="1371"/>
      <c r="S756" s="969"/>
      <c r="T756" s="969"/>
      <c r="U756" s="118" t="s">
        <v>1892</v>
      </c>
      <c r="V756" s="1032"/>
      <c r="W756" s="1032"/>
      <c r="X756" s="1032"/>
      <c r="Y756" s="1033"/>
      <c r="Z756" s="1033"/>
      <c r="AA756" s="1033"/>
      <c r="AB756" s="1033"/>
      <c r="AC756" s="1032"/>
      <c r="AD756" s="1032"/>
      <c r="AE756" s="1032"/>
      <c r="AF756" s="1032"/>
      <c r="AG756" s="1702"/>
      <c r="AH756" s="1702"/>
      <c r="AI756" s="1702"/>
      <c r="AJ756" s="1702"/>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 customHeight="1">
      <c r="B757" s="57"/>
      <c r="C757" s="1843" t="str">
        <f>IF(G753&lt;&gt;AG440,"! Total Low-Income Units in the Unit Mix Table above does not match the number of Total Low-Income Units on row #"&amp;TEXT(ROW(D440),"#"),"")</f>
        <v/>
      </c>
      <c r="D757" s="1843"/>
      <c r="E757" s="1843"/>
      <c r="F757" s="1843"/>
      <c r="G757" s="1843"/>
      <c r="H757" s="1843"/>
      <c r="I757" s="1843"/>
      <c r="J757" s="1843"/>
      <c r="K757" s="1843"/>
      <c r="L757" s="1843"/>
      <c r="M757" s="1843"/>
      <c r="N757" s="1843"/>
      <c r="O757" s="1843"/>
      <c r="P757" s="1843"/>
      <c r="Q757" s="1843"/>
      <c r="R757" s="1843"/>
      <c r="S757" s="1843"/>
      <c r="T757" s="1843"/>
      <c r="U757" s="1843"/>
      <c r="V757" s="1843"/>
      <c r="W757" s="1843"/>
      <c r="X757" s="1843"/>
      <c r="Y757" s="1843"/>
      <c r="Z757" s="1843"/>
      <c r="AA757" s="1843"/>
      <c r="AB757" s="1843"/>
      <c r="AC757" s="1843"/>
      <c r="AD757" s="1843"/>
      <c r="AE757" s="1843"/>
      <c r="AF757" s="1843"/>
      <c r="AG757" s="1843"/>
      <c r="AH757" s="1843"/>
      <c r="AI757" s="1843"/>
      <c r="AJ757" s="1843"/>
      <c r="AK757" s="1843"/>
      <c r="AL757" s="1843"/>
      <c r="AM757" s="1843"/>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843"/>
      <c r="D758" s="1843"/>
      <c r="E758" s="1843"/>
      <c r="F758" s="1843"/>
      <c r="G758" s="1843"/>
      <c r="H758" s="1843"/>
      <c r="I758" s="1843"/>
      <c r="J758" s="1843"/>
      <c r="K758" s="1843"/>
      <c r="L758" s="1843"/>
      <c r="M758" s="1843"/>
      <c r="N758" s="1843"/>
      <c r="O758" s="1843"/>
      <c r="P758" s="1843"/>
      <c r="Q758" s="1843"/>
      <c r="R758" s="1843"/>
      <c r="S758" s="1843"/>
      <c r="T758" s="1843"/>
      <c r="U758" s="1843"/>
      <c r="V758" s="1843"/>
      <c r="W758" s="1843"/>
      <c r="X758" s="1843"/>
      <c r="Y758" s="1843"/>
      <c r="Z758" s="1843"/>
      <c r="AA758" s="1843"/>
      <c r="AB758" s="1843"/>
      <c r="AC758" s="1843"/>
      <c r="AD758" s="1843"/>
      <c r="AE758" s="1843"/>
      <c r="AF758" s="1843"/>
      <c r="AG758" s="1843"/>
      <c r="AH758" s="1843"/>
      <c r="AI758" s="1843"/>
      <c r="AJ758" s="1843"/>
      <c r="AK758" s="1843"/>
      <c r="AL758" s="1843"/>
      <c r="AM758" s="1843"/>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1890</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09" t="s">
        <v>591</v>
      </c>
      <c r="AE759" s="1709"/>
      <c r="AF759" s="1709"/>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5" t="s">
        <v>2088</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2"/>
      <c r="C763" s="1270" t="s">
        <v>2089</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2"/>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2"/>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2"/>
      <c r="C766" s="1270" t="s">
        <v>2090</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 customHeight="1">
      <c r="A767" s="3"/>
      <c r="B767" s="1032"/>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2"/>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491" t="s">
        <v>388</v>
      </c>
      <c r="K769" s="1492"/>
      <c r="L769" s="1492"/>
      <c r="M769" s="1492"/>
      <c r="N769" s="1493"/>
      <c r="O769" s="1582" t="s">
        <v>284</v>
      </c>
      <c r="P769" s="1582"/>
      <c r="Q769" s="1582"/>
      <c r="R769" s="1582"/>
      <c r="S769" s="1582"/>
      <c r="T769" s="1506" t="s">
        <v>1679</v>
      </c>
      <c r="U769" s="1507"/>
      <c r="V769" s="1507"/>
      <c r="W769" s="1508"/>
      <c r="X769" s="1491" t="s">
        <v>447</v>
      </c>
      <c r="Y769" s="1492"/>
      <c r="Z769" s="1492"/>
      <c r="AA769" s="1492"/>
      <c r="AB769" s="1493"/>
      <c r="AC769" s="1491" t="s">
        <v>285</v>
      </c>
      <c r="AD769" s="1492"/>
      <c r="AE769" s="1492"/>
      <c r="AF769" s="1492"/>
      <c r="AG769" s="1493"/>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494"/>
      <c r="K770" s="1495"/>
      <c r="L770" s="1495"/>
      <c r="M770" s="1495"/>
      <c r="N770" s="1496"/>
      <c r="O770" s="1582"/>
      <c r="P770" s="1582"/>
      <c r="Q770" s="1582"/>
      <c r="R770" s="1582"/>
      <c r="S770" s="1582"/>
      <c r="T770" s="1509"/>
      <c r="U770" s="1510"/>
      <c r="V770" s="1510"/>
      <c r="W770" s="1511"/>
      <c r="X770" s="1494"/>
      <c r="Y770" s="1495"/>
      <c r="Z770" s="1495"/>
      <c r="AA770" s="1495"/>
      <c r="AB770" s="1496"/>
      <c r="AC770" s="1494"/>
      <c r="AD770" s="1495"/>
      <c r="AE770" s="1495"/>
      <c r="AF770" s="1495"/>
      <c r="AG770" s="1496"/>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494"/>
      <c r="K771" s="1495"/>
      <c r="L771" s="1495"/>
      <c r="M771" s="1495"/>
      <c r="N771" s="1496"/>
      <c r="O771" s="1582"/>
      <c r="P771" s="1582"/>
      <c r="Q771" s="1582"/>
      <c r="R771" s="1582"/>
      <c r="S771" s="1582"/>
      <c r="T771" s="1509"/>
      <c r="U771" s="1510"/>
      <c r="V771" s="1510"/>
      <c r="W771" s="1511"/>
      <c r="X771" s="1494"/>
      <c r="Y771" s="1495"/>
      <c r="Z771" s="1495"/>
      <c r="AA771" s="1495"/>
      <c r="AB771" s="1496"/>
      <c r="AC771" s="1494"/>
      <c r="AD771" s="1495"/>
      <c r="AE771" s="1495"/>
      <c r="AF771" s="1495"/>
      <c r="AG771" s="1496"/>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497"/>
      <c r="K772" s="1498"/>
      <c r="L772" s="1498"/>
      <c r="M772" s="1498"/>
      <c r="N772" s="1499"/>
      <c r="O772" s="1582"/>
      <c r="P772" s="1582"/>
      <c r="Q772" s="1582"/>
      <c r="R772" s="1582"/>
      <c r="S772" s="1582"/>
      <c r="T772" s="1590"/>
      <c r="U772" s="1591"/>
      <c r="V772" s="1591"/>
      <c r="W772" s="1592"/>
      <c r="X772" s="1497"/>
      <c r="Y772" s="1498"/>
      <c r="Z772" s="1498"/>
      <c r="AA772" s="1498"/>
      <c r="AB772" s="1499"/>
      <c r="AC772" s="1497"/>
      <c r="AD772" s="1498"/>
      <c r="AE772" s="1498"/>
      <c r="AF772" s="1498"/>
      <c r="AG772" s="1499"/>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59" t="s">
        <v>163</v>
      </c>
      <c r="K773" s="1360"/>
      <c r="L773" s="1360"/>
      <c r="M773" s="1360"/>
      <c r="N773" s="1361"/>
      <c r="O773" s="1566">
        <v>1</v>
      </c>
      <c r="P773" s="1566"/>
      <c r="Q773" s="1566"/>
      <c r="R773" s="1566"/>
      <c r="S773" s="1566"/>
      <c r="T773" s="1584">
        <v>881</v>
      </c>
      <c r="U773" s="1585"/>
      <c r="V773" s="1585"/>
      <c r="W773" s="1586"/>
      <c r="X773" s="1450">
        <v>2975</v>
      </c>
      <c r="Y773" s="1451"/>
      <c r="Z773" s="1451"/>
      <c r="AA773" s="1451"/>
      <c r="AB773" s="1452"/>
      <c r="AC773" s="1362">
        <f>X773*O773</f>
        <v>2975</v>
      </c>
      <c r="AD773" s="1363"/>
      <c r="AE773" s="1363"/>
      <c r="AF773" s="1363"/>
      <c r="AG773" s="1364"/>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6">
        <f>IF(J773="SRO/Studio",O773,0)</f>
        <v>0</v>
      </c>
      <c r="CQ773" s="1337"/>
      <c r="CR773" s="1337"/>
      <c r="CS773" s="1337"/>
      <c r="CT773" s="1338"/>
      <c r="CU773" s="1358">
        <f>IF(J773="1 Bedroom",O773,0)</f>
        <v>0</v>
      </c>
      <c r="CV773" s="1358"/>
      <c r="CW773" s="1358"/>
      <c r="CX773" s="1358"/>
      <c r="CY773" s="1358"/>
      <c r="CZ773" s="1358">
        <f>IF(J773="2 Bedrooms",O773,0)</f>
        <v>1</v>
      </c>
      <c r="DA773" s="1358"/>
      <c r="DB773" s="1358"/>
      <c r="DC773" s="1358"/>
      <c r="DD773" s="1358"/>
      <c r="DE773" s="1358">
        <f>IF(J773="3 Bedrooms",O773,0)</f>
        <v>0</v>
      </c>
      <c r="DF773" s="1358"/>
      <c r="DG773" s="1358"/>
      <c r="DH773" s="1358"/>
      <c r="DI773" s="1358"/>
      <c r="DJ773" s="1358">
        <f>IF(J773="4 Bedrooms",O773,0)</f>
        <v>0</v>
      </c>
      <c r="DK773" s="1358"/>
      <c r="DL773" s="1358"/>
      <c r="DM773" s="1358"/>
      <c r="DN773" s="1358"/>
      <c r="DO773" s="1358">
        <f>IF(J773="5 Bedrooms",O773,0)</f>
        <v>0</v>
      </c>
      <c r="DP773" s="1358"/>
      <c r="DQ773" s="1358"/>
      <c r="DR773" s="1358"/>
      <c r="DS773" s="1358"/>
      <c r="DT773" s="6"/>
      <c r="DU773" s="3"/>
      <c r="DV773" s="3"/>
    </row>
    <row r="774" spans="1:126" ht="13" customHeight="1">
      <c r="J774" s="1359"/>
      <c r="K774" s="1360"/>
      <c r="L774" s="1360"/>
      <c r="M774" s="1360"/>
      <c r="N774" s="1361"/>
      <c r="O774" s="1566"/>
      <c r="P774" s="1566"/>
      <c r="Q774" s="1566"/>
      <c r="R774" s="1566"/>
      <c r="S774" s="1566"/>
      <c r="T774" s="1584"/>
      <c r="U774" s="1585"/>
      <c r="V774" s="1585"/>
      <c r="W774" s="1586"/>
      <c r="X774" s="1450"/>
      <c r="Y774" s="1451"/>
      <c r="Z774" s="1451"/>
      <c r="AA774" s="1451"/>
      <c r="AB774" s="1452"/>
      <c r="AC774" s="1362">
        <f>X774*O774</f>
        <v>0</v>
      </c>
      <c r="AD774" s="1363"/>
      <c r="AE774" s="1363"/>
      <c r="AF774" s="1363"/>
      <c r="AG774" s="1364"/>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6">
        <f>IF(J774="SRO/Studio",O774,0)</f>
        <v>0</v>
      </c>
      <c r="CQ774" s="1337"/>
      <c r="CR774" s="1337"/>
      <c r="CS774" s="1337"/>
      <c r="CT774" s="1338"/>
      <c r="CU774" s="1358">
        <f>IF(J774="1 Bedroom",O774,0)</f>
        <v>0</v>
      </c>
      <c r="CV774" s="1358"/>
      <c r="CW774" s="1358"/>
      <c r="CX774" s="1358"/>
      <c r="CY774" s="1358"/>
      <c r="CZ774" s="1358">
        <f>IF(J774="2 Bedrooms",O774,0)</f>
        <v>0</v>
      </c>
      <c r="DA774" s="1358"/>
      <c r="DB774" s="1358"/>
      <c r="DC774" s="1358"/>
      <c r="DD774" s="1358"/>
      <c r="DE774" s="1358">
        <f>IF(J774="3 Bedrooms",O774,0)</f>
        <v>0</v>
      </c>
      <c r="DF774" s="1358"/>
      <c r="DG774" s="1358"/>
      <c r="DH774" s="1358"/>
      <c r="DI774" s="1358"/>
      <c r="DJ774" s="1358">
        <f>IF(J774="4 Bedrooms",O774,0)</f>
        <v>0</v>
      </c>
      <c r="DK774" s="1358"/>
      <c r="DL774" s="1358"/>
      <c r="DM774" s="1358"/>
      <c r="DN774" s="1358"/>
      <c r="DO774" s="1358">
        <f>IF(J774="5 Bedrooms",O774,0)</f>
        <v>0</v>
      </c>
      <c r="DP774" s="1358"/>
      <c r="DQ774" s="1358"/>
      <c r="DR774" s="1358"/>
      <c r="DS774" s="1358"/>
      <c r="DT774" s="6"/>
      <c r="DU774" s="3"/>
      <c r="DV774" s="3"/>
    </row>
    <row r="775" spans="1:126" ht="13" customHeight="1">
      <c r="J775" s="1359"/>
      <c r="K775" s="1360"/>
      <c r="L775" s="1360"/>
      <c r="M775" s="1360"/>
      <c r="N775" s="1361"/>
      <c r="O775" s="1566"/>
      <c r="P775" s="1566"/>
      <c r="Q775" s="1566"/>
      <c r="R775" s="1566"/>
      <c r="S775" s="1566"/>
      <c r="T775" s="1584"/>
      <c r="U775" s="1585"/>
      <c r="V775" s="1585"/>
      <c r="W775" s="1586"/>
      <c r="X775" s="1450"/>
      <c r="Y775" s="1451"/>
      <c r="Z775" s="1451"/>
      <c r="AA775" s="1451"/>
      <c r="AB775" s="1452"/>
      <c r="AC775" s="1362">
        <f>X775*O775</f>
        <v>0</v>
      </c>
      <c r="AD775" s="1363"/>
      <c r="AE775" s="1363"/>
      <c r="AF775" s="1363"/>
      <c r="AG775" s="1364"/>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6">
        <f>IF(J775="SRO/Studio",O775,0)</f>
        <v>0</v>
      </c>
      <c r="CQ775" s="1337"/>
      <c r="CR775" s="1337"/>
      <c r="CS775" s="1337"/>
      <c r="CT775" s="1338"/>
      <c r="CU775" s="1358">
        <f>IF(J775="1 Bedroom",O775,0)</f>
        <v>0</v>
      </c>
      <c r="CV775" s="1358"/>
      <c r="CW775" s="1358"/>
      <c r="CX775" s="1358"/>
      <c r="CY775" s="1358"/>
      <c r="CZ775" s="1358">
        <f>IF(J775="2 Bedrooms",O775,0)</f>
        <v>0</v>
      </c>
      <c r="DA775" s="1358"/>
      <c r="DB775" s="1358"/>
      <c r="DC775" s="1358"/>
      <c r="DD775" s="1358"/>
      <c r="DE775" s="1358">
        <f>IF(J775="3 Bedrooms",O775,0)</f>
        <v>0</v>
      </c>
      <c r="DF775" s="1358"/>
      <c r="DG775" s="1358"/>
      <c r="DH775" s="1358"/>
      <c r="DI775" s="1358"/>
      <c r="DJ775" s="1358">
        <f>IF(J775="4 Bedrooms",O775,0)</f>
        <v>0</v>
      </c>
      <c r="DK775" s="1358"/>
      <c r="DL775" s="1358"/>
      <c r="DM775" s="1358"/>
      <c r="DN775" s="1358"/>
      <c r="DO775" s="1358">
        <f>IF(J775="5 Bedrooms",O775,0)</f>
        <v>0</v>
      </c>
      <c r="DP775" s="1358"/>
      <c r="DQ775" s="1358"/>
      <c r="DR775" s="1358"/>
      <c r="DS775" s="1358"/>
      <c r="DT775" s="1012"/>
    </row>
    <row r="776" spans="1:126" ht="13" customHeight="1">
      <c r="J776" s="1359"/>
      <c r="K776" s="1360"/>
      <c r="L776" s="1360"/>
      <c r="M776" s="1360"/>
      <c r="N776" s="1361"/>
      <c r="O776" s="1566"/>
      <c r="P776" s="1566"/>
      <c r="Q776" s="1566"/>
      <c r="R776" s="1566"/>
      <c r="S776" s="1566"/>
      <c r="T776" s="1584"/>
      <c r="U776" s="1585"/>
      <c r="V776" s="1585"/>
      <c r="W776" s="1586"/>
      <c r="X776" s="1450"/>
      <c r="Y776" s="1451"/>
      <c r="Z776" s="1451"/>
      <c r="AA776" s="1451"/>
      <c r="AB776" s="1452"/>
      <c r="AC776" s="1362">
        <f>X776*O776</f>
        <v>0</v>
      </c>
      <c r="AD776" s="1363"/>
      <c r="AE776" s="1363"/>
      <c r="AF776" s="1363"/>
      <c r="AG776" s="1364"/>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6">
        <f>IF(J776="SRO/Studio",O776,0)</f>
        <v>0</v>
      </c>
      <c r="CQ776" s="1337"/>
      <c r="CR776" s="1337"/>
      <c r="CS776" s="1337"/>
      <c r="CT776" s="1338"/>
      <c r="CU776" s="1358">
        <f>IF(J776="1 Bedroom",O776,0)</f>
        <v>0</v>
      </c>
      <c r="CV776" s="1358"/>
      <c r="CW776" s="1358"/>
      <c r="CX776" s="1358"/>
      <c r="CY776" s="1358"/>
      <c r="CZ776" s="1358">
        <f>IF(J776="2 Bedrooms",O776,0)</f>
        <v>0</v>
      </c>
      <c r="DA776" s="1358"/>
      <c r="DB776" s="1358"/>
      <c r="DC776" s="1358"/>
      <c r="DD776" s="1358"/>
      <c r="DE776" s="1358">
        <f>IF(J776="3 Bedrooms",O776,0)</f>
        <v>0</v>
      </c>
      <c r="DF776" s="1358"/>
      <c r="DG776" s="1358"/>
      <c r="DH776" s="1358"/>
      <c r="DI776" s="1358"/>
      <c r="DJ776" s="1358">
        <f>IF(J776="4 Bedrooms",O776,0)</f>
        <v>0</v>
      </c>
      <c r="DK776" s="1358"/>
      <c r="DL776" s="1358"/>
      <c r="DM776" s="1358"/>
      <c r="DN776" s="1358"/>
      <c r="DO776" s="1358">
        <f>IF(J776="5 Bedrooms",O776,0)</f>
        <v>0</v>
      </c>
      <c r="DP776" s="1358"/>
      <c r="DQ776" s="1358"/>
      <c r="DR776" s="1358"/>
      <c r="DS776" s="1358"/>
    </row>
    <row r="777" spans="1:126" ht="13" customHeight="1">
      <c r="J777" s="1470" t="s">
        <v>125</v>
      </c>
      <c r="K777" s="1471"/>
      <c r="L777" s="1471"/>
      <c r="M777" s="1471"/>
      <c r="N777" s="1473"/>
      <c r="O777" s="1339">
        <f>SUM(O773:S776)</f>
        <v>1</v>
      </c>
      <c r="P777" s="1340"/>
      <c r="Q777" s="1340"/>
      <c r="R777" s="1340"/>
      <c r="S777" s="1341"/>
      <c r="X777" s="1470" t="s">
        <v>124</v>
      </c>
      <c r="Y777" s="1471"/>
      <c r="Z777" s="1471"/>
      <c r="AA777" s="1471"/>
      <c r="AB777" s="1473"/>
      <c r="AC777" s="1362">
        <f>SUM(AC773:AG776)</f>
        <v>2975</v>
      </c>
      <c r="AD777" s="1363"/>
      <c r="AE777" s="1363"/>
      <c r="AF777" s="1363"/>
      <c r="AG777" s="1364"/>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9">
        <f>SUM(CP773:CT776)</f>
        <v>0</v>
      </c>
      <c r="CQ777" s="1340"/>
      <c r="CR777" s="1340"/>
      <c r="CS777" s="1340"/>
      <c r="CT777" s="1341"/>
      <c r="CU777" s="1352">
        <f>SUM(CU773:CY776)</f>
        <v>0</v>
      </c>
      <c r="CV777" s="1353"/>
      <c r="CW777" s="1353"/>
      <c r="CX777" s="1353"/>
      <c r="CY777" s="1354"/>
      <c r="CZ777" s="1352">
        <f>SUM(CZ773:DD776)</f>
        <v>1</v>
      </c>
      <c r="DA777" s="1353"/>
      <c r="DB777" s="1353"/>
      <c r="DC777" s="1353"/>
      <c r="DD777" s="1354"/>
      <c r="DE777" s="1352">
        <f>SUM(DE773:DI776)</f>
        <v>0</v>
      </c>
      <c r="DF777" s="1353"/>
      <c r="DG777" s="1353"/>
      <c r="DH777" s="1353"/>
      <c r="DI777" s="1354"/>
      <c r="DJ777" s="1352">
        <f>SUM(DJ773:DN776)</f>
        <v>0</v>
      </c>
      <c r="DK777" s="1353"/>
      <c r="DL777" s="1353"/>
      <c r="DM777" s="1353"/>
      <c r="DN777" s="1354"/>
      <c r="DO777" s="1352">
        <f>SUM(DO773:DS776)</f>
        <v>0</v>
      </c>
      <c r="DP777" s="1353"/>
      <c r="DQ777" s="1353"/>
      <c r="DR777" s="1353"/>
      <c r="DS777" s="1354"/>
      <c r="DU777" s="861">
        <f>CP777+CU777+CZ777+DE777+DJ777+DO777</f>
        <v>1</v>
      </c>
      <c r="DV777" s="57" t="s">
        <v>1859</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1861</v>
      </c>
    </row>
    <row r="779" spans="1:126" ht="13" customHeight="1">
      <c r="B779" s="56"/>
      <c r="C779" s="56"/>
      <c r="D779" s="56"/>
      <c r="E779" s="56"/>
      <c r="F779" s="56"/>
      <c r="G779" s="6"/>
      <c r="H779" s="6"/>
      <c r="I779" s="6"/>
      <c r="J779" s="1388" t="s">
        <v>669</v>
      </c>
      <c r="K779" s="1388"/>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491" t="s">
        <v>388</v>
      </c>
      <c r="K783" s="1492"/>
      <c r="L783" s="1492"/>
      <c r="M783" s="1492"/>
      <c r="N783" s="1493"/>
      <c r="O783" s="1582" t="s">
        <v>284</v>
      </c>
      <c r="P783" s="1582"/>
      <c r="Q783" s="1582"/>
      <c r="R783" s="1582"/>
      <c r="S783" s="1582"/>
      <c r="T783" s="1506" t="s">
        <v>1679</v>
      </c>
      <c r="U783" s="1507"/>
      <c r="V783" s="1507"/>
      <c r="W783" s="1508"/>
      <c r="X783" s="1491" t="s">
        <v>447</v>
      </c>
      <c r="Y783" s="1492"/>
      <c r="Z783" s="1492"/>
      <c r="AA783" s="1492"/>
      <c r="AB783" s="1493"/>
      <c r="AC783" s="1491" t="s">
        <v>285</v>
      </c>
      <c r="AD783" s="1492"/>
      <c r="AE783" s="1492"/>
      <c r="AF783" s="1492"/>
      <c r="AG783" s="149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494"/>
      <c r="K784" s="1495"/>
      <c r="L784" s="1495"/>
      <c r="M784" s="1495"/>
      <c r="N784" s="1496"/>
      <c r="O784" s="1582"/>
      <c r="P784" s="1582"/>
      <c r="Q784" s="1582"/>
      <c r="R784" s="1582"/>
      <c r="S784" s="1582"/>
      <c r="T784" s="1509"/>
      <c r="U784" s="1510"/>
      <c r="V784" s="1510"/>
      <c r="W784" s="1511"/>
      <c r="X784" s="1494"/>
      <c r="Y784" s="1495"/>
      <c r="Z784" s="1495"/>
      <c r="AA784" s="1495"/>
      <c r="AB784" s="1496"/>
      <c r="AC784" s="1494"/>
      <c r="AD784" s="1495"/>
      <c r="AE784" s="1495"/>
      <c r="AF784" s="1495"/>
      <c r="AG784" s="149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494"/>
      <c r="K785" s="1495"/>
      <c r="L785" s="1495"/>
      <c r="M785" s="1495"/>
      <c r="N785" s="1496"/>
      <c r="O785" s="1582"/>
      <c r="P785" s="1582"/>
      <c r="Q785" s="1582"/>
      <c r="R785" s="1582"/>
      <c r="S785" s="1582"/>
      <c r="T785" s="1509"/>
      <c r="U785" s="1510"/>
      <c r="V785" s="1510"/>
      <c r="W785" s="1511"/>
      <c r="X785" s="1494"/>
      <c r="Y785" s="1495"/>
      <c r="Z785" s="1495"/>
      <c r="AA785" s="1495"/>
      <c r="AB785" s="1496"/>
      <c r="AC785" s="1494"/>
      <c r="AD785" s="1495"/>
      <c r="AE785" s="1495"/>
      <c r="AF785" s="1495"/>
      <c r="AG785" s="149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497"/>
      <c r="K786" s="1498"/>
      <c r="L786" s="1498"/>
      <c r="M786" s="1498"/>
      <c r="N786" s="1499"/>
      <c r="O786" s="1582"/>
      <c r="P786" s="1582"/>
      <c r="Q786" s="1582"/>
      <c r="R786" s="1582"/>
      <c r="S786" s="1582"/>
      <c r="T786" s="1590"/>
      <c r="U786" s="1591"/>
      <c r="V786" s="1591"/>
      <c r="W786" s="1592"/>
      <c r="X786" s="1497"/>
      <c r="Y786" s="1498"/>
      <c r="Z786" s="1498"/>
      <c r="AA786" s="1498"/>
      <c r="AB786" s="1499"/>
      <c r="AC786" s="1497"/>
      <c r="AD786" s="1498"/>
      <c r="AE786" s="1498"/>
      <c r="AF786" s="1498"/>
      <c r="AG786" s="149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3" customHeight="1">
      <c r="J787" s="1359"/>
      <c r="K787" s="1360"/>
      <c r="L787" s="1360"/>
      <c r="M787" s="1360"/>
      <c r="N787" s="1361"/>
      <c r="O787" s="1566"/>
      <c r="P787" s="1566"/>
      <c r="Q787" s="1566"/>
      <c r="R787" s="1566"/>
      <c r="S787" s="1566"/>
      <c r="T787" s="1584"/>
      <c r="U787" s="1585"/>
      <c r="V787" s="1585"/>
      <c r="W787" s="1586"/>
      <c r="X787" s="1450"/>
      <c r="Y787" s="1451"/>
      <c r="Z787" s="1451"/>
      <c r="AA787" s="1451"/>
      <c r="AB787" s="1452"/>
      <c r="AC787" s="1362">
        <f t="shared" ref="AC787:AC796" si="40">X787*O787</f>
        <v>0</v>
      </c>
      <c r="AD787" s="1363"/>
      <c r="AE787" s="1363"/>
      <c r="AF787" s="1363"/>
      <c r="AG787" s="136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6">
        <f t="shared" ref="CP787:CP796" si="41">IF(J787="SRO/Studio",O787,0)</f>
        <v>0</v>
      </c>
      <c r="CQ787" s="1337"/>
      <c r="CR787" s="1337"/>
      <c r="CS787" s="1337"/>
      <c r="CT787" s="1338"/>
      <c r="CU787" s="1336">
        <f t="shared" ref="CU787:CU796" si="42">IF(J787="1 Bedroom",O787,0)</f>
        <v>0</v>
      </c>
      <c r="CV787" s="1337"/>
      <c r="CW787" s="1337"/>
      <c r="CX787" s="1337"/>
      <c r="CY787" s="1338"/>
      <c r="CZ787" s="1336">
        <f t="shared" ref="CZ787:CZ796" si="43">IF(J787="2 Bedrooms",O787,0)</f>
        <v>0</v>
      </c>
      <c r="DA787" s="1337"/>
      <c r="DB787" s="1337"/>
      <c r="DC787" s="1337"/>
      <c r="DD787" s="1338"/>
      <c r="DE787" s="1336">
        <f t="shared" ref="DE787:DE796" si="44">IF(J787="3 Bedrooms",O787,0)</f>
        <v>0</v>
      </c>
      <c r="DF787" s="1337"/>
      <c r="DG787" s="1337"/>
      <c r="DH787" s="1337"/>
      <c r="DI787" s="1338"/>
      <c r="DJ787" s="1336">
        <f t="shared" ref="DJ787:DJ796" si="45">IF(J787="4 Bedrooms",O787,0)</f>
        <v>0</v>
      </c>
      <c r="DK787" s="1337"/>
      <c r="DL787" s="1337"/>
      <c r="DM787" s="1337"/>
      <c r="DN787" s="1338"/>
      <c r="DO787" s="1336">
        <f t="shared" ref="DO787:DO796" si="46">IF(J787="5 Bedrooms",O787,0)</f>
        <v>0</v>
      </c>
      <c r="DP787" s="1337"/>
      <c r="DQ787" s="1337"/>
      <c r="DR787" s="1337"/>
      <c r="DS787" s="1338"/>
      <c r="DT787" s="6"/>
      <c r="DU787" s="1336">
        <f t="shared" ref="DU787:DU796" si="47">IF(AND(CP787&gt;=1,AH787&gt;=0.1,AH787&lt;=1),O787,0)</f>
        <v>0</v>
      </c>
      <c r="DV787" s="1337"/>
      <c r="DW787" s="1337"/>
      <c r="DX787" s="1337"/>
      <c r="DY787" s="1338"/>
      <c r="DZ787" s="1336">
        <f t="shared" ref="DZ787:DZ796" si="48">IF(AND(CU787&gt;=1,AH787&gt;=0.1,AH787&lt;=1),O787,0)</f>
        <v>0</v>
      </c>
      <c r="EA787" s="1337"/>
      <c r="EB787" s="1337"/>
      <c r="EC787" s="1337"/>
      <c r="ED787" s="1338"/>
      <c r="EE787" s="1336">
        <f t="shared" ref="EE787:EE796" si="49">IF(AND(CZ787&gt;=1,AH787&gt;=0.1,AH787&lt;=1),O787,0)</f>
        <v>0</v>
      </c>
      <c r="EF787" s="1337"/>
      <c r="EG787" s="1337"/>
      <c r="EH787" s="1337"/>
      <c r="EI787" s="1338"/>
      <c r="EJ787" s="1336">
        <f t="shared" ref="EJ787:EJ796" si="50">IF(AND(DE787&gt;=1,AH787&gt;=0.1,AH787&lt;=1),O787,0)</f>
        <v>0</v>
      </c>
      <c r="EK787" s="1337"/>
      <c r="EL787" s="1337"/>
      <c r="EM787" s="1337"/>
      <c r="EN787" s="1338"/>
      <c r="EO787" s="1336">
        <f t="shared" ref="EO787:EO796" si="51">IF(AND(DJ787&gt;=1,AH787&gt;=0.1,AH787&lt;=1),O787,0)</f>
        <v>0</v>
      </c>
      <c r="EP787" s="1337"/>
      <c r="EQ787" s="1337"/>
      <c r="ER787" s="1337"/>
      <c r="ES787" s="1338"/>
      <c r="ET787" s="1336">
        <f t="shared" ref="ET787:ET796" si="52">IF(AND(DO787&gt;=1,AH787&gt;=0.1,AH787&lt;=1),O787,0)</f>
        <v>0</v>
      </c>
      <c r="EU787" s="1337"/>
      <c r="EV787" s="1337"/>
      <c r="EW787" s="1337"/>
      <c r="EX787" s="1338"/>
    </row>
    <row r="788" spans="1:154" s="14" customFormat="1" ht="13" customHeight="1">
      <c r="A788"/>
      <c r="B788"/>
      <c r="C788"/>
      <c r="D788"/>
      <c r="E788"/>
      <c r="F788"/>
      <c r="G788"/>
      <c r="H788"/>
      <c r="I788"/>
      <c r="J788" s="1359"/>
      <c r="K788" s="1360"/>
      <c r="L788" s="1360"/>
      <c r="M788" s="1360"/>
      <c r="N788" s="1361"/>
      <c r="O788" s="1566"/>
      <c r="P788" s="1566"/>
      <c r="Q788" s="1566"/>
      <c r="R788" s="1566"/>
      <c r="S788" s="1566"/>
      <c r="T788" s="1584"/>
      <c r="U788" s="1585"/>
      <c r="V788" s="1585"/>
      <c r="W788" s="1586"/>
      <c r="X788" s="1450"/>
      <c r="Y788" s="1451"/>
      <c r="Z788" s="1451"/>
      <c r="AA788" s="1451"/>
      <c r="AB788" s="1452"/>
      <c r="AC788" s="1362">
        <f t="shared" si="40"/>
        <v>0</v>
      </c>
      <c r="AD788" s="1363"/>
      <c r="AE788" s="1363"/>
      <c r="AF788" s="1363"/>
      <c r="AG788" s="136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6">
        <f t="shared" si="41"/>
        <v>0</v>
      </c>
      <c r="CQ788" s="1337"/>
      <c r="CR788" s="1337"/>
      <c r="CS788" s="1337"/>
      <c r="CT788" s="1338"/>
      <c r="CU788" s="1336">
        <f t="shared" si="42"/>
        <v>0</v>
      </c>
      <c r="CV788" s="1337"/>
      <c r="CW788" s="1337"/>
      <c r="CX788" s="1337"/>
      <c r="CY788" s="1338"/>
      <c r="CZ788" s="1336">
        <f t="shared" si="43"/>
        <v>0</v>
      </c>
      <c r="DA788" s="1337"/>
      <c r="DB788" s="1337"/>
      <c r="DC788" s="1337"/>
      <c r="DD788" s="1338"/>
      <c r="DE788" s="1336">
        <f t="shared" si="44"/>
        <v>0</v>
      </c>
      <c r="DF788" s="1337"/>
      <c r="DG788" s="1337"/>
      <c r="DH788" s="1337"/>
      <c r="DI788" s="1338"/>
      <c r="DJ788" s="1336">
        <f t="shared" si="45"/>
        <v>0</v>
      </c>
      <c r="DK788" s="1337"/>
      <c r="DL788" s="1337"/>
      <c r="DM788" s="1337"/>
      <c r="DN788" s="1338"/>
      <c r="DO788" s="1336">
        <f t="shared" si="46"/>
        <v>0</v>
      </c>
      <c r="DP788" s="1337"/>
      <c r="DQ788" s="1337"/>
      <c r="DR788" s="1337"/>
      <c r="DS788" s="1338"/>
      <c r="DT788" s="6"/>
      <c r="DU788" s="1336">
        <f t="shared" si="47"/>
        <v>0</v>
      </c>
      <c r="DV788" s="1337"/>
      <c r="DW788" s="1337"/>
      <c r="DX788" s="1337"/>
      <c r="DY788" s="1338"/>
      <c r="DZ788" s="1336">
        <f t="shared" si="48"/>
        <v>0</v>
      </c>
      <c r="EA788" s="1337"/>
      <c r="EB788" s="1337"/>
      <c r="EC788" s="1337"/>
      <c r="ED788" s="1338"/>
      <c r="EE788" s="1336">
        <f t="shared" si="49"/>
        <v>0</v>
      </c>
      <c r="EF788" s="1337"/>
      <c r="EG788" s="1337"/>
      <c r="EH788" s="1337"/>
      <c r="EI788" s="1338"/>
      <c r="EJ788" s="1336">
        <f t="shared" si="50"/>
        <v>0</v>
      </c>
      <c r="EK788" s="1337"/>
      <c r="EL788" s="1337"/>
      <c r="EM788" s="1337"/>
      <c r="EN788" s="1338"/>
      <c r="EO788" s="1336">
        <f t="shared" si="51"/>
        <v>0</v>
      </c>
      <c r="EP788" s="1337"/>
      <c r="EQ788" s="1337"/>
      <c r="ER788" s="1337"/>
      <c r="ES788" s="1338"/>
      <c r="ET788" s="1336">
        <f t="shared" si="52"/>
        <v>0</v>
      </c>
      <c r="EU788" s="1337"/>
      <c r="EV788" s="1337"/>
      <c r="EW788" s="1337"/>
      <c r="EX788" s="1338"/>
    </row>
    <row r="789" spans="1:154" s="14" customFormat="1" ht="13" customHeight="1">
      <c r="A789"/>
      <c r="B789"/>
      <c r="C789"/>
      <c r="D789"/>
      <c r="E789"/>
      <c r="F789"/>
      <c r="G789"/>
      <c r="H789"/>
      <c r="I789"/>
      <c r="J789" s="1359"/>
      <c r="K789" s="1360"/>
      <c r="L789" s="1360"/>
      <c r="M789" s="1360"/>
      <c r="N789" s="1361"/>
      <c r="O789" s="1566"/>
      <c r="P789" s="1566"/>
      <c r="Q789" s="1566"/>
      <c r="R789" s="1566"/>
      <c r="S789" s="1566"/>
      <c r="T789" s="1584"/>
      <c r="U789" s="1585"/>
      <c r="V789" s="1585"/>
      <c r="W789" s="1586"/>
      <c r="X789" s="1450"/>
      <c r="Y789" s="1451"/>
      <c r="Z789" s="1451"/>
      <c r="AA789" s="1451"/>
      <c r="AB789" s="1452"/>
      <c r="AC789" s="1362">
        <f t="shared" si="40"/>
        <v>0</v>
      </c>
      <c r="AD789" s="1363"/>
      <c r="AE789" s="1363"/>
      <c r="AF789" s="1363"/>
      <c r="AG789" s="136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6">
        <f t="shared" si="41"/>
        <v>0</v>
      </c>
      <c r="CQ789" s="1337"/>
      <c r="CR789" s="1337"/>
      <c r="CS789" s="1337"/>
      <c r="CT789" s="1338"/>
      <c r="CU789" s="1336">
        <f t="shared" si="42"/>
        <v>0</v>
      </c>
      <c r="CV789" s="1337"/>
      <c r="CW789" s="1337"/>
      <c r="CX789" s="1337"/>
      <c r="CY789" s="1338"/>
      <c r="CZ789" s="1336">
        <f t="shared" si="43"/>
        <v>0</v>
      </c>
      <c r="DA789" s="1337"/>
      <c r="DB789" s="1337"/>
      <c r="DC789" s="1337"/>
      <c r="DD789" s="1338"/>
      <c r="DE789" s="1336">
        <f t="shared" si="44"/>
        <v>0</v>
      </c>
      <c r="DF789" s="1337"/>
      <c r="DG789" s="1337"/>
      <c r="DH789" s="1337"/>
      <c r="DI789" s="1338"/>
      <c r="DJ789" s="1336">
        <f t="shared" si="45"/>
        <v>0</v>
      </c>
      <c r="DK789" s="1337"/>
      <c r="DL789" s="1337"/>
      <c r="DM789" s="1337"/>
      <c r="DN789" s="1338"/>
      <c r="DO789" s="1336">
        <f t="shared" si="46"/>
        <v>0</v>
      </c>
      <c r="DP789" s="1337"/>
      <c r="DQ789" s="1337"/>
      <c r="DR789" s="1337"/>
      <c r="DS789" s="1338"/>
      <c r="DT789" s="6"/>
      <c r="DU789" s="1336">
        <f t="shared" si="47"/>
        <v>0</v>
      </c>
      <c r="DV789" s="1337"/>
      <c r="DW789" s="1337"/>
      <c r="DX789" s="1337"/>
      <c r="DY789" s="1338"/>
      <c r="DZ789" s="1336">
        <f t="shared" si="48"/>
        <v>0</v>
      </c>
      <c r="EA789" s="1337"/>
      <c r="EB789" s="1337"/>
      <c r="EC789" s="1337"/>
      <c r="ED789" s="1338"/>
      <c r="EE789" s="1336">
        <f t="shared" si="49"/>
        <v>0</v>
      </c>
      <c r="EF789" s="1337"/>
      <c r="EG789" s="1337"/>
      <c r="EH789" s="1337"/>
      <c r="EI789" s="1338"/>
      <c r="EJ789" s="1336">
        <f t="shared" si="50"/>
        <v>0</v>
      </c>
      <c r="EK789" s="1337"/>
      <c r="EL789" s="1337"/>
      <c r="EM789" s="1337"/>
      <c r="EN789" s="1338"/>
      <c r="EO789" s="1336">
        <f t="shared" si="51"/>
        <v>0</v>
      </c>
      <c r="EP789" s="1337"/>
      <c r="EQ789" s="1337"/>
      <c r="ER789" s="1337"/>
      <c r="ES789" s="1338"/>
      <c r="ET789" s="1336">
        <f t="shared" si="52"/>
        <v>0</v>
      </c>
      <c r="EU789" s="1337"/>
      <c r="EV789" s="1337"/>
      <c r="EW789" s="1337"/>
      <c r="EX789" s="1338"/>
    </row>
    <row r="790" spans="1:154" s="14" customFormat="1" ht="13" customHeight="1">
      <c r="A790"/>
      <c r="B790"/>
      <c r="C790"/>
      <c r="D790"/>
      <c r="E790"/>
      <c r="F790"/>
      <c r="G790"/>
      <c r="H790"/>
      <c r="I790"/>
      <c r="J790" s="1359"/>
      <c r="K790" s="1360"/>
      <c r="L790" s="1360"/>
      <c r="M790" s="1360"/>
      <c r="N790" s="1361"/>
      <c r="O790" s="1566"/>
      <c r="P790" s="1566"/>
      <c r="Q790" s="1566"/>
      <c r="R790" s="1566"/>
      <c r="S790" s="1566"/>
      <c r="T790" s="1584"/>
      <c r="U790" s="1585"/>
      <c r="V790" s="1585"/>
      <c r="W790" s="1586"/>
      <c r="X790" s="1450"/>
      <c r="Y790" s="1451"/>
      <c r="Z790" s="1451"/>
      <c r="AA790" s="1451"/>
      <c r="AB790" s="1452"/>
      <c r="AC790" s="1362">
        <f t="shared" si="40"/>
        <v>0</v>
      </c>
      <c r="AD790" s="1363"/>
      <c r="AE790" s="1363"/>
      <c r="AF790" s="1363"/>
      <c r="AG790" s="136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6">
        <f t="shared" si="41"/>
        <v>0</v>
      </c>
      <c r="CQ790" s="1337"/>
      <c r="CR790" s="1337"/>
      <c r="CS790" s="1337"/>
      <c r="CT790" s="1338"/>
      <c r="CU790" s="1336">
        <f t="shared" si="42"/>
        <v>0</v>
      </c>
      <c r="CV790" s="1337"/>
      <c r="CW790" s="1337"/>
      <c r="CX790" s="1337"/>
      <c r="CY790" s="1338"/>
      <c r="CZ790" s="1336">
        <f t="shared" si="43"/>
        <v>0</v>
      </c>
      <c r="DA790" s="1337"/>
      <c r="DB790" s="1337"/>
      <c r="DC790" s="1337"/>
      <c r="DD790" s="1338"/>
      <c r="DE790" s="1336">
        <f t="shared" si="44"/>
        <v>0</v>
      </c>
      <c r="DF790" s="1337"/>
      <c r="DG790" s="1337"/>
      <c r="DH790" s="1337"/>
      <c r="DI790" s="1338"/>
      <c r="DJ790" s="1336">
        <f t="shared" si="45"/>
        <v>0</v>
      </c>
      <c r="DK790" s="1337"/>
      <c r="DL790" s="1337"/>
      <c r="DM790" s="1337"/>
      <c r="DN790" s="1338"/>
      <c r="DO790" s="1336">
        <f t="shared" si="46"/>
        <v>0</v>
      </c>
      <c r="DP790" s="1337"/>
      <c r="DQ790" s="1337"/>
      <c r="DR790" s="1337"/>
      <c r="DS790" s="1338"/>
      <c r="DT790" s="6"/>
      <c r="DU790" s="1336">
        <f t="shared" si="47"/>
        <v>0</v>
      </c>
      <c r="DV790" s="1337"/>
      <c r="DW790" s="1337"/>
      <c r="DX790" s="1337"/>
      <c r="DY790" s="1338"/>
      <c r="DZ790" s="1336">
        <f t="shared" si="48"/>
        <v>0</v>
      </c>
      <c r="EA790" s="1337"/>
      <c r="EB790" s="1337"/>
      <c r="EC790" s="1337"/>
      <c r="ED790" s="1338"/>
      <c r="EE790" s="1336">
        <f t="shared" si="49"/>
        <v>0</v>
      </c>
      <c r="EF790" s="1337"/>
      <c r="EG790" s="1337"/>
      <c r="EH790" s="1337"/>
      <c r="EI790" s="1338"/>
      <c r="EJ790" s="1336">
        <f t="shared" si="50"/>
        <v>0</v>
      </c>
      <c r="EK790" s="1337"/>
      <c r="EL790" s="1337"/>
      <c r="EM790" s="1337"/>
      <c r="EN790" s="1338"/>
      <c r="EO790" s="1336">
        <f t="shared" si="51"/>
        <v>0</v>
      </c>
      <c r="EP790" s="1337"/>
      <c r="EQ790" s="1337"/>
      <c r="ER790" s="1337"/>
      <c r="ES790" s="1338"/>
      <c r="ET790" s="1336">
        <f t="shared" si="52"/>
        <v>0</v>
      </c>
      <c r="EU790" s="1337"/>
      <c r="EV790" s="1337"/>
      <c r="EW790" s="1337"/>
      <c r="EX790" s="1338"/>
    </row>
    <row r="791" spans="1:154" s="14" customFormat="1" ht="13" customHeight="1">
      <c r="A791"/>
      <c r="B791"/>
      <c r="C791"/>
      <c r="D791"/>
      <c r="E791"/>
      <c r="F791"/>
      <c r="G791"/>
      <c r="H791"/>
      <c r="I791"/>
      <c r="J791" s="1359"/>
      <c r="K791" s="1360"/>
      <c r="L791" s="1360"/>
      <c r="M791" s="1360"/>
      <c r="N791" s="1361"/>
      <c r="O791" s="1566"/>
      <c r="P791" s="1566"/>
      <c r="Q791" s="1566"/>
      <c r="R791" s="1566"/>
      <c r="S791" s="1566"/>
      <c r="T791" s="1584"/>
      <c r="U791" s="1585"/>
      <c r="V791" s="1585"/>
      <c r="W791" s="1586"/>
      <c r="X791" s="1450"/>
      <c r="Y791" s="1451"/>
      <c r="Z791" s="1451"/>
      <c r="AA791" s="1451"/>
      <c r="AB791" s="1452"/>
      <c r="AC791" s="1362">
        <f t="shared" si="40"/>
        <v>0</v>
      </c>
      <c r="AD791" s="1363"/>
      <c r="AE791" s="1363"/>
      <c r="AF791" s="1363"/>
      <c r="AG791" s="136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6">
        <f t="shared" si="41"/>
        <v>0</v>
      </c>
      <c r="CQ791" s="1337"/>
      <c r="CR791" s="1337"/>
      <c r="CS791" s="1337"/>
      <c r="CT791" s="1338"/>
      <c r="CU791" s="1336">
        <f t="shared" si="42"/>
        <v>0</v>
      </c>
      <c r="CV791" s="1337"/>
      <c r="CW791" s="1337"/>
      <c r="CX791" s="1337"/>
      <c r="CY791" s="1338"/>
      <c r="CZ791" s="1336">
        <f t="shared" si="43"/>
        <v>0</v>
      </c>
      <c r="DA791" s="1337"/>
      <c r="DB791" s="1337"/>
      <c r="DC791" s="1337"/>
      <c r="DD791" s="1338"/>
      <c r="DE791" s="1336">
        <f t="shared" si="44"/>
        <v>0</v>
      </c>
      <c r="DF791" s="1337"/>
      <c r="DG791" s="1337"/>
      <c r="DH791" s="1337"/>
      <c r="DI791" s="1338"/>
      <c r="DJ791" s="1336">
        <f t="shared" si="45"/>
        <v>0</v>
      </c>
      <c r="DK791" s="1337"/>
      <c r="DL791" s="1337"/>
      <c r="DM791" s="1337"/>
      <c r="DN791" s="1338"/>
      <c r="DO791" s="1336">
        <f t="shared" si="46"/>
        <v>0</v>
      </c>
      <c r="DP791" s="1337"/>
      <c r="DQ791" s="1337"/>
      <c r="DR791" s="1337"/>
      <c r="DS791" s="1338"/>
      <c r="DT791" s="6"/>
      <c r="DU791" s="1336">
        <f t="shared" si="47"/>
        <v>0</v>
      </c>
      <c r="DV791" s="1337"/>
      <c r="DW791" s="1337"/>
      <c r="DX791" s="1337"/>
      <c r="DY791" s="1338"/>
      <c r="DZ791" s="1336">
        <f t="shared" si="48"/>
        <v>0</v>
      </c>
      <c r="EA791" s="1337"/>
      <c r="EB791" s="1337"/>
      <c r="EC791" s="1337"/>
      <c r="ED791" s="1338"/>
      <c r="EE791" s="1336">
        <f t="shared" si="49"/>
        <v>0</v>
      </c>
      <c r="EF791" s="1337"/>
      <c r="EG791" s="1337"/>
      <c r="EH791" s="1337"/>
      <c r="EI791" s="1338"/>
      <c r="EJ791" s="1336">
        <f t="shared" si="50"/>
        <v>0</v>
      </c>
      <c r="EK791" s="1337"/>
      <c r="EL791" s="1337"/>
      <c r="EM791" s="1337"/>
      <c r="EN791" s="1338"/>
      <c r="EO791" s="1336">
        <f t="shared" si="51"/>
        <v>0</v>
      </c>
      <c r="EP791" s="1337"/>
      <c r="EQ791" s="1337"/>
      <c r="ER791" s="1337"/>
      <c r="ES791" s="1338"/>
      <c r="ET791" s="1336">
        <f t="shared" si="52"/>
        <v>0</v>
      </c>
      <c r="EU791" s="1337"/>
      <c r="EV791" s="1337"/>
      <c r="EW791" s="1337"/>
      <c r="EX791" s="1338"/>
    </row>
    <row r="792" spans="1:154" s="14" customFormat="1" ht="13" customHeight="1">
      <c r="A792"/>
      <c r="B792"/>
      <c r="C792"/>
      <c r="D792"/>
      <c r="E792"/>
      <c r="F792"/>
      <c r="G792"/>
      <c r="H792"/>
      <c r="I792"/>
      <c r="J792" s="1359"/>
      <c r="K792" s="1360"/>
      <c r="L792" s="1360"/>
      <c r="M792" s="1360"/>
      <c r="N792" s="1361"/>
      <c r="O792" s="1566"/>
      <c r="P792" s="1566"/>
      <c r="Q792" s="1566"/>
      <c r="R792" s="1566"/>
      <c r="S792" s="1566"/>
      <c r="T792" s="1584"/>
      <c r="U792" s="1585"/>
      <c r="V792" s="1585"/>
      <c r="W792" s="1586"/>
      <c r="X792" s="1450"/>
      <c r="Y792" s="1451"/>
      <c r="Z792" s="1451"/>
      <c r="AA792" s="1451"/>
      <c r="AB792" s="1452"/>
      <c r="AC792" s="1362">
        <f t="shared" si="40"/>
        <v>0</v>
      </c>
      <c r="AD792" s="1363"/>
      <c r="AE792" s="1363"/>
      <c r="AF792" s="1363"/>
      <c r="AG792" s="136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6">
        <f t="shared" si="41"/>
        <v>0</v>
      </c>
      <c r="CQ792" s="1337"/>
      <c r="CR792" s="1337"/>
      <c r="CS792" s="1337"/>
      <c r="CT792" s="1338"/>
      <c r="CU792" s="1336">
        <f t="shared" si="42"/>
        <v>0</v>
      </c>
      <c r="CV792" s="1337"/>
      <c r="CW792" s="1337"/>
      <c r="CX792" s="1337"/>
      <c r="CY792" s="1338"/>
      <c r="CZ792" s="1336">
        <f t="shared" si="43"/>
        <v>0</v>
      </c>
      <c r="DA792" s="1337"/>
      <c r="DB792" s="1337"/>
      <c r="DC792" s="1337"/>
      <c r="DD792" s="1338"/>
      <c r="DE792" s="1336">
        <f t="shared" si="44"/>
        <v>0</v>
      </c>
      <c r="DF792" s="1337"/>
      <c r="DG792" s="1337"/>
      <c r="DH792" s="1337"/>
      <c r="DI792" s="1338"/>
      <c r="DJ792" s="1336">
        <f t="shared" si="45"/>
        <v>0</v>
      </c>
      <c r="DK792" s="1337"/>
      <c r="DL792" s="1337"/>
      <c r="DM792" s="1337"/>
      <c r="DN792" s="1338"/>
      <c r="DO792" s="1336">
        <f t="shared" si="46"/>
        <v>0</v>
      </c>
      <c r="DP792" s="1337"/>
      <c r="DQ792" s="1337"/>
      <c r="DR792" s="1337"/>
      <c r="DS792" s="1338"/>
      <c r="DT792" s="6"/>
      <c r="DU792" s="1336">
        <f t="shared" si="47"/>
        <v>0</v>
      </c>
      <c r="DV792" s="1337"/>
      <c r="DW792" s="1337"/>
      <c r="DX792" s="1337"/>
      <c r="DY792" s="1338"/>
      <c r="DZ792" s="1336">
        <f t="shared" si="48"/>
        <v>0</v>
      </c>
      <c r="EA792" s="1337"/>
      <c r="EB792" s="1337"/>
      <c r="EC792" s="1337"/>
      <c r="ED792" s="1338"/>
      <c r="EE792" s="1336">
        <f t="shared" si="49"/>
        <v>0</v>
      </c>
      <c r="EF792" s="1337"/>
      <c r="EG792" s="1337"/>
      <c r="EH792" s="1337"/>
      <c r="EI792" s="1338"/>
      <c r="EJ792" s="1336">
        <f t="shared" si="50"/>
        <v>0</v>
      </c>
      <c r="EK792" s="1337"/>
      <c r="EL792" s="1337"/>
      <c r="EM792" s="1337"/>
      <c r="EN792" s="1338"/>
      <c r="EO792" s="1336">
        <f t="shared" si="51"/>
        <v>0</v>
      </c>
      <c r="EP792" s="1337"/>
      <c r="EQ792" s="1337"/>
      <c r="ER792" s="1337"/>
      <c r="ES792" s="1338"/>
      <c r="ET792" s="1336">
        <f t="shared" si="52"/>
        <v>0</v>
      </c>
      <c r="EU792" s="1337"/>
      <c r="EV792" s="1337"/>
      <c r="EW792" s="1337"/>
      <c r="EX792" s="1338"/>
    </row>
    <row r="793" spans="1:154" s="14" customFormat="1" ht="13" customHeight="1">
      <c r="A793"/>
      <c r="B793"/>
      <c r="C793"/>
      <c r="D793"/>
      <c r="E793"/>
      <c r="F793"/>
      <c r="G793"/>
      <c r="H793"/>
      <c r="I793"/>
      <c r="J793" s="1359"/>
      <c r="K793" s="1360"/>
      <c r="L793" s="1360"/>
      <c r="M793" s="1360"/>
      <c r="N793" s="1361"/>
      <c r="O793" s="1566"/>
      <c r="P793" s="1566"/>
      <c r="Q793" s="1566"/>
      <c r="R793" s="1566"/>
      <c r="S793" s="1566"/>
      <c r="T793" s="1584"/>
      <c r="U793" s="1585"/>
      <c r="V793" s="1585"/>
      <c r="W793" s="1586"/>
      <c r="X793" s="1450"/>
      <c r="Y793" s="1451"/>
      <c r="Z793" s="1451"/>
      <c r="AA793" s="1451"/>
      <c r="AB793" s="1452"/>
      <c r="AC793" s="1362">
        <f t="shared" si="40"/>
        <v>0</v>
      </c>
      <c r="AD793" s="1363"/>
      <c r="AE793" s="1363"/>
      <c r="AF793" s="1363"/>
      <c r="AG793" s="136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6">
        <f t="shared" si="41"/>
        <v>0</v>
      </c>
      <c r="CQ793" s="1337"/>
      <c r="CR793" s="1337"/>
      <c r="CS793" s="1337"/>
      <c r="CT793" s="1338"/>
      <c r="CU793" s="1336">
        <f t="shared" si="42"/>
        <v>0</v>
      </c>
      <c r="CV793" s="1337"/>
      <c r="CW793" s="1337"/>
      <c r="CX793" s="1337"/>
      <c r="CY793" s="1338"/>
      <c r="CZ793" s="1336">
        <f t="shared" si="43"/>
        <v>0</v>
      </c>
      <c r="DA793" s="1337"/>
      <c r="DB793" s="1337"/>
      <c r="DC793" s="1337"/>
      <c r="DD793" s="1338"/>
      <c r="DE793" s="1336">
        <f t="shared" si="44"/>
        <v>0</v>
      </c>
      <c r="DF793" s="1337"/>
      <c r="DG793" s="1337"/>
      <c r="DH793" s="1337"/>
      <c r="DI793" s="1338"/>
      <c r="DJ793" s="1336">
        <f t="shared" si="45"/>
        <v>0</v>
      </c>
      <c r="DK793" s="1337"/>
      <c r="DL793" s="1337"/>
      <c r="DM793" s="1337"/>
      <c r="DN793" s="1338"/>
      <c r="DO793" s="1336">
        <f t="shared" si="46"/>
        <v>0</v>
      </c>
      <c r="DP793" s="1337"/>
      <c r="DQ793" s="1337"/>
      <c r="DR793" s="1337"/>
      <c r="DS793" s="1338"/>
      <c r="DT793" s="6"/>
      <c r="DU793" s="1336">
        <f t="shared" si="47"/>
        <v>0</v>
      </c>
      <c r="DV793" s="1337"/>
      <c r="DW793" s="1337"/>
      <c r="DX793" s="1337"/>
      <c r="DY793" s="1338"/>
      <c r="DZ793" s="1336">
        <f t="shared" si="48"/>
        <v>0</v>
      </c>
      <c r="EA793" s="1337"/>
      <c r="EB793" s="1337"/>
      <c r="EC793" s="1337"/>
      <c r="ED793" s="1338"/>
      <c r="EE793" s="1336">
        <f t="shared" si="49"/>
        <v>0</v>
      </c>
      <c r="EF793" s="1337"/>
      <c r="EG793" s="1337"/>
      <c r="EH793" s="1337"/>
      <c r="EI793" s="1338"/>
      <c r="EJ793" s="1336">
        <f t="shared" si="50"/>
        <v>0</v>
      </c>
      <c r="EK793" s="1337"/>
      <c r="EL793" s="1337"/>
      <c r="EM793" s="1337"/>
      <c r="EN793" s="1338"/>
      <c r="EO793" s="1336">
        <f t="shared" si="51"/>
        <v>0</v>
      </c>
      <c r="EP793" s="1337"/>
      <c r="EQ793" s="1337"/>
      <c r="ER793" s="1337"/>
      <c r="ES793" s="1338"/>
      <c r="ET793" s="1336">
        <f t="shared" si="52"/>
        <v>0</v>
      </c>
      <c r="EU793" s="1337"/>
      <c r="EV793" s="1337"/>
      <c r="EW793" s="1337"/>
      <c r="EX793" s="1338"/>
    </row>
    <row r="794" spans="1:154" s="14" customFormat="1" ht="13" customHeight="1">
      <c r="A794"/>
      <c r="B794"/>
      <c r="C794"/>
      <c r="D794"/>
      <c r="E794"/>
      <c r="F794"/>
      <c r="G794"/>
      <c r="H794"/>
      <c r="I794"/>
      <c r="J794" s="1359"/>
      <c r="K794" s="1360"/>
      <c r="L794" s="1360"/>
      <c r="M794" s="1360"/>
      <c r="N794" s="1361"/>
      <c r="O794" s="1566"/>
      <c r="P794" s="1566"/>
      <c r="Q794" s="1566"/>
      <c r="R794" s="1566"/>
      <c r="S794" s="1566"/>
      <c r="T794" s="1584"/>
      <c r="U794" s="1585"/>
      <c r="V794" s="1585"/>
      <c r="W794" s="1586"/>
      <c r="X794" s="1450"/>
      <c r="Y794" s="1451"/>
      <c r="Z794" s="1451"/>
      <c r="AA794" s="1451"/>
      <c r="AB794" s="1452"/>
      <c r="AC794" s="1362">
        <f t="shared" si="40"/>
        <v>0</v>
      </c>
      <c r="AD794" s="1363"/>
      <c r="AE794" s="1363"/>
      <c r="AF794" s="1363"/>
      <c r="AG794" s="136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6">
        <f t="shared" si="41"/>
        <v>0</v>
      </c>
      <c r="CQ794" s="1337"/>
      <c r="CR794" s="1337"/>
      <c r="CS794" s="1337"/>
      <c r="CT794" s="1338"/>
      <c r="CU794" s="1336">
        <f t="shared" si="42"/>
        <v>0</v>
      </c>
      <c r="CV794" s="1337"/>
      <c r="CW794" s="1337"/>
      <c r="CX794" s="1337"/>
      <c r="CY794" s="1338"/>
      <c r="CZ794" s="1336">
        <f t="shared" si="43"/>
        <v>0</v>
      </c>
      <c r="DA794" s="1337"/>
      <c r="DB794" s="1337"/>
      <c r="DC794" s="1337"/>
      <c r="DD794" s="1338"/>
      <c r="DE794" s="1336">
        <f t="shared" si="44"/>
        <v>0</v>
      </c>
      <c r="DF794" s="1337"/>
      <c r="DG794" s="1337"/>
      <c r="DH794" s="1337"/>
      <c r="DI794" s="1338"/>
      <c r="DJ794" s="1336">
        <f t="shared" si="45"/>
        <v>0</v>
      </c>
      <c r="DK794" s="1337"/>
      <c r="DL794" s="1337"/>
      <c r="DM794" s="1337"/>
      <c r="DN794" s="1338"/>
      <c r="DO794" s="1336">
        <f t="shared" si="46"/>
        <v>0</v>
      </c>
      <c r="DP794" s="1337"/>
      <c r="DQ794" s="1337"/>
      <c r="DR794" s="1337"/>
      <c r="DS794" s="1338"/>
      <c r="DT794" s="6"/>
      <c r="DU794" s="1336">
        <f t="shared" si="47"/>
        <v>0</v>
      </c>
      <c r="DV794" s="1337"/>
      <c r="DW794" s="1337"/>
      <c r="DX794" s="1337"/>
      <c r="DY794" s="1338"/>
      <c r="DZ794" s="1336">
        <f t="shared" si="48"/>
        <v>0</v>
      </c>
      <c r="EA794" s="1337"/>
      <c r="EB794" s="1337"/>
      <c r="EC794" s="1337"/>
      <c r="ED794" s="1338"/>
      <c r="EE794" s="1336">
        <f t="shared" si="49"/>
        <v>0</v>
      </c>
      <c r="EF794" s="1337"/>
      <c r="EG794" s="1337"/>
      <c r="EH794" s="1337"/>
      <c r="EI794" s="1338"/>
      <c r="EJ794" s="1336">
        <f t="shared" si="50"/>
        <v>0</v>
      </c>
      <c r="EK794" s="1337"/>
      <c r="EL794" s="1337"/>
      <c r="EM794" s="1337"/>
      <c r="EN794" s="1338"/>
      <c r="EO794" s="1336">
        <f t="shared" si="51"/>
        <v>0</v>
      </c>
      <c r="EP794" s="1337"/>
      <c r="EQ794" s="1337"/>
      <c r="ER794" s="1337"/>
      <c r="ES794" s="1338"/>
      <c r="ET794" s="1336">
        <f t="shared" si="52"/>
        <v>0</v>
      </c>
      <c r="EU794" s="1337"/>
      <c r="EV794" s="1337"/>
      <c r="EW794" s="1337"/>
      <c r="EX794" s="1338"/>
    </row>
    <row r="795" spans="1:154" s="14" customFormat="1" ht="13" customHeight="1">
      <c r="A795"/>
      <c r="B795"/>
      <c r="C795"/>
      <c r="D795"/>
      <c r="E795"/>
      <c r="F795"/>
      <c r="G795"/>
      <c r="H795"/>
      <c r="I795"/>
      <c r="J795" s="1359"/>
      <c r="K795" s="1360"/>
      <c r="L795" s="1360"/>
      <c r="M795" s="1360"/>
      <c r="N795" s="1361"/>
      <c r="O795" s="1566"/>
      <c r="P795" s="1566"/>
      <c r="Q795" s="1566"/>
      <c r="R795" s="1566"/>
      <c r="S795" s="1566"/>
      <c r="T795" s="1584"/>
      <c r="U795" s="1585"/>
      <c r="V795" s="1585"/>
      <c r="W795" s="1586"/>
      <c r="X795" s="1450"/>
      <c r="Y795" s="1451"/>
      <c r="Z795" s="1451"/>
      <c r="AA795" s="1451"/>
      <c r="AB795" s="1452"/>
      <c r="AC795" s="1362">
        <f t="shared" si="40"/>
        <v>0</v>
      </c>
      <c r="AD795" s="1363"/>
      <c r="AE795" s="1363"/>
      <c r="AF795" s="1363"/>
      <c r="AG795" s="136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6">
        <f t="shared" si="41"/>
        <v>0</v>
      </c>
      <c r="CQ795" s="1337"/>
      <c r="CR795" s="1337"/>
      <c r="CS795" s="1337"/>
      <c r="CT795" s="1338"/>
      <c r="CU795" s="1336">
        <f t="shared" si="42"/>
        <v>0</v>
      </c>
      <c r="CV795" s="1337"/>
      <c r="CW795" s="1337"/>
      <c r="CX795" s="1337"/>
      <c r="CY795" s="1338"/>
      <c r="CZ795" s="1336">
        <f t="shared" si="43"/>
        <v>0</v>
      </c>
      <c r="DA795" s="1337"/>
      <c r="DB795" s="1337"/>
      <c r="DC795" s="1337"/>
      <c r="DD795" s="1338"/>
      <c r="DE795" s="1336">
        <f t="shared" si="44"/>
        <v>0</v>
      </c>
      <c r="DF795" s="1337"/>
      <c r="DG795" s="1337"/>
      <c r="DH795" s="1337"/>
      <c r="DI795" s="1338"/>
      <c r="DJ795" s="1336">
        <f t="shared" si="45"/>
        <v>0</v>
      </c>
      <c r="DK795" s="1337"/>
      <c r="DL795" s="1337"/>
      <c r="DM795" s="1337"/>
      <c r="DN795" s="1338"/>
      <c r="DO795" s="1336">
        <f t="shared" si="46"/>
        <v>0</v>
      </c>
      <c r="DP795" s="1337"/>
      <c r="DQ795" s="1337"/>
      <c r="DR795" s="1337"/>
      <c r="DS795" s="1338"/>
      <c r="DT795" s="6"/>
      <c r="DU795" s="1336">
        <f t="shared" si="47"/>
        <v>0</v>
      </c>
      <c r="DV795" s="1337"/>
      <c r="DW795" s="1337"/>
      <c r="DX795" s="1337"/>
      <c r="DY795" s="1338"/>
      <c r="DZ795" s="1336">
        <f t="shared" si="48"/>
        <v>0</v>
      </c>
      <c r="EA795" s="1337"/>
      <c r="EB795" s="1337"/>
      <c r="EC795" s="1337"/>
      <c r="ED795" s="1338"/>
      <c r="EE795" s="1336">
        <f t="shared" si="49"/>
        <v>0</v>
      </c>
      <c r="EF795" s="1337"/>
      <c r="EG795" s="1337"/>
      <c r="EH795" s="1337"/>
      <c r="EI795" s="1338"/>
      <c r="EJ795" s="1336">
        <f t="shared" si="50"/>
        <v>0</v>
      </c>
      <c r="EK795" s="1337"/>
      <c r="EL795" s="1337"/>
      <c r="EM795" s="1337"/>
      <c r="EN795" s="1338"/>
      <c r="EO795" s="1336">
        <f t="shared" si="51"/>
        <v>0</v>
      </c>
      <c r="EP795" s="1337"/>
      <c r="EQ795" s="1337"/>
      <c r="ER795" s="1337"/>
      <c r="ES795" s="1338"/>
      <c r="ET795" s="1336">
        <f t="shared" si="52"/>
        <v>0</v>
      </c>
      <c r="EU795" s="1337"/>
      <c r="EV795" s="1337"/>
      <c r="EW795" s="1337"/>
      <c r="EX795" s="1338"/>
    </row>
    <row r="796" spans="1:154" s="4" customFormat="1" ht="13" customHeight="1">
      <c r="A796"/>
      <c r="B796"/>
      <c r="C796"/>
      <c r="D796"/>
      <c r="E796"/>
      <c r="F796"/>
      <c r="G796"/>
      <c r="H796"/>
      <c r="I796"/>
      <c r="J796" s="1359"/>
      <c r="K796" s="1360"/>
      <c r="L796" s="1360"/>
      <c r="M796" s="1360"/>
      <c r="N796" s="1361"/>
      <c r="O796" s="1566"/>
      <c r="P796" s="1566"/>
      <c r="Q796" s="1566"/>
      <c r="R796" s="1566"/>
      <c r="S796" s="1566"/>
      <c r="T796" s="1584"/>
      <c r="U796" s="1585"/>
      <c r="V796" s="1585"/>
      <c r="W796" s="1586"/>
      <c r="X796" s="1450"/>
      <c r="Y796" s="1451"/>
      <c r="Z796" s="1451"/>
      <c r="AA796" s="1451"/>
      <c r="AB796" s="1452"/>
      <c r="AC796" s="1362">
        <f t="shared" si="40"/>
        <v>0</v>
      </c>
      <c r="AD796" s="1363"/>
      <c r="AE796" s="1363"/>
      <c r="AF796" s="1363"/>
      <c r="AG796" s="1364"/>
      <c r="AH796"/>
      <c r="AI796"/>
      <c r="AJ796"/>
      <c r="AK796"/>
      <c r="AL796"/>
      <c r="AM796"/>
      <c r="AN796"/>
      <c r="AO796"/>
      <c r="AP796"/>
      <c r="AQ796"/>
      <c r="AR796"/>
      <c r="AS796"/>
      <c r="AT796"/>
      <c r="AU796"/>
      <c r="AV796"/>
      <c r="AW796"/>
      <c r="AX796"/>
      <c r="AY796"/>
      <c r="AZ796" s="3"/>
      <c r="CP796" s="1336">
        <f t="shared" si="41"/>
        <v>0</v>
      </c>
      <c r="CQ796" s="1337"/>
      <c r="CR796" s="1337"/>
      <c r="CS796" s="1337"/>
      <c r="CT796" s="1338"/>
      <c r="CU796" s="1336">
        <f t="shared" si="42"/>
        <v>0</v>
      </c>
      <c r="CV796" s="1337"/>
      <c r="CW796" s="1337"/>
      <c r="CX796" s="1337"/>
      <c r="CY796" s="1338"/>
      <c r="CZ796" s="1336">
        <f t="shared" si="43"/>
        <v>0</v>
      </c>
      <c r="DA796" s="1337"/>
      <c r="DB796" s="1337"/>
      <c r="DC796" s="1337"/>
      <c r="DD796" s="1338"/>
      <c r="DE796" s="1336">
        <f t="shared" si="44"/>
        <v>0</v>
      </c>
      <c r="DF796" s="1337"/>
      <c r="DG796" s="1337"/>
      <c r="DH796" s="1337"/>
      <c r="DI796" s="1338"/>
      <c r="DJ796" s="1336">
        <f t="shared" si="45"/>
        <v>0</v>
      </c>
      <c r="DK796" s="1337"/>
      <c r="DL796" s="1337"/>
      <c r="DM796" s="1337"/>
      <c r="DN796" s="1338"/>
      <c r="DO796" s="1336">
        <f t="shared" si="46"/>
        <v>0</v>
      </c>
      <c r="DP796" s="1337"/>
      <c r="DQ796" s="1337"/>
      <c r="DR796" s="1337"/>
      <c r="DS796" s="1338"/>
      <c r="DT796" s="6"/>
      <c r="DU796" s="1336">
        <f t="shared" si="47"/>
        <v>0</v>
      </c>
      <c r="DV796" s="1337"/>
      <c r="DW796" s="1337"/>
      <c r="DX796" s="1337"/>
      <c r="DY796" s="1338"/>
      <c r="DZ796" s="1336">
        <f t="shared" si="48"/>
        <v>0</v>
      </c>
      <c r="EA796" s="1337"/>
      <c r="EB796" s="1337"/>
      <c r="EC796" s="1337"/>
      <c r="ED796" s="1338"/>
      <c r="EE796" s="1336">
        <f t="shared" si="49"/>
        <v>0</v>
      </c>
      <c r="EF796" s="1337"/>
      <c r="EG796" s="1337"/>
      <c r="EH796" s="1337"/>
      <c r="EI796" s="1338"/>
      <c r="EJ796" s="1336">
        <f t="shared" si="50"/>
        <v>0</v>
      </c>
      <c r="EK796" s="1337"/>
      <c r="EL796" s="1337"/>
      <c r="EM796" s="1337"/>
      <c r="EN796" s="1338"/>
      <c r="EO796" s="1336">
        <f t="shared" si="51"/>
        <v>0</v>
      </c>
      <c r="EP796" s="1337"/>
      <c r="EQ796" s="1337"/>
      <c r="ER796" s="1337"/>
      <c r="ES796" s="1338"/>
      <c r="ET796" s="1336">
        <f t="shared" si="52"/>
        <v>0</v>
      </c>
      <c r="EU796" s="1337"/>
      <c r="EV796" s="1337"/>
      <c r="EW796" s="1337"/>
      <c r="EX796" s="1338"/>
    </row>
    <row r="797" spans="1:154" s="4" customFormat="1" ht="13" customHeight="1">
      <c r="A797"/>
      <c r="B797"/>
      <c r="C797"/>
      <c r="D797"/>
      <c r="E797"/>
      <c r="F797"/>
      <c r="G797"/>
      <c r="H797"/>
      <c r="I797"/>
      <c r="J797" s="1470" t="s">
        <v>125</v>
      </c>
      <c r="K797" s="1471"/>
      <c r="L797" s="1471"/>
      <c r="M797" s="1471"/>
      <c r="N797" s="1473"/>
      <c r="O797" s="1604">
        <f>SUM(O787:S796)</f>
        <v>0</v>
      </c>
      <c r="P797" s="1604"/>
      <c r="Q797" s="1604"/>
      <c r="R797" s="1604"/>
      <c r="S797" s="1604"/>
      <c r="T797"/>
      <c r="U797"/>
      <c r="V797"/>
      <c r="W797"/>
      <c r="X797" s="902" t="s">
        <v>124</v>
      </c>
      <c r="Y797" s="11"/>
      <c r="Z797" s="11"/>
      <c r="AA797" s="11"/>
      <c r="AB797" s="909"/>
      <c r="AC797" s="1362">
        <f>SUM(AC787:AG796)</f>
        <v>0</v>
      </c>
      <c r="AD797" s="1363"/>
      <c r="AE797" s="1363"/>
      <c r="AF797" s="1363"/>
      <c r="AG797" s="1364"/>
      <c r="AH797"/>
      <c r="AI797"/>
      <c r="AJ797"/>
      <c r="AK797"/>
      <c r="AL797"/>
      <c r="AM797"/>
      <c r="AN797"/>
      <c r="AO797"/>
      <c r="AP797"/>
      <c r="AQ797"/>
      <c r="AR797"/>
      <c r="AS797"/>
      <c r="AT797"/>
      <c r="AU797"/>
      <c r="AV797"/>
      <c r="AW797"/>
      <c r="AX797"/>
      <c r="AY797"/>
      <c r="AZ797" s="3"/>
      <c r="BA797"/>
      <c r="CP797" s="1339">
        <f>SUM(CP787:CT796)</f>
        <v>0</v>
      </c>
      <c r="CQ797" s="1340"/>
      <c r="CR797" s="1340"/>
      <c r="CS797" s="1340"/>
      <c r="CT797" s="1341"/>
      <c r="CU797" s="1352">
        <f>SUM(CU787:CY796)</f>
        <v>0</v>
      </c>
      <c r="CV797" s="1353"/>
      <c r="CW797" s="1353"/>
      <c r="CX797" s="1353"/>
      <c r="CY797" s="1354"/>
      <c r="CZ797" s="1352">
        <f>SUM(CZ787:DD796)</f>
        <v>0</v>
      </c>
      <c r="DA797" s="1353"/>
      <c r="DB797" s="1353"/>
      <c r="DC797" s="1353"/>
      <c r="DD797" s="1354"/>
      <c r="DE797" s="1352">
        <f>SUM(DE787:DI796)</f>
        <v>0</v>
      </c>
      <c r="DF797" s="1353"/>
      <c r="DG797" s="1353"/>
      <c r="DH797" s="1353"/>
      <c r="DI797" s="1354"/>
      <c r="DJ797" s="1352">
        <f>SUM(DJ787:DN796)</f>
        <v>0</v>
      </c>
      <c r="DK797" s="1353"/>
      <c r="DL797" s="1353"/>
      <c r="DM797" s="1353"/>
      <c r="DN797" s="1354"/>
      <c r="DO797" s="1352">
        <f>SUM(DO787:DS796)</f>
        <v>0</v>
      </c>
      <c r="DP797" s="1353"/>
      <c r="DQ797" s="1353"/>
      <c r="DR797" s="1353"/>
      <c r="DS797" s="1354"/>
      <c r="DT797" s="1012"/>
      <c r="DU797" s="1339">
        <f>SUM(DU787:DY796)</f>
        <v>0</v>
      </c>
      <c r="DV797" s="1340"/>
      <c r="DW797" s="1340"/>
      <c r="DX797" s="1340"/>
      <c r="DY797" s="1341"/>
      <c r="DZ797" s="1339">
        <f>SUM(DZ787:ED796)</f>
        <v>0</v>
      </c>
      <c r="EA797" s="1340"/>
      <c r="EB797" s="1340"/>
      <c r="EC797" s="1340"/>
      <c r="ED797" s="1341"/>
      <c r="EE797" s="1339">
        <f>SUM(EE787:EI796)</f>
        <v>0</v>
      </c>
      <c r="EF797" s="1340"/>
      <c r="EG797" s="1340"/>
      <c r="EH797" s="1340"/>
      <c r="EI797" s="1341"/>
      <c r="EJ797" s="1339">
        <f>SUM(EJ787:EN796)</f>
        <v>0</v>
      </c>
      <c r="EK797" s="1340"/>
      <c r="EL797" s="1340"/>
      <c r="EM797" s="1340"/>
      <c r="EN797" s="1341"/>
      <c r="EO797" s="1339">
        <f>SUM(EO787:ES796)</f>
        <v>0</v>
      </c>
      <c r="EP797" s="1340"/>
      <c r="EQ797" s="1340"/>
      <c r="ER797" s="1340"/>
      <c r="ES797" s="1341"/>
      <c r="ET797" s="1339">
        <f>SUM(ET787:EX796)</f>
        <v>0</v>
      </c>
      <c r="EU797" s="1340"/>
      <c r="EV797" s="1340"/>
      <c r="EW797" s="1340"/>
      <c r="EX797" s="1341"/>
    </row>
    <row r="798" spans="1:154" s="4" customFormat="1" ht="13" customHeight="1">
      <c r="A798"/>
      <c r="B798"/>
      <c r="C798" s="1375" t="str">
        <f>IF(O797&lt;&gt;AG438,"! Total market rate units in the Unit Mix Table above does not match the number of  market rate units on row #"&amp;TEXT(ROW(D438),"#"),"")</f>
        <v/>
      </c>
      <c r="D798" s="1375"/>
      <c r="E798" s="1375"/>
      <c r="F798" s="1375"/>
      <c r="G798" s="1375"/>
      <c r="H798" s="1375"/>
      <c r="I798" s="1375"/>
      <c r="J798" s="1375"/>
      <c r="K798" s="1375"/>
      <c r="L798" s="1375"/>
      <c r="M798" s="1375"/>
      <c r="N798" s="1375"/>
      <c r="O798" s="1375"/>
      <c r="P798" s="1375"/>
      <c r="Q798" s="1375"/>
      <c r="R798" s="1375"/>
      <c r="S798" s="1375"/>
      <c r="T798" s="1375"/>
      <c r="U798" s="1375"/>
      <c r="V798" s="1375"/>
      <c r="W798" s="1375"/>
      <c r="X798" s="1375"/>
      <c r="Y798" s="1375"/>
      <c r="Z798" s="1375"/>
      <c r="AA798" s="1375"/>
      <c r="AB798" s="1375"/>
      <c r="AC798" s="1375"/>
      <c r="AD798" s="1375"/>
      <c r="AE798" s="1375"/>
      <c r="AF798" s="1375"/>
      <c r="AG798" s="1375"/>
      <c r="AH798" s="1375"/>
      <c r="AI798" s="1375"/>
      <c r="AJ798" s="1375"/>
      <c r="AK798" s="1375"/>
      <c r="AL798" s="1375"/>
      <c r="AM798" s="1375"/>
      <c r="AN798" s="1375"/>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375"/>
      <c r="D799" s="1375"/>
      <c r="E799" s="1375"/>
      <c r="F799" s="1375"/>
      <c r="G799" s="1375"/>
      <c r="H799" s="1375"/>
      <c r="I799" s="1375"/>
      <c r="J799" s="1375"/>
      <c r="K799" s="1375"/>
      <c r="L799" s="1375"/>
      <c r="M799" s="1375"/>
      <c r="N799" s="1375"/>
      <c r="O799" s="1375"/>
      <c r="P799" s="1375"/>
      <c r="Q799" s="1375"/>
      <c r="R799" s="1375"/>
      <c r="S799" s="1375"/>
      <c r="T799" s="1375"/>
      <c r="U799" s="1375"/>
      <c r="V799" s="1375"/>
      <c r="W799" s="1375"/>
      <c r="X799" s="1375"/>
      <c r="Y799" s="1375"/>
      <c r="Z799" s="1375"/>
      <c r="AA799" s="1375"/>
      <c r="AB799" s="1375"/>
      <c r="AC799" s="1375"/>
      <c r="AD799" s="1375"/>
      <c r="AE799" s="1375"/>
      <c r="AF799" s="1375"/>
      <c r="AG799" s="1375"/>
      <c r="AH799" s="1375"/>
      <c r="AI799" s="1375"/>
      <c r="AJ799" s="1375"/>
      <c r="AK799" s="1375"/>
      <c r="AL799" s="1375"/>
      <c r="AM799" s="1375"/>
      <c r="AN799" s="1375"/>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349">
        <f>SUM(DU797:EX797)</f>
        <v>0</v>
      </c>
      <c r="EU799" s="1350"/>
      <c r="EV799" s="1350"/>
      <c r="EW799" s="1350"/>
      <c r="EX799" s="1351"/>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581">
        <f>O753+AC777+AC797</f>
        <v>301644</v>
      </c>
      <c r="Z800" s="1581"/>
      <c r="AA800" s="1581"/>
      <c r="AB800" s="1581"/>
      <c r="AC800" s="1581"/>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81">
        <f>(O753+AC777+AC797)*12</f>
        <v>3619728</v>
      </c>
      <c r="Z801" s="1581"/>
      <c r="AA801" s="1581"/>
      <c r="AB801" s="1581"/>
      <c r="AC801" s="1581"/>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52">
        <f>CP753+CP777+CP797</f>
        <v>0</v>
      </c>
      <c r="CQ802" s="1353"/>
      <c r="CR802" s="1353"/>
      <c r="CS802" s="1353"/>
      <c r="CT802" s="1354"/>
      <c r="CU802" s="1352">
        <f>CU753+CU777+CU797</f>
        <v>45</v>
      </c>
      <c r="CV802" s="1353"/>
      <c r="CW802" s="1353"/>
      <c r="CX802" s="1353"/>
      <c r="CY802" s="1354"/>
      <c r="CZ802" s="1352">
        <f>CZ753+CZ777+CZ797</f>
        <v>48</v>
      </c>
      <c r="DA802" s="1353"/>
      <c r="DB802" s="1353"/>
      <c r="DC802" s="1353"/>
      <c r="DD802" s="1354"/>
      <c r="DE802" s="1352">
        <f>DE753+DE777+DE797</f>
        <v>32</v>
      </c>
      <c r="DF802" s="1353"/>
      <c r="DG802" s="1353"/>
      <c r="DH802" s="1353"/>
      <c r="DI802" s="1354"/>
      <c r="DJ802" s="1352">
        <f>DJ753+DJ777+DJ797</f>
        <v>0</v>
      </c>
      <c r="DK802" s="1353"/>
      <c r="DL802" s="1353"/>
      <c r="DM802" s="1353"/>
      <c r="DN802" s="1354"/>
      <c r="DO802" s="1355">
        <f>DO797+DO777+DO753</f>
        <v>0</v>
      </c>
      <c r="DP802" s="1356"/>
      <c r="DQ802" s="1356"/>
      <c r="DR802" s="1356"/>
      <c r="DS802" s="1357"/>
      <c r="DT802" s="3"/>
      <c r="DU802" s="861">
        <f>DU755+DU800</f>
        <v>235</v>
      </c>
      <c r="DV802" s="57" t="s">
        <v>1863</v>
      </c>
    </row>
    <row r="803" spans="1:126" s="4" customFormat="1" ht="13"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711">
        <v>0</v>
      </c>
      <c r="AA806" s="1588"/>
      <c r="AB806" s="1588"/>
      <c r="AC806" s="1588"/>
      <c r="AD806" s="1588"/>
      <c r="AE806" s="1589"/>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587"/>
      <c r="AA807" s="1588"/>
      <c r="AB807" s="1588"/>
      <c r="AC807" s="1588"/>
      <c r="AD807" s="1588"/>
      <c r="AE807" s="1589"/>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02">
        <v>0</v>
      </c>
      <c r="AA808" s="1434"/>
      <c r="AB808" s="1434"/>
      <c r="AC808" s="1434"/>
      <c r="AD808" s="1434"/>
      <c r="AE808" s="1603"/>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55">
        <f>'Subsidy Contract Calculation'!J40</f>
        <v>0</v>
      </c>
      <c r="AA809" s="1456"/>
      <c r="AB809" s="1456"/>
      <c r="AC809" s="1456"/>
      <c r="AD809" s="1456"/>
      <c r="AE809" s="145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58">
        <v>12000</v>
      </c>
      <c r="AA813" s="1342"/>
      <c r="AB813" s="1342"/>
      <c r="AC813" s="1342"/>
      <c r="AD813" s="1342"/>
      <c r="AE813" s="1343"/>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58">
        <v>120</v>
      </c>
      <c r="AA814" s="1342"/>
      <c r="AB814" s="1342"/>
      <c r="AC814" s="1342"/>
      <c r="AD814" s="1342"/>
      <c r="AE814" s="1343"/>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58">
        <v>120</v>
      </c>
      <c r="AA815" s="1342"/>
      <c r="AB815" s="1342"/>
      <c r="AC815" s="1342"/>
      <c r="AD815" s="1342"/>
      <c r="AE815" s="1343"/>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622" t="s">
        <v>2756</v>
      </c>
      <c r="Q816" s="1623"/>
      <c r="R816" s="1623"/>
      <c r="S816" s="1623"/>
      <c r="T816" s="1623"/>
      <c r="U816" s="1623"/>
      <c r="V816" s="1623"/>
      <c r="W816" s="1623"/>
      <c r="X816" s="1623"/>
      <c r="Y816" s="1624"/>
      <c r="Z816" s="1458">
        <v>11760</v>
      </c>
      <c r="AA816" s="1342"/>
      <c r="AB816" s="1342"/>
      <c r="AC816" s="1342"/>
      <c r="AD816" s="1342"/>
      <c r="AE816" s="1343"/>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55">
        <f>SUM(Z813:AE816)</f>
        <v>24000</v>
      </c>
      <c r="AA817" s="1456"/>
      <c r="AB817" s="1456"/>
      <c r="AC817" s="1456"/>
      <c r="AD817" s="1456"/>
      <c r="AE817" s="1457"/>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455">
        <f>Z817+Y801+Z809</f>
        <v>3643728</v>
      </c>
      <c r="AA818" s="1456"/>
      <c r="AB818" s="1456"/>
      <c r="AC818" s="1456"/>
      <c r="AD818" s="1456"/>
      <c r="AE818" s="145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671" t="s">
        <v>126</v>
      </c>
      <c r="N823" s="1671"/>
      <c r="O823" s="1671"/>
      <c r="P823" s="1672"/>
      <c r="Q823" s="1601" t="s">
        <v>289</v>
      </c>
      <c r="R823" s="1601"/>
      <c r="S823" s="1601"/>
      <c r="T823" s="1601"/>
      <c r="U823" s="1601" t="s">
        <v>290</v>
      </c>
      <c r="V823" s="1601"/>
      <c r="W823" s="1601"/>
      <c r="X823" s="1601"/>
      <c r="Y823" s="1601" t="s">
        <v>291</v>
      </c>
      <c r="Z823" s="1601"/>
      <c r="AA823" s="1601"/>
      <c r="AB823" s="1601"/>
      <c r="AC823" s="1601" t="s">
        <v>360</v>
      </c>
      <c r="AD823" s="1601"/>
      <c r="AE823" s="1601"/>
      <c r="AF823" s="1601"/>
      <c r="AG823" s="1596" t="s">
        <v>334</v>
      </c>
      <c r="AH823" s="1596"/>
      <c r="AI823" s="1596"/>
      <c r="AJ823" s="1596"/>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673"/>
      <c r="N824" s="1673"/>
      <c r="O824" s="1673"/>
      <c r="P824" s="1674"/>
      <c r="Q824" s="1601"/>
      <c r="R824" s="1601"/>
      <c r="S824" s="1601"/>
      <c r="T824" s="1601"/>
      <c r="U824" s="1601"/>
      <c r="V824" s="1601"/>
      <c r="W824" s="1601"/>
      <c r="X824" s="1601"/>
      <c r="Y824" s="1601"/>
      <c r="Z824" s="1601"/>
      <c r="AA824" s="1601"/>
      <c r="AB824" s="1601"/>
      <c r="AC824" s="1601"/>
      <c r="AD824" s="1601"/>
      <c r="AE824" s="1601"/>
      <c r="AF824" s="1601"/>
      <c r="AG824" s="1596"/>
      <c r="AH824" s="1596"/>
      <c r="AI824" s="1596"/>
      <c r="AJ824" s="1596"/>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583" t="s">
        <v>40</v>
      </c>
      <c r="D825" s="1468"/>
      <c r="E825" s="1468"/>
      <c r="F825" s="1468"/>
      <c r="G825" s="1468"/>
      <c r="H825" s="1468"/>
      <c r="I825" s="48"/>
      <c r="J825" s="48"/>
      <c r="K825" s="48"/>
      <c r="L825" s="49"/>
      <c r="M825" s="1580"/>
      <c r="N825" s="1580"/>
      <c r="O825" s="1580"/>
      <c r="P825" s="1580"/>
      <c r="Q825" s="1580"/>
      <c r="R825" s="1580"/>
      <c r="S825" s="1580"/>
      <c r="T825" s="1580"/>
      <c r="U825" s="1580"/>
      <c r="V825" s="1580"/>
      <c r="W825" s="1580"/>
      <c r="X825" s="1580"/>
      <c r="Y825" s="1580"/>
      <c r="Z825" s="1580"/>
      <c r="AA825" s="1580"/>
      <c r="AB825" s="1580"/>
      <c r="AC825" s="1486"/>
      <c r="AD825" s="1487"/>
      <c r="AE825" s="1487"/>
      <c r="AF825" s="1488"/>
      <c r="AG825" s="1486"/>
      <c r="AH825" s="1487"/>
      <c r="AI825" s="1487"/>
      <c r="AJ825" s="1488"/>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502" t="s">
        <v>41</v>
      </c>
      <c r="D826" s="1424"/>
      <c r="E826" s="1424"/>
      <c r="F826" s="1424"/>
      <c r="G826" s="1424"/>
      <c r="H826" s="1424"/>
      <c r="I826" s="5"/>
      <c r="J826" s="5"/>
      <c r="K826" s="5"/>
      <c r="L826" s="46"/>
      <c r="M826" s="1580"/>
      <c r="N826" s="1580"/>
      <c r="O826" s="1580"/>
      <c r="P826" s="1580"/>
      <c r="Q826" s="1580"/>
      <c r="R826" s="1580"/>
      <c r="S826" s="1580"/>
      <c r="T826" s="1580"/>
      <c r="U826" s="1580"/>
      <c r="V826" s="1580"/>
      <c r="W826" s="1580"/>
      <c r="X826" s="1580"/>
      <c r="Y826" s="1580"/>
      <c r="Z826" s="1580"/>
      <c r="AA826" s="1580"/>
      <c r="AB826" s="1580"/>
      <c r="AC826" s="1486"/>
      <c r="AD826" s="1487"/>
      <c r="AE826" s="1487"/>
      <c r="AF826" s="1488"/>
      <c r="AG826" s="1486"/>
      <c r="AH826" s="1487"/>
      <c r="AI826" s="1487"/>
      <c r="AJ826" s="1488"/>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502" t="s">
        <v>42</v>
      </c>
      <c r="D827" s="1424"/>
      <c r="E827" s="1424"/>
      <c r="F827" s="1424"/>
      <c r="G827" s="1424"/>
      <c r="H827" s="1424"/>
      <c r="I827" s="60"/>
      <c r="J827" s="60"/>
      <c r="K827" s="60"/>
      <c r="L827" s="61"/>
      <c r="M827" s="1580"/>
      <c r="N827" s="1580"/>
      <c r="O827" s="1580"/>
      <c r="P827" s="1580"/>
      <c r="Q827" s="1580"/>
      <c r="R827" s="1580"/>
      <c r="S827" s="1580"/>
      <c r="T827" s="1580"/>
      <c r="U827" s="1580"/>
      <c r="V827" s="1580"/>
      <c r="W827" s="1580"/>
      <c r="X827" s="1580"/>
      <c r="Y827" s="1580"/>
      <c r="Z827" s="1580"/>
      <c r="AA827" s="1580"/>
      <c r="AB827" s="1580"/>
      <c r="AC827" s="1486"/>
      <c r="AD827" s="1487"/>
      <c r="AE827" s="1487"/>
      <c r="AF827" s="1488"/>
      <c r="AG827" s="1486"/>
      <c r="AH827" s="1487"/>
      <c r="AI827" s="1487"/>
      <c r="AJ827" s="1488"/>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502" t="s">
        <v>762</v>
      </c>
      <c r="D828" s="1424"/>
      <c r="E828" s="1424"/>
      <c r="F828" s="1424"/>
      <c r="G828" s="1424"/>
      <c r="H828" s="1424"/>
      <c r="I828" s="60"/>
      <c r="J828" s="60"/>
      <c r="K828" s="60"/>
      <c r="L828" s="61"/>
      <c r="M828" s="1580"/>
      <c r="N828" s="1580"/>
      <c r="O828" s="1580"/>
      <c r="P828" s="1580"/>
      <c r="Q828" s="1580"/>
      <c r="R828" s="1580"/>
      <c r="S828" s="1580"/>
      <c r="T828" s="1580"/>
      <c r="U828" s="1580"/>
      <c r="V828" s="1580"/>
      <c r="W828" s="1580"/>
      <c r="X828" s="1580"/>
      <c r="Y828" s="1580"/>
      <c r="Z828" s="1580"/>
      <c r="AA828" s="1580"/>
      <c r="AB828" s="1580"/>
      <c r="AC828" s="1486"/>
      <c r="AD828" s="1487"/>
      <c r="AE828" s="1487"/>
      <c r="AF828" s="1488"/>
      <c r="AG828" s="1486"/>
      <c r="AH828" s="1487"/>
      <c r="AI828" s="1487"/>
      <c r="AJ828" s="1488"/>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502" t="s">
        <v>459</v>
      </c>
      <c r="D829" s="1424"/>
      <c r="E829" s="1424"/>
      <c r="F829" s="1424"/>
      <c r="G829" s="1424"/>
      <c r="H829" s="1424"/>
      <c r="I829" s="60"/>
      <c r="J829" s="60"/>
      <c r="K829" s="60"/>
      <c r="L829" s="61"/>
      <c r="M829" s="1580"/>
      <c r="N829" s="1580"/>
      <c r="O829" s="1580"/>
      <c r="P829" s="1580"/>
      <c r="Q829" s="1580">
        <v>25</v>
      </c>
      <c r="R829" s="1580"/>
      <c r="S829" s="1580"/>
      <c r="T829" s="1580"/>
      <c r="U829" s="1580">
        <v>80</v>
      </c>
      <c r="V829" s="1580"/>
      <c r="W829" s="1580"/>
      <c r="X829" s="1580"/>
      <c r="Y829" s="1580">
        <v>43</v>
      </c>
      <c r="Z829" s="1580"/>
      <c r="AA829" s="1580"/>
      <c r="AB829" s="1580"/>
      <c r="AC829" s="1486"/>
      <c r="AD829" s="1487"/>
      <c r="AE829" s="1487"/>
      <c r="AF829" s="1488"/>
      <c r="AG829" s="1486"/>
      <c r="AH829" s="1487"/>
      <c r="AI829" s="1487"/>
      <c r="AJ829" s="1488"/>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686" t="s">
        <v>783</v>
      </c>
      <c r="D830" s="1424"/>
      <c r="E830" s="1424"/>
      <c r="F830" s="1424"/>
      <c r="G830" s="1424"/>
      <c r="H830" s="1424"/>
      <c r="I830" s="60"/>
      <c r="J830" s="60"/>
      <c r="K830" s="60"/>
      <c r="L830" s="61"/>
      <c r="M830" s="1580"/>
      <c r="N830" s="1580"/>
      <c r="O830" s="1580"/>
      <c r="P830" s="1580"/>
      <c r="Q830" s="1580"/>
      <c r="R830" s="1580"/>
      <c r="S830" s="1580"/>
      <c r="T830" s="1580"/>
      <c r="U830" s="1580"/>
      <c r="V830" s="1580"/>
      <c r="W830" s="1580"/>
      <c r="X830" s="1580"/>
      <c r="Y830" s="1580"/>
      <c r="Z830" s="1580"/>
      <c r="AA830" s="1580"/>
      <c r="AB830" s="1580"/>
      <c r="AC830" s="1486"/>
      <c r="AD830" s="1487"/>
      <c r="AE830" s="1487"/>
      <c r="AF830" s="1488"/>
      <c r="AG830" s="1486"/>
      <c r="AH830" s="1487"/>
      <c r="AI830" s="1487"/>
      <c r="AJ830" s="1488"/>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292</v>
      </c>
      <c r="D831" s="60"/>
      <c r="E831" s="60"/>
      <c r="F831" s="1622" t="s">
        <v>333</v>
      </c>
      <c r="G831" s="1623"/>
      <c r="H831" s="1623"/>
      <c r="I831" s="1623"/>
      <c r="J831" s="1623"/>
      <c r="K831" s="1623"/>
      <c r="L831" s="1623"/>
      <c r="M831" s="1580"/>
      <c r="N831" s="1580"/>
      <c r="O831" s="1580"/>
      <c r="P831" s="1580"/>
      <c r="Q831" s="1580"/>
      <c r="R831" s="1580"/>
      <c r="S831" s="1580"/>
      <c r="T831" s="1580"/>
      <c r="U831" s="1580"/>
      <c r="V831" s="1580"/>
      <c r="W831" s="1580"/>
      <c r="X831" s="1580"/>
      <c r="Y831" s="1580"/>
      <c r="Z831" s="1580"/>
      <c r="AA831" s="1580"/>
      <c r="AB831" s="1580"/>
      <c r="AC831" s="1486"/>
      <c r="AD831" s="1487"/>
      <c r="AE831" s="1487"/>
      <c r="AF831" s="1488"/>
      <c r="AG831" s="1486"/>
      <c r="AH831" s="1487"/>
      <c r="AI831" s="1487"/>
      <c r="AJ831" s="1488"/>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70" t="s">
        <v>124</v>
      </c>
      <c r="D832" s="1471"/>
      <c r="E832" s="1471"/>
      <c r="F832" s="1471"/>
      <c r="G832" s="1471"/>
      <c r="H832" s="1471"/>
      <c r="I832" s="1471"/>
      <c r="J832" s="1471"/>
      <c r="K832" s="1471"/>
      <c r="L832" s="1473"/>
      <c r="M832" s="1629">
        <f>SUM(M825:P831)</f>
        <v>0</v>
      </c>
      <c r="N832" s="1629"/>
      <c r="O832" s="1629"/>
      <c r="P832" s="1629"/>
      <c r="Q832" s="1629">
        <f>SUM(Q825:T831)</f>
        <v>25</v>
      </c>
      <c r="R832" s="1629"/>
      <c r="S832" s="1629"/>
      <c r="T832" s="1629"/>
      <c r="U832" s="1629">
        <f>SUM(U825:X831)</f>
        <v>80</v>
      </c>
      <c r="V832" s="1629"/>
      <c r="W832" s="1629"/>
      <c r="X832" s="1629"/>
      <c r="Y832" s="1629">
        <f>SUM(Y825:AB831)</f>
        <v>43</v>
      </c>
      <c r="Z832" s="1629"/>
      <c r="AA832" s="1629"/>
      <c r="AB832" s="1629"/>
      <c r="AC832" s="1629">
        <f>SUM(AC825:AF831)</f>
        <v>0</v>
      </c>
      <c r="AD832" s="1629"/>
      <c r="AE832" s="1629"/>
      <c r="AF832" s="1629"/>
      <c r="AG832" s="1629">
        <f>SUM(AG825:AJ831)</f>
        <v>0</v>
      </c>
      <c r="AH832" s="1629"/>
      <c r="AI832" s="1629"/>
      <c r="AJ832" s="1629"/>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635" t="s">
        <v>2757</v>
      </c>
      <c r="D837" s="1636"/>
      <c r="E837" s="1636"/>
      <c r="F837" s="1636"/>
      <c r="G837" s="1636"/>
      <c r="H837" s="1636"/>
      <c r="I837" s="1636"/>
      <c r="J837" s="1636"/>
      <c r="K837" s="1636"/>
      <c r="L837" s="1636"/>
      <c r="M837" s="1636"/>
      <c r="N837" s="1636"/>
      <c r="O837" s="1636"/>
      <c r="P837" s="1636"/>
      <c r="Q837" s="1636"/>
      <c r="R837" s="1636"/>
      <c r="S837" s="1636"/>
      <c r="T837" s="1636"/>
      <c r="U837" s="1636"/>
      <c r="V837" s="1636"/>
      <c r="W837" s="1636"/>
      <c r="X837" s="1636"/>
      <c r="Y837" s="1636"/>
      <c r="Z837" s="1636"/>
      <c r="AA837" s="1636"/>
      <c r="AB837" s="1636"/>
      <c r="AC837" s="1636"/>
      <c r="AD837" s="1636"/>
      <c r="AE837" s="1636"/>
      <c r="AF837" s="1636"/>
      <c r="AG837" s="1636"/>
      <c r="AH837" s="1636"/>
      <c r="AI837" s="1636"/>
      <c r="AJ837" s="1637"/>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43"/>
      <c r="BJ841" s="1643"/>
      <c r="BK841" s="1643"/>
      <c r="BL841" s="1643"/>
    </row>
    <row r="842" spans="1:64" s="14" customFormat="1" ht="13" customHeight="1">
      <c r="A842"/>
      <c r="B842"/>
      <c r="C842" s="2" t="s">
        <v>342</v>
      </c>
      <c r="D842"/>
      <c r="E842"/>
      <c r="F842"/>
      <c r="G842"/>
      <c r="H842"/>
      <c r="I842"/>
      <c r="J842" s="45" t="s">
        <v>355</v>
      </c>
      <c r="K842" s="5"/>
      <c r="L842" s="5"/>
      <c r="M842" s="5"/>
      <c r="N842" s="5"/>
      <c r="O842" s="5"/>
      <c r="P842" s="5"/>
      <c r="Q842" s="5"/>
      <c r="R842" s="5"/>
      <c r="S842" s="5"/>
      <c r="T842" s="5"/>
      <c r="U842" s="5"/>
      <c r="V842" s="46"/>
      <c r="W842" s="1618">
        <v>6750</v>
      </c>
      <c r="X842" s="1618"/>
      <c r="Y842" s="1618"/>
      <c r="Z842" s="1618"/>
      <c r="AA842" s="1618"/>
      <c r="AB842" s="1618"/>
      <c r="AC842" s="1618"/>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354</v>
      </c>
      <c r="K843" s="5"/>
      <c r="L843" s="5"/>
      <c r="M843" s="5"/>
      <c r="N843" s="5"/>
      <c r="O843" s="5"/>
      <c r="P843" s="5"/>
      <c r="Q843" s="5"/>
      <c r="R843" s="5"/>
      <c r="S843" s="5"/>
      <c r="T843" s="5"/>
      <c r="U843" s="5"/>
      <c r="V843" s="46"/>
      <c r="W843" s="1618">
        <v>2625</v>
      </c>
      <c r="X843" s="1618"/>
      <c r="Y843" s="1618"/>
      <c r="Z843" s="1618"/>
      <c r="AA843" s="1618"/>
      <c r="AB843" s="1618"/>
      <c r="AC843" s="1618"/>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353</v>
      </c>
      <c r="K844" s="5"/>
      <c r="L844" s="5"/>
      <c r="M844" s="5"/>
      <c r="N844" s="5"/>
      <c r="O844" s="5"/>
      <c r="P844" s="5"/>
      <c r="Q844" s="5"/>
      <c r="R844" s="5"/>
      <c r="S844" s="5"/>
      <c r="T844" s="5"/>
      <c r="U844" s="5"/>
      <c r="V844" s="46"/>
      <c r="W844" s="1618">
        <v>2500</v>
      </c>
      <c r="X844" s="1618"/>
      <c r="Y844" s="1618"/>
      <c r="Z844" s="1618"/>
      <c r="AA844" s="1618"/>
      <c r="AB844" s="1618"/>
      <c r="AC844" s="1618"/>
      <c r="AZ844" s="30"/>
      <c r="BA844" s="30"/>
      <c r="BB844" s="14"/>
      <c r="BC844" s="14"/>
      <c r="BD844" s="14"/>
      <c r="BE844" s="14"/>
      <c r="BF844" s="14"/>
      <c r="BG844" s="14"/>
      <c r="BH844" s="14"/>
      <c r="BI844" s="14"/>
      <c r="BJ844" s="14"/>
      <c r="BK844" s="14"/>
      <c r="BL844" s="14"/>
    </row>
    <row r="845" spans="1:64" ht="13" customHeight="1">
      <c r="J845" s="45" t="s">
        <v>352</v>
      </c>
      <c r="K845" s="5"/>
      <c r="L845" s="5"/>
      <c r="M845" s="5"/>
      <c r="N845" s="5"/>
      <c r="O845" s="5"/>
      <c r="P845" s="5"/>
      <c r="Q845" s="5"/>
      <c r="R845" s="5"/>
      <c r="S845" s="5"/>
      <c r="T845" s="5"/>
      <c r="U845" s="5"/>
      <c r="V845" s="46"/>
      <c r="W845" s="1618">
        <v>2500</v>
      </c>
      <c r="X845" s="1618"/>
      <c r="Y845" s="1618"/>
      <c r="Z845" s="1618"/>
      <c r="AA845" s="1618"/>
      <c r="AB845" s="1618"/>
      <c r="AC845" s="1618"/>
      <c r="AZ845" s="30"/>
      <c r="BA845" s="30"/>
      <c r="BB845" s="14"/>
      <c r="BC845" s="14"/>
      <c r="BD845" s="14"/>
      <c r="BE845" s="14"/>
      <c r="BF845" s="14"/>
      <c r="BG845" s="14"/>
      <c r="BH845" s="14"/>
      <c r="BI845" s="14"/>
      <c r="BJ845" s="14"/>
      <c r="BK845" s="14"/>
      <c r="BL845" s="14"/>
    </row>
    <row r="846" spans="1:64" ht="13" customHeight="1">
      <c r="J846" s="45" t="s">
        <v>169</v>
      </c>
      <c r="K846" s="5"/>
      <c r="L846" s="5"/>
      <c r="M846" s="1622" t="s">
        <v>2758</v>
      </c>
      <c r="N846" s="1623"/>
      <c r="O846" s="1623"/>
      <c r="P846" s="1623"/>
      <c r="Q846" s="1623"/>
      <c r="R846" s="1623"/>
      <c r="S846" s="1623"/>
      <c r="T846" s="1623"/>
      <c r="U846" s="1623"/>
      <c r="V846" s="1624"/>
      <c r="W846" s="1618">
        <f>6625+1250+34100+7250</f>
        <v>49225</v>
      </c>
      <c r="X846" s="1618"/>
      <c r="Y846" s="1618"/>
      <c r="Z846" s="1618"/>
      <c r="AA846" s="1618"/>
      <c r="AB846" s="1618"/>
      <c r="AC846" s="1618"/>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341</v>
      </c>
      <c r="W847" s="1455">
        <f>SUM(W842:W846)</f>
        <v>63600</v>
      </c>
      <c r="X847" s="1456"/>
      <c r="Y847" s="1456"/>
      <c r="Z847" s="1456"/>
      <c r="AA847" s="1456"/>
      <c r="AB847" s="1456"/>
      <c r="AC847" s="1457"/>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14"/>
      <c r="BH848" s="1614"/>
      <c r="BI848" s="1614"/>
      <c r="BJ848" s="1614"/>
      <c r="BK848" s="1614"/>
      <c r="BL848" s="1614"/>
    </row>
    <row r="849" spans="3:55" ht="13" customHeight="1">
      <c r="C849" s="2" t="s">
        <v>343</v>
      </c>
      <c r="J849" s="1470" t="s">
        <v>344</v>
      </c>
      <c r="K849" s="1471"/>
      <c r="L849" s="1471"/>
      <c r="M849" s="1471"/>
      <c r="N849" s="1471"/>
      <c r="O849" s="1471"/>
      <c r="P849" s="1471"/>
      <c r="Q849" s="1471"/>
      <c r="R849" s="1471"/>
      <c r="S849" s="1471"/>
      <c r="T849" s="1471"/>
      <c r="U849" s="1471"/>
      <c r="V849" s="1473"/>
      <c r="W849" s="1458">
        <v>111398</v>
      </c>
      <c r="X849" s="1342"/>
      <c r="Y849" s="1342"/>
      <c r="Z849" s="1342"/>
      <c r="AA849" s="1342"/>
      <c r="AB849" s="1342"/>
      <c r="AC849" s="1343"/>
      <c r="AD849" s="533"/>
      <c r="AZ849" s="30"/>
      <c r="BA849" s="30"/>
      <c r="BB849" s="14"/>
      <c r="BC849" s="14"/>
    </row>
    <row r="850" spans="3:55" ht="13" customHeight="1">
      <c r="AD850" s="533"/>
      <c r="AZ850" s="30"/>
      <c r="BA850" s="30"/>
      <c r="BB850" s="14"/>
      <c r="BC850" s="14"/>
    </row>
    <row r="851" spans="3:55" ht="13" customHeight="1">
      <c r="C851" s="2" t="s">
        <v>561</v>
      </c>
      <c r="J851" s="45" t="s">
        <v>351</v>
      </c>
      <c r="K851" s="5"/>
      <c r="L851" s="5"/>
      <c r="M851" s="5"/>
      <c r="N851" s="5"/>
      <c r="O851" s="5"/>
      <c r="P851" s="5"/>
      <c r="Q851" s="5"/>
      <c r="R851" s="5"/>
      <c r="S851" s="5"/>
      <c r="T851" s="5"/>
      <c r="U851" s="5"/>
      <c r="V851" s="46"/>
      <c r="W851" s="1633"/>
      <c r="X851" s="1633"/>
      <c r="Y851" s="1633"/>
      <c r="Z851" s="1633"/>
      <c r="AA851" s="1633"/>
      <c r="AB851" s="1633"/>
      <c r="AC851" s="1633"/>
      <c r="AZ851" s="1600"/>
      <c r="BA851" s="1600"/>
      <c r="BB851" s="14"/>
      <c r="BC851" s="14"/>
    </row>
    <row r="852" spans="3:55" ht="13" customHeight="1">
      <c r="J852" s="45" t="s">
        <v>350</v>
      </c>
      <c r="K852" s="5"/>
      <c r="L852" s="5"/>
      <c r="M852" s="5"/>
      <c r="N852" s="5"/>
      <c r="O852" s="5"/>
      <c r="P852" s="5"/>
      <c r="Q852" s="5"/>
      <c r="R852" s="5"/>
      <c r="S852" s="5"/>
      <c r="T852" s="5"/>
      <c r="U852" s="5"/>
      <c r="V852" s="46"/>
      <c r="W852" s="1633"/>
      <c r="X852" s="1633"/>
      <c r="Y852" s="1633"/>
      <c r="Z852" s="1633"/>
      <c r="AA852" s="1633"/>
      <c r="AB852" s="1633"/>
      <c r="AC852" s="1633"/>
      <c r="AZ852" s="30"/>
      <c r="BA852" s="30"/>
      <c r="BB852" s="14"/>
      <c r="BC852" s="14"/>
    </row>
    <row r="853" spans="3:55" ht="13" customHeight="1">
      <c r="J853" s="45" t="s">
        <v>459</v>
      </c>
      <c r="K853" s="5"/>
      <c r="L853" s="5"/>
      <c r="M853" s="5"/>
      <c r="N853" s="5"/>
      <c r="O853" s="5"/>
      <c r="P853" s="5"/>
      <c r="Q853" s="5"/>
      <c r="R853" s="5"/>
      <c r="S853" s="5"/>
      <c r="T853" s="5"/>
      <c r="U853" s="5"/>
      <c r="V853" s="46"/>
      <c r="W853" s="1633">
        <v>20750</v>
      </c>
      <c r="X853" s="1633"/>
      <c r="Y853" s="1633"/>
      <c r="Z853" s="1633"/>
      <c r="AA853" s="1633"/>
      <c r="AB853" s="1633"/>
      <c r="AC853" s="1633"/>
      <c r="AZ853" s="30"/>
      <c r="BA853" s="30"/>
      <c r="BB853" s="14"/>
      <c r="BC853" s="14"/>
    </row>
    <row r="854" spans="3:55" ht="13" customHeight="1">
      <c r="J854" s="62" t="s">
        <v>620</v>
      </c>
      <c r="K854" s="5"/>
      <c r="L854" s="5"/>
      <c r="M854" s="5"/>
      <c r="N854" s="5"/>
      <c r="O854" s="5"/>
      <c r="P854" s="5"/>
      <c r="Q854" s="5"/>
      <c r="R854" s="5"/>
      <c r="S854" s="5"/>
      <c r="T854" s="5"/>
      <c r="U854" s="5"/>
      <c r="V854" s="46"/>
      <c r="W854" s="1633">
        <v>63750</v>
      </c>
      <c r="X854" s="1633"/>
      <c r="Y854" s="1633"/>
      <c r="Z854" s="1633"/>
      <c r="AA854" s="1633"/>
      <c r="AB854" s="1633"/>
      <c r="AC854" s="1633"/>
      <c r="AZ854" s="34"/>
      <c r="BA854" s="34"/>
      <c r="BB854" s="34"/>
      <c r="BC854" s="34"/>
    </row>
    <row r="855" spans="3:55" ht="13" customHeight="1">
      <c r="J855" s="63"/>
      <c r="K855" s="48"/>
      <c r="L855" s="48"/>
      <c r="M855" s="48"/>
      <c r="N855" s="48"/>
      <c r="O855" s="48"/>
      <c r="P855" s="48"/>
      <c r="Q855" s="48"/>
      <c r="R855" s="48"/>
      <c r="S855" s="48"/>
      <c r="T855" s="48"/>
      <c r="U855" s="48"/>
      <c r="V855" s="54" t="s">
        <v>271</v>
      </c>
      <c r="W855" s="1634">
        <f>SUM(W851:W854)</f>
        <v>84500</v>
      </c>
      <c r="X855" s="1634"/>
      <c r="Y855" s="1634"/>
      <c r="Z855" s="1634"/>
      <c r="AA855" s="1634"/>
      <c r="AB855" s="1634"/>
      <c r="AC855" s="1634"/>
      <c r="AZ855" s="34"/>
      <c r="BA855" s="34"/>
      <c r="BB855" s="34"/>
      <c r="BC855" s="34"/>
    </row>
    <row r="856" spans="3:55" ht="13" customHeight="1">
      <c r="AZ856" s="34"/>
      <c r="BA856" s="34"/>
      <c r="BB856" s="34"/>
      <c r="BC856" s="34"/>
    </row>
    <row r="857" spans="3:55" ht="13" customHeight="1">
      <c r="C857" s="2" t="s">
        <v>345</v>
      </c>
      <c r="J857" s="45" t="s">
        <v>619</v>
      </c>
      <c r="K857" s="5"/>
      <c r="L857" s="5"/>
      <c r="M857" s="5"/>
      <c r="N857" s="5"/>
      <c r="O857" s="5"/>
      <c r="P857" s="5"/>
      <c r="Q857" s="5"/>
      <c r="R857" s="5"/>
      <c r="S857" s="5"/>
      <c r="T857" s="5"/>
      <c r="U857" s="5"/>
      <c r="V857" s="46"/>
      <c r="W857" s="1630">
        <v>90000</v>
      </c>
      <c r="X857" s="1631"/>
      <c r="Y857" s="1631"/>
      <c r="Z857" s="1631"/>
      <c r="AA857" s="1631"/>
      <c r="AB857" s="1631"/>
      <c r="AC857" s="1632"/>
      <c r="AD857" s="528"/>
      <c r="AZ857" s="34"/>
      <c r="BA857" s="34"/>
      <c r="BB857" s="34"/>
      <c r="BC857" s="34"/>
    </row>
    <row r="858" spans="3:55" ht="13" customHeight="1">
      <c r="C858" s="2" t="s">
        <v>346</v>
      </c>
      <c r="J858" s="121" t="s">
        <v>1655</v>
      </c>
      <c r="K858" s="5"/>
      <c r="L858" s="5"/>
      <c r="M858" s="5"/>
      <c r="N858" s="5"/>
      <c r="O858" s="5"/>
      <c r="P858" s="5"/>
      <c r="Q858" s="5"/>
      <c r="R858" s="5"/>
      <c r="S858" s="5"/>
      <c r="T858" s="1616"/>
      <c r="U858" s="1579"/>
      <c r="V858" s="1617"/>
      <c r="W858" s="874"/>
      <c r="X858" s="875"/>
      <c r="Y858" s="875"/>
      <c r="Z858" s="875"/>
      <c r="AA858" s="875"/>
      <c r="AB858" s="875"/>
      <c r="AC858" s="876"/>
      <c r="AD858" s="528"/>
      <c r="AZ858" s="34"/>
      <c r="BA858" s="34"/>
      <c r="BB858" s="34"/>
      <c r="BC858" s="34"/>
    </row>
    <row r="859" spans="3:55" ht="13" customHeight="1">
      <c r="C859" s="2"/>
      <c r="J859" s="45" t="s">
        <v>618</v>
      </c>
      <c r="K859" s="5"/>
      <c r="L859" s="5"/>
      <c r="M859" s="5"/>
      <c r="N859" s="5"/>
      <c r="O859" s="5"/>
      <c r="P859" s="5"/>
      <c r="Q859" s="5"/>
      <c r="R859" s="5"/>
      <c r="S859" s="5"/>
      <c r="T859" s="5"/>
      <c r="U859" s="5"/>
      <c r="V859" s="46"/>
      <c r="W859" s="1630">
        <v>70000</v>
      </c>
      <c r="X859" s="1631"/>
      <c r="Y859" s="1631"/>
      <c r="Z859" s="1631"/>
      <c r="AA859" s="1631"/>
      <c r="AB859" s="1631"/>
      <c r="AC859" s="1632"/>
      <c r="AD859" s="533"/>
      <c r="AZ859" s="34"/>
      <c r="BA859" s="34"/>
      <c r="BB859" s="34"/>
      <c r="BC859" s="34"/>
    </row>
    <row r="860" spans="3:55" ht="13" customHeight="1">
      <c r="C860" s="2"/>
      <c r="J860" s="121" t="s">
        <v>1656</v>
      </c>
      <c r="K860" s="5"/>
      <c r="L860" s="5"/>
      <c r="M860" s="5"/>
      <c r="N860" s="5"/>
      <c r="O860" s="5"/>
      <c r="P860" s="5"/>
      <c r="Q860" s="5"/>
      <c r="R860" s="5"/>
      <c r="S860" s="5"/>
      <c r="T860" s="1616">
        <v>1</v>
      </c>
      <c r="U860" s="1579"/>
      <c r="V860" s="1617"/>
      <c r="W860" s="874"/>
      <c r="X860" s="875"/>
      <c r="Y860" s="875"/>
      <c r="Z860" s="875"/>
      <c r="AA860" s="875"/>
      <c r="AB860" s="875"/>
      <c r="AC860" s="876"/>
      <c r="AD860" s="533"/>
      <c r="AZ860" s="34"/>
      <c r="BA860" s="34"/>
      <c r="BB860" s="34"/>
      <c r="BC860" s="34"/>
    </row>
    <row r="861" spans="3:55" ht="13" customHeight="1">
      <c r="J861" s="45" t="s">
        <v>169</v>
      </c>
      <c r="K861" s="5"/>
      <c r="L861" s="5"/>
      <c r="M861" s="1622" t="s">
        <v>2759</v>
      </c>
      <c r="N861" s="1623"/>
      <c r="O861" s="1623"/>
      <c r="P861" s="1623"/>
      <c r="Q861" s="1623"/>
      <c r="R861" s="1623"/>
      <c r="S861" s="1623"/>
      <c r="T861" s="1623"/>
      <c r="U861" s="1623"/>
      <c r="V861" s="1624"/>
      <c r="W861" s="1630">
        <v>65025</v>
      </c>
      <c r="X861" s="1631"/>
      <c r="Y861" s="1631"/>
      <c r="Z861" s="1631"/>
      <c r="AA861" s="1631"/>
      <c r="AB861" s="1631"/>
      <c r="AC861" s="1632"/>
      <c r="AD861" s="528"/>
      <c r="AU861" s="14"/>
      <c r="AZ861" s="34"/>
      <c r="BA861" s="34"/>
      <c r="BB861" s="34"/>
      <c r="BC861" s="34"/>
    </row>
    <row r="862" spans="3:55" ht="13" customHeight="1">
      <c r="J862" s="45"/>
      <c r="K862" s="5"/>
      <c r="L862" s="5"/>
      <c r="M862" s="5"/>
      <c r="N862" s="5"/>
      <c r="O862" s="5"/>
      <c r="P862" s="5"/>
      <c r="Q862" s="5"/>
      <c r="R862" s="5"/>
      <c r="S862" s="5"/>
      <c r="T862" s="5"/>
      <c r="U862" s="5"/>
      <c r="V862" s="54" t="s">
        <v>272</v>
      </c>
      <c r="W862" s="1619">
        <f>SUM(W857:W861)</f>
        <v>225025</v>
      </c>
      <c r="X862" s="1620"/>
      <c r="Y862" s="1620"/>
      <c r="Z862" s="1620"/>
      <c r="AA862" s="1620"/>
      <c r="AB862" s="1620"/>
      <c r="AC862" s="1621"/>
      <c r="AD862" s="533"/>
      <c r="AU862" s="14"/>
      <c r="AZ862" s="34"/>
      <c r="BA862" s="34"/>
      <c r="BB862" s="34"/>
      <c r="BC862" s="34"/>
    </row>
    <row r="863" spans="3:55" ht="13" customHeight="1">
      <c r="J863" s="45"/>
      <c r="K863" s="5"/>
      <c r="L863" s="5"/>
      <c r="M863" s="5"/>
      <c r="N863" s="5"/>
      <c r="O863" s="5"/>
      <c r="P863" s="5"/>
      <c r="Q863" s="5"/>
      <c r="R863" s="5"/>
      <c r="S863" s="5"/>
      <c r="T863" s="5"/>
      <c r="U863" s="5"/>
      <c r="V863" s="54" t="s">
        <v>273</v>
      </c>
      <c r="W863" s="1630">
        <v>107500</v>
      </c>
      <c r="X863" s="1631"/>
      <c r="Y863" s="1631"/>
      <c r="Z863" s="1631"/>
      <c r="AA863" s="1631"/>
      <c r="AB863" s="1631"/>
      <c r="AC863" s="1632"/>
      <c r="AU863" s="14"/>
      <c r="AZ863" s="34"/>
      <c r="BA863" s="34"/>
      <c r="BB863" s="34"/>
      <c r="BC863" s="34"/>
    </row>
    <row r="864" spans="3:55" ht="13" customHeight="1">
      <c r="J864" s="512"/>
      <c r="AU864" s="14"/>
      <c r="AZ864" s="34"/>
      <c r="BA864" s="34"/>
      <c r="BB864" s="34"/>
      <c r="BC864" s="34"/>
    </row>
    <row r="865" spans="3:55" ht="13" customHeight="1">
      <c r="C865" s="2" t="s">
        <v>389</v>
      </c>
      <c r="J865" s="45" t="s">
        <v>617</v>
      </c>
      <c r="K865" s="5"/>
      <c r="L865" s="5"/>
      <c r="M865" s="5"/>
      <c r="N865" s="5"/>
      <c r="O865" s="5"/>
      <c r="P865" s="5"/>
      <c r="Q865" s="5"/>
      <c r="R865" s="5"/>
      <c r="S865" s="5"/>
      <c r="T865" s="5"/>
      <c r="U865" s="5"/>
      <c r="V865" s="46"/>
      <c r="W865" s="1618"/>
      <c r="X865" s="1618"/>
      <c r="Y865" s="1618"/>
      <c r="Z865" s="1618"/>
      <c r="AA865" s="1618"/>
      <c r="AB865" s="1618"/>
      <c r="AC865" s="1618"/>
      <c r="AU865" s="14"/>
      <c r="AZ865" s="34"/>
      <c r="BA865" s="34"/>
      <c r="BB865" s="34"/>
      <c r="BC865" s="34"/>
    </row>
    <row r="866" spans="3:55" ht="13" customHeight="1">
      <c r="J866" s="45" t="s">
        <v>522</v>
      </c>
      <c r="K866" s="5"/>
      <c r="L866" s="5"/>
      <c r="M866" s="5"/>
      <c r="N866" s="5"/>
      <c r="O866" s="5"/>
      <c r="P866" s="5"/>
      <c r="Q866" s="5"/>
      <c r="R866" s="5"/>
      <c r="S866" s="5"/>
      <c r="T866" s="5"/>
      <c r="U866" s="5"/>
      <c r="V866" s="46"/>
      <c r="W866" s="1618">
        <f>45500+17750</f>
        <v>63250</v>
      </c>
      <c r="X866" s="1618"/>
      <c r="Y866" s="1618"/>
      <c r="Z866" s="1618"/>
      <c r="AA866" s="1618"/>
      <c r="AB866" s="1618"/>
      <c r="AC866" s="1618"/>
      <c r="AU866" s="4"/>
      <c r="AZ866" s="34"/>
      <c r="BA866" s="34"/>
      <c r="BB866" s="34"/>
      <c r="BC866" s="34"/>
    </row>
    <row r="867" spans="3:55" ht="13" customHeight="1">
      <c r="J867" s="45" t="s">
        <v>521</v>
      </c>
      <c r="K867" s="5"/>
      <c r="L867" s="5"/>
      <c r="M867" s="5"/>
      <c r="N867" s="5"/>
      <c r="O867" s="5"/>
      <c r="P867" s="5"/>
      <c r="Q867" s="5"/>
      <c r="R867" s="5"/>
      <c r="S867" s="5"/>
      <c r="T867" s="5"/>
      <c r="U867" s="5"/>
      <c r="V867" s="46"/>
      <c r="W867" s="1618">
        <v>82750</v>
      </c>
      <c r="X867" s="1618"/>
      <c r="Y867" s="1618"/>
      <c r="Z867" s="1618"/>
      <c r="AA867" s="1618"/>
      <c r="AB867" s="1618"/>
      <c r="AC867" s="1618"/>
      <c r="AU867" s="4"/>
      <c r="AZ867" s="34"/>
      <c r="BA867" s="34"/>
      <c r="BB867" s="34"/>
      <c r="BC867" s="34"/>
    </row>
    <row r="868" spans="3:55" ht="13" customHeight="1">
      <c r="J868" s="45" t="s">
        <v>520</v>
      </c>
      <c r="K868" s="5"/>
      <c r="L868" s="5"/>
      <c r="M868" s="5"/>
      <c r="N868" s="5"/>
      <c r="O868" s="5"/>
      <c r="P868" s="5"/>
      <c r="Q868" s="5"/>
      <c r="R868" s="5"/>
      <c r="S868" s="5"/>
      <c r="T868" s="5"/>
      <c r="U868" s="5"/>
      <c r="V868" s="46"/>
      <c r="W868" s="1618">
        <v>10000</v>
      </c>
      <c r="X868" s="1618"/>
      <c r="Y868" s="1618"/>
      <c r="Z868" s="1618"/>
      <c r="AA868" s="1618"/>
      <c r="AB868" s="1618"/>
      <c r="AC868" s="1618"/>
      <c r="AU868" s="4"/>
      <c r="AZ868" s="34"/>
      <c r="BA868" s="34"/>
      <c r="BB868" s="34"/>
      <c r="BC868" s="34"/>
    </row>
    <row r="869" spans="3:55" ht="13" customHeight="1">
      <c r="J869" s="45" t="s">
        <v>519</v>
      </c>
      <c r="K869" s="5"/>
      <c r="L869" s="5"/>
      <c r="M869" s="5"/>
      <c r="N869" s="5"/>
      <c r="O869" s="5"/>
      <c r="P869" s="5"/>
      <c r="Q869" s="5"/>
      <c r="R869" s="5"/>
      <c r="S869" s="5"/>
      <c r="T869" s="5"/>
      <c r="U869" s="5"/>
      <c r="V869" s="46"/>
      <c r="W869" s="1618">
        <v>37125</v>
      </c>
      <c r="X869" s="1618"/>
      <c r="Y869" s="1618"/>
      <c r="Z869" s="1618"/>
      <c r="AA869" s="1618"/>
      <c r="AB869" s="1618"/>
      <c r="AC869" s="1618"/>
      <c r="AU869" s="4"/>
      <c r="AZ869" s="34"/>
      <c r="BA869" s="34"/>
      <c r="BB869" s="34"/>
      <c r="BC869" s="34"/>
    </row>
    <row r="870" spans="3:55" ht="13" customHeight="1">
      <c r="J870" s="45" t="s">
        <v>518</v>
      </c>
      <c r="K870" s="5"/>
      <c r="L870" s="5"/>
      <c r="M870" s="5"/>
      <c r="N870" s="5"/>
      <c r="O870" s="5"/>
      <c r="P870" s="5"/>
      <c r="Q870" s="5"/>
      <c r="R870" s="5"/>
      <c r="S870" s="5"/>
      <c r="T870" s="5"/>
      <c r="U870" s="5"/>
      <c r="V870" s="46"/>
      <c r="W870" s="1618"/>
      <c r="X870" s="1618"/>
      <c r="Y870" s="1618"/>
      <c r="Z870" s="1618"/>
      <c r="AA870" s="1618"/>
      <c r="AB870" s="1618"/>
      <c r="AC870" s="1618"/>
      <c r="AU870" s="4"/>
      <c r="AZ870" s="34"/>
      <c r="BA870" s="34"/>
      <c r="BB870" s="34"/>
      <c r="BC870" s="34"/>
    </row>
    <row r="871" spans="3:55" ht="13" customHeight="1">
      <c r="J871" s="45" t="s">
        <v>169</v>
      </c>
      <c r="K871" s="5"/>
      <c r="L871" s="5"/>
      <c r="M871" s="1622" t="s">
        <v>2760</v>
      </c>
      <c r="N871" s="1623"/>
      <c r="O871" s="1623"/>
      <c r="P871" s="1623"/>
      <c r="Q871" s="1623"/>
      <c r="R871" s="1623"/>
      <c r="S871" s="1623"/>
      <c r="T871" s="1623"/>
      <c r="U871" s="1623"/>
      <c r="V871" s="1624"/>
      <c r="W871" s="1618">
        <f>45000+5500</f>
        <v>50500</v>
      </c>
      <c r="X871" s="1618"/>
      <c r="Y871" s="1618"/>
      <c r="Z871" s="1618"/>
      <c r="AA871" s="1618"/>
      <c r="AB871" s="1618"/>
      <c r="AC871" s="1618"/>
      <c r="AD871" s="533"/>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274</v>
      </c>
      <c r="W872" s="1581">
        <f>SUM(W865:W871)</f>
        <v>243625</v>
      </c>
      <c r="X872" s="1581"/>
      <c r="Y872" s="1581"/>
      <c r="Z872" s="1581"/>
      <c r="AA872" s="1581"/>
      <c r="AB872" s="1581"/>
      <c r="AC872" s="1581"/>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1243</v>
      </c>
      <c r="J874" s="45" t="s">
        <v>169</v>
      </c>
      <c r="K874" s="5"/>
      <c r="L874" s="5"/>
      <c r="M874" s="1622" t="s">
        <v>2761</v>
      </c>
      <c r="N874" s="1623"/>
      <c r="O874" s="1623"/>
      <c r="P874" s="1623"/>
      <c r="Q874" s="1623"/>
      <c r="R874" s="1623"/>
      <c r="S874" s="1623"/>
      <c r="T874" s="1623"/>
      <c r="U874" s="1623"/>
      <c r="V874" s="1624"/>
      <c r="W874" s="1458">
        <v>7500</v>
      </c>
      <c r="X874" s="1342"/>
      <c r="Y874" s="1342"/>
      <c r="Z874" s="1342"/>
      <c r="AA874" s="1342"/>
      <c r="AB874" s="1342"/>
      <c r="AC874" s="1343"/>
      <c r="AD874" s="533"/>
      <c r="AV874" s="14"/>
      <c r="AW874" s="14"/>
      <c r="AX874" s="14"/>
      <c r="AY874" s="14"/>
      <c r="AZ874" s="34"/>
      <c r="BA874" s="34"/>
      <c r="BB874" s="34"/>
      <c r="BC874" s="34"/>
    </row>
    <row r="875" spans="3:55" ht="13" customHeight="1">
      <c r="C875" s="2" t="s">
        <v>1244</v>
      </c>
      <c r="J875" s="45" t="s">
        <v>169</v>
      </c>
      <c r="K875" s="5"/>
      <c r="L875" s="5"/>
      <c r="M875" s="1622" t="s">
        <v>333</v>
      </c>
      <c r="N875" s="1623"/>
      <c r="O875" s="1623"/>
      <c r="P875" s="1623"/>
      <c r="Q875" s="1623"/>
      <c r="R875" s="1623"/>
      <c r="S875" s="1623"/>
      <c r="T875" s="1623"/>
      <c r="U875" s="1623"/>
      <c r="V875" s="1624"/>
      <c r="W875" s="1458"/>
      <c r="X875" s="1342"/>
      <c r="Y875" s="1342"/>
      <c r="Z875" s="1342"/>
      <c r="AA875" s="1342"/>
      <c r="AB875" s="1342"/>
      <c r="AC875" s="1343"/>
      <c r="AD875" s="533"/>
      <c r="AV875" s="14"/>
      <c r="AW875" s="14"/>
      <c r="AX875" s="14"/>
      <c r="AY875" s="14"/>
      <c r="AZ875" s="34"/>
      <c r="BA875" s="34"/>
      <c r="BB875" s="34"/>
      <c r="BC875" s="34"/>
    </row>
    <row r="876" spans="3:55" ht="13" customHeight="1">
      <c r="J876" s="45" t="s">
        <v>169</v>
      </c>
      <c r="K876" s="5"/>
      <c r="L876" s="5"/>
      <c r="M876" s="1622" t="s">
        <v>333</v>
      </c>
      <c r="N876" s="1623"/>
      <c r="O876" s="1623"/>
      <c r="P876" s="1623"/>
      <c r="Q876" s="1623"/>
      <c r="R876" s="1623"/>
      <c r="S876" s="1623"/>
      <c r="T876" s="1623"/>
      <c r="U876" s="1623"/>
      <c r="V876" s="1624"/>
      <c r="W876" s="1458"/>
      <c r="X876" s="1342"/>
      <c r="Y876" s="1342"/>
      <c r="Z876" s="1342"/>
      <c r="AA876" s="1342"/>
      <c r="AB876" s="1342"/>
      <c r="AC876" s="1343"/>
      <c r="AL876" s="14"/>
      <c r="AM876" s="14"/>
      <c r="AN876" s="14"/>
      <c r="AO876" s="14"/>
      <c r="AP876" s="14"/>
      <c r="AQ876" s="14"/>
      <c r="AR876" s="14"/>
      <c r="AS876" s="14"/>
      <c r="AT876" s="14"/>
      <c r="AV876" s="4"/>
      <c r="AW876" s="4"/>
      <c r="AX876" s="4"/>
      <c r="AY876" s="4"/>
      <c r="AZ876" s="34"/>
      <c r="BA876" s="34"/>
      <c r="BB876" s="34"/>
      <c r="BC876" s="34"/>
    </row>
    <row r="877" spans="3:55" ht="13" customHeight="1">
      <c r="J877" s="45" t="s">
        <v>169</v>
      </c>
      <c r="K877" s="5"/>
      <c r="L877" s="5"/>
      <c r="M877" s="1622" t="s">
        <v>333</v>
      </c>
      <c r="N877" s="1623"/>
      <c r="O877" s="1623"/>
      <c r="P877" s="1623"/>
      <c r="Q877" s="1623"/>
      <c r="R877" s="1623"/>
      <c r="S877" s="1623"/>
      <c r="T877" s="1623"/>
      <c r="U877" s="1623"/>
      <c r="V877" s="1624"/>
      <c r="W877" s="1458"/>
      <c r="X877" s="1342"/>
      <c r="Y877" s="1342"/>
      <c r="Z877" s="1342"/>
      <c r="AA877" s="1342"/>
      <c r="AB877" s="1342"/>
      <c r="AC877" s="1343"/>
      <c r="AL877" s="14"/>
      <c r="AM877" s="14"/>
      <c r="AN877" s="14"/>
      <c r="AO877" s="14"/>
      <c r="AP877" s="14"/>
      <c r="AQ877" s="14"/>
      <c r="AR877" s="14"/>
      <c r="AS877" s="14"/>
      <c r="AT877" s="14"/>
      <c r="AV877" s="4"/>
      <c r="AW877" s="4"/>
      <c r="AX877" s="4"/>
      <c r="AY877" s="4"/>
      <c r="AZ877" s="34"/>
      <c r="BA877" s="34"/>
      <c r="BB877" s="34"/>
      <c r="BC877" s="34"/>
    </row>
    <row r="878" spans="3:55" ht="13" customHeight="1">
      <c r="J878" s="45" t="s">
        <v>169</v>
      </c>
      <c r="K878" s="5"/>
      <c r="L878" s="5"/>
      <c r="M878" s="1622" t="s">
        <v>333</v>
      </c>
      <c r="N878" s="1623"/>
      <c r="O878" s="1623"/>
      <c r="P878" s="1623"/>
      <c r="Q878" s="1623"/>
      <c r="R878" s="1623"/>
      <c r="S878" s="1623"/>
      <c r="T878" s="1623"/>
      <c r="U878" s="1623"/>
      <c r="V878" s="1624"/>
      <c r="W878" s="1458"/>
      <c r="X878" s="1342"/>
      <c r="Y878" s="1342"/>
      <c r="Z878" s="1342"/>
      <c r="AA878" s="1342"/>
      <c r="AB878" s="1342"/>
      <c r="AC878" s="1343"/>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275</v>
      </c>
      <c r="W879" s="1455">
        <f>SUM(W874:W878)</f>
        <v>7500</v>
      </c>
      <c r="X879" s="1456"/>
      <c r="Y879" s="1456"/>
      <c r="Z879" s="1456"/>
      <c r="AA879" s="1456"/>
      <c r="AB879" s="1456"/>
      <c r="AC879" s="1457"/>
      <c r="AL879" s="14"/>
      <c r="AM879" s="14"/>
      <c r="AN879" s="14"/>
      <c r="AO879" s="14"/>
      <c r="AP879" s="14"/>
      <c r="AQ879" s="14"/>
      <c r="AR879" s="14"/>
      <c r="AS879" s="14"/>
      <c r="AT879" s="14"/>
      <c r="AV879" s="4"/>
      <c r="AW879" s="4"/>
      <c r="AX879" s="4"/>
      <c r="AY879" s="4"/>
      <c r="AZ879" s="34"/>
      <c r="BA879" s="34"/>
      <c r="BB879" s="34"/>
      <c r="BC879" s="34"/>
    </row>
    <row r="880" spans="3:55" ht="13"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456">
        <f>W847+W855+W862+W863+W872+W879+W849</f>
        <v>843148</v>
      </c>
      <c r="AD883" s="1456"/>
      <c r="AE883" s="1456"/>
      <c r="AF883" s="1456"/>
      <c r="AG883" s="1456"/>
      <c r="AH883" s="1457"/>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625">
        <f>O797+O777+G753</f>
        <v>125</v>
      </c>
      <c r="AD884" s="1625"/>
      <c r="AE884" s="1625"/>
      <c r="AF884" s="1625"/>
      <c r="AG884" s="1625"/>
      <c r="AH884" s="1626"/>
      <c r="AL884" s="4"/>
      <c r="AM884" s="4"/>
      <c r="AN884" s="4"/>
      <c r="AO884" s="4"/>
      <c r="AP884" s="4"/>
      <c r="AQ884" s="4"/>
      <c r="AR884" s="4"/>
      <c r="AS884" s="4"/>
      <c r="AT884" s="4"/>
      <c r="AZ884" s="34"/>
      <c r="BA884" s="34"/>
      <c r="BB884" s="34"/>
      <c r="BC884" s="34"/>
    </row>
    <row r="885" spans="3:55" ht="13" customHeight="1">
      <c r="C885" s="41"/>
      <c r="D885" s="42"/>
      <c r="E885" s="1694" t="s">
        <v>32</v>
      </c>
      <c r="F885" s="1694"/>
      <c r="G885" s="1694"/>
      <c r="H885" s="1694"/>
      <c r="I885" s="1694"/>
      <c r="J885" s="1694"/>
      <c r="K885" s="1694"/>
      <c r="L885" s="1694"/>
      <c r="M885" s="1694"/>
      <c r="N885" s="1694"/>
      <c r="O885" s="1694"/>
      <c r="P885" s="1694"/>
      <c r="Q885" s="1694"/>
      <c r="R885" s="1694"/>
      <c r="S885" s="1694"/>
      <c r="T885" s="1694"/>
      <c r="U885" s="1694"/>
      <c r="V885" s="1694"/>
      <c r="W885" s="1694"/>
      <c r="X885" s="1694"/>
      <c r="Y885" s="1694"/>
      <c r="Z885" s="1694"/>
      <c r="AA885" s="1694"/>
      <c r="AB885" s="1695"/>
      <c r="AC885" s="1581">
        <f>IF(ISERROR((ROUNDDOWN(AC883/AC884,0))),0,(ROUNDDOWN(AC883/AC884,0)))</f>
        <v>6745</v>
      </c>
      <c r="AD885" s="1581"/>
      <c r="AE885" s="1581"/>
      <c r="AF885" s="1581"/>
      <c r="AG885" s="1581"/>
      <c r="AH885" s="1581"/>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627">
        <f>'Sources and Uses Budget'!C75</f>
        <v>1033881</v>
      </c>
      <c r="AD886" s="1628"/>
      <c r="AE886" s="1628"/>
      <c r="AF886" s="1628"/>
      <c r="AG886" s="1628"/>
      <c r="AH886" s="1628"/>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343"/>
      <c r="AD887" s="1618"/>
      <c r="AE887" s="1618"/>
      <c r="AF887" s="1618"/>
      <c r="AG887" s="1618"/>
      <c r="AH887" s="1618"/>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342">
        <v>30000</v>
      </c>
      <c r="AD888" s="1342"/>
      <c r="AE888" s="1342"/>
      <c r="AF888" s="1342"/>
      <c r="AG888" s="1342"/>
      <c r="AH888" s="1343"/>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42">
        <v>31250</v>
      </c>
      <c r="AD889" s="1342"/>
      <c r="AE889" s="1342"/>
      <c r="AF889" s="1342"/>
      <c r="AG889" s="1342"/>
      <c r="AH889" s="1343"/>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86"/>
      <c r="AD890" s="1487"/>
      <c r="AE890" s="1487"/>
      <c r="AF890" s="1487"/>
      <c r="AG890" s="1487"/>
      <c r="AH890" s="1488"/>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42">
        <v>24276</v>
      </c>
      <c r="AD891" s="1342"/>
      <c r="AE891" s="1342"/>
      <c r="AF891" s="1342"/>
      <c r="AG891" s="1342"/>
      <c r="AH891" s="1343"/>
      <c r="AZ891" s="34"/>
      <c r="BA891" s="34"/>
      <c r="BB891" s="34"/>
      <c r="BC891" s="34"/>
    </row>
    <row r="892" spans="3:55" ht="13" hidden="1" customHeight="1">
      <c r="C892" s="1470" t="s">
        <v>2232</v>
      </c>
      <c r="D892" s="1471"/>
      <c r="E892" s="1471"/>
      <c r="F892" s="1471"/>
      <c r="G892" s="1471"/>
      <c r="H892" s="1471"/>
      <c r="I892" s="1471"/>
      <c r="J892" s="1471"/>
      <c r="K892" s="1471"/>
      <c r="L892" s="1471"/>
      <c r="M892" s="1471"/>
      <c r="N892" s="1471"/>
      <c r="O892" s="1471"/>
      <c r="P892" s="1471"/>
      <c r="Q892" s="1471"/>
      <c r="R892" s="1471"/>
      <c r="S892" s="1471"/>
      <c r="T892" s="1471"/>
      <c r="U892" s="1471"/>
      <c r="V892" s="1471"/>
      <c r="W892" s="1471"/>
      <c r="X892" s="1471"/>
      <c r="Y892" s="1471"/>
      <c r="Z892" s="1471"/>
      <c r="AA892" s="1471"/>
      <c r="AB892" s="1473"/>
      <c r="AC892" s="1342"/>
      <c r="AD892" s="1342"/>
      <c r="AE892" s="1342"/>
      <c r="AF892" s="1342"/>
      <c r="AG892" s="1342"/>
      <c r="AH892" s="1343"/>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342"/>
      <c r="AD893" s="1342"/>
      <c r="AE893" s="1342"/>
      <c r="AF893" s="1342"/>
      <c r="AG893" s="1342"/>
      <c r="AH893" s="1343"/>
      <c r="AZ893" s="34"/>
      <c r="BA893" s="34"/>
      <c r="BB893" s="34"/>
      <c r="BC893" s="34"/>
    </row>
    <row r="894" spans="3:55" ht="13" customHeight="1">
      <c r="C894" s="1699" t="s">
        <v>956</v>
      </c>
      <c r="D894" s="1700"/>
      <c r="E894" s="1700"/>
      <c r="F894" s="1700"/>
      <c r="G894" s="1700"/>
      <c r="H894" s="1700"/>
      <c r="I894" s="1700"/>
      <c r="J894" s="1700"/>
      <c r="K894" s="1700"/>
      <c r="L894" s="1700"/>
      <c r="M894" s="1700"/>
      <c r="N894" s="1700"/>
      <c r="O894" s="1700"/>
      <c r="P894" s="1700"/>
      <c r="Q894" s="1700"/>
      <c r="R894" s="1700"/>
      <c r="S894" s="1700"/>
      <c r="T894" s="1700"/>
      <c r="U894" s="1700"/>
      <c r="V894" s="1700"/>
      <c r="W894" s="1700"/>
      <c r="X894" s="1700"/>
      <c r="Y894" s="1700"/>
      <c r="Z894" s="1700"/>
      <c r="AA894" s="1700"/>
      <c r="AB894" s="1701"/>
      <c r="AC894" s="1618"/>
      <c r="AD894" s="1618"/>
      <c r="AE894" s="1618"/>
      <c r="AF894" s="1618"/>
      <c r="AG894" s="1618"/>
      <c r="AH894" s="1618"/>
      <c r="AZ894" s="34"/>
      <c r="BA894" s="34"/>
      <c r="BB894" s="34"/>
      <c r="BC894" s="34"/>
    </row>
    <row r="895" spans="3:55" ht="13" customHeight="1">
      <c r="C895" s="1699" t="s">
        <v>956</v>
      </c>
      <c r="D895" s="1700"/>
      <c r="E895" s="1700"/>
      <c r="F895" s="1700"/>
      <c r="G895" s="1700"/>
      <c r="H895" s="1700"/>
      <c r="I895" s="1700"/>
      <c r="J895" s="1700"/>
      <c r="K895" s="1700"/>
      <c r="L895" s="1700"/>
      <c r="M895" s="1700"/>
      <c r="N895" s="1700"/>
      <c r="O895" s="1700"/>
      <c r="P895" s="1700"/>
      <c r="Q895" s="1700"/>
      <c r="R895" s="1700"/>
      <c r="S895" s="1700"/>
      <c r="T895" s="1700"/>
      <c r="U895" s="1700"/>
      <c r="V895" s="1700"/>
      <c r="W895" s="1700"/>
      <c r="X895" s="1700"/>
      <c r="Y895" s="1700"/>
      <c r="Z895" s="1700"/>
      <c r="AA895" s="1700"/>
      <c r="AB895" s="1701"/>
      <c r="AC895" s="1618"/>
      <c r="AD895" s="1618"/>
      <c r="AE895" s="1618"/>
      <c r="AF895" s="1618"/>
      <c r="AG895" s="1618"/>
      <c r="AH895" s="1618"/>
      <c r="AU895" s="95"/>
      <c r="AZ895" s="34"/>
      <c r="BA895" s="34"/>
      <c r="BB895" s="34"/>
      <c r="BC895" s="34"/>
    </row>
    <row r="896" spans="3:55" ht="13" customHeight="1">
      <c r="E896" s="512"/>
      <c r="AB896" s="56"/>
      <c r="AC896" s="123"/>
      <c r="AD896" s="123"/>
      <c r="AE896" s="123"/>
      <c r="AF896" s="123"/>
      <c r="AG896" s="123"/>
      <c r="AH896" s="123"/>
      <c r="AU896" s="95"/>
      <c r="AZ896" s="34"/>
      <c r="BA896" s="34"/>
      <c r="BB896" s="34"/>
      <c r="BC896" s="34"/>
    </row>
    <row r="897" spans="1:58" ht="13" customHeight="1">
      <c r="A897" s="2" t="s">
        <v>613</v>
      </c>
      <c r="C897" s="2" t="s">
        <v>236</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3"/>
      <c r="AG898" s="180"/>
      <c r="AH898" s="180"/>
      <c r="AI898" s="180"/>
      <c r="AU898" s="95"/>
      <c r="AZ898" s="34"/>
      <c r="BB898" s="30"/>
      <c r="BC898" s="30"/>
      <c r="BD898" s="14"/>
      <c r="BE898" s="14"/>
      <c r="BF898" s="14"/>
    </row>
    <row r="899" spans="1:58" ht="13" customHeight="1">
      <c r="B899" s="2"/>
      <c r="H899" s="121" t="s">
        <v>237</v>
      </c>
      <c r="I899" s="5"/>
      <c r="J899" s="5"/>
      <c r="K899" s="5"/>
      <c r="L899" s="5"/>
      <c r="M899" s="5"/>
      <c r="N899" s="5"/>
      <c r="O899" s="5"/>
      <c r="P899" s="5"/>
      <c r="Q899" s="5"/>
      <c r="R899" s="5"/>
      <c r="S899" s="5"/>
      <c r="T899" s="5"/>
      <c r="U899" s="5"/>
      <c r="V899" s="5"/>
      <c r="W899" s="5"/>
      <c r="X899" s="5"/>
      <c r="Y899" s="46"/>
      <c r="Z899" s="1458"/>
      <c r="AA899" s="1342"/>
      <c r="AB899" s="1342"/>
      <c r="AC899" s="1342"/>
      <c r="AD899" s="1342"/>
      <c r="AE899" s="1343"/>
      <c r="AF899" s="533"/>
      <c r="AZ899" s="34"/>
      <c r="BB899" s="30"/>
      <c r="BC899" s="816"/>
      <c r="BD899" s="1615"/>
      <c r="BE899" s="1615"/>
      <c r="BF899" s="14"/>
    </row>
    <row r="900" spans="1:58" ht="13" customHeight="1">
      <c r="H900" s="121" t="s">
        <v>238</v>
      </c>
      <c r="I900" s="5"/>
      <c r="J900" s="5"/>
      <c r="K900" s="5"/>
      <c r="L900" s="5"/>
      <c r="M900" s="5"/>
      <c r="N900" s="5"/>
      <c r="O900" s="5"/>
      <c r="P900" s="5"/>
      <c r="Q900" s="5"/>
      <c r="R900" s="5"/>
      <c r="S900" s="5"/>
      <c r="T900" s="5"/>
      <c r="U900" s="5"/>
      <c r="V900" s="5"/>
      <c r="W900" s="5"/>
      <c r="X900" s="5"/>
      <c r="Y900" s="5"/>
      <c r="Z900" s="1458"/>
      <c r="AA900" s="1342"/>
      <c r="AB900" s="1342"/>
      <c r="AC900" s="1342"/>
      <c r="AD900" s="1342"/>
      <c r="AE900" s="1343"/>
      <c r="AZ900" s="34"/>
      <c r="BB900" s="30"/>
      <c r="BC900" s="816"/>
      <c r="BD900" s="1615"/>
      <c r="BE900" s="1615"/>
      <c r="BF900" s="14"/>
    </row>
    <row r="901" spans="1:58" ht="13" customHeight="1">
      <c r="H901" s="121" t="s">
        <v>239</v>
      </c>
      <c r="I901" s="5"/>
      <c r="J901" s="5"/>
      <c r="K901" s="5"/>
      <c r="L901" s="5"/>
      <c r="M901" s="5"/>
      <c r="N901" s="5"/>
      <c r="O901" s="5"/>
      <c r="P901" s="5"/>
      <c r="Q901" s="5"/>
      <c r="R901" s="5"/>
      <c r="S901" s="5"/>
      <c r="T901" s="5"/>
      <c r="U901" s="5"/>
      <c r="V901" s="5"/>
      <c r="W901" s="5"/>
      <c r="X901" s="5"/>
      <c r="Y901" s="5"/>
      <c r="Z901" s="1458"/>
      <c r="AA901" s="1342"/>
      <c r="AB901" s="1342"/>
      <c r="AC901" s="1342"/>
      <c r="AD901" s="1342"/>
      <c r="AE901" s="1343"/>
      <c r="AZ901" s="34"/>
      <c r="BB901" s="30"/>
      <c r="BC901" s="816"/>
      <c r="BD901" s="1614"/>
      <c r="BE901" s="1614"/>
      <c r="BF901" s="14"/>
    </row>
    <row r="902" spans="1:58" ht="13" customHeight="1">
      <c r="H902" s="45"/>
      <c r="I902" s="5"/>
      <c r="J902" s="5"/>
      <c r="K902" s="5"/>
      <c r="L902" s="5"/>
      <c r="M902" s="5"/>
      <c r="N902" s="5"/>
      <c r="O902" s="5"/>
      <c r="P902" s="5"/>
      <c r="Q902" s="5"/>
      <c r="R902" s="5"/>
      <c r="S902" s="5"/>
      <c r="T902" s="5"/>
      <c r="U902" s="5"/>
      <c r="V902" s="5"/>
      <c r="W902" s="5"/>
      <c r="X902" s="5"/>
      <c r="Y902" s="181" t="s">
        <v>240</v>
      </c>
      <c r="Z902" s="1455">
        <f>Z899-(Z900+Z901)</f>
        <v>0</v>
      </c>
      <c r="AA902" s="1456"/>
      <c r="AB902" s="1456"/>
      <c r="AC902" s="1456"/>
      <c r="AD902" s="1456"/>
      <c r="AE902" s="1457"/>
      <c r="AZ902" s="34"/>
      <c r="BB902" s="30"/>
      <c r="BC902" s="816"/>
      <c r="BD902" s="1614"/>
      <c r="BE902" s="1614"/>
      <c r="BF902" s="14"/>
    </row>
    <row r="903" spans="1:58" ht="13"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14"/>
      <c r="BE903" s="1614"/>
      <c r="BF903" s="14"/>
    </row>
    <row r="904" spans="1:58" ht="13"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15"/>
      <c r="BE904" s="1614"/>
      <c r="BF904" s="14"/>
    </row>
    <row r="905" spans="1:58" ht="13"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44"/>
      <c r="BE905" s="1644"/>
      <c r="BF905" s="1644"/>
    </row>
    <row r="906" spans="1:58" ht="13"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43"/>
      <c r="BE906" s="1643"/>
      <c r="BF906" s="1643"/>
    </row>
    <row r="907" spans="1:58" ht="13"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14"/>
      <c r="BE907" s="1614"/>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15"/>
      <c r="BE908" s="1614"/>
      <c r="BF908" s="14"/>
    </row>
    <row r="909" spans="1:58" ht="13" customHeight="1">
      <c r="AZ909" s="34"/>
      <c r="BB909" s="30"/>
      <c r="BC909" s="816"/>
    </row>
    <row r="910" spans="1:58" ht="13" customHeight="1">
      <c r="A910" s="1527" t="s">
        <v>96</v>
      </c>
      <c r="B910" s="1527"/>
      <c r="C910" s="1527"/>
      <c r="D910" s="1527"/>
      <c r="E910" s="1527"/>
      <c r="F910" s="1527"/>
      <c r="G910" s="1527"/>
      <c r="H910" s="1527"/>
      <c r="I910" s="1527"/>
      <c r="J910" s="1527"/>
      <c r="K910" s="1527"/>
      <c r="L910" s="1527"/>
      <c r="M910" s="1527"/>
      <c r="N910" s="1527"/>
      <c r="O910" s="1527"/>
      <c r="P910" s="1527"/>
      <c r="Q910" s="1527"/>
      <c r="R910" s="1527"/>
      <c r="S910" s="1527"/>
      <c r="T910" s="1527"/>
      <c r="U910" s="1527"/>
      <c r="V910" s="1527"/>
      <c r="W910" s="1527"/>
      <c r="X910" s="1527"/>
      <c r="Y910" s="1527"/>
      <c r="Z910" s="1527"/>
      <c r="AA910" s="1527"/>
      <c r="AB910" s="1527"/>
      <c r="AC910" s="1527"/>
      <c r="AD910" s="1527"/>
      <c r="AE910" s="1527"/>
      <c r="AF910" s="1527"/>
      <c r="AG910" s="1527"/>
      <c r="AH910" s="1527"/>
      <c r="AI910" s="1527"/>
      <c r="AJ910" s="1527"/>
      <c r="AK910" s="1527"/>
      <c r="AL910" s="1527"/>
      <c r="AM910" s="1527"/>
      <c r="AN910" s="1527"/>
      <c r="AO910" s="1527"/>
      <c r="AP910" s="1527"/>
      <c r="AQ910" s="1527"/>
      <c r="AR910" s="1527"/>
      <c r="AS910" s="1527"/>
      <c r="AT910" s="1527"/>
      <c r="AZ910" s="34"/>
      <c r="BA910" s="34"/>
      <c r="BB910" s="30"/>
      <c r="BC910" s="30"/>
      <c r="BD910" s="1615"/>
      <c r="BE910" s="1614"/>
      <c r="BF910" s="911"/>
    </row>
    <row r="911" spans="1:58" ht="13" customHeight="1">
      <c r="A911" s="1527"/>
      <c r="B911" s="1527"/>
      <c r="C911" s="1527"/>
      <c r="D911" s="1527"/>
      <c r="E911" s="1527"/>
      <c r="F911" s="1527"/>
      <c r="G911" s="1527"/>
      <c r="H911" s="1527"/>
      <c r="I911" s="1527"/>
      <c r="J911" s="1527"/>
      <c r="K911" s="1527"/>
      <c r="L911" s="1527"/>
      <c r="M911" s="1527"/>
      <c r="N911" s="1527"/>
      <c r="O911" s="1527"/>
      <c r="P911" s="1527"/>
      <c r="Q911" s="1527"/>
      <c r="R911" s="1527"/>
      <c r="S911" s="1527"/>
      <c r="T911" s="1527"/>
      <c r="U911" s="1527"/>
      <c r="V911" s="1527"/>
      <c r="W911" s="1527"/>
      <c r="X911" s="1527"/>
      <c r="Y911" s="1527"/>
      <c r="Z911" s="1527"/>
      <c r="AA911" s="1527"/>
      <c r="AB911" s="1527"/>
      <c r="AC911" s="1527"/>
      <c r="AD911" s="1527"/>
      <c r="AE911" s="1527"/>
      <c r="AF911" s="1527"/>
      <c r="AG911" s="1527"/>
      <c r="AH911" s="1527"/>
      <c r="AI911" s="1527"/>
      <c r="AJ911" s="1527"/>
      <c r="AK911" s="1527"/>
      <c r="AL911" s="1527"/>
      <c r="AM911" s="1527"/>
      <c r="AN911" s="1527"/>
      <c r="AO911" s="1527"/>
      <c r="AP911" s="1527"/>
      <c r="AQ911" s="1527"/>
      <c r="AR911" s="1527"/>
      <c r="AS911" s="1527"/>
      <c r="AT911" s="1527"/>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696" t="s">
        <v>792</v>
      </c>
      <c r="G915" s="1697"/>
      <c r="H915" s="1697"/>
      <c r="I915" s="1697"/>
      <c r="J915" s="1697"/>
      <c r="K915" s="1697"/>
      <c r="L915" s="1697"/>
      <c r="M915" s="1697"/>
      <c r="N915" s="1697"/>
      <c r="O915" s="1697"/>
      <c r="P915" s="1697"/>
      <c r="Q915" s="1697"/>
      <c r="R915" s="1697"/>
      <c r="S915" s="1697"/>
      <c r="T915" s="1698"/>
      <c r="U915" s="1742" t="s">
        <v>31</v>
      </c>
      <c r="V915" s="1671"/>
      <c r="W915" s="1671"/>
      <c r="X915" s="1671"/>
      <c r="Y915" s="1671"/>
      <c r="Z915" s="1671"/>
      <c r="AA915" s="43"/>
      <c r="AB915" s="105"/>
      <c r="AC915" s="105"/>
      <c r="AD915" s="105"/>
      <c r="AE915" s="105"/>
      <c r="AF915" s="106"/>
      <c r="AZ915" s="34"/>
      <c r="BA915" s="34"/>
      <c r="BB915" s="34"/>
      <c r="BC915" s="34"/>
    </row>
    <row r="916" spans="1:58" ht="13" customHeight="1">
      <c r="B916" s="2"/>
      <c r="F916" s="1743" t="s">
        <v>818</v>
      </c>
      <c r="G916" s="1744"/>
      <c r="H916" s="1744"/>
      <c r="I916" s="1744"/>
      <c r="J916" s="1744"/>
      <c r="K916" s="1744"/>
      <c r="L916" s="1744"/>
      <c r="M916" s="1744"/>
      <c r="N916" s="1744"/>
      <c r="O916" s="1744"/>
      <c r="P916" s="1744"/>
      <c r="Q916" s="1744"/>
      <c r="R916" s="1744"/>
      <c r="S916" s="1744"/>
      <c r="T916" s="1766"/>
      <c r="U916" s="1743"/>
      <c r="V916" s="1744"/>
      <c r="W916" s="1744"/>
      <c r="X916" s="1744"/>
      <c r="Y916" s="1744"/>
      <c r="Z916" s="1744"/>
      <c r="AA916" s="44"/>
      <c r="AB916" s="4"/>
      <c r="AC916" s="4"/>
      <c r="AD916" s="4"/>
      <c r="AE916" s="4"/>
      <c r="AF916" s="107"/>
      <c r="AZ916" s="34"/>
      <c r="BA916" s="34"/>
      <c r="BB916" s="34"/>
      <c r="BC916" s="34"/>
    </row>
    <row r="917" spans="1:58" ht="13" customHeight="1">
      <c r="B917" s="2"/>
      <c r="F917" s="1745"/>
      <c r="G917" s="1673"/>
      <c r="H917" s="1673"/>
      <c r="I917" s="1673"/>
      <c r="J917" s="1673"/>
      <c r="K917" s="1673"/>
      <c r="L917" s="1673"/>
      <c r="M917" s="1673"/>
      <c r="N917" s="1673"/>
      <c r="O917" s="1673"/>
      <c r="P917" s="1673"/>
      <c r="Q917" s="1673"/>
      <c r="R917" s="1673"/>
      <c r="S917" s="1673"/>
      <c r="T917" s="1674"/>
      <c r="U917" s="1745"/>
      <c r="V917" s="1673"/>
      <c r="W917" s="1673"/>
      <c r="X917" s="1673"/>
      <c r="Y917" s="1673"/>
      <c r="Z917" s="1673"/>
      <c r="AA917" s="108"/>
      <c r="AB917" s="1465" t="s">
        <v>390</v>
      </c>
      <c r="AC917" s="1465"/>
      <c r="AD917" s="1465"/>
      <c r="AE917" s="1465"/>
      <c r="AF917" s="109"/>
      <c r="AZ917" s="34"/>
      <c r="BA917" s="34"/>
      <c r="BB917" s="34"/>
      <c r="BC917" s="34"/>
    </row>
    <row r="918" spans="1:58" ht="13" customHeight="1">
      <c r="B918" s="2"/>
      <c r="F918" s="45" t="s">
        <v>758</v>
      </c>
      <c r="G918" s="48"/>
      <c r="H918" s="48"/>
      <c r="I918" s="48"/>
      <c r="J918" s="48"/>
      <c r="K918" s="48"/>
      <c r="L918" s="48"/>
      <c r="M918" s="48"/>
      <c r="N918" s="48"/>
      <c r="O918" s="48"/>
      <c r="P918" s="48"/>
      <c r="Q918" s="48"/>
      <c r="R918" s="48"/>
      <c r="S918" s="48"/>
      <c r="T918" s="49"/>
      <c r="U918" s="1608" t="s">
        <v>545</v>
      </c>
      <c r="V918" s="1403"/>
      <c r="W918" s="1403"/>
      <c r="X918" s="1403"/>
      <c r="Y918" s="1403"/>
      <c r="Z918" s="1404"/>
      <c r="AA918" s="1612">
        <f>AM554</f>
        <v>18141000</v>
      </c>
      <c r="AB918" s="1517"/>
      <c r="AC918" s="1517"/>
      <c r="AD918" s="1517"/>
      <c r="AE918" s="1517"/>
      <c r="AF918" s="1613"/>
      <c r="AZ918" s="34"/>
      <c r="BA918" s="34"/>
      <c r="BB918" s="34"/>
      <c r="BC918" s="34"/>
    </row>
    <row r="919" spans="1:58" ht="13" customHeight="1">
      <c r="B919" s="2"/>
      <c r="F919" s="66" t="s">
        <v>675</v>
      </c>
      <c r="G919" s="48"/>
      <c r="H919" s="48"/>
      <c r="I919" s="48"/>
      <c r="J919" s="48"/>
      <c r="K919" s="48"/>
      <c r="L919" s="48"/>
      <c r="M919" s="48"/>
      <c r="N919" s="48"/>
      <c r="O919" s="48"/>
      <c r="P919" s="48"/>
      <c r="Q919" s="48"/>
      <c r="R919" s="48"/>
      <c r="S919" s="48"/>
      <c r="T919" s="49"/>
      <c r="U919" s="1608" t="s">
        <v>545</v>
      </c>
      <c r="V919" s="1403"/>
      <c r="W919" s="1403"/>
      <c r="X919" s="1403"/>
      <c r="Y919" s="1403"/>
      <c r="Z919" s="1404"/>
      <c r="AA919" s="1612">
        <f>AM555</f>
        <v>31987158</v>
      </c>
      <c r="AB919" s="1517"/>
      <c r="AC919" s="1517"/>
      <c r="AD919" s="1517"/>
      <c r="AE919" s="1517"/>
      <c r="AF919" s="1613"/>
      <c r="AZ919" s="34"/>
      <c r="BA919" s="34"/>
      <c r="BB919" s="34"/>
      <c r="BC919" s="34"/>
    </row>
    <row r="920" spans="1:58" ht="13" customHeight="1">
      <c r="F920" s="45" t="s">
        <v>801</v>
      </c>
      <c r="G920" s="5"/>
      <c r="H920" s="5"/>
      <c r="I920" s="5"/>
      <c r="J920" s="5"/>
      <c r="K920" s="5"/>
      <c r="L920" s="5"/>
      <c r="M920" s="5"/>
      <c r="N920" s="5"/>
      <c r="O920" s="5"/>
      <c r="P920" s="5"/>
      <c r="Q920" s="5"/>
      <c r="R920" s="5"/>
      <c r="S920" s="5"/>
      <c r="T920" s="46"/>
      <c r="U920" s="1608" t="s">
        <v>591</v>
      </c>
      <c r="V920" s="1403"/>
      <c r="W920" s="1403"/>
      <c r="X920" s="1403"/>
      <c r="Y920" s="1403"/>
      <c r="Z920" s="1404"/>
      <c r="AA920" s="1612"/>
      <c r="AB920" s="1517"/>
      <c r="AC920" s="1517"/>
      <c r="AD920" s="1517"/>
      <c r="AE920" s="1517"/>
      <c r="AF920" s="1613"/>
      <c r="AZ920" s="34"/>
      <c r="BA920" s="34"/>
      <c r="BB920" s="34"/>
      <c r="BC920" s="34"/>
    </row>
    <row r="921" spans="1:58" ht="13" customHeight="1">
      <c r="F921" s="45" t="s">
        <v>678</v>
      </c>
      <c r="G921" s="5"/>
      <c r="H921" s="5"/>
      <c r="I921" s="5"/>
      <c r="J921" s="5"/>
      <c r="K921" s="5"/>
      <c r="L921" s="5"/>
      <c r="M921" s="5"/>
      <c r="N921" s="5"/>
      <c r="O921" s="5"/>
      <c r="P921" s="5"/>
      <c r="Q921" s="5"/>
      <c r="R921" s="5"/>
      <c r="S921" s="5"/>
      <c r="T921" s="46"/>
      <c r="U921" s="1608" t="s">
        <v>591</v>
      </c>
      <c r="V921" s="1403"/>
      <c r="W921" s="1403"/>
      <c r="X921" s="1403"/>
      <c r="Y921" s="1403"/>
      <c r="Z921" s="1404"/>
      <c r="AA921" s="1612"/>
      <c r="AB921" s="1517"/>
      <c r="AC921" s="1517"/>
      <c r="AD921" s="1517"/>
      <c r="AE921" s="1517"/>
      <c r="AF921" s="1613"/>
      <c r="AZ921" s="34"/>
      <c r="BA921" s="34"/>
      <c r="BB921" s="34"/>
      <c r="BC921" s="34"/>
    </row>
    <row r="922" spans="1:58" ht="13" customHeight="1">
      <c r="F922" s="66" t="s">
        <v>786</v>
      </c>
      <c r="G922" s="5"/>
      <c r="H922" s="5"/>
      <c r="I922" s="5"/>
      <c r="J922" s="5"/>
      <c r="K922" s="5"/>
      <c r="L922" s="5"/>
      <c r="M922" s="5"/>
      <c r="N922" s="5"/>
      <c r="O922" s="5"/>
      <c r="P922" s="5"/>
      <c r="Q922" s="5"/>
      <c r="R922" s="5"/>
      <c r="S922" s="5"/>
      <c r="T922" s="46"/>
      <c r="U922" s="1608" t="s">
        <v>591</v>
      </c>
      <c r="V922" s="1403"/>
      <c r="W922" s="1403"/>
      <c r="X922" s="1403"/>
      <c r="Y922" s="1403"/>
      <c r="Z922" s="1404"/>
      <c r="AA922" s="1612"/>
      <c r="AB922" s="1517"/>
      <c r="AC922" s="1517"/>
      <c r="AD922" s="1517"/>
      <c r="AE922" s="1517"/>
      <c r="AF922" s="1613"/>
      <c r="AZ922" s="34"/>
      <c r="BA922" s="34"/>
      <c r="BB922" s="34"/>
      <c r="BC922" s="34"/>
    </row>
    <row r="923" spans="1:58" ht="13" customHeight="1">
      <c r="F923" s="66" t="s">
        <v>787</v>
      </c>
      <c r="G923" s="5"/>
      <c r="H923" s="5"/>
      <c r="I923" s="5"/>
      <c r="J923" s="5"/>
      <c r="K923" s="5"/>
      <c r="L923" s="5"/>
      <c r="M923" s="5"/>
      <c r="N923" s="5"/>
      <c r="O923" s="5"/>
      <c r="P923" s="5"/>
      <c r="Q923" s="5"/>
      <c r="R923" s="5"/>
      <c r="S923" s="5"/>
      <c r="T923" s="46"/>
      <c r="U923" s="1608" t="s">
        <v>591</v>
      </c>
      <c r="V923" s="1403"/>
      <c r="W923" s="1403"/>
      <c r="X923" s="1403"/>
      <c r="Y923" s="1403"/>
      <c r="Z923" s="1404"/>
      <c r="AA923" s="1612"/>
      <c r="AB923" s="1517"/>
      <c r="AC923" s="1517"/>
      <c r="AD923" s="1517"/>
      <c r="AE923" s="1517"/>
      <c r="AF923" s="1613"/>
      <c r="AZ923" s="34"/>
      <c r="BA923" s="34"/>
      <c r="BB923" s="34"/>
      <c r="BC923" s="34"/>
    </row>
    <row r="924" spans="1:58" ht="13" customHeight="1">
      <c r="F924" s="66" t="s">
        <v>788</v>
      </c>
      <c r="G924" s="5"/>
      <c r="H924" s="5"/>
      <c r="I924" s="5"/>
      <c r="J924" s="5"/>
      <c r="K924" s="5"/>
      <c r="L924" s="5"/>
      <c r="M924" s="5"/>
      <c r="N924" s="5"/>
      <c r="O924" s="5"/>
      <c r="P924" s="5"/>
      <c r="Q924" s="5"/>
      <c r="R924" s="5"/>
      <c r="S924" s="5"/>
      <c r="T924" s="46"/>
      <c r="U924" s="1608" t="s">
        <v>591</v>
      </c>
      <c r="V924" s="1403"/>
      <c r="W924" s="1403"/>
      <c r="X924" s="1403"/>
      <c r="Y924" s="1403"/>
      <c r="Z924" s="1404"/>
      <c r="AA924" s="1612"/>
      <c r="AB924" s="1517"/>
      <c r="AC924" s="1517"/>
      <c r="AD924" s="1517"/>
      <c r="AE924" s="1517"/>
      <c r="AF924" s="1613"/>
      <c r="AZ924" s="34"/>
      <c r="BA924" s="34"/>
      <c r="BB924" s="34"/>
      <c r="BC924" s="34"/>
    </row>
    <row r="925" spans="1:58" ht="13" customHeight="1">
      <c r="F925" s="45" t="s">
        <v>677</v>
      </c>
      <c r="G925" s="5"/>
      <c r="H925" s="5"/>
      <c r="I925" s="5"/>
      <c r="J925" s="5"/>
      <c r="K925" s="5"/>
      <c r="L925" s="5"/>
      <c r="M925" s="5"/>
      <c r="N925" s="5"/>
      <c r="O925" s="5"/>
      <c r="P925" s="5"/>
      <c r="Q925" s="5"/>
      <c r="R925" s="5"/>
      <c r="S925" s="5"/>
      <c r="T925" s="46"/>
      <c r="U925" s="1608" t="s">
        <v>591</v>
      </c>
      <c r="V925" s="1403"/>
      <c r="W925" s="1403"/>
      <c r="X925" s="1403"/>
      <c r="Y925" s="1403"/>
      <c r="Z925" s="1404"/>
      <c r="AA925" s="1612"/>
      <c r="AB925" s="1517"/>
      <c r="AC925" s="1517"/>
      <c r="AD925" s="1517"/>
      <c r="AE925" s="1517"/>
      <c r="AF925" s="1613"/>
      <c r="AZ925" s="34"/>
      <c r="BA925" s="34"/>
      <c r="BB925" s="34"/>
      <c r="BC925" s="34"/>
    </row>
    <row r="926" spans="1:58" ht="13" customHeight="1">
      <c r="F926" s="1605" t="s">
        <v>2192</v>
      </c>
      <c r="G926" s="1606"/>
      <c r="H926" s="1606"/>
      <c r="I926" s="1606"/>
      <c r="J926" s="1606"/>
      <c r="K926" s="1606"/>
      <c r="L926" s="1606"/>
      <c r="M926" s="1606"/>
      <c r="N926" s="1606"/>
      <c r="O926" s="1606"/>
      <c r="P926" s="1606"/>
      <c r="Q926" s="1606"/>
      <c r="R926" s="1606"/>
      <c r="S926" s="1606"/>
      <c r="T926" s="1607"/>
      <c r="U926" s="1608" t="s">
        <v>591</v>
      </c>
      <c r="V926" s="1403"/>
      <c r="W926" s="1403"/>
      <c r="X926" s="1403"/>
      <c r="Y926" s="1403"/>
      <c r="Z926" s="1404"/>
      <c r="AA926" s="1612"/>
      <c r="AB926" s="1517"/>
      <c r="AC926" s="1517"/>
      <c r="AD926" s="1517"/>
      <c r="AE926" s="1517"/>
      <c r="AF926" s="1613"/>
      <c r="AZ926" s="34"/>
      <c r="BA926" s="34"/>
      <c r="BB926" s="34"/>
      <c r="BC926" s="34"/>
    </row>
    <row r="927" spans="1:58" ht="13" customHeight="1">
      <c r="F927" s="1605" t="s">
        <v>679</v>
      </c>
      <c r="G927" s="1606"/>
      <c r="H927" s="1606"/>
      <c r="I927" s="1606"/>
      <c r="J927" s="1606"/>
      <c r="K927" s="1606"/>
      <c r="L927" s="1606"/>
      <c r="M927" s="1606"/>
      <c r="N927" s="1606"/>
      <c r="O927" s="1606"/>
      <c r="P927" s="1606"/>
      <c r="Q927" s="1606"/>
      <c r="R927" s="1606"/>
      <c r="S927" s="1606"/>
      <c r="T927" s="1607"/>
      <c r="U927" s="1608" t="s">
        <v>591</v>
      </c>
      <c r="V927" s="1403"/>
      <c r="W927" s="1403"/>
      <c r="X927" s="1403"/>
      <c r="Y927" s="1403"/>
      <c r="Z927" s="1404"/>
      <c r="AA927" s="1612"/>
      <c r="AB927" s="1517"/>
      <c r="AC927" s="1517"/>
      <c r="AD927" s="1517"/>
      <c r="AE927" s="1517"/>
      <c r="AF927" s="1613"/>
      <c r="AU927" s="2"/>
      <c r="AZ927" s="34"/>
      <c r="BA927" s="34"/>
      <c r="BB927" s="34"/>
      <c r="BC927" s="34"/>
    </row>
    <row r="928" spans="1:58" ht="13" customHeight="1">
      <c r="F928" s="1605" t="s">
        <v>2193</v>
      </c>
      <c r="G928" s="1606"/>
      <c r="H928" s="1606"/>
      <c r="I928" s="1606"/>
      <c r="J928" s="1606"/>
      <c r="K928" s="1606"/>
      <c r="L928" s="1606"/>
      <c r="M928" s="1606"/>
      <c r="N928" s="1606"/>
      <c r="O928" s="1606"/>
      <c r="P928" s="1606"/>
      <c r="Q928" s="1606"/>
      <c r="R928" s="1606"/>
      <c r="S928" s="1606"/>
      <c r="T928" s="1607"/>
      <c r="U928" s="1608" t="s">
        <v>591</v>
      </c>
      <c r="V928" s="1403"/>
      <c r="W928" s="1403"/>
      <c r="X928" s="1403"/>
      <c r="Y928" s="1403"/>
      <c r="Z928" s="1404"/>
      <c r="AA928" s="1612"/>
      <c r="AB928" s="1517"/>
      <c r="AC928" s="1517"/>
      <c r="AD928" s="1517"/>
      <c r="AE928" s="1517"/>
      <c r="AF928" s="1613"/>
      <c r="AU928" s="2"/>
      <c r="AZ928" s="34"/>
      <c r="BA928" s="34"/>
      <c r="BB928" s="34"/>
      <c r="BC928" s="34"/>
    </row>
    <row r="929" spans="6:55" ht="13" customHeight="1">
      <c r="F929" s="1605" t="s">
        <v>2194</v>
      </c>
      <c r="G929" s="1606"/>
      <c r="H929" s="1606"/>
      <c r="I929" s="1606"/>
      <c r="J929" s="1606"/>
      <c r="K929" s="1606"/>
      <c r="L929" s="1606"/>
      <c r="M929" s="1606"/>
      <c r="N929" s="1606"/>
      <c r="O929" s="1606"/>
      <c r="P929" s="1606"/>
      <c r="Q929" s="1606"/>
      <c r="R929" s="1606"/>
      <c r="S929" s="1606"/>
      <c r="T929" s="1607"/>
      <c r="U929" s="1608" t="s">
        <v>591</v>
      </c>
      <c r="V929" s="1403"/>
      <c r="W929" s="1403"/>
      <c r="X929" s="1403"/>
      <c r="Y929" s="1403"/>
      <c r="Z929" s="1404"/>
      <c r="AA929" s="1612"/>
      <c r="AB929" s="1517"/>
      <c r="AC929" s="1517"/>
      <c r="AD929" s="1517"/>
      <c r="AE929" s="1517"/>
      <c r="AF929" s="1613"/>
      <c r="AU929" s="2"/>
      <c r="AZ929" s="34"/>
      <c r="BA929" s="34"/>
      <c r="BB929" s="34"/>
      <c r="BC929" s="34"/>
    </row>
    <row r="930" spans="6:55" ht="13" customHeight="1">
      <c r="F930" s="1605" t="s">
        <v>2195</v>
      </c>
      <c r="G930" s="1606"/>
      <c r="H930" s="1606"/>
      <c r="I930" s="1606"/>
      <c r="J930" s="1606"/>
      <c r="K930" s="1606"/>
      <c r="L930" s="1606"/>
      <c r="M930" s="1606"/>
      <c r="N930" s="1606"/>
      <c r="O930" s="1606"/>
      <c r="P930" s="1606"/>
      <c r="Q930" s="1606"/>
      <c r="R930" s="1606"/>
      <c r="S930" s="1606"/>
      <c r="T930" s="1607"/>
      <c r="U930" s="1608" t="s">
        <v>591</v>
      </c>
      <c r="V930" s="1403"/>
      <c r="W930" s="1403"/>
      <c r="X930" s="1403"/>
      <c r="Y930" s="1403"/>
      <c r="Z930" s="1404"/>
      <c r="AA930" s="1612"/>
      <c r="AB930" s="1517"/>
      <c r="AC930" s="1517"/>
      <c r="AD930" s="1517"/>
      <c r="AE930" s="1517"/>
      <c r="AF930" s="1613"/>
      <c r="AU930" s="2"/>
      <c r="AZ930" s="34"/>
      <c r="BA930" s="34"/>
      <c r="BB930" s="34"/>
      <c r="BC930" s="34"/>
    </row>
    <row r="931" spans="6:55" ht="13" customHeight="1">
      <c r="F931" s="1605" t="s">
        <v>2196</v>
      </c>
      <c r="G931" s="1606"/>
      <c r="H931" s="1606"/>
      <c r="I931" s="1606"/>
      <c r="J931" s="1606"/>
      <c r="K931" s="1606"/>
      <c r="L931" s="1606"/>
      <c r="M931" s="1606"/>
      <c r="N931" s="1606"/>
      <c r="O931" s="1606"/>
      <c r="P931" s="1606"/>
      <c r="Q931" s="1606"/>
      <c r="R931" s="1606"/>
      <c r="S931" s="1606"/>
      <c r="T931" s="1607"/>
      <c r="U931" s="1608" t="s">
        <v>591</v>
      </c>
      <c r="V931" s="1403"/>
      <c r="W931" s="1403"/>
      <c r="X931" s="1403"/>
      <c r="Y931" s="1403"/>
      <c r="Z931" s="1404"/>
      <c r="AA931" s="1612"/>
      <c r="AB931" s="1517"/>
      <c r="AC931" s="1517"/>
      <c r="AD931" s="1517"/>
      <c r="AE931" s="1517"/>
      <c r="AF931" s="1613"/>
      <c r="AU931" s="2"/>
      <c r="AZ931" s="34"/>
      <c r="BA931" s="34"/>
      <c r="BB931" s="34"/>
      <c r="BC931" s="34"/>
    </row>
    <row r="932" spans="6:55" ht="13" customHeight="1">
      <c r="F932" s="1605" t="s">
        <v>2197</v>
      </c>
      <c r="G932" s="1606"/>
      <c r="H932" s="1606"/>
      <c r="I932" s="1606"/>
      <c r="J932" s="1606"/>
      <c r="K932" s="1606"/>
      <c r="L932" s="1606"/>
      <c r="M932" s="1606"/>
      <c r="N932" s="1606"/>
      <c r="O932" s="1606"/>
      <c r="P932" s="1606"/>
      <c r="Q932" s="1606"/>
      <c r="R932" s="1606"/>
      <c r="S932" s="1606"/>
      <c r="T932" s="1607"/>
      <c r="U932" s="1608" t="s">
        <v>591</v>
      </c>
      <c r="V932" s="1403"/>
      <c r="W932" s="1403"/>
      <c r="X932" s="1403"/>
      <c r="Y932" s="1403"/>
      <c r="Z932" s="1404"/>
      <c r="AA932" s="1612"/>
      <c r="AB932" s="1517"/>
      <c r="AC932" s="1517"/>
      <c r="AD932" s="1517"/>
      <c r="AE932" s="1517"/>
      <c r="AF932" s="1613"/>
      <c r="AZ932" s="30"/>
      <c r="BA932" s="30"/>
    </row>
    <row r="933" spans="6:55" ht="13" customHeight="1">
      <c r="F933" s="178" t="s">
        <v>676</v>
      </c>
      <c r="G933" s="5"/>
      <c r="H933" s="5"/>
      <c r="I933" s="5"/>
      <c r="J933" s="5"/>
      <c r="K933" s="5"/>
      <c r="L933" s="5"/>
      <c r="M933" s="5"/>
      <c r="N933" s="5"/>
      <c r="O933" s="5"/>
      <c r="P933" s="5"/>
      <c r="Q933" s="5"/>
      <c r="R933" s="5"/>
      <c r="S933" s="5"/>
      <c r="T933" s="46"/>
      <c r="U933" s="1608" t="s">
        <v>591</v>
      </c>
      <c r="V933" s="1403"/>
      <c r="W933" s="1403"/>
      <c r="X933" s="1403"/>
      <c r="Y933" s="1403"/>
      <c r="Z933" s="1404"/>
      <c r="AA933" s="1612"/>
      <c r="AB933" s="1517"/>
      <c r="AC933" s="1517"/>
      <c r="AD933" s="1517"/>
      <c r="AE933" s="1517"/>
      <c r="AF933" s="1613"/>
    </row>
    <row r="934" spans="6:55" ht="13" customHeight="1">
      <c r="F934" s="121" t="s">
        <v>1277</v>
      </c>
      <c r="G934" s="5"/>
      <c r="H934" s="5"/>
      <c r="I934" s="5"/>
      <c r="J934" s="5"/>
      <c r="K934" s="5"/>
      <c r="L934" s="5"/>
      <c r="M934" s="5"/>
      <c r="N934" s="5"/>
      <c r="O934" s="5"/>
      <c r="P934" s="5"/>
      <c r="Q934" s="5"/>
      <c r="R934" s="5"/>
      <c r="S934" s="5"/>
      <c r="T934" s="46"/>
      <c r="U934" s="1608" t="s">
        <v>545</v>
      </c>
      <c r="V934" s="1403"/>
      <c r="W934" s="1403"/>
      <c r="X934" s="1403"/>
      <c r="Y934" s="1403"/>
      <c r="Z934" s="1404"/>
      <c r="AA934" s="1612">
        <f>AO629</f>
        <v>4000000</v>
      </c>
      <c r="AB934" s="1517"/>
      <c r="AC934" s="1517"/>
      <c r="AD934" s="1517"/>
      <c r="AE934" s="1517"/>
      <c r="AF934" s="1613"/>
      <c r="AZ934" s="30"/>
      <c r="BA934" s="14"/>
    </row>
    <row r="935" spans="6:55" ht="13" customHeight="1">
      <c r="F935" s="66" t="s">
        <v>802</v>
      </c>
      <c r="G935" s="5"/>
      <c r="H935" s="5"/>
      <c r="I935" s="5"/>
      <c r="J935" s="5"/>
      <c r="K935" s="5"/>
      <c r="L935" s="5"/>
      <c r="M935" s="5"/>
      <c r="N935" s="5"/>
      <c r="O935" s="5"/>
      <c r="P935" s="5"/>
      <c r="Q935" s="5"/>
      <c r="R935" s="5"/>
      <c r="S935" s="5"/>
      <c r="T935" s="46"/>
      <c r="U935" s="1608" t="s">
        <v>591</v>
      </c>
      <c r="V935" s="1403"/>
      <c r="W935" s="1403"/>
      <c r="X935" s="1403"/>
      <c r="Y935" s="1403"/>
      <c r="Z935" s="1404"/>
      <c r="AA935" s="1612"/>
      <c r="AB935" s="1517"/>
      <c r="AC935" s="1517"/>
      <c r="AD935" s="1517"/>
      <c r="AE935" s="1517"/>
      <c r="AF935" s="1613"/>
      <c r="AZ935" s="30"/>
      <c r="BA935" s="14"/>
    </row>
    <row r="936" spans="6:55" ht="13" customHeight="1">
      <c r="F936" s="1609" t="s">
        <v>2201</v>
      </c>
      <c r="G936" s="1610"/>
      <c r="H936" s="1610"/>
      <c r="I936" s="1610"/>
      <c r="J936" s="1610"/>
      <c r="K936" s="1610"/>
      <c r="L936" s="1610"/>
      <c r="M936" s="1610"/>
      <c r="N936" s="1610"/>
      <c r="O936" s="1610"/>
      <c r="P936" s="1610"/>
      <c r="Q936" s="1610"/>
      <c r="R936" s="1610"/>
      <c r="S936" s="1610"/>
      <c r="T936" s="1611"/>
      <c r="U936" s="1608" t="s">
        <v>591</v>
      </c>
      <c r="V936" s="1403"/>
      <c r="W936" s="1403"/>
      <c r="X936" s="1403"/>
      <c r="Y936" s="1403"/>
      <c r="Z936" s="1404"/>
      <c r="AA936" s="1612"/>
      <c r="AB936" s="1517"/>
      <c r="AC936" s="1517"/>
      <c r="AD936" s="1517"/>
      <c r="AE936" s="1517"/>
      <c r="AF936" s="1613"/>
      <c r="AZ936" s="30"/>
      <c r="BA936" s="14"/>
    </row>
    <row r="937" spans="6:55" ht="13" customHeight="1">
      <c r="F937" s="1609" t="s">
        <v>2202</v>
      </c>
      <c r="G937" s="1610"/>
      <c r="H937" s="1610"/>
      <c r="I937" s="1610"/>
      <c r="J937" s="1610"/>
      <c r="K937" s="1610"/>
      <c r="L937" s="1610"/>
      <c r="M937" s="1610"/>
      <c r="N937" s="1610"/>
      <c r="O937" s="1610"/>
      <c r="P937" s="1610"/>
      <c r="Q937" s="1610"/>
      <c r="R937" s="1610"/>
      <c r="S937" s="1610"/>
      <c r="T937" s="1611"/>
      <c r="U937" s="1608" t="s">
        <v>591</v>
      </c>
      <c r="V937" s="1403"/>
      <c r="W937" s="1403"/>
      <c r="X937" s="1403"/>
      <c r="Y937" s="1403"/>
      <c r="Z937" s="1404"/>
      <c r="AA937" s="1612"/>
      <c r="AB937" s="1517"/>
      <c r="AC937" s="1517"/>
      <c r="AD937" s="1517"/>
      <c r="AE937" s="1517"/>
      <c r="AF937" s="1613"/>
      <c r="AZ937" s="30"/>
      <c r="BA937" s="30"/>
    </row>
    <row r="938" spans="6:55" ht="13" customHeight="1">
      <c r="F938" s="1605" t="s">
        <v>2198</v>
      </c>
      <c r="G938" s="1606"/>
      <c r="H938" s="1606"/>
      <c r="I938" s="1606"/>
      <c r="J938" s="1606"/>
      <c r="K938" s="1606"/>
      <c r="L938" s="1606"/>
      <c r="M938" s="1606"/>
      <c r="N938" s="1606"/>
      <c r="O938" s="1606"/>
      <c r="P938" s="1606"/>
      <c r="Q938" s="1606"/>
      <c r="R938" s="1606"/>
      <c r="S938" s="1606"/>
      <c r="T938" s="1607"/>
      <c r="U938" s="1608" t="s">
        <v>591</v>
      </c>
      <c r="V938" s="1403"/>
      <c r="W938" s="1403"/>
      <c r="X938" s="1403"/>
      <c r="Y938" s="1403"/>
      <c r="Z938" s="1404"/>
      <c r="AA938" s="1612"/>
      <c r="AB938" s="1517"/>
      <c r="AC938" s="1517"/>
      <c r="AD938" s="1517"/>
      <c r="AE938" s="1517"/>
      <c r="AF938" s="1613"/>
      <c r="AZ938" s="30"/>
      <c r="BA938" s="30"/>
    </row>
    <row r="939" spans="6:55" ht="13" customHeight="1">
      <c r="F939" s="1605" t="s">
        <v>2199</v>
      </c>
      <c r="G939" s="1606"/>
      <c r="H939" s="1606"/>
      <c r="I939" s="1606"/>
      <c r="J939" s="1606"/>
      <c r="K939" s="1606"/>
      <c r="L939" s="1606"/>
      <c r="M939" s="1606"/>
      <c r="N939" s="1606"/>
      <c r="O939" s="1606"/>
      <c r="P939" s="1606"/>
      <c r="Q939" s="1606"/>
      <c r="R939" s="1606"/>
      <c r="S939" s="1606"/>
      <c r="T939" s="1607"/>
      <c r="U939" s="1608" t="s">
        <v>591</v>
      </c>
      <c r="V939" s="1403"/>
      <c r="W939" s="1403"/>
      <c r="X939" s="1403"/>
      <c r="Y939" s="1403"/>
      <c r="Z939" s="1404"/>
      <c r="AA939" s="1612"/>
      <c r="AB939" s="1517"/>
      <c r="AC939" s="1517"/>
      <c r="AD939" s="1517"/>
      <c r="AE939" s="1517"/>
      <c r="AF939" s="1613"/>
      <c r="AZ939" s="30"/>
      <c r="BA939" s="30"/>
    </row>
    <row r="940" spans="6:55" ht="13" customHeight="1">
      <c r="F940" s="1605" t="s">
        <v>2200</v>
      </c>
      <c r="G940" s="1606"/>
      <c r="H940" s="1606"/>
      <c r="I940" s="1606"/>
      <c r="J940" s="1606"/>
      <c r="K940" s="1606"/>
      <c r="L940" s="1606"/>
      <c r="M940" s="1606"/>
      <c r="N940" s="1606"/>
      <c r="O940" s="1606"/>
      <c r="P940" s="1606"/>
      <c r="Q940" s="1606"/>
      <c r="R940" s="1606"/>
      <c r="S940" s="1606"/>
      <c r="T940" s="1607"/>
      <c r="U940" s="1608" t="s">
        <v>591</v>
      </c>
      <c r="V940" s="1403"/>
      <c r="W940" s="1403"/>
      <c r="X940" s="1403"/>
      <c r="Y940" s="1403"/>
      <c r="Z940" s="1404"/>
      <c r="AA940" s="1612"/>
      <c r="AB940" s="1517"/>
      <c r="AC940" s="1517"/>
      <c r="AD940" s="1517"/>
      <c r="AE940" s="1517"/>
      <c r="AF940" s="1613"/>
      <c r="AZ940" s="34"/>
      <c r="BA940" s="34"/>
      <c r="BB940" s="14"/>
      <c r="BC940" s="14"/>
    </row>
    <row r="941" spans="6:55" ht="13" customHeight="1">
      <c r="F941" s="121" t="s">
        <v>1261</v>
      </c>
      <c r="G941" s="5"/>
      <c r="H941" s="5"/>
      <c r="I941" s="5"/>
      <c r="J941" s="5"/>
      <c r="K941" s="5"/>
      <c r="L941" s="5"/>
      <c r="M941" s="5"/>
      <c r="N941" s="5"/>
      <c r="O941" s="5"/>
      <c r="P941" s="5"/>
      <c r="Q941" s="5"/>
      <c r="R941" s="5"/>
      <c r="S941" s="5"/>
      <c r="T941" s="46"/>
      <c r="U941" s="1608" t="s">
        <v>591</v>
      </c>
      <c r="V941" s="1403"/>
      <c r="W941" s="1403"/>
      <c r="X941" s="1403"/>
      <c r="Y941" s="1403"/>
      <c r="Z941" s="1404"/>
      <c r="AA941" s="1612"/>
      <c r="AB941" s="1517"/>
      <c r="AC941" s="1517"/>
      <c r="AD941" s="1517"/>
      <c r="AE941" s="1517"/>
      <c r="AF941" s="1613"/>
      <c r="AZ941" s="34"/>
      <c r="BA941" s="34"/>
      <c r="BB941" s="14"/>
      <c r="BC941" s="14"/>
    </row>
    <row r="942" spans="6:55" ht="13" customHeight="1">
      <c r="F942" s="1609" t="s">
        <v>2203</v>
      </c>
      <c r="G942" s="1610"/>
      <c r="H942" s="1610"/>
      <c r="I942" s="1610"/>
      <c r="J942" s="1610"/>
      <c r="K942" s="1610"/>
      <c r="L942" s="1610"/>
      <c r="M942" s="1610"/>
      <c r="N942" s="1610"/>
      <c r="O942" s="1610"/>
      <c r="P942" s="1610"/>
      <c r="Q942" s="1610"/>
      <c r="R942" s="1610"/>
      <c r="S942" s="1610"/>
      <c r="T942" s="1611"/>
      <c r="U942" s="1608" t="s">
        <v>591</v>
      </c>
      <c r="V942" s="1403"/>
      <c r="W942" s="1403"/>
      <c r="X942" s="1403"/>
      <c r="Y942" s="1403"/>
      <c r="Z942" s="1404"/>
      <c r="AA942" s="1612"/>
      <c r="AB942" s="1517"/>
      <c r="AC942" s="1517"/>
      <c r="AD942" s="1517"/>
      <c r="AE942" s="1517"/>
      <c r="AF942" s="1613"/>
      <c r="AZ942" s="34"/>
      <c r="BA942" s="34"/>
      <c r="BB942" s="34"/>
      <c r="BC942" s="34"/>
    </row>
    <row r="943" spans="6:55" ht="13" customHeight="1">
      <c r="F943" s="121" t="s">
        <v>1262</v>
      </c>
      <c r="G943" s="5"/>
      <c r="H943" s="5"/>
      <c r="I943" s="5"/>
      <c r="J943" s="5"/>
      <c r="K943" s="5"/>
      <c r="L943" s="5"/>
      <c r="M943" s="5"/>
      <c r="N943" s="5"/>
      <c r="O943" s="5"/>
      <c r="P943" s="5"/>
      <c r="Q943" s="5"/>
      <c r="R943" s="5"/>
      <c r="S943" s="5"/>
      <c r="T943" s="46"/>
      <c r="U943" s="1608" t="s">
        <v>591</v>
      </c>
      <c r="V943" s="1403"/>
      <c r="W943" s="1403"/>
      <c r="X943" s="1403"/>
      <c r="Y943" s="1403"/>
      <c r="Z943" s="1404"/>
      <c r="AA943" s="1612"/>
      <c r="AB943" s="1517"/>
      <c r="AC943" s="1517"/>
      <c r="AD943" s="1517"/>
      <c r="AE943" s="1517"/>
      <c r="AF943" s="1613"/>
      <c r="AZ943" s="34"/>
      <c r="BA943" s="34"/>
      <c r="BB943" s="34"/>
      <c r="BC943" s="34"/>
    </row>
    <row r="944" spans="6:55" ht="13" customHeight="1">
      <c r="F944" s="1609" t="s">
        <v>2204</v>
      </c>
      <c r="G944" s="1610"/>
      <c r="H944" s="1610"/>
      <c r="I944" s="1610"/>
      <c r="J944" s="1610"/>
      <c r="K944" s="1610"/>
      <c r="L944" s="1610"/>
      <c r="M944" s="1610"/>
      <c r="N944" s="1610"/>
      <c r="O944" s="1610"/>
      <c r="P944" s="1610"/>
      <c r="Q944" s="1610"/>
      <c r="R944" s="1610"/>
      <c r="S944" s="1610"/>
      <c r="T944" s="1611"/>
      <c r="U944" s="1608" t="s">
        <v>591</v>
      </c>
      <c r="V944" s="1403"/>
      <c r="W944" s="1403"/>
      <c r="X944" s="1403"/>
      <c r="Y944" s="1403"/>
      <c r="Z944" s="1404"/>
      <c r="AA944" s="1612"/>
      <c r="AB944" s="1517"/>
      <c r="AC944" s="1517"/>
      <c r="AD944" s="1517"/>
      <c r="AE944" s="1517"/>
      <c r="AF944" s="1613"/>
      <c r="AZ944" s="34"/>
      <c r="BA944" s="34"/>
      <c r="BB944" s="34"/>
      <c r="BC944" s="34"/>
    </row>
    <row r="945" spans="1:55" ht="13" customHeight="1">
      <c r="F945" s="45" t="s">
        <v>806</v>
      </c>
      <c r="G945" s="5"/>
      <c r="H945" s="5"/>
      <c r="I945" s="5"/>
      <c r="J945" s="5"/>
      <c r="K945" s="5"/>
      <c r="L945" s="5"/>
      <c r="M945" s="5"/>
      <c r="N945" s="5"/>
      <c r="O945" s="5"/>
      <c r="P945" s="1608" t="s">
        <v>669</v>
      </c>
      <c r="Q945" s="1403"/>
      <c r="R945" s="1403"/>
      <c r="S945" s="1403"/>
      <c r="T945" s="1404"/>
      <c r="U945" s="1608" t="s">
        <v>591</v>
      </c>
      <c r="V945" s="1403"/>
      <c r="W945" s="1403"/>
      <c r="X945" s="1403"/>
      <c r="Y945" s="1403"/>
      <c r="Z945" s="1404"/>
      <c r="AA945" s="1612"/>
      <c r="AB945" s="1517"/>
      <c r="AC945" s="1517"/>
      <c r="AD945" s="1517"/>
      <c r="AE945" s="1517"/>
      <c r="AF945" s="1613"/>
      <c r="AZ945" s="34"/>
      <c r="BA945" s="34"/>
      <c r="BB945" s="34"/>
      <c r="BC945" s="34"/>
    </row>
    <row r="946" spans="1:55" ht="13" customHeight="1">
      <c r="F946" s="1605" t="s">
        <v>2191</v>
      </c>
      <c r="G946" s="1606"/>
      <c r="H946" s="1607"/>
      <c r="I946" s="1622" t="s">
        <v>333</v>
      </c>
      <c r="J946" s="1623"/>
      <c r="K946" s="1623"/>
      <c r="L946" s="1623"/>
      <c r="M946" s="1623"/>
      <c r="N946" s="1623"/>
      <c r="O946" s="1623"/>
      <c r="P946" s="1623"/>
      <c r="Q946" s="1623"/>
      <c r="R946" s="1623"/>
      <c r="S946" s="1623"/>
      <c r="T946" s="1624"/>
      <c r="U946" s="1608" t="s">
        <v>591</v>
      </c>
      <c r="V946" s="1403"/>
      <c r="W946" s="1403"/>
      <c r="X946" s="1403"/>
      <c r="Y946" s="1403"/>
      <c r="Z946" s="1404"/>
      <c r="AA946" s="1612"/>
      <c r="AB946" s="1517"/>
      <c r="AC946" s="1517"/>
      <c r="AD946" s="1517"/>
      <c r="AE946" s="1517"/>
      <c r="AF946" s="1613"/>
      <c r="AZ946" s="34"/>
      <c r="BA946" s="34"/>
      <c r="BB946" s="34"/>
      <c r="BC946" s="34"/>
    </row>
    <row r="947" spans="1:55" ht="13" customHeight="1">
      <c r="F947" s="45" t="s">
        <v>86</v>
      </c>
      <c r="G947" s="48"/>
      <c r="H947" s="48"/>
      <c r="I947" s="1622" t="s">
        <v>333</v>
      </c>
      <c r="J947" s="1623"/>
      <c r="K947" s="1623"/>
      <c r="L947" s="1623"/>
      <c r="M947" s="1623"/>
      <c r="N947" s="1623"/>
      <c r="O947" s="1623"/>
      <c r="P947" s="1623"/>
      <c r="Q947" s="1623"/>
      <c r="R947" s="1623"/>
      <c r="S947" s="1623"/>
      <c r="T947" s="1624"/>
      <c r="U947" s="1608" t="s">
        <v>591</v>
      </c>
      <c r="V947" s="1403"/>
      <c r="W947" s="1403"/>
      <c r="X947" s="1403"/>
      <c r="Y947" s="1403"/>
      <c r="Z947" s="1404"/>
      <c r="AA947" s="1612"/>
      <c r="AB947" s="1517"/>
      <c r="AC947" s="1517"/>
      <c r="AD947" s="1517"/>
      <c r="AE947" s="1517"/>
      <c r="AF947" s="1613"/>
      <c r="AZ947" s="34"/>
      <c r="BA947" s="34"/>
      <c r="BB947" s="34"/>
      <c r="BC947" s="34"/>
    </row>
    <row r="948" spans="1:55" ht="13" customHeight="1">
      <c r="F948" s="45" t="s">
        <v>10</v>
      </c>
      <c r="G948" s="48"/>
      <c r="H948" s="48"/>
      <c r="I948" s="1683" t="s">
        <v>2610</v>
      </c>
      <c r="J948" s="1684"/>
      <c r="K948" s="1684"/>
      <c r="L948" s="1684"/>
      <c r="M948" s="1684"/>
      <c r="N948" s="1684"/>
      <c r="O948" s="1684"/>
      <c r="P948" s="1684"/>
      <c r="Q948" s="1684"/>
      <c r="R948" s="1684"/>
      <c r="S948" s="1684"/>
      <c r="T948" s="1685"/>
      <c r="U948" s="1608" t="s">
        <v>545</v>
      </c>
      <c r="V948" s="1403"/>
      <c r="W948" s="1403"/>
      <c r="X948" s="1403"/>
      <c r="Y948" s="1403"/>
      <c r="Z948" s="1404"/>
      <c r="AA948" s="1612">
        <f>AO630</f>
        <v>7500000</v>
      </c>
      <c r="AB948" s="1517"/>
      <c r="AC948" s="1517"/>
      <c r="AD948" s="1517"/>
      <c r="AE948" s="1517"/>
      <c r="AF948" s="1613"/>
      <c r="AV948" s="2"/>
      <c r="AW948" s="2"/>
      <c r="AX948" s="2"/>
      <c r="AY948" s="2"/>
      <c r="AZ948" s="34"/>
      <c r="BA948" s="34"/>
      <c r="BB948" s="34"/>
      <c r="BC948" s="34"/>
    </row>
    <row r="949" spans="1:55" ht="13" customHeight="1">
      <c r="F949" s="47" t="s">
        <v>169</v>
      </c>
      <c r="G949" s="48"/>
      <c r="H949" s="48"/>
      <c r="I949" s="1683" t="s">
        <v>333</v>
      </c>
      <c r="J949" s="1684"/>
      <c r="K949" s="1684"/>
      <c r="L949" s="1684"/>
      <c r="M949" s="1684"/>
      <c r="N949" s="1684"/>
      <c r="O949" s="1684"/>
      <c r="P949" s="1684"/>
      <c r="Q949" s="1684"/>
      <c r="R949" s="1684"/>
      <c r="S949" s="1684"/>
      <c r="T949" s="1685"/>
      <c r="U949" s="1608" t="s">
        <v>591</v>
      </c>
      <c r="V949" s="1403"/>
      <c r="W949" s="1403"/>
      <c r="X949" s="1403"/>
      <c r="Y949" s="1403"/>
      <c r="Z949" s="1404"/>
      <c r="AA949" s="1612"/>
      <c r="AB949" s="1517"/>
      <c r="AC949" s="1517"/>
      <c r="AD949" s="1517"/>
      <c r="AE949" s="1517"/>
      <c r="AF949" s="1613"/>
      <c r="AU949" s="2"/>
      <c r="AZ949" s="34"/>
      <c r="BA949" s="34"/>
      <c r="BB949" s="34"/>
      <c r="BC949" s="34"/>
    </row>
    <row r="950" spans="1:55" ht="13" customHeight="1">
      <c r="F950" s="47" t="s">
        <v>169</v>
      </c>
      <c r="G950" s="48"/>
      <c r="H950" s="48"/>
      <c r="I950" s="1683" t="s">
        <v>333</v>
      </c>
      <c r="J950" s="1684"/>
      <c r="K950" s="1684"/>
      <c r="L950" s="1684"/>
      <c r="M950" s="1684"/>
      <c r="N950" s="1684"/>
      <c r="O950" s="1684"/>
      <c r="P950" s="1684"/>
      <c r="Q950" s="1684"/>
      <c r="R950" s="1684"/>
      <c r="S950" s="1684"/>
      <c r="T950" s="1685"/>
      <c r="U950" s="1608" t="s">
        <v>591</v>
      </c>
      <c r="V950" s="1403"/>
      <c r="W950" s="1403"/>
      <c r="X950" s="1403"/>
      <c r="Y950" s="1403"/>
      <c r="Z950" s="1404"/>
      <c r="AA950" s="1612"/>
      <c r="AB950" s="1517"/>
      <c r="AC950" s="1517"/>
      <c r="AD950" s="1517"/>
      <c r="AE950" s="1517"/>
      <c r="AF950" s="1613"/>
      <c r="AU950" s="2"/>
      <c r="AZ950" s="34"/>
      <c r="BA950" s="34"/>
      <c r="BB950" s="34"/>
      <c r="BC950" s="34"/>
    </row>
    <row r="951" spans="1:55" ht="13" customHeight="1">
      <c r="AU951" s="2"/>
      <c r="AZ951" s="34"/>
      <c r="BA951" s="34"/>
      <c r="BB951" s="34"/>
      <c r="BC951" s="34"/>
    </row>
    <row r="952" spans="1:55" ht="13" customHeight="1">
      <c r="A952" s="2" t="s">
        <v>576</v>
      </c>
      <c r="C952" s="2" t="s">
        <v>751</v>
      </c>
      <c r="AZ952" s="34"/>
      <c r="BA952" s="34"/>
      <c r="BB952" s="34"/>
      <c r="BC952" s="34"/>
    </row>
    <row r="953" spans="1:55" ht="13"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687" t="s">
        <v>591</v>
      </c>
      <c r="N955" s="1434"/>
      <c r="O955" s="1434"/>
      <c r="P955" s="1434"/>
      <c r="Q955" s="1434"/>
      <c r="R955" s="1434"/>
      <c r="S955" s="1603"/>
      <c r="U955" s="66" t="s">
        <v>11</v>
      </c>
      <c r="V955" s="5"/>
      <c r="W955" s="5"/>
      <c r="X955" s="5"/>
      <c r="Y955" s="5"/>
      <c r="Z955" s="5"/>
      <c r="AA955" s="5"/>
      <c r="AB955" s="5"/>
      <c r="AC955" s="5"/>
      <c r="AD955" s="46"/>
      <c r="AE955" s="1687"/>
      <c r="AF955" s="1434"/>
      <c r="AG955" s="1434"/>
      <c r="AH955" s="1434"/>
      <c r="AI955" s="1434"/>
      <c r="AJ955" s="1434"/>
      <c r="AK955" s="1603"/>
      <c r="AZ955" s="34"/>
      <c r="BA955" s="34"/>
      <c r="BB955" s="34"/>
      <c r="BC955" s="34"/>
    </row>
    <row r="956" spans="1:55" ht="13" customHeight="1">
      <c r="C956" s="66" t="s">
        <v>12</v>
      </c>
      <c r="D956" s="5"/>
      <c r="E956" s="5"/>
      <c r="F956" s="5"/>
      <c r="G956" s="5"/>
      <c r="H956" s="5"/>
      <c r="I956" s="5"/>
      <c r="J956" s="5"/>
      <c r="K956" s="5"/>
      <c r="L956" s="46"/>
      <c r="M956" s="1641"/>
      <c r="N956" s="1546"/>
      <c r="O956" s="1546"/>
      <c r="P956" s="1546"/>
      <c r="Q956" s="1546"/>
      <c r="R956" s="1546"/>
      <c r="S956" s="1642"/>
      <c r="U956" s="66" t="s">
        <v>12</v>
      </c>
      <c r="V956" s="5"/>
      <c r="W956" s="5"/>
      <c r="X956" s="5"/>
      <c r="Y956" s="5"/>
      <c r="Z956" s="5"/>
      <c r="AA956" s="5"/>
      <c r="AB956" s="5"/>
      <c r="AC956" s="5"/>
      <c r="AD956" s="46"/>
      <c r="AE956" s="1641"/>
      <c r="AF956" s="1546"/>
      <c r="AG956" s="1546"/>
      <c r="AH956" s="1546"/>
      <c r="AI956" s="1546"/>
      <c r="AJ956" s="1546"/>
      <c r="AK956" s="1642"/>
      <c r="AZ956" s="34"/>
      <c r="BA956" s="34"/>
      <c r="BB956" s="34"/>
      <c r="BC956" s="34"/>
    </row>
    <row r="957" spans="1:55" ht="13" customHeight="1">
      <c r="C957" s="66" t="s">
        <v>880</v>
      </c>
      <c r="D957" s="5"/>
      <c r="E957" s="5"/>
      <c r="J957" s="1796" t="s">
        <v>306</v>
      </c>
      <c r="K957" s="1797"/>
      <c r="L957" s="1797"/>
      <c r="M957" s="1797"/>
      <c r="N957" s="1797"/>
      <c r="O957" s="1797"/>
      <c r="P957" s="1797"/>
      <c r="Q957" s="1797"/>
      <c r="R957" s="1797"/>
      <c r="S957" s="1798"/>
      <c r="U957" s="66" t="s">
        <v>880</v>
      </c>
      <c r="V957" s="5"/>
      <c r="W957" s="5"/>
      <c r="AB957" s="1796" t="s">
        <v>306</v>
      </c>
      <c r="AC957" s="1797"/>
      <c r="AD957" s="1797"/>
      <c r="AE957" s="1797"/>
      <c r="AF957" s="1797"/>
      <c r="AG957" s="1797"/>
      <c r="AH957" s="1797"/>
      <c r="AI957" s="1797"/>
      <c r="AJ957" s="1797"/>
      <c r="AK957" s="1798"/>
      <c r="AZ957" s="34"/>
      <c r="BA957" s="34"/>
      <c r="BB957" s="34"/>
      <c r="BC957" s="34"/>
    </row>
    <row r="958" spans="1:55" ht="13" customHeight="1">
      <c r="C958" s="66" t="s">
        <v>13</v>
      </c>
      <c r="D958" s="5"/>
      <c r="E958" s="5"/>
      <c r="F958" s="5"/>
      <c r="G958" s="5"/>
      <c r="H958" s="5"/>
      <c r="I958" s="5"/>
      <c r="J958" s="5"/>
      <c r="K958" s="5"/>
      <c r="L958" s="46"/>
      <c r="M958" s="1688"/>
      <c r="N958" s="1689"/>
      <c r="O958" s="1689"/>
      <c r="P958" s="1689"/>
      <c r="Q958" s="1689"/>
      <c r="R958" s="1689"/>
      <c r="S958" s="1690"/>
      <c r="U958" s="66" t="s">
        <v>13</v>
      </c>
      <c r="V958" s="5"/>
      <c r="W958" s="5"/>
      <c r="X958" s="5"/>
      <c r="Y958" s="5"/>
      <c r="Z958" s="5"/>
      <c r="AA958" s="5"/>
      <c r="AB958" s="5"/>
      <c r="AC958" s="5"/>
      <c r="AD958" s="46"/>
      <c r="AE958" s="1765"/>
      <c r="AF958" s="1689"/>
      <c r="AG958" s="1689"/>
      <c r="AH958" s="1689"/>
      <c r="AI958" s="1689"/>
      <c r="AJ958" s="1689"/>
      <c r="AK958" s="1690"/>
      <c r="AZ958" s="34"/>
      <c r="BA958" s="34"/>
      <c r="BB958" s="34"/>
      <c r="BC958" s="34"/>
    </row>
    <row r="959" spans="1:55" ht="13" customHeight="1">
      <c r="C959" s="66" t="s">
        <v>14</v>
      </c>
      <c r="D959" s="5"/>
      <c r="E959" s="5"/>
      <c r="F959" s="5"/>
      <c r="G959" s="5"/>
      <c r="H959" s="5"/>
      <c r="I959" s="5"/>
      <c r="J959" s="5"/>
      <c r="K959" s="5"/>
      <c r="L959" s="46"/>
      <c r="M959" s="1711"/>
      <c r="N959" s="1588"/>
      <c r="O959" s="1588"/>
      <c r="P959" s="1588"/>
      <c r="Q959" s="1588"/>
      <c r="R959" s="1588"/>
      <c r="S959" s="1589"/>
      <c r="U959" s="66" t="s">
        <v>14</v>
      </c>
      <c r="V959" s="5"/>
      <c r="W959" s="5"/>
      <c r="X959" s="5"/>
      <c r="Y959" s="5"/>
      <c r="Z959" s="5"/>
      <c r="AA959" s="5"/>
      <c r="AB959" s="5"/>
      <c r="AC959" s="5"/>
      <c r="AD959" s="46"/>
      <c r="AE959" s="1711"/>
      <c r="AF959" s="1588"/>
      <c r="AG959" s="1588"/>
      <c r="AH959" s="1588"/>
      <c r="AI959" s="1588"/>
      <c r="AJ959" s="1588"/>
      <c r="AK959" s="1589"/>
      <c r="AV959" s="2"/>
      <c r="AW959" s="2"/>
      <c r="AX959" s="2"/>
      <c r="AY959" s="2"/>
      <c r="AZ959" s="34"/>
      <c r="BA959" s="34"/>
      <c r="BB959" s="34"/>
      <c r="BC959" s="34"/>
    </row>
    <row r="960" spans="1:55" ht="13" customHeight="1">
      <c r="C960" s="66" t="s">
        <v>15</v>
      </c>
      <c r="D960" s="5"/>
      <c r="E960" s="5"/>
      <c r="F960" s="5"/>
      <c r="G960" s="5"/>
      <c r="H960" s="5"/>
      <c r="I960" s="5"/>
      <c r="J960" s="5"/>
      <c r="K960" s="5"/>
      <c r="L960" s="46"/>
      <c r="M960" s="1612"/>
      <c r="N960" s="1517"/>
      <c r="O960" s="1517"/>
      <c r="P960" s="1517"/>
      <c r="Q960" s="1517"/>
      <c r="R960" s="1517"/>
      <c r="S960" s="1613"/>
      <c r="U960" s="66" t="s">
        <v>15</v>
      </c>
      <c r="V960" s="5"/>
      <c r="W960" s="5"/>
      <c r="X960" s="5"/>
      <c r="Y960" s="5"/>
      <c r="Z960" s="5"/>
      <c r="AA960" s="5"/>
      <c r="AB960" s="5"/>
      <c r="AC960" s="5"/>
      <c r="AD960" s="46"/>
      <c r="AE960" s="1612"/>
      <c r="AF960" s="1517"/>
      <c r="AG960" s="1517"/>
      <c r="AH960" s="1517"/>
      <c r="AI960" s="1517"/>
      <c r="AJ960" s="1517"/>
      <c r="AK960" s="1613"/>
      <c r="AV960" s="2"/>
      <c r="AW960" s="2"/>
      <c r="AX960" s="2"/>
      <c r="AY960" s="2"/>
      <c r="AZ960" s="34"/>
      <c r="BA960" s="34"/>
      <c r="BB960" s="34"/>
      <c r="BC960" s="34"/>
    </row>
    <row r="961" spans="1:64" ht="13" customHeight="1">
      <c r="C961" s="66" t="s">
        <v>16</v>
      </c>
      <c r="D961" s="5"/>
      <c r="E961" s="5"/>
      <c r="F961" s="5"/>
      <c r="G961" s="5"/>
      <c r="H961" s="5"/>
      <c r="I961" s="5"/>
      <c r="J961" s="5"/>
      <c r="K961" s="5"/>
      <c r="L961" s="46"/>
      <c r="M961" s="1612"/>
      <c r="N961" s="1517"/>
      <c r="O961" s="1517"/>
      <c r="P961" s="1517"/>
      <c r="Q961" s="1517"/>
      <c r="R961" s="1517"/>
      <c r="S961" s="1613"/>
      <c r="U961" s="66" t="s">
        <v>16</v>
      </c>
      <c r="V961" s="5"/>
      <c r="W961" s="5"/>
      <c r="X961" s="5"/>
      <c r="Y961" s="5"/>
      <c r="Z961" s="5"/>
      <c r="AA961" s="5"/>
      <c r="AB961" s="5"/>
      <c r="AC961" s="5"/>
      <c r="AD961" s="46"/>
      <c r="AE961" s="1612"/>
      <c r="AF961" s="1517"/>
      <c r="AG961" s="1517"/>
      <c r="AH961" s="1517"/>
      <c r="AI961" s="1517"/>
      <c r="AJ961" s="1517"/>
      <c r="AK961" s="1613"/>
      <c r="AV961" s="2"/>
      <c r="AW961" s="2"/>
      <c r="AX961" s="2"/>
      <c r="AY961" s="2"/>
      <c r="AZ961" s="34"/>
      <c r="BB961" s="34"/>
      <c r="BC961" s="34"/>
    </row>
    <row r="962" spans="1:64" ht="13" customHeight="1">
      <c r="C962" s="121" t="s">
        <v>1661</v>
      </c>
      <c r="D962" s="5"/>
      <c r="E962" s="5"/>
      <c r="F962" s="5"/>
      <c r="G962" s="5"/>
      <c r="H962" s="5"/>
      <c r="I962" s="5"/>
      <c r="J962" s="5"/>
      <c r="K962" s="5"/>
      <c r="L962" s="46"/>
      <c r="M962" s="1762"/>
      <c r="N962" s="1763"/>
      <c r="O962" s="1763"/>
      <c r="P962" s="1763"/>
      <c r="Q962" s="1763"/>
      <c r="R962" s="1763"/>
      <c r="S962" s="1764"/>
      <c r="U962" s="121" t="s">
        <v>1661</v>
      </c>
      <c r="V962" s="5"/>
      <c r="W962" s="5"/>
      <c r="X962" s="5"/>
      <c r="Y962" s="5"/>
      <c r="Z962" s="5"/>
      <c r="AA962" s="5"/>
      <c r="AB962" s="5"/>
      <c r="AC962" s="5"/>
      <c r="AD962" s="46"/>
      <c r="AE962" s="1762"/>
      <c r="AF962" s="1763"/>
      <c r="AG962" s="1763"/>
      <c r="AH962" s="1763"/>
      <c r="AI962" s="1763"/>
      <c r="AJ962" s="1763"/>
      <c r="AK962" s="1764"/>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571</v>
      </c>
      <c r="G967" s="5"/>
      <c r="H967" s="5"/>
      <c r="I967" s="5"/>
      <c r="J967" s="5"/>
      <c r="K967" s="5"/>
      <c r="L967" s="46"/>
      <c r="M967" s="1638"/>
      <c r="N967" s="1639"/>
      <c r="O967" s="1639"/>
      <c r="P967" s="1639"/>
      <c r="Q967" s="1639"/>
      <c r="R967" s="1639"/>
      <c r="S967" s="1640"/>
      <c r="T967" s="66" t="s">
        <v>790</v>
      </c>
      <c r="U967" s="5"/>
      <c r="V967" s="5"/>
      <c r="W967" s="5"/>
      <c r="X967" s="5"/>
      <c r="Y967" s="5"/>
      <c r="Z967" s="46"/>
      <c r="AA967" s="1638"/>
      <c r="AB967" s="1639"/>
      <c r="AC967" s="1639"/>
      <c r="AD967" s="1639"/>
      <c r="AE967" s="1639"/>
      <c r="AF967" s="1639"/>
      <c r="AG967" s="1640"/>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572</v>
      </c>
      <c r="G968" s="5"/>
      <c r="H968" s="5"/>
      <c r="I968" s="5"/>
      <c r="J968" s="5"/>
      <c r="K968" s="5"/>
      <c r="L968" s="46"/>
      <c r="M968" s="1638"/>
      <c r="N968" s="1639"/>
      <c r="O968" s="1639"/>
      <c r="P968" s="1639"/>
      <c r="Q968" s="1639"/>
      <c r="R968" s="1639"/>
      <c r="S968" s="1640"/>
      <c r="T968" s="66" t="s">
        <v>789</v>
      </c>
      <c r="U968" s="5"/>
      <c r="V968" s="5"/>
      <c r="W968" s="5"/>
      <c r="X968" s="5"/>
      <c r="Y968" s="5"/>
      <c r="Z968" s="46"/>
      <c r="AA968" s="1638"/>
      <c r="AB968" s="1639"/>
      <c r="AC968" s="1639"/>
      <c r="AD968" s="1639"/>
      <c r="AE968" s="1639"/>
      <c r="AF968" s="1639"/>
      <c r="AG968" s="1640"/>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901</v>
      </c>
      <c r="G969" s="5"/>
      <c r="H969" s="5"/>
      <c r="I969" s="5"/>
      <c r="J969" s="5"/>
      <c r="K969" s="5"/>
      <c r="L969" s="46"/>
      <c r="M969" s="1691" t="s">
        <v>591</v>
      </c>
      <c r="N969" s="1692"/>
      <c r="O969" s="1692"/>
      <c r="P969" s="1692"/>
      <c r="Q969" s="1692"/>
      <c r="R969" s="1692"/>
      <c r="S969" s="1693"/>
      <c r="T969" s="45" t="s">
        <v>336</v>
      </c>
      <c r="U969" s="5"/>
      <c r="V969" s="5"/>
      <c r="W969" s="5"/>
      <c r="X969" s="5"/>
      <c r="Y969" s="5"/>
      <c r="Z969" s="46"/>
      <c r="AA969" s="1638"/>
      <c r="AB969" s="1639"/>
      <c r="AC969" s="1639"/>
      <c r="AD969" s="1639"/>
      <c r="AE969" s="1639"/>
      <c r="AF969" s="1639"/>
      <c r="AG969" s="1640"/>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573</v>
      </c>
      <c r="G970" s="5"/>
      <c r="H970" s="5"/>
      <c r="I970" s="5"/>
      <c r="J970" s="5"/>
      <c r="K970" s="5"/>
      <c r="L970" s="46"/>
      <c r="M970" s="1638"/>
      <c r="N970" s="1639"/>
      <c r="O970" s="1639"/>
      <c r="P970" s="1639"/>
      <c r="Q970" s="1639"/>
      <c r="R970" s="1639"/>
      <c r="S970" s="1640"/>
      <c r="T970" s="45" t="s">
        <v>337</v>
      </c>
      <c r="U970" s="5"/>
      <c r="V970" s="5"/>
      <c r="W970" s="5"/>
      <c r="X970" s="5"/>
      <c r="Y970" s="5"/>
      <c r="Z970" s="46"/>
      <c r="AA970" s="1638"/>
      <c r="AB970" s="1639"/>
      <c r="AC970" s="1639"/>
      <c r="AD970" s="1639"/>
      <c r="AE970" s="1639"/>
      <c r="AF970" s="1639"/>
      <c r="AG970" s="1640"/>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464</v>
      </c>
      <c r="G971" s="5"/>
      <c r="H971" s="5"/>
      <c r="I971" s="5"/>
      <c r="J971" s="5"/>
      <c r="K971" s="5"/>
      <c r="L971" s="46"/>
      <c r="M971" s="1638"/>
      <c r="N971" s="1639"/>
      <c r="O971" s="1639"/>
      <c r="P971" s="1639"/>
      <c r="Q971" s="1639"/>
      <c r="R971" s="1639"/>
      <c r="S971" s="1640"/>
      <c r="T971" s="45" t="s">
        <v>375</v>
      </c>
      <c r="U971" s="5"/>
      <c r="V971" s="5"/>
      <c r="W971" s="5"/>
      <c r="X971" s="5"/>
      <c r="Y971" s="5"/>
      <c r="Z971" s="46"/>
      <c r="AA971" s="1638"/>
      <c r="AB971" s="1639"/>
      <c r="AC971" s="1639"/>
      <c r="AD971" s="1639"/>
      <c r="AE971" s="1639"/>
      <c r="AF971" s="1639"/>
      <c r="AG971" s="1640"/>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2" t="s">
        <v>880</v>
      </c>
      <c r="G972" s="42"/>
      <c r="H972" s="42"/>
      <c r="I972" s="42"/>
      <c r="J972" s="42"/>
      <c r="K972" s="42"/>
      <c r="L972" s="58"/>
      <c r="M972" s="1796" t="s">
        <v>306</v>
      </c>
      <c r="N972" s="1797"/>
      <c r="O972" s="1797"/>
      <c r="P972" s="1797"/>
      <c r="Q972" s="1797"/>
      <c r="R972" s="1797"/>
      <c r="S972" s="1798"/>
      <c r="T972" s="1749"/>
      <c r="U972" s="1750"/>
      <c r="V972" s="1750"/>
      <c r="W972" s="1750"/>
      <c r="X972" s="1750"/>
      <c r="Y972" s="1750"/>
      <c r="Z972" s="1751"/>
      <c r="AA972" s="1638"/>
      <c r="AB972" s="1639"/>
      <c r="AC972" s="1639"/>
      <c r="AD972" s="1639"/>
      <c r="AE972" s="1639"/>
      <c r="AF972" s="1639"/>
      <c r="AG972" s="1640"/>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465</v>
      </c>
      <c r="G973" s="42"/>
      <c r="H973" s="42"/>
      <c r="I973" s="42"/>
      <c r="J973" s="42"/>
      <c r="K973" s="42"/>
      <c r="L973" s="58"/>
      <c r="M973" s="1638"/>
      <c r="N973" s="1639"/>
      <c r="O973" s="1639"/>
      <c r="P973" s="1639"/>
      <c r="Q973" s="1639"/>
      <c r="R973" s="1639"/>
      <c r="S973" s="1640"/>
      <c r="T973" s="1749"/>
      <c r="U973" s="1750"/>
      <c r="V973" s="1750"/>
      <c r="W973" s="1750"/>
      <c r="X973" s="1750"/>
      <c r="Y973" s="1750"/>
      <c r="Z973" s="1751"/>
      <c r="AA973" s="1638"/>
      <c r="AB973" s="1639"/>
      <c r="AC973" s="1639"/>
      <c r="AD973" s="1639"/>
      <c r="AE973" s="1639"/>
      <c r="AF973" s="1639"/>
      <c r="AG973" s="1640"/>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335</v>
      </c>
      <c r="G974" s="42"/>
      <c r="H974" s="42"/>
      <c r="I974" s="42"/>
      <c r="J974" s="42"/>
      <c r="K974" s="42"/>
      <c r="L974" s="42"/>
      <c r="M974" s="42"/>
      <c r="N974" s="42"/>
      <c r="O974" s="1786" t="s">
        <v>669</v>
      </c>
      <c r="P974" s="1787"/>
      <c r="Q974" s="92"/>
      <c r="R974" s="92"/>
      <c r="S974" s="93"/>
      <c r="T974" s="41" t="s">
        <v>169</v>
      </c>
      <c r="U974" s="42"/>
      <c r="V974" s="42"/>
      <c r="W974" s="1799" t="s">
        <v>333</v>
      </c>
      <c r="X974" s="1800"/>
      <c r="Y974" s="1800"/>
      <c r="Z974" s="1800"/>
      <c r="AA974" s="1800"/>
      <c r="AB974" s="1800"/>
      <c r="AC974" s="1800"/>
      <c r="AD974" s="1800"/>
      <c r="AE974" s="1800"/>
      <c r="AF974" s="1800"/>
      <c r="AG974" s="1801"/>
      <c r="AU974" s="68"/>
      <c r="AV974" s="95"/>
      <c r="AW974" s="95"/>
      <c r="AX974" s="95"/>
      <c r="AY974" s="95"/>
      <c r="AZ974" s="34"/>
      <c r="BB974" s="34"/>
      <c r="BC974" s="34"/>
      <c r="BD974" s="34"/>
      <c r="BE974" s="34"/>
      <c r="BF974" s="34"/>
      <c r="BG974" s="34"/>
      <c r="BH974" s="34"/>
      <c r="BI974" s="34"/>
      <c r="BJ974" s="34"/>
      <c r="BK974" s="34"/>
      <c r="BL974" s="34"/>
    </row>
    <row r="975" spans="1:64" ht="13" customHeight="1">
      <c r="F975" s="1583" t="s">
        <v>33</v>
      </c>
      <c r="G975" s="1468"/>
      <c r="H975" s="1468"/>
      <c r="I975" s="1468"/>
      <c r="J975" s="1468"/>
      <c r="K975" s="1468"/>
      <c r="L975" s="1468"/>
      <c r="M975" s="1638"/>
      <c r="N975" s="1639"/>
      <c r="O975" s="1639"/>
      <c r="P975" s="1639"/>
      <c r="Q975" s="1639"/>
      <c r="R975" s="1639"/>
      <c r="S975" s="1640"/>
      <c r="T975" s="47"/>
      <c r="U975" s="48"/>
      <c r="V975" s="48"/>
      <c r="W975" s="48"/>
      <c r="X975" s="48"/>
      <c r="Y975" s="48"/>
      <c r="Z975" s="124" t="s">
        <v>134</v>
      </c>
      <c r="AA975" s="1746"/>
      <c r="AB975" s="1747"/>
      <c r="AC975" s="1747"/>
      <c r="AD975" s="1747"/>
      <c r="AE975" s="1747"/>
      <c r="AF975" s="1747"/>
      <c r="AG975" s="1748"/>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14"/>
      <c r="BH976" s="1614"/>
      <c r="BI976" s="1614"/>
      <c r="BJ976" s="1614"/>
      <c r="BK976" s="1614"/>
      <c r="BL976" s="1614"/>
    </row>
    <row r="977" spans="1:64" ht="13" customHeight="1">
      <c r="AU977" s="68"/>
      <c r="AV977" s="68"/>
      <c r="AW977" s="68"/>
      <c r="AX977" s="68"/>
      <c r="AY977" s="68"/>
      <c r="AZ977" s="14"/>
      <c r="BA977" s="14"/>
      <c r="BB977" s="912"/>
      <c r="BC977" s="912"/>
      <c r="BD977" s="14"/>
      <c r="BE977" s="14"/>
      <c r="BF977" s="14"/>
      <c r="BG977" s="14"/>
      <c r="BH977" s="14"/>
      <c r="BI977" s="14"/>
      <c r="BJ977" s="14"/>
      <c r="BK977" s="14"/>
      <c r="BL977" s="14"/>
    </row>
    <row r="978" spans="1:64" ht="13" customHeight="1">
      <c r="AU978" s="68"/>
      <c r="AV978" s="68"/>
      <c r="AW978" s="68"/>
      <c r="AX978" s="68"/>
      <c r="AY978" s="68"/>
      <c r="AZ978" s="14"/>
      <c r="BA978" s="14"/>
      <c r="BB978" s="912"/>
      <c r="BC978" s="912"/>
    </row>
    <row r="979" spans="1:64" ht="13" customHeight="1">
      <c r="A979" s="1527" t="s">
        <v>548</v>
      </c>
      <c r="B979" s="1527"/>
      <c r="C979" s="1527"/>
      <c r="D979" s="1527"/>
      <c r="E979" s="1527"/>
      <c r="F979" s="1527"/>
      <c r="G979" s="1527"/>
      <c r="H979" s="1527"/>
      <c r="I979" s="1527"/>
      <c r="J979" s="1527"/>
      <c r="K979" s="1527"/>
      <c r="L979" s="1527"/>
      <c r="M979" s="1527"/>
      <c r="N979" s="1527"/>
      <c r="O979" s="1527"/>
      <c r="P979" s="1527"/>
      <c r="Q979" s="1527"/>
      <c r="R979" s="1527"/>
      <c r="S979" s="1527"/>
      <c r="T979" s="1527"/>
      <c r="U979" s="1527"/>
      <c r="V979" s="1527"/>
      <c r="W979" s="1527"/>
      <c r="X979" s="1527"/>
      <c r="Y979" s="1527"/>
      <c r="Z979" s="1527"/>
      <c r="AA979" s="1527"/>
      <c r="AB979" s="1527"/>
      <c r="AC979" s="1527"/>
      <c r="AD979" s="1527"/>
      <c r="AE979" s="1527"/>
      <c r="AF979" s="1527"/>
      <c r="AG979" s="1527"/>
      <c r="AH979" s="1527"/>
      <c r="AI979" s="1527"/>
      <c r="AJ979" s="1527"/>
      <c r="AK979" s="1527"/>
      <c r="AL979" s="1527"/>
      <c r="AM979" s="1527"/>
      <c r="AN979" s="1527"/>
      <c r="AO979" s="1527"/>
      <c r="AP979" s="1527"/>
      <c r="AQ979" s="1527"/>
      <c r="AR979" s="1527"/>
      <c r="AS979" s="1527"/>
      <c r="AT979" s="1527"/>
      <c r="AU979" s="68"/>
      <c r="AV979" s="68"/>
      <c r="AW979" s="68"/>
      <c r="AX979" s="68"/>
      <c r="AY979" s="68"/>
      <c r="AZ979" s="14"/>
      <c r="BA979" s="14"/>
      <c r="BB979" s="912"/>
      <c r="BC979" s="912"/>
    </row>
    <row r="980" spans="1:64" ht="13" customHeight="1">
      <c r="A980" s="1527"/>
      <c r="B980" s="1527"/>
      <c r="C980" s="1527"/>
      <c r="D980" s="1527"/>
      <c r="E980" s="1527"/>
      <c r="F980" s="1527"/>
      <c r="G980" s="1527"/>
      <c r="H980" s="1527"/>
      <c r="I980" s="1527"/>
      <c r="J980" s="1527"/>
      <c r="K980" s="1527"/>
      <c r="L980" s="1527"/>
      <c r="M980" s="1527"/>
      <c r="N980" s="1527"/>
      <c r="O980" s="1527"/>
      <c r="P980" s="1527"/>
      <c r="Q980" s="1527"/>
      <c r="R980" s="1527"/>
      <c r="S980" s="1527"/>
      <c r="T980" s="1527"/>
      <c r="U980" s="1527"/>
      <c r="V980" s="1527"/>
      <c r="W980" s="1527"/>
      <c r="X980" s="1527"/>
      <c r="Y980" s="1527"/>
      <c r="Z980" s="1527"/>
      <c r="AA980" s="1527"/>
      <c r="AB980" s="1527"/>
      <c r="AC980" s="1527"/>
      <c r="AD980" s="1527"/>
      <c r="AE980" s="1527"/>
      <c r="AF980" s="1527"/>
      <c r="AG980" s="1527"/>
      <c r="AH980" s="1527"/>
      <c r="AI980" s="1527"/>
      <c r="AJ980" s="1527"/>
      <c r="AK980" s="1527"/>
      <c r="AL980" s="1527"/>
      <c r="AM980" s="1527"/>
      <c r="AN980" s="1527"/>
      <c r="AO980" s="1527"/>
      <c r="AP980" s="1527"/>
      <c r="AQ980" s="1527"/>
      <c r="AR980" s="1527"/>
      <c r="AS980" s="1527"/>
      <c r="AT980" s="1527"/>
      <c r="AU980" s="68"/>
      <c r="AV980" s="68"/>
      <c r="AW980" s="68"/>
      <c r="AX980" s="68"/>
      <c r="AY980" s="68"/>
      <c r="AZ980" s="30"/>
      <c r="BA980" s="14"/>
      <c r="BB980" s="14"/>
      <c r="BC980" s="14"/>
    </row>
    <row r="981" spans="1:64" ht="13" customHeight="1">
      <c r="A981" s="1527"/>
      <c r="B981" s="1527"/>
      <c r="C981" s="1527"/>
      <c r="D981" s="1527"/>
      <c r="E981" s="1527"/>
      <c r="F981" s="1527"/>
      <c r="G981" s="1527"/>
      <c r="H981" s="1527"/>
      <c r="I981" s="1527"/>
      <c r="J981" s="1527"/>
      <c r="K981" s="1527"/>
      <c r="L981" s="1527"/>
      <c r="M981" s="1527"/>
      <c r="N981" s="1527"/>
      <c r="O981" s="1527"/>
      <c r="P981" s="1527"/>
      <c r="Q981" s="1527"/>
      <c r="R981" s="1527"/>
      <c r="S981" s="1527"/>
      <c r="T981" s="1527"/>
      <c r="U981" s="1527"/>
      <c r="V981" s="1527"/>
      <c r="W981" s="1527"/>
      <c r="X981" s="1527"/>
      <c r="Y981" s="1527"/>
      <c r="Z981" s="1527"/>
      <c r="AA981" s="1527"/>
      <c r="AB981" s="1527"/>
      <c r="AC981" s="1527"/>
      <c r="AD981" s="1527"/>
      <c r="AE981" s="1527"/>
      <c r="AF981" s="1527"/>
      <c r="AG981" s="1527"/>
      <c r="AH981" s="1527"/>
      <c r="AI981" s="1527"/>
      <c r="AJ981" s="1527"/>
      <c r="AK981" s="1527"/>
      <c r="AL981" s="1527"/>
      <c r="AM981" s="1527"/>
      <c r="AN981" s="1527"/>
      <c r="AO981" s="1527"/>
      <c r="AP981" s="1527"/>
      <c r="AQ981" s="1527"/>
      <c r="AR981" s="1527"/>
      <c r="AS981" s="1527"/>
      <c r="AT981" s="1527"/>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8"/>
      <c r="D985" s="1777" t="s">
        <v>638</v>
      </c>
      <c r="E985" s="1778"/>
      <c r="F985" s="1778"/>
      <c r="G985" s="1778"/>
      <c r="H985" s="1778"/>
      <c r="I985" s="1778"/>
      <c r="J985" s="1778"/>
      <c r="K985" s="1778"/>
      <c r="L985" s="1778"/>
      <c r="M985" s="1778"/>
      <c r="N985" s="1778"/>
      <c r="O985" s="1778"/>
      <c r="P985" s="1778"/>
      <c r="Q985" s="1779"/>
      <c r="R985" s="1777" t="s">
        <v>639</v>
      </c>
      <c r="S985" s="1778"/>
      <c r="T985" s="1778"/>
      <c r="U985" s="1778"/>
      <c r="V985" s="1778"/>
      <c r="W985" s="1778"/>
      <c r="X985" s="1778"/>
      <c r="Y985" s="1778"/>
      <c r="Z985" s="1778"/>
      <c r="AA985" s="1779"/>
      <c r="AB985" s="1777" t="s">
        <v>640</v>
      </c>
      <c r="AC985" s="1778"/>
      <c r="AD985" s="1778"/>
      <c r="AE985" s="1778"/>
      <c r="AF985" s="1778"/>
      <c r="AG985" s="1778"/>
      <c r="AH985" s="1778"/>
      <c r="AI985" s="1779"/>
      <c r="AJ985" s="1777" t="s">
        <v>641</v>
      </c>
      <c r="AK985" s="1778"/>
      <c r="AL985" s="1778"/>
      <c r="AM985" s="1778"/>
      <c r="AN985" s="1778"/>
      <c r="AO985" s="1778"/>
      <c r="AP985" s="1778"/>
      <c r="AQ985" s="1779"/>
      <c r="AR985" s="68"/>
      <c r="AS985" s="68"/>
      <c r="AT985" s="68"/>
      <c r="AU985" s="68"/>
      <c r="AV985" s="68"/>
      <c r="AW985" s="68"/>
      <c r="AX985" s="68"/>
      <c r="AY985" s="68"/>
      <c r="AZ985" s="30"/>
      <c r="BB985" s="14"/>
      <c r="BC985" s="14"/>
    </row>
    <row r="986" spans="1:64" ht="13" customHeight="1">
      <c r="A986" s="14"/>
      <c r="B986" s="73"/>
      <c r="C986" s="929"/>
      <c r="D986" s="1783" t="s">
        <v>633</v>
      </c>
      <c r="E986" s="1784"/>
      <c r="F986" s="1784"/>
      <c r="G986" s="1784"/>
      <c r="H986" s="1784"/>
      <c r="I986" s="1784"/>
      <c r="J986" s="1784"/>
      <c r="K986" s="1784"/>
      <c r="L986" s="1784"/>
      <c r="M986" s="1784"/>
      <c r="N986" s="1784"/>
      <c r="O986" s="1784"/>
      <c r="P986" s="1784"/>
      <c r="Q986" s="1785"/>
      <c r="R986" s="1770">
        <f>IF(ISNA(IF($CU$122="4%",(INDEX($CS$160:$CW$217,MATCH($DG$122,$CR$160:$CR$217,0),MATCH(D986,$CS$159:$CW$159,0))),(INDEX($CZ$160:$DD$217,MATCH($DG$122,$CY$160:$CY$217,0),MATCH(D986,$CZ$159:$DD$159,0))))),0,IF($CU$122="4%",(INDEX($CS$160:$CW$217,MATCH($DG$122,$CR$160:$CR$217,0),MATCH(D986,$CS$159:$CW$159,0))),(INDEX($CZ$160:$DD$217,MATCH($DG$122,$CY$160:$CY$217,0),MATCH(D986,$CZ$159:$DD$159,0)))))</f>
        <v>384234</v>
      </c>
      <c r="S986" s="1770"/>
      <c r="T986" s="1770"/>
      <c r="U986" s="1770"/>
      <c r="V986" s="1770"/>
      <c r="W986" s="1770"/>
      <c r="X986" s="1770"/>
      <c r="Y986" s="1770"/>
      <c r="Z986" s="1770"/>
      <c r="AA986" s="1770"/>
      <c r="AB986" s="1767">
        <f>CP802</f>
        <v>0</v>
      </c>
      <c r="AC986" s="1768"/>
      <c r="AD986" s="1768"/>
      <c r="AE986" s="1768"/>
      <c r="AF986" s="1768"/>
      <c r="AG986" s="1768"/>
      <c r="AH986" s="1768"/>
      <c r="AI986" s="1769"/>
      <c r="AJ986" s="1703">
        <f>IF(ISERROR((R986*AB986)),0,(R986*AB986))</f>
        <v>0</v>
      </c>
      <c r="AK986" s="1704"/>
      <c r="AL986" s="1704"/>
      <c r="AM986" s="1704"/>
      <c r="AN986" s="1704"/>
      <c r="AO986" s="1704"/>
      <c r="AP986" s="1704"/>
      <c r="AQ986" s="1705"/>
      <c r="AR986" s="68"/>
      <c r="AS986" s="68"/>
      <c r="AT986" s="68"/>
      <c r="AU986" s="68"/>
      <c r="AV986" s="68"/>
      <c r="AW986" s="68"/>
      <c r="AX986" s="68"/>
      <c r="AY986" s="68"/>
      <c r="AZ986" s="30"/>
      <c r="BB986" s="14"/>
      <c r="BC986" s="14"/>
    </row>
    <row r="987" spans="1:64" ht="13" customHeight="1">
      <c r="A987" s="14"/>
      <c r="B987" s="73"/>
      <c r="C987" s="83"/>
      <c r="D987" s="1783" t="s">
        <v>324</v>
      </c>
      <c r="E987" s="1784"/>
      <c r="F987" s="1784"/>
      <c r="G987" s="1784"/>
      <c r="H987" s="1784"/>
      <c r="I987" s="1784"/>
      <c r="J987" s="1784"/>
      <c r="K987" s="1784"/>
      <c r="L987" s="1784"/>
      <c r="M987" s="1784"/>
      <c r="N987" s="1784"/>
      <c r="O987" s="1784"/>
      <c r="P987" s="1784"/>
      <c r="Q987" s="1785"/>
      <c r="R987" s="1770">
        <f>IF(ISNA(IF($CU$122="4%",(INDEX($CS$160:$CW$217,MATCH($DG$122,$CR$160:$CR$217,0),MATCH(D987,$CS$159:$CW$159,0))),(INDEX($CZ$160:$DD$217,MATCH($DG$122,$CY$160:$CY$217,0),MATCH(D987,$CZ$159:$DD$159,0))))),0,IF($CU$122="4%",(INDEX($CS$160:$CW$217,MATCH($DG$122,$CR$160:$CR$217,0),MATCH(D987,$CS$159:$CW$159,0))),(INDEX($CZ$160:$DD$217,MATCH($DG$122,$CY$160:$CY$217,0),MATCH(D987,$CZ$159:$DD$159,0)))))</f>
        <v>443018</v>
      </c>
      <c r="S987" s="1770"/>
      <c r="T987" s="1770"/>
      <c r="U987" s="1770"/>
      <c r="V987" s="1770"/>
      <c r="W987" s="1770"/>
      <c r="X987" s="1770"/>
      <c r="Y987" s="1770"/>
      <c r="Z987" s="1770"/>
      <c r="AA987" s="1770"/>
      <c r="AB987" s="1767">
        <f>CU802</f>
        <v>45</v>
      </c>
      <c r="AC987" s="1768"/>
      <c r="AD987" s="1768"/>
      <c r="AE987" s="1768"/>
      <c r="AF987" s="1768"/>
      <c r="AG987" s="1768"/>
      <c r="AH987" s="1768"/>
      <c r="AI987" s="1769"/>
      <c r="AJ987" s="1703">
        <f>IF(ISERROR((R987*AB987)),0,(R987*AB987))</f>
        <v>19935810</v>
      </c>
      <c r="AK987" s="1704"/>
      <c r="AL987" s="1704"/>
      <c r="AM987" s="1704"/>
      <c r="AN987" s="1704"/>
      <c r="AO987" s="1704"/>
      <c r="AP987" s="1704"/>
      <c r="AQ987" s="1705"/>
      <c r="AR987" s="68"/>
      <c r="AS987" s="68"/>
      <c r="AT987" s="68"/>
      <c r="AU987" s="68"/>
      <c r="AV987" s="68"/>
      <c r="AW987" s="68"/>
      <c r="AX987" s="68"/>
      <c r="AY987" s="68"/>
      <c r="AZ987" s="30"/>
      <c r="BB987" s="14"/>
      <c r="BC987" s="14"/>
    </row>
    <row r="988" spans="1:64" ht="13" customHeight="1">
      <c r="A988" s="14"/>
      <c r="B988" s="73"/>
      <c r="C988" s="83"/>
      <c r="D988" s="1783" t="s">
        <v>163</v>
      </c>
      <c r="E988" s="1784"/>
      <c r="F988" s="1784"/>
      <c r="G988" s="1784"/>
      <c r="H988" s="1784"/>
      <c r="I988" s="1784"/>
      <c r="J988" s="1784"/>
      <c r="K988" s="1784"/>
      <c r="L988" s="1784"/>
      <c r="M988" s="1784"/>
      <c r="N988" s="1784"/>
      <c r="O988" s="1784"/>
      <c r="P988" s="1784"/>
      <c r="Q988" s="1785"/>
      <c r="R988" s="1770">
        <f>IF(ISNA(IF($CU$122="4%",(INDEX($CS$160:$CW$217,MATCH($DG$122,$CR$160:$CR$217,0),MATCH(D988,$CS$159:$CW$159,0))),(INDEX($CZ$160:$DD$217,MATCH($DG$122,$CY$160:$CY$217,0),MATCH(D988,$CZ$159:$DD$159,0))))),0,IF($CU$122="4%",(INDEX($CS$160:$CW$217,MATCH($DG$122,$CR$160:$CR$217,0),MATCH(D988,$CS$159:$CW$159,0))),(INDEX($CZ$160:$DD$217,MATCH($DG$122,$CY$160:$CY$217,0),MATCH(D988,$CZ$159:$DD$159,0)))))</f>
        <v>534400</v>
      </c>
      <c r="S988" s="1770"/>
      <c r="T988" s="1770"/>
      <c r="U988" s="1770"/>
      <c r="V988" s="1770"/>
      <c r="W988" s="1770"/>
      <c r="X988" s="1770"/>
      <c r="Y988" s="1770"/>
      <c r="Z988" s="1770"/>
      <c r="AA988" s="1770"/>
      <c r="AB988" s="1767">
        <f>CZ802</f>
        <v>48</v>
      </c>
      <c r="AC988" s="1768"/>
      <c r="AD988" s="1768"/>
      <c r="AE988" s="1768"/>
      <c r="AF988" s="1768"/>
      <c r="AG988" s="1768"/>
      <c r="AH988" s="1768"/>
      <c r="AI988" s="1769"/>
      <c r="AJ988" s="1703">
        <f>IF(ISERROR((R988*AB988)),0,(R988*AB988))</f>
        <v>25651200</v>
      </c>
      <c r="AK988" s="1704"/>
      <c r="AL988" s="1704"/>
      <c r="AM988" s="1704"/>
      <c r="AN988" s="1704"/>
      <c r="AO988" s="1704"/>
      <c r="AP988" s="1704"/>
      <c r="AQ988" s="1705"/>
      <c r="AR988" s="68"/>
      <c r="AS988" s="68"/>
      <c r="AT988" s="68"/>
      <c r="AU988" s="68"/>
      <c r="AV988" s="68"/>
      <c r="AW988" s="68"/>
      <c r="AX988" s="68"/>
      <c r="AY988" s="68"/>
      <c r="AZ988" s="30"/>
      <c r="BB988" s="14"/>
      <c r="BC988" s="14"/>
    </row>
    <row r="989" spans="1:64" ht="13" customHeight="1">
      <c r="A989" s="14"/>
      <c r="B989" s="73"/>
      <c r="C989" s="83"/>
      <c r="D989" s="1783" t="s">
        <v>164</v>
      </c>
      <c r="E989" s="1784"/>
      <c r="F989" s="1784"/>
      <c r="G989" s="1784"/>
      <c r="H989" s="1784"/>
      <c r="I989" s="1784"/>
      <c r="J989" s="1784"/>
      <c r="K989" s="1784"/>
      <c r="L989" s="1784"/>
      <c r="M989" s="1784"/>
      <c r="N989" s="1784"/>
      <c r="O989" s="1784"/>
      <c r="P989" s="1784"/>
      <c r="Q989" s="1785"/>
      <c r="R989" s="1770">
        <f>IF(ISNA(IF($CU$122="4%",(INDEX($CS$160:$CW$217,MATCH($DG$122,$CR$160:$CR$217,0),MATCH(D989,$CS$159:$CW$159,0))),(INDEX($CZ$160:$DD$217,MATCH($DG$122,$CY$160:$CY$217,0),MATCH(D989,$CZ$159:$DD$159,0))))),0,IF($CU$122="4%",(INDEX($CS$160:$CW$217,MATCH($DG$122,$CR$160:$CR$217,0),MATCH(D989,$CS$159:$CW$159,0))),(INDEX($CZ$160:$DD$217,MATCH($DG$122,$CY$160:$CY$217,0),MATCH(D989,$CZ$159:$DD$159,0)))))</f>
        <v>684032</v>
      </c>
      <c r="S989" s="1770"/>
      <c r="T989" s="1770"/>
      <c r="U989" s="1770"/>
      <c r="V989" s="1770"/>
      <c r="W989" s="1770"/>
      <c r="X989" s="1770"/>
      <c r="Y989" s="1770"/>
      <c r="Z989" s="1770"/>
      <c r="AA989" s="1770"/>
      <c r="AB989" s="1767">
        <f>DE802</f>
        <v>32</v>
      </c>
      <c r="AC989" s="1768"/>
      <c r="AD989" s="1768"/>
      <c r="AE989" s="1768"/>
      <c r="AF989" s="1768"/>
      <c r="AG989" s="1768"/>
      <c r="AH989" s="1768"/>
      <c r="AI989" s="1769"/>
      <c r="AJ989" s="1703">
        <f>IF(ISERROR((R989*AB989)),0,(R989*AB989))</f>
        <v>21889024</v>
      </c>
      <c r="AK989" s="1704"/>
      <c r="AL989" s="1704"/>
      <c r="AM989" s="1704"/>
      <c r="AN989" s="1704"/>
      <c r="AO989" s="1704"/>
      <c r="AP989" s="1704"/>
      <c r="AQ989" s="1705"/>
      <c r="AR989" s="68"/>
      <c r="AS989" s="68"/>
      <c r="AT989" s="68"/>
      <c r="AU989" s="68"/>
      <c r="AV989" s="68"/>
      <c r="AW989" s="68"/>
      <c r="AX989" s="68"/>
      <c r="AY989" s="68"/>
      <c r="AZ989" s="30"/>
      <c r="BA989" s="34"/>
      <c r="BB989" s="14"/>
      <c r="BC989" s="14"/>
    </row>
    <row r="990" spans="1:64" ht="13" customHeight="1">
      <c r="A990" s="14"/>
      <c r="B990" s="47"/>
      <c r="C990" s="78"/>
      <c r="D990" s="1783" t="s">
        <v>460</v>
      </c>
      <c r="E990" s="1784"/>
      <c r="F990" s="1784"/>
      <c r="G990" s="1784"/>
      <c r="H990" s="1784"/>
      <c r="I990" s="1784"/>
      <c r="J990" s="1784"/>
      <c r="K990" s="1784"/>
      <c r="L990" s="1784"/>
      <c r="M990" s="1784"/>
      <c r="N990" s="1784"/>
      <c r="O990" s="1784"/>
      <c r="P990" s="1784"/>
      <c r="Q990" s="1785"/>
      <c r="R990" s="1770">
        <f>IF(ISNA(IF($CU$122="4%",(INDEX($CS$160:$CW$217,MATCH($DG$122,$CR$160:$CR$217,0),MATCH(D990,$CS$159:$CW$159,0))),(INDEX($CZ$160:$DD$217,MATCH($DG$122,$CY$160:$CY$217,0),MATCH(D990,$CZ$159:$DD$159,0))))),0,IF($CU$122="4%",(INDEX($CS$160:$CW$217,MATCH($DG$122,$CR$160:$CR$217,0),MATCH(D990,$CS$159:$CW$159,0))),(INDEX($CZ$160:$DD$217,MATCH($DG$122,$CY$160:$CY$217,0),MATCH(D990,$CZ$159:$DD$159,0)))))</f>
        <v>762054</v>
      </c>
      <c r="S990" s="1770"/>
      <c r="T990" s="1770"/>
      <c r="U990" s="1770"/>
      <c r="V990" s="1770"/>
      <c r="W990" s="1770"/>
      <c r="X990" s="1770"/>
      <c r="Y990" s="1770"/>
      <c r="Z990" s="1770"/>
      <c r="AA990" s="1770"/>
      <c r="AB990" s="1767">
        <f>DO802+DJ802</f>
        <v>0</v>
      </c>
      <c r="AC990" s="1768"/>
      <c r="AD990" s="1768"/>
      <c r="AE990" s="1768"/>
      <c r="AF990" s="1768"/>
      <c r="AG990" s="1768"/>
      <c r="AH990" s="1768"/>
      <c r="AI990" s="1769"/>
      <c r="AJ990" s="1703">
        <f>IF(ISERROR((R990*AB990)),0,(R990*AB990))</f>
        <v>0</v>
      </c>
      <c r="AK990" s="1704"/>
      <c r="AL990" s="1704"/>
      <c r="AM990" s="1704"/>
      <c r="AN990" s="1704"/>
      <c r="AO990" s="1704"/>
      <c r="AP990" s="1704"/>
      <c r="AQ990" s="1705"/>
      <c r="AR990" s="68"/>
      <c r="AS990" s="68"/>
      <c r="AT990" s="68"/>
      <c r="AU990" s="68"/>
      <c r="AV990" s="68"/>
      <c r="AW990" s="68"/>
      <c r="AX990" s="68"/>
      <c r="AY990" s="68"/>
      <c r="AZ990" s="30"/>
      <c r="BB990" s="14"/>
      <c r="BC990" s="14"/>
    </row>
    <row r="991" spans="1:64" ht="13" customHeight="1">
      <c r="A991" s="14"/>
      <c r="B991" s="1724" t="s">
        <v>791</v>
      </c>
      <c r="C991" s="1725"/>
      <c r="D991" s="1725"/>
      <c r="E991" s="1725"/>
      <c r="F991" s="1725"/>
      <c r="G991" s="1725"/>
      <c r="H991" s="1725"/>
      <c r="I991" s="1725"/>
      <c r="J991" s="1725"/>
      <c r="K991" s="1725"/>
      <c r="L991" s="1725"/>
      <c r="M991" s="1725"/>
      <c r="N991" s="1725"/>
      <c r="O991" s="1725"/>
      <c r="P991" s="1725"/>
      <c r="Q991" s="1725"/>
      <c r="R991" s="1725"/>
      <c r="S991" s="1725"/>
      <c r="T991" s="1725"/>
      <c r="U991" s="1725"/>
      <c r="V991" s="1725"/>
      <c r="W991" s="1725"/>
      <c r="X991" s="1725"/>
      <c r="Y991" s="1725"/>
      <c r="Z991" s="1725"/>
      <c r="AA991" s="1726"/>
      <c r="AB991" s="1767">
        <f>SUM(AB986:AI990)</f>
        <v>125</v>
      </c>
      <c r="AC991" s="1768"/>
      <c r="AD991" s="1768"/>
      <c r="AE991" s="1768"/>
      <c r="AF991" s="1768"/>
      <c r="AG991" s="1768"/>
      <c r="AH991" s="1768"/>
      <c r="AI991" s="1769"/>
      <c r="AJ991" s="1703"/>
      <c r="AK991" s="1704"/>
      <c r="AL991" s="1704"/>
      <c r="AM991" s="1704"/>
      <c r="AN991" s="1704"/>
      <c r="AO991" s="1704"/>
      <c r="AP991" s="1704"/>
      <c r="AQ991" s="1705"/>
      <c r="AR991" s="68"/>
      <c r="AS991" s="68"/>
      <c r="AT991" s="68"/>
      <c r="AU991" s="68"/>
      <c r="AV991" s="68"/>
      <c r="AW991" s="68"/>
      <c r="AX991" s="68"/>
      <c r="AY991" s="68"/>
      <c r="AZ991" s="34"/>
      <c r="BA991" s="34"/>
      <c r="BB991" s="14"/>
      <c r="BC991" s="14"/>
    </row>
    <row r="992" spans="1:64" ht="13" customHeight="1">
      <c r="A992" s="14"/>
      <c r="B992" s="1780" t="s">
        <v>512</v>
      </c>
      <c r="C992" s="1781"/>
      <c r="D992" s="1781"/>
      <c r="E992" s="1781"/>
      <c r="F992" s="1781"/>
      <c r="G992" s="1781"/>
      <c r="H992" s="1781"/>
      <c r="I992" s="1781"/>
      <c r="J992" s="1781"/>
      <c r="K992" s="1781"/>
      <c r="L992" s="1781"/>
      <c r="M992" s="1781"/>
      <c r="N992" s="1781"/>
      <c r="O992" s="1781"/>
      <c r="P992" s="1781"/>
      <c r="Q992" s="1781"/>
      <c r="R992" s="1781"/>
      <c r="S992" s="1781"/>
      <c r="T992" s="1781"/>
      <c r="U992" s="1781"/>
      <c r="V992" s="1781"/>
      <c r="W992" s="1781"/>
      <c r="X992" s="1781"/>
      <c r="Y992" s="1781"/>
      <c r="Z992" s="1781"/>
      <c r="AA992" s="1781"/>
      <c r="AB992" s="1781"/>
      <c r="AC992" s="1781"/>
      <c r="AD992" s="1781"/>
      <c r="AE992" s="1781"/>
      <c r="AF992" s="1781"/>
      <c r="AG992" s="1781"/>
      <c r="AH992" s="1781"/>
      <c r="AI992" s="1782"/>
      <c r="AJ992" s="1703">
        <f>SUM(AJ986:AQ990)</f>
        <v>67476034</v>
      </c>
      <c r="AK992" s="1704"/>
      <c r="AL992" s="1704"/>
      <c r="AM992" s="1704"/>
      <c r="AN992" s="1704"/>
      <c r="AO992" s="1704"/>
      <c r="AP992" s="1704"/>
      <c r="AQ992" s="1705"/>
      <c r="AR992" s="68"/>
      <c r="AS992" s="68"/>
      <c r="AT992" s="68"/>
      <c r="AU992" s="68"/>
      <c r="AV992" s="68"/>
      <c r="AW992" s="68"/>
      <c r="AX992" s="68"/>
      <c r="AY992" s="68"/>
      <c r="AZ992" s="34"/>
      <c r="BB992" s="34"/>
      <c r="BC992" s="34"/>
    </row>
    <row r="993" spans="1:55" ht="13" customHeight="1">
      <c r="A993" s="14"/>
      <c r="B993" s="1733"/>
      <c r="C993" s="1734"/>
      <c r="D993" s="1734"/>
      <c r="E993" s="1734"/>
      <c r="F993" s="1734"/>
      <c r="G993" s="1734"/>
      <c r="H993" s="1734"/>
      <c r="I993" s="1734"/>
      <c r="J993" s="1734"/>
      <c r="K993" s="1734"/>
      <c r="L993" s="1734"/>
      <c r="M993" s="1734"/>
      <c r="N993" s="1734"/>
      <c r="O993" s="1734"/>
      <c r="P993" s="1734"/>
      <c r="Q993" s="1734"/>
      <c r="R993" s="1734"/>
      <c r="S993" s="1734"/>
      <c r="T993" s="1734"/>
      <c r="U993" s="1734"/>
      <c r="V993" s="1734"/>
      <c r="W993" s="1734"/>
      <c r="X993" s="1734"/>
      <c r="Y993" s="1734"/>
      <c r="Z993" s="1734"/>
      <c r="AA993" s="1734"/>
      <c r="AB993" s="1734"/>
      <c r="AC993" s="1734"/>
      <c r="AD993" s="1734"/>
      <c r="AE993" s="1735"/>
      <c r="AF993" s="1814" t="s">
        <v>666</v>
      </c>
      <c r="AG993" s="1815"/>
      <c r="AH993" s="1815"/>
      <c r="AI993" s="1816"/>
      <c r="AJ993" s="1733"/>
      <c r="AK993" s="1734"/>
      <c r="AL993" s="1734"/>
      <c r="AM993" s="1734"/>
      <c r="AN993" s="1734"/>
      <c r="AO993" s="1734"/>
      <c r="AP993" s="1734"/>
      <c r="AQ993" s="1735"/>
      <c r="AR993" s="68"/>
      <c r="AS993" s="68"/>
      <c r="AT993" s="68"/>
      <c r="AU993" s="68"/>
      <c r="AV993" s="68"/>
      <c r="AW993" s="68"/>
      <c r="AX993" s="68"/>
      <c r="AY993" s="68"/>
      <c r="AZ993" s="34"/>
      <c r="BA993" s="34"/>
      <c r="BB993" s="34"/>
      <c r="BC993" s="34"/>
    </row>
    <row r="994" spans="1:55" ht="13" customHeight="1">
      <c r="A994" s="14"/>
      <c r="B994" s="73"/>
      <c r="C994" s="927" t="s">
        <v>668</v>
      </c>
      <c r="D994" s="1721" t="s">
        <v>1220</v>
      </c>
      <c r="E994" s="1722"/>
      <c r="F994" s="1722"/>
      <c r="G994" s="1722"/>
      <c r="H994" s="1722"/>
      <c r="I994" s="1722"/>
      <c r="J994" s="1722"/>
      <c r="K994" s="1722"/>
      <c r="L994" s="1722"/>
      <c r="M994" s="1722"/>
      <c r="N994" s="1722"/>
      <c r="O994" s="1722"/>
      <c r="P994" s="1722"/>
      <c r="Q994" s="1722"/>
      <c r="R994" s="1722"/>
      <c r="S994" s="1722"/>
      <c r="T994" s="1722"/>
      <c r="U994" s="1722"/>
      <c r="V994" s="1722"/>
      <c r="W994" s="1722"/>
      <c r="X994" s="1722"/>
      <c r="Y994" s="1722"/>
      <c r="Z994" s="1722"/>
      <c r="AA994" s="1722"/>
      <c r="AB994" s="1722"/>
      <c r="AC994" s="1722"/>
      <c r="AD994" s="1722"/>
      <c r="AE994" s="1723"/>
      <c r="AF994" s="79"/>
      <c r="AG994" s="1817" t="s">
        <v>669</v>
      </c>
      <c r="AH994" s="1818"/>
      <c r="AI994" s="87"/>
      <c r="AJ994" s="1712">
        <f>ROUND(IF(AND(AG994="yes",D1000&gt;0),AJ992*0.2,0),0)</f>
        <v>0</v>
      </c>
      <c r="AK994" s="1713"/>
      <c r="AL994" s="1713"/>
      <c r="AM994" s="1713"/>
      <c r="AN994" s="1713"/>
      <c r="AO994" s="1713"/>
      <c r="AP994" s="1713"/>
      <c r="AQ994" s="1714"/>
      <c r="AR994" s="68"/>
      <c r="AS994" s="68"/>
      <c r="AT994" s="68"/>
      <c r="AU994" s="68"/>
      <c r="AV994" s="68"/>
      <c r="AW994" s="68"/>
      <c r="AX994" s="68"/>
      <c r="AY994" s="68"/>
      <c r="AZ994" s="34"/>
      <c r="BA994" s="34"/>
      <c r="BB994" s="34"/>
      <c r="BC994" s="34"/>
    </row>
    <row r="995" spans="1:55" ht="13" customHeight="1">
      <c r="A995" s="14"/>
      <c r="B995" s="257"/>
      <c r="C995" s="256"/>
      <c r="D995" s="1755" t="s">
        <v>2234</v>
      </c>
      <c r="E995" s="1756"/>
      <c r="F995" s="1756"/>
      <c r="G995" s="1756"/>
      <c r="H995" s="1756"/>
      <c r="I995" s="1756"/>
      <c r="J995" s="1756"/>
      <c r="K995" s="1756"/>
      <c r="L995" s="1756"/>
      <c r="M995" s="1756"/>
      <c r="N995" s="1756"/>
      <c r="O995" s="1756"/>
      <c r="P995" s="1756"/>
      <c r="Q995" s="1756"/>
      <c r="R995" s="1756"/>
      <c r="S995" s="1756"/>
      <c r="T995" s="1756"/>
      <c r="U995" s="1756"/>
      <c r="V995" s="1756"/>
      <c r="W995" s="1756"/>
      <c r="X995" s="1756"/>
      <c r="Y995" s="1756"/>
      <c r="Z995" s="1756"/>
      <c r="AA995" s="1756"/>
      <c r="AB995" s="1756"/>
      <c r="AC995" s="1756"/>
      <c r="AD995" s="1756"/>
      <c r="AE995" s="1757"/>
      <c r="AF995" s="73"/>
      <c r="AG995" s="14"/>
      <c r="AH995" s="14"/>
      <c r="AI995" s="83"/>
      <c r="AJ995" s="1715"/>
      <c r="AK995" s="1716"/>
      <c r="AL995" s="1716"/>
      <c r="AM995" s="1716"/>
      <c r="AN995" s="1716"/>
      <c r="AO995" s="1716"/>
      <c r="AP995" s="1716"/>
      <c r="AQ995" s="1717"/>
      <c r="AR995" s="68"/>
      <c r="AS995" s="68"/>
      <c r="AT995" s="68"/>
      <c r="AU995" s="68"/>
      <c r="AV995" s="68"/>
      <c r="AW995" s="68"/>
      <c r="AX995" s="68"/>
      <c r="AY995" s="68"/>
      <c r="AZ995" s="34"/>
      <c r="BA995" s="34"/>
      <c r="BB995" s="34"/>
      <c r="BC995" s="34"/>
    </row>
    <row r="996" spans="1:55" ht="13" customHeight="1">
      <c r="A996" s="14"/>
      <c r="B996" s="257"/>
      <c r="C996" s="256"/>
      <c r="D996" s="1755"/>
      <c r="E996" s="1756"/>
      <c r="F996" s="1756"/>
      <c r="G996" s="1756"/>
      <c r="H996" s="1756"/>
      <c r="I996" s="1756"/>
      <c r="J996" s="1756"/>
      <c r="K996" s="1756"/>
      <c r="L996" s="1756"/>
      <c r="M996" s="1756"/>
      <c r="N996" s="1756"/>
      <c r="O996" s="1756"/>
      <c r="P996" s="1756"/>
      <c r="Q996" s="1756"/>
      <c r="R996" s="1756"/>
      <c r="S996" s="1756"/>
      <c r="T996" s="1756"/>
      <c r="U996" s="1756"/>
      <c r="V996" s="1756"/>
      <c r="W996" s="1756"/>
      <c r="X996" s="1756"/>
      <c r="Y996" s="1756"/>
      <c r="Z996" s="1756"/>
      <c r="AA996" s="1756"/>
      <c r="AB996" s="1756"/>
      <c r="AC996" s="1756"/>
      <c r="AD996" s="1756"/>
      <c r="AE996" s="1757"/>
      <c r="AF996" s="73"/>
      <c r="AG996" s="14"/>
      <c r="AH996" s="14"/>
      <c r="AI996" s="83"/>
      <c r="AJ996" s="1715"/>
      <c r="AK996" s="1716"/>
      <c r="AL996" s="1716"/>
      <c r="AM996" s="1716"/>
      <c r="AN996" s="1716"/>
      <c r="AO996" s="1716"/>
      <c r="AP996" s="1716"/>
      <c r="AQ996" s="1717"/>
      <c r="AR996" s="68"/>
      <c r="AS996" s="68"/>
      <c r="AT996" s="68"/>
      <c r="AU996" s="68"/>
      <c r="AV996" s="68"/>
      <c r="AW996" s="68"/>
      <c r="AX996" s="68"/>
      <c r="AY996" s="68"/>
      <c r="AZ996" s="34"/>
      <c r="BA996" s="34"/>
      <c r="BB996" s="34"/>
      <c r="BC996" s="34"/>
    </row>
    <row r="997" spans="1:55" ht="13" customHeight="1">
      <c r="A997" s="14"/>
      <c r="B997" s="257"/>
      <c r="C997" s="256"/>
      <c r="D997" s="1755"/>
      <c r="E997" s="1756"/>
      <c r="F997" s="1756"/>
      <c r="G997" s="1756"/>
      <c r="H997" s="1756"/>
      <c r="I997" s="1756"/>
      <c r="J997" s="1756"/>
      <c r="K997" s="1756"/>
      <c r="L997" s="1756"/>
      <c r="M997" s="1756"/>
      <c r="N997" s="1756"/>
      <c r="O997" s="1756"/>
      <c r="P997" s="1756"/>
      <c r="Q997" s="1756"/>
      <c r="R997" s="1756"/>
      <c r="S997" s="1756"/>
      <c r="T997" s="1756"/>
      <c r="U997" s="1756"/>
      <c r="V997" s="1756"/>
      <c r="W997" s="1756"/>
      <c r="X997" s="1756"/>
      <c r="Y997" s="1756"/>
      <c r="Z997" s="1756"/>
      <c r="AA997" s="1756"/>
      <c r="AB997" s="1756"/>
      <c r="AC997" s="1756"/>
      <c r="AD997" s="1756"/>
      <c r="AE997" s="1757"/>
      <c r="AF997" s="73"/>
      <c r="AG997" s="14"/>
      <c r="AH997" s="14"/>
      <c r="AI997" s="83"/>
      <c r="AJ997" s="1715"/>
      <c r="AK997" s="1716"/>
      <c r="AL997" s="1716"/>
      <c r="AM997" s="1716"/>
      <c r="AN997" s="1716"/>
      <c r="AO997" s="1716"/>
      <c r="AP997" s="1716"/>
      <c r="AQ997" s="1717"/>
      <c r="AR997" s="68"/>
      <c r="AS997" s="68"/>
      <c r="AT997" s="68"/>
      <c r="AU997" s="68"/>
      <c r="AV997" s="68"/>
      <c r="AW997" s="68"/>
      <c r="AX997" s="68"/>
      <c r="AY997" s="68"/>
      <c r="AZ997" s="34"/>
      <c r="BA997" s="34"/>
      <c r="BB997" s="34"/>
      <c r="BC997" s="34"/>
    </row>
    <row r="998" spans="1:55" ht="13" customHeight="1">
      <c r="A998" s="14"/>
      <c r="B998" s="257"/>
      <c r="C998" s="256"/>
      <c r="D998" s="1755"/>
      <c r="E998" s="1756"/>
      <c r="F998" s="1756"/>
      <c r="G998" s="1756"/>
      <c r="H998" s="1756"/>
      <c r="I998" s="1756"/>
      <c r="J998" s="1756"/>
      <c r="K998" s="1756"/>
      <c r="L998" s="1756"/>
      <c r="M998" s="1756"/>
      <c r="N998" s="1756"/>
      <c r="O998" s="1756"/>
      <c r="P998" s="1756"/>
      <c r="Q998" s="1756"/>
      <c r="R998" s="1756"/>
      <c r="S998" s="1756"/>
      <c r="T998" s="1756"/>
      <c r="U998" s="1756"/>
      <c r="V998" s="1756"/>
      <c r="W998" s="1756"/>
      <c r="X998" s="1756"/>
      <c r="Y998" s="1756"/>
      <c r="Z998" s="1756"/>
      <c r="AA998" s="1756"/>
      <c r="AB998" s="1756"/>
      <c r="AC998" s="1756"/>
      <c r="AD998" s="1756"/>
      <c r="AE998" s="1757"/>
      <c r="AF998" s="73"/>
      <c r="AG998" s="14"/>
      <c r="AH998" s="14"/>
      <c r="AI998" s="83"/>
      <c r="AJ998" s="1715"/>
      <c r="AK998" s="1716"/>
      <c r="AL998" s="1716"/>
      <c r="AM998" s="1716"/>
      <c r="AN998" s="1716"/>
      <c r="AO998" s="1716"/>
      <c r="AP998" s="1716"/>
      <c r="AQ998" s="1717"/>
      <c r="AR998" s="68"/>
      <c r="AS998" s="68"/>
      <c r="AT998" s="68"/>
      <c r="AU998" s="68"/>
      <c r="AV998" s="68"/>
      <c r="AW998" s="68"/>
      <c r="AX998" s="68"/>
      <c r="AY998" s="68"/>
      <c r="AZ998" s="34"/>
      <c r="BA998" s="34"/>
      <c r="BB998" s="34"/>
      <c r="BC998" s="34"/>
    </row>
    <row r="999" spans="1:55" ht="13" customHeight="1">
      <c r="A999" s="14"/>
      <c r="B999" s="257"/>
      <c r="C999" s="256"/>
      <c r="D999" s="1758" t="s">
        <v>2205</v>
      </c>
      <c r="E999" s="1759"/>
      <c r="F999" s="1759"/>
      <c r="G999" s="1759"/>
      <c r="H999" s="1759"/>
      <c r="I999" s="1759"/>
      <c r="J999" s="1759"/>
      <c r="K999" s="1759"/>
      <c r="L999" s="1759"/>
      <c r="M999" s="1759"/>
      <c r="N999" s="1759"/>
      <c r="O999" s="1759"/>
      <c r="P999" s="1759"/>
      <c r="Q999" s="1759"/>
      <c r="R999" s="1759"/>
      <c r="S999" s="1759"/>
      <c r="T999" s="1759"/>
      <c r="U999" s="1759"/>
      <c r="V999" s="1759"/>
      <c r="W999" s="1759"/>
      <c r="X999" s="1759"/>
      <c r="Y999" s="1759"/>
      <c r="Z999" s="1759"/>
      <c r="AA999" s="1759"/>
      <c r="AB999" s="1759"/>
      <c r="AC999" s="1759"/>
      <c r="AD999" s="1759"/>
      <c r="AE999" s="1760"/>
      <c r="AF999" s="73"/>
      <c r="AG999" s="14"/>
      <c r="AH999" s="14"/>
      <c r="AI999" s="83"/>
      <c r="AJ999" s="1715"/>
      <c r="AK999" s="1716"/>
      <c r="AL999" s="1716"/>
      <c r="AM999" s="1716"/>
      <c r="AN999" s="1716"/>
      <c r="AO999" s="1716"/>
      <c r="AP999" s="1716"/>
      <c r="AQ999" s="1717"/>
      <c r="AR999" s="68"/>
      <c r="AS999" s="68"/>
      <c r="AT999" s="68"/>
      <c r="AU999" s="68"/>
      <c r="AV999" s="68"/>
      <c r="AW999" s="68"/>
      <c r="AX999" s="68"/>
      <c r="AY999" s="68"/>
      <c r="AZ999" s="34"/>
      <c r="BA999" s="34"/>
      <c r="BB999" s="34"/>
      <c r="BC999" s="34"/>
    </row>
    <row r="1000" spans="1:55" ht="13" customHeight="1">
      <c r="A1000" s="14"/>
      <c r="B1000" s="257"/>
      <c r="C1000" s="256"/>
      <c r="D1000" s="1727"/>
      <c r="E1000" s="1728"/>
      <c r="F1000" s="1728"/>
      <c r="G1000" s="1728"/>
      <c r="H1000" s="1728"/>
      <c r="I1000" s="1728"/>
      <c r="J1000" s="1728"/>
      <c r="K1000" s="1728"/>
      <c r="L1000" s="1728"/>
      <c r="M1000" s="1728"/>
      <c r="N1000" s="1728"/>
      <c r="O1000" s="1728"/>
      <c r="P1000" s="1728"/>
      <c r="Q1000" s="1728"/>
      <c r="R1000" s="1728"/>
      <c r="S1000" s="1728"/>
      <c r="T1000" s="1728"/>
      <c r="U1000" s="1728"/>
      <c r="V1000" s="1728"/>
      <c r="W1000" s="1728"/>
      <c r="X1000" s="1728"/>
      <c r="Y1000" s="1728"/>
      <c r="Z1000" s="1728"/>
      <c r="AA1000" s="1728"/>
      <c r="AB1000" s="1728"/>
      <c r="AC1000" s="1728"/>
      <c r="AD1000" s="1728"/>
      <c r="AE1000" s="1729"/>
      <c r="AF1000" s="77"/>
      <c r="AG1000" s="7"/>
      <c r="AH1000" s="7"/>
      <c r="AI1000" s="78"/>
      <c r="AJ1000" s="1718"/>
      <c r="AK1000" s="1719"/>
      <c r="AL1000" s="1719"/>
      <c r="AM1000" s="1719"/>
      <c r="AN1000" s="1719"/>
      <c r="AO1000" s="1719"/>
      <c r="AP1000" s="1719"/>
      <c r="AQ1000" s="1720"/>
      <c r="AR1000" s="68"/>
      <c r="AS1000" s="68"/>
      <c r="AT1000" s="68"/>
      <c r="AU1000" s="68"/>
      <c r="AV1000" s="68"/>
      <c r="AW1000" s="68"/>
      <c r="AX1000" s="68"/>
      <c r="AY1000" s="68"/>
      <c r="AZ1000" s="34"/>
      <c r="BA1000" s="34"/>
      <c r="BB1000" s="34"/>
      <c r="BC1000" s="34"/>
    </row>
    <row r="1001" spans="1:55" ht="13" customHeight="1">
      <c r="A1001" s="14"/>
      <c r="B1001" s="255"/>
      <c r="C1001" s="318"/>
      <c r="D1001" s="1752" t="s">
        <v>1286</v>
      </c>
      <c r="E1001" s="1753"/>
      <c r="F1001" s="1753"/>
      <c r="G1001" s="1753"/>
      <c r="H1001" s="1753"/>
      <c r="I1001" s="1753"/>
      <c r="J1001" s="1753"/>
      <c r="K1001" s="1753"/>
      <c r="L1001" s="1753"/>
      <c r="M1001" s="1753"/>
      <c r="N1001" s="1753"/>
      <c r="O1001" s="1753"/>
      <c r="P1001" s="1753"/>
      <c r="Q1001" s="1753"/>
      <c r="R1001" s="1753"/>
      <c r="S1001" s="1753"/>
      <c r="T1001" s="1753"/>
      <c r="U1001" s="1753"/>
      <c r="V1001" s="1753"/>
      <c r="W1001" s="1753"/>
      <c r="X1001" s="1753"/>
      <c r="Y1001" s="1753"/>
      <c r="Z1001" s="1753"/>
      <c r="AA1001" s="1753"/>
      <c r="AB1001" s="1753"/>
      <c r="AC1001" s="1753"/>
      <c r="AD1001" s="1753"/>
      <c r="AE1001" s="1754"/>
      <c r="AF1001" s="79"/>
      <c r="AG1001" s="1738" t="s">
        <v>669</v>
      </c>
      <c r="AH1001" s="1739"/>
      <c r="AI1001" s="87"/>
      <c r="AJ1001" s="1712">
        <f>ROUND(IF(AG1001="yes",AJ992*0.05,0),0)</f>
        <v>0</v>
      </c>
      <c r="AK1001" s="1713"/>
      <c r="AL1001" s="1713"/>
      <c r="AM1001" s="1713"/>
      <c r="AN1001" s="1713"/>
      <c r="AO1001" s="1713"/>
      <c r="AP1001" s="1713"/>
      <c r="AQ1001" s="1714"/>
      <c r="AR1001" s="68"/>
      <c r="AS1001" s="68"/>
      <c r="AT1001" s="68"/>
      <c r="AU1001" s="68"/>
      <c r="AV1001" s="68"/>
      <c r="AW1001" s="68"/>
      <c r="AX1001" s="68"/>
      <c r="AY1001" s="68"/>
      <c r="AZ1001" s="34"/>
      <c r="BA1001" s="34"/>
      <c r="BB1001" s="34"/>
      <c r="BC1001" s="34"/>
    </row>
    <row r="1002" spans="1:55" ht="13" customHeight="1">
      <c r="A1002" s="14"/>
      <c r="B1002" s="257"/>
      <c r="C1002" s="82"/>
      <c r="D1002" s="1755" t="s">
        <v>1284</v>
      </c>
      <c r="E1002" s="1756"/>
      <c r="F1002" s="1756"/>
      <c r="G1002" s="1756"/>
      <c r="H1002" s="1756"/>
      <c r="I1002" s="1756"/>
      <c r="J1002" s="1756"/>
      <c r="K1002" s="1756"/>
      <c r="L1002" s="1756"/>
      <c r="M1002" s="1756"/>
      <c r="N1002" s="1756"/>
      <c r="O1002" s="1756"/>
      <c r="P1002" s="1756"/>
      <c r="Q1002" s="1756"/>
      <c r="R1002" s="1756"/>
      <c r="S1002" s="1756"/>
      <c r="T1002" s="1756"/>
      <c r="U1002" s="1756"/>
      <c r="V1002" s="1756"/>
      <c r="W1002" s="1756"/>
      <c r="X1002" s="1756"/>
      <c r="Y1002" s="1756"/>
      <c r="Z1002" s="1756"/>
      <c r="AA1002" s="1756"/>
      <c r="AB1002" s="1756"/>
      <c r="AC1002" s="1756"/>
      <c r="AD1002" s="1756"/>
      <c r="AE1002" s="1757"/>
      <c r="AF1002" s="73"/>
      <c r="AG1002" s="14"/>
      <c r="AH1002" s="14"/>
      <c r="AI1002" s="83"/>
      <c r="AJ1002" s="1715"/>
      <c r="AK1002" s="1716"/>
      <c r="AL1002" s="1716"/>
      <c r="AM1002" s="1716"/>
      <c r="AN1002" s="1716"/>
      <c r="AO1002" s="1716"/>
      <c r="AP1002" s="1716"/>
      <c r="AQ1002" s="1717"/>
      <c r="AR1002" s="68"/>
      <c r="AS1002" s="68"/>
      <c r="AT1002" s="68"/>
      <c r="AU1002" s="68"/>
      <c r="AV1002" s="68"/>
      <c r="AW1002" s="68"/>
      <c r="AX1002" s="68"/>
      <c r="AY1002" s="34"/>
      <c r="AZ1002" s="34"/>
      <c r="BB1002" s="34"/>
    </row>
    <row r="1003" spans="1:55" ht="13" customHeight="1">
      <c r="A1003" s="14"/>
      <c r="B1003" s="257"/>
      <c r="C1003" s="82"/>
      <c r="D1003" s="1755"/>
      <c r="E1003" s="1756"/>
      <c r="F1003" s="1756"/>
      <c r="G1003" s="1756"/>
      <c r="H1003" s="1756"/>
      <c r="I1003" s="1756"/>
      <c r="J1003" s="1756"/>
      <c r="K1003" s="1756"/>
      <c r="L1003" s="1756"/>
      <c r="M1003" s="1756"/>
      <c r="N1003" s="1756"/>
      <c r="O1003" s="1756"/>
      <c r="P1003" s="1756"/>
      <c r="Q1003" s="1756"/>
      <c r="R1003" s="1756"/>
      <c r="S1003" s="1756"/>
      <c r="T1003" s="1756"/>
      <c r="U1003" s="1756"/>
      <c r="V1003" s="1756"/>
      <c r="W1003" s="1756"/>
      <c r="X1003" s="1756"/>
      <c r="Y1003" s="1756"/>
      <c r="Z1003" s="1756"/>
      <c r="AA1003" s="1756"/>
      <c r="AB1003" s="1756"/>
      <c r="AC1003" s="1756"/>
      <c r="AD1003" s="1756"/>
      <c r="AE1003" s="1757"/>
      <c r="AF1003" s="73"/>
      <c r="AG1003" s="14"/>
      <c r="AH1003" s="14"/>
      <c r="AI1003" s="83"/>
      <c r="AJ1003" s="1715"/>
      <c r="AK1003" s="1716"/>
      <c r="AL1003" s="1716"/>
      <c r="AM1003" s="1716"/>
      <c r="AN1003" s="1716"/>
      <c r="AO1003" s="1716"/>
      <c r="AP1003" s="1716"/>
      <c r="AQ1003" s="1717"/>
      <c r="AR1003" s="68"/>
      <c r="AS1003" s="68"/>
      <c r="AT1003" s="68"/>
      <c r="AU1003" s="68"/>
      <c r="AV1003" s="68"/>
      <c r="AW1003" s="68"/>
      <c r="AX1003" s="68"/>
      <c r="AY1003" s="914">
        <f>G753+O797</f>
        <v>124</v>
      </c>
      <c r="AZ1003" s="34"/>
      <c r="BB1003" s="34"/>
    </row>
    <row r="1004" spans="1:55" ht="13" customHeight="1">
      <c r="A1004" s="14"/>
      <c r="B1004" s="257"/>
      <c r="C1004" s="82"/>
      <c r="D1004" s="1755"/>
      <c r="E1004" s="1756"/>
      <c r="F1004" s="1756"/>
      <c r="G1004" s="1756"/>
      <c r="H1004" s="1756"/>
      <c r="I1004" s="1756"/>
      <c r="J1004" s="1756"/>
      <c r="K1004" s="1756"/>
      <c r="L1004" s="1756"/>
      <c r="M1004" s="1756"/>
      <c r="N1004" s="1756"/>
      <c r="O1004" s="1756"/>
      <c r="P1004" s="1756"/>
      <c r="Q1004" s="1756"/>
      <c r="R1004" s="1756"/>
      <c r="S1004" s="1756"/>
      <c r="T1004" s="1756"/>
      <c r="U1004" s="1756"/>
      <c r="V1004" s="1756"/>
      <c r="W1004" s="1756"/>
      <c r="X1004" s="1756"/>
      <c r="Y1004" s="1756"/>
      <c r="Z1004" s="1756"/>
      <c r="AA1004" s="1756"/>
      <c r="AB1004" s="1756"/>
      <c r="AC1004" s="1756"/>
      <c r="AD1004" s="1756"/>
      <c r="AE1004" s="1757"/>
      <c r="AF1004" s="73"/>
      <c r="AG1004" s="14"/>
      <c r="AH1004" s="14"/>
      <c r="AI1004" s="83"/>
      <c r="AJ1004" s="1715"/>
      <c r="AK1004" s="1716"/>
      <c r="AL1004" s="1716"/>
      <c r="AM1004" s="1716"/>
      <c r="AN1004" s="1716"/>
      <c r="AO1004" s="1716"/>
      <c r="AP1004" s="1716"/>
      <c r="AQ1004" s="1717"/>
      <c r="AR1004" s="68"/>
      <c r="AS1004" s="68"/>
      <c r="AT1004" s="68"/>
      <c r="AU1004" s="68"/>
      <c r="AV1004" s="68"/>
      <c r="AW1004" s="68"/>
      <c r="AX1004" s="68"/>
      <c r="AY1004" s="14"/>
      <c r="AZ1004" s="34"/>
      <c r="BB1004" s="34"/>
    </row>
    <row r="1005" spans="1:55" ht="13" customHeight="1">
      <c r="A1005" s="14"/>
      <c r="B1005" s="257"/>
      <c r="C1005" s="82"/>
      <c r="D1005" s="1755"/>
      <c r="E1005" s="1756"/>
      <c r="F1005" s="1756"/>
      <c r="G1005" s="1756"/>
      <c r="H1005" s="1756"/>
      <c r="I1005" s="1756"/>
      <c r="J1005" s="1756"/>
      <c r="K1005" s="1756"/>
      <c r="L1005" s="1756"/>
      <c r="M1005" s="1756"/>
      <c r="N1005" s="1756"/>
      <c r="O1005" s="1756"/>
      <c r="P1005" s="1756"/>
      <c r="Q1005" s="1756"/>
      <c r="R1005" s="1756"/>
      <c r="S1005" s="1756"/>
      <c r="T1005" s="1756"/>
      <c r="U1005" s="1756"/>
      <c r="V1005" s="1756"/>
      <c r="W1005" s="1756"/>
      <c r="X1005" s="1756"/>
      <c r="Y1005" s="1756"/>
      <c r="Z1005" s="1756"/>
      <c r="AA1005" s="1756"/>
      <c r="AB1005" s="1756"/>
      <c r="AC1005" s="1756"/>
      <c r="AD1005" s="1756"/>
      <c r="AE1005" s="1757"/>
      <c r="AF1005" s="73"/>
      <c r="AG1005" s="14"/>
      <c r="AH1005" s="14"/>
      <c r="AI1005" s="83"/>
      <c r="AJ1005" s="1715"/>
      <c r="AK1005" s="1716"/>
      <c r="AL1005" s="1716"/>
      <c r="AM1005" s="1716"/>
      <c r="AN1005" s="1716"/>
      <c r="AO1005" s="1716"/>
      <c r="AP1005" s="1716"/>
      <c r="AQ1005" s="1717"/>
      <c r="AR1005" s="68"/>
      <c r="AS1005" s="68"/>
      <c r="AT1005" s="68"/>
      <c r="AU1005" s="68"/>
      <c r="AV1005" s="68"/>
      <c r="AW1005" s="68"/>
      <c r="AX1005" s="68"/>
      <c r="AY1005" s="913">
        <f>ROUNDDOWN(X1048/I1048,2)</f>
        <v>0.39</v>
      </c>
      <c r="AZ1005" s="34"/>
      <c r="BB1005" s="34"/>
    </row>
    <row r="1006" spans="1:55" ht="13" customHeight="1">
      <c r="A1006" s="14"/>
      <c r="B1006" s="75"/>
      <c r="C1006" s="76"/>
      <c r="D1006" s="1758"/>
      <c r="E1006" s="1759"/>
      <c r="F1006" s="1759"/>
      <c r="G1006" s="1759"/>
      <c r="H1006" s="1759"/>
      <c r="I1006" s="1759"/>
      <c r="J1006" s="1759"/>
      <c r="K1006" s="1759"/>
      <c r="L1006" s="1759"/>
      <c r="M1006" s="1759"/>
      <c r="N1006" s="1759"/>
      <c r="O1006" s="1759"/>
      <c r="P1006" s="1759"/>
      <c r="Q1006" s="1759"/>
      <c r="R1006" s="1759"/>
      <c r="S1006" s="1759"/>
      <c r="T1006" s="1759"/>
      <c r="U1006" s="1759"/>
      <c r="V1006" s="1759"/>
      <c r="W1006" s="1759"/>
      <c r="X1006" s="1759"/>
      <c r="Y1006" s="1759"/>
      <c r="Z1006" s="1759"/>
      <c r="AA1006" s="1759"/>
      <c r="AB1006" s="1759"/>
      <c r="AC1006" s="1759"/>
      <c r="AD1006" s="1759"/>
      <c r="AE1006" s="1760"/>
      <c r="AF1006" s="77"/>
      <c r="AG1006" s="7"/>
      <c r="AH1006" s="7"/>
      <c r="AI1006" s="78"/>
      <c r="AJ1006" s="1718"/>
      <c r="AK1006" s="1719"/>
      <c r="AL1006" s="1719"/>
      <c r="AM1006" s="1719"/>
      <c r="AN1006" s="1719"/>
      <c r="AO1006" s="1719"/>
      <c r="AP1006" s="1719"/>
      <c r="AQ1006" s="1720"/>
      <c r="AR1006" s="68"/>
      <c r="AS1006" s="68"/>
      <c r="AT1006" s="68"/>
      <c r="AU1006" s="68"/>
      <c r="AV1006" s="68"/>
      <c r="AW1006" s="68"/>
      <c r="AX1006" s="68"/>
      <c r="AY1006" s="913">
        <f>ROUNDDOWN(X1052/I1052,2)</f>
        <v>0.11</v>
      </c>
      <c r="AZ1006" s="34"/>
      <c r="BB1006" s="34"/>
    </row>
    <row r="1007" spans="1:55" ht="13" customHeight="1">
      <c r="A1007" s="14"/>
      <c r="B1007" s="255"/>
      <c r="C1007" s="80" t="s">
        <v>672</v>
      </c>
      <c r="D1007" s="1752" t="s">
        <v>1683</v>
      </c>
      <c r="E1007" s="1753"/>
      <c r="F1007" s="1753"/>
      <c r="G1007" s="1753"/>
      <c r="H1007" s="1753"/>
      <c r="I1007" s="1753"/>
      <c r="J1007" s="1753"/>
      <c r="K1007" s="1753"/>
      <c r="L1007" s="1753"/>
      <c r="M1007" s="1753"/>
      <c r="N1007" s="1753"/>
      <c r="O1007" s="1753"/>
      <c r="P1007" s="1753"/>
      <c r="Q1007" s="1753"/>
      <c r="R1007" s="1753"/>
      <c r="S1007" s="1753"/>
      <c r="T1007" s="1753"/>
      <c r="U1007" s="1753"/>
      <c r="V1007" s="1753"/>
      <c r="W1007" s="1753"/>
      <c r="X1007" s="1753"/>
      <c r="Y1007" s="1753"/>
      <c r="Z1007" s="1753"/>
      <c r="AA1007" s="1753"/>
      <c r="AB1007" s="1753"/>
      <c r="AC1007" s="1753"/>
      <c r="AD1007" s="1753"/>
      <c r="AE1007" s="1754"/>
      <c r="AF1007" s="86"/>
      <c r="AG1007" s="1738" t="s">
        <v>669</v>
      </c>
      <c r="AH1007" s="1739"/>
      <c r="AI1007" s="87"/>
      <c r="AJ1007" s="1712">
        <f>ROUND(IF(AG1007="yes",AJ992*0.1,0),0)</f>
        <v>0</v>
      </c>
      <c r="AK1007" s="1713"/>
      <c r="AL1007" s="1713"/>
      <c r="AM1007" s="1713"/>
      <c r="AN1007" s="1713"/>
      <c r="AO1007" s="1713"/>
      <c r="AP1007" s="1713"/>
      <c r="AQ1007" s="1714"/>
      <c r="AR1007" s="68"/>
      <c r="AS1007" s="68"/>
      <c r="AT1007" s="68"/>
      <c r="AU1007" s="68"/>
      <c r="AV1007" s="68"/>
      <c r="AW1007" s="68"/>
      <c r="AX1007" s="68"/>
      <c r="BB1007" s="34"/>
    </row>
    <row r="1008" spans="1:55" ht="13" customHeight="1">
      <c r="A1008" s="14"/>
      <c r="B1008" s="73"/>
      <c r="C1008" s="74"/>
      <c r="D1008" s="1680" t="s">
        <v>1285</v>
      </c>
      <c r="E1008" s="1681"/>
      <c r="F1008" s="1681"/>
      <c r="G1008" s="1681"/>
      <c r="H1008" s="1681"/>
      <c r="I1008" s="1681"/>
      <c r="J1008" s="1681"/>
      <c r="K1008" s="1681"/>
      <c r="L1008" s="1681"/>
      <c r="M1008" s="1681"/>
      <c r="N1008" s="1681"/>
      <c r="O1008" s="1681"/>
      <c r="P1008" s="1681"/>
      <c r="Q1008" s="1681"/>
      <c r="R1008" s="1681"/>
      <c r="S1008" s="1681"/>
      <c r="T1008" s="1681"/>
      <c r="U1008" s="1681"/>
      <c r="V1008" s="1681"/>
      <c r="W1008" s="1681"/>
      <c r="X1008" s="1681"/>
      <c r="Y1008" s="1681"/>
      <c r="Z1008" s="1681"/>
      <c r="AA1008" s="1681"/>
      <c r="AB1008" s="1681"/>
      <c r="AC1008" s="1681"/>
      <c r="AD1008" s="1681"/>
      <c r="AE1008" s="1682"/>
      <c r="AF1008" s="73"/>
      <c r="AI1008" s="83"/>
      <c r="AJ1008" s="1715"/>
      <c r="AK1008" s="1716"/>
      <c r="AL1008" s="1716"/>
      <c r="AM1008" s="1716"/>
      <c r="AN1008" s="1716"/>
      <c r="AO1008" s="1716"/>
      <c r="AP1008" s="1716"/>
      <c r="AQ1008" s="1717"/>
      <c r="AR1008" s="68"/>
      <c r="AS1008" s="68"/>
      <c r="AT1008" s="68"/>
      <c r="AU1008" s="68"/>
      <c r="AV1008" s="68"/>
      <c r="AW1008" s="68"/>
      <c r="AX1008" s="68"/>
    </row>
    <row r="1009" spans="1:52" ht="13" customHeight="1">
      <c r="A1009" s="14"/>
      <c r="B1009" s="73"/>
      <c r="C1009" s="74"/>
      <c r="D1009" s="1680"/>
      <c r="E1009" s="1681"/>
      <c r="F1009" s="1681"/>
      <c r="G1009" s="1681"/>
      <c r="H1009" s="1681"/>
      <c r="I1009" s="1681"/>
      <c r="J1009" s="1681"/>
      <c r="K1009" s="1681"/>
      <c r="L1009" s="1681"/>
      <c r="M1009" s="1681"/>
      <c r="N1009" s="1681"/>
      <c r="O1009" s="1681"/>
      <c r="P1009" s="1681"/>
      <c r="Q1009" s="1681"/>
      <c r="R1009" s="1681"/>
      <c r="S1009" s="1681"/>
      <c r="T1009" s="1681"/>
      <c r="U1009" s="1681"/>
      <c r="V1009" s="1681"/>
      <c r="W1009" s="1681"/>
      <c r="X1009" s="1681"/>
      <c r="Y1009" s="1681"/>
      <c r="Z1009" s="1681"/>
      <c r="AA1009" s="1681"/>
      <c r="AB1009" s="1681"/>
      <c r="AC1009" s="1681"/>
      <c r="AD1009" s="1681"/>
      <c r="AE1009" s="1682"/>
      <c r="AF1009" s="73"/>
      <c r="AG1009" s="14"/>
      <c r="AH1009" s="14"/>
      <c r="AI1009" s="83"/>
      <c r="AJ1009" s="1715"/>
      <c r="AK1009" s="1716"/>
      <c r="AL1009" s="1716"/>
      <c r="AM1009" s="1716"/>
      <c r="AN1009" s="1716"/>
      <c r="AO1009" s="1716"/>
      <c r="AP1009" s="1716"/>
      <c r="AQ1009" s="1717"/>
      <c r="AR1009" s="68"/>
      <c r="AS1009" s="68"/>
      <c r="AT1009" s="68"/>
      <c r="AU1009" s="68"/>
      <c r="AV1009" s="68"/>
      <c r="AW1009" s="68"/>
      <c r="AX1009" s="68"/>
    </row>
    <row r="1010" spans="1:52" ht="13" customHeight="1">
      <c r="A1010" s="14"/>
      <c r="B1010" s="85"/>
      <c r="C1010" s="76"/>
      <c r="D1010" s="1730"/>
      <c r="E1010" s="1731"/>
      <c r="F1010" s="1731"/>
      <c r="G1010" s="1731"/>
      <c r="H1010" s="1731"/>
      <c r="I1010" s="1731"/>
      <c r="J1010" s="1731"/>
      <c r="K1010" s="1731"/>
      <c r="L1010" s="1731"/>
      <c r="M1010" s="1731"/>
      <c r="N1010" s="1731"/>
      <c r="O1010" s="1731"/>
      <c r="P1010" s="1731"/>
      <c r="Q1010" s="1731"/>
      <c r="R1010" s="1731"/>
      <c r="S1010" s="1731"/>
      <c r="T1010" s="1731"/>
      <c r="U1010" s="1731"/>
      <c r="V1010" s="1731"/>
      <c r="W1010" s="1731"/>
      <c r="X1010" s="1731"/>
      <c r="Y1010" s="1731"/>
      <c r="Z1010" s="1731"/>
      <c r="AA1010" s="1731"/>
      <c r="AB1010" s="1731"/>
      <c r="AC1010" s="1731"/>
      <c r="AD1010" s="1731"/>
      <c r="AE1010" s="1732"/>
      <c r="AF1010" s="77"/>
      <c r="AG1010" s="7"/>
      <c r="AH1010" s="7"/>
      <c r="AI1010" s="78"/>
      <c r="AJ1010" s="1718"/>
      <c r="AK1010" s="1719"/>
      <c r="AL1010" s="1719"/>
      <c r="AM1010" s="1719"/>
      <c r="AN1010" s="1719"/>
      <c r="AO1010" s="1719"/>
      <c r="AP1010" s="1719"/>
      <c r="AQ1010" s="1720"/>
      <c r="AR1010" s="68"/>
      <c r="AS1010" s="68"/>
      <c r="AT1010" s="68"/>
      <c r="AU1010" s="68"/>
      <c r="AV1010" s="68"/>
      <c r="AW1010" s="68"/>
      <c r="AX1010" s="68"/>
    </row>
    <row r="1011" spans="1:52" ht="13" customHeight="1">
      <c r="A1011" s="14"/>
      <c r="B1011" s="79"/>
      <c r="C1011" s="80" t="s">
        <v>211</v>
      </c>
      <c r="D1011" s="1752" t="s">
        <v>1287</v>
      </c>
      <c r="E1011" s="1753"/>
      <c r="F1011" s="1753"/>
      <c r="G1011" s="1753"/>
      <c r="H1011" s="1753"/>
      <c r="I1011" s="1753"/>
      <c r="J1011" s="1753"/>
      <c r="K1011" s="1753"/>
      <c r="L1011" s="1753"/>
      <c r="M1011" s="1753"/>
      <c r="N1011" s="1753"/>
      <c r="O1011" s="1753"/>
      <c r="P1011" s="1753"/>
      <c r="Q1011" s="1753"/>
      <c r="R1011" s="1753"/>
      <c r="S1011" s="1753"/>
      <c r="T1011" s="1753"/>
      <c r="U1011" s="1753"/>
      <c r="V1011" s="1753"/>
      <c r="W1011" s="1753"/>
      <c r="X1011" s="1753"/>
      <c r="Y1011" s="1753"/>
      <c r="Z1011" s="1753"/>
      <c r="AA1011" s="1753"/>
      <c r="AB1011" s="1753"/>
      <c r="AC1011" s="1753"/>
      <c r="AD1011" s="1753"/>
      <c r="AE1011" s="1754"/>
      <c r="AF1011" s="79"/>
      <c r="AG1011" s="1738" t="s">
        <v>669</v>
      </c>
      <c r="AH1011" s="1739"/>
      <c r="AI1011" s="87"/>
      <c r="AJ1011" s="1712">
        <f>ROUND(IF(AG1011="yes",AJ992*0.02,0),0)</f>
        <v>0</v>
      </c>
      <c r="AK1011" s="1713"/>
      <c r="AL1011" s="1713"/>
      <c r="AM1011" s="1713"/>
      <c r="AN1011" s="1713"/>
      <c r="AO1011" s="1713"/>
      <c r="AP1011" s="1713"/>
      <c r="AQ1011" s="1714"/>
      <c r="AR1011" s="68"/>
      <c r="AS1011" s="68"/>
      <c r="AT1011" s="68"/>
      <c r="AU1011" s="68"/>
      <c r="AV1011" s="68"/>
      <c r="AW1011" s="68"/>
      <c r="AX1011" s="68"/>
    </row>
    <row r="1012" spans="1:52" ht="14.25" customHeight="1">
      <c r="A1012" s="14"/>
      <c r="B1012" s="73"/>
      <c r="C1012" s="74"/>
      <c r="D1012" s="1730" t="s">
        <v>1288</v>
      </c>
      <c r="E1012" s="1731"/>
      <c r="F1012" s="1731"/>
      <c r="G1012" s="1731"/>
      <c r="H1012" s="1731"/>
      <c r="I1012" s="1731"/>
      <c r="J1012" s="1731"/>
      <c r="K1012" s="1731"/>
      <c r="L1012" s="1731"/>
      <c r="M1012" s="1731"/>
      <c r="N1012" s="1731"/>
      <c r="O1012" s="1731"/>
      <c r="P1012" s="1731"/>
      <c r="Q1012" s="1731"/>
      <c r="R1012" s="1731"/>
      <c r="S1012" s="1731"/>
      <c r="T1012" s="1731"/>
      <c r="U1012" s="1731"/>
      <c r="V1012" s="1731"/>
      <c r="W1012" s="1731"/>
      <c r="X1012" s="1731"/>
      <c r="Y1012" s="1731"/>
      <c r="Z1012" s="1731"/>
      <c r="AA1012" s="1731"/>
      <c r="AB1012" s="1731"/>
      <c r="AC1012" s="1731"/>
      <c r="AD1012" s="1731"/>
      <c r="AE1012" s="1732"/>
      <c r="AF1012" s="77"/>
      <c r="AG1012" s="7"/>
      <c r="AH1012" s="7"/>
      <c r="AI1012" s="78"/>
      <c r="AJ1012" s="1718"/>
      <c r="AK1012" s="1719"/>
      <c r="AL1012" s="1719"/>
      <c r="AM1012" s="1719"/>
      <c r="AN1012" s="1719"/>
      <c r="AO1012" s="1719"/>
      <c r="AP1012" s="1719"/>
      <c r="AQ1012" s="1720"/>
      <c r="AR1012" s="68"/>
      <c r="AS1012" s="68"/>
      <c r="AT1012" s="68"/>
      <c r="AU1012" s="68"/>
      <c r="AV1012" s="68"/>
      <c r="AW1012" s="68"/>
      <c r="AX1012" s="3" t="s">
        <v>1841</v>
      </c>
      <c r="AZ1012" s="3" t="s">
        <v>2602</v>
      </c>
    </row>
    <row r="1013" spans="1:52" ht="13" customHeight="1">
      <c r="A1013" s="14"/>
      <c r="B1013" s="79"/>
      <c r="C1013" s="80" t="s">
        <v>214</v>
      </c>
      <c r="D1013" s="1752" t="s">
        <v>1289</v>
      </c>
      <c r="E1013" s="1753"/>
      <c r="F1013" s="1753"/>
      <c r="G1013" s="1753"/>
      <c r="H1013" s="1753"/>
      <c r="I1013" s="1753"/>
      <c r="J1013" s="1753"/>
      <c r="K1013" s="1753"/>
      <c r="L1013" s="1753"/>
      <c r="M1013" s="1753"/>
      <c r="N1013" s="1753"/>
      <c r="O1013" s="1753"/>
      <c r="P1013" s="1753"/>
      <c r="Q1013" s="1753"/>
      <c r="R1013" s="1753"/>
      <c r="S1013" s="1753"/>
      <c r="T1013" s="1753"/>
      <c r="U1013" s="1753"/>
      <c r="V1013" s="1753"/>
      <c r="W1013" s="1753"/>
      <c r="X1013" s="1753"/>
      <c r="Y1013" s="1753"/>
      <c r="Z1013" s="1753"/>
      <c r="AA1013" s="1753"/>
      <c r="AB1013" s="1753"/>
      <c r="AC1013" s="1753"/>
      <c r="AD1013" s="1753"/>
      <c r="AE1013" s="1754"/>
      <c r="AF1013" s="79"/>
      <c r="AG1013" s="1738" t="s">
        <v>669</v>
      </c>
      <c r="AH1013" s="1739"/>
      <c r="AI1013" s="79"/>
      <c r="AJ1013" s="1712">
        <f>ROUND(IF(AG1013="yes",AJ992*0.02,0),0)</f>
        <v>0</v>
      </c>
      <c r="AK1013" s="1713"/>
      <c r="AL1013" s="1713"/>
      <c r="AM1013" s="1713"/>
      <c r="AN1013" s="1713"/>
      <c r="AO1013" s="1713"/>
      <c r="AP1013" s="1713"/>
      <c r="AQ1013" s="1714"/>
      <c r="AR1013" s="68"/>
      <c r="AS1013" s="68"/>
      <c r="AT1013" s="68"/>
      <c r="AU1013" s="68"/>
      <c r="AV1013" s="68"/>
      <c r="AW1013" s="68"/>
      <c r="AX1013" s="3">
        <v>1</v>
      </c>
      <c r="AY1013" s="200">
        <f>IF((_xlfn.XLOOKUP(AX1013,$C$1065:$C$1103,$A$1065:$A$1103,"",0,1))="Yes",AZ1013,0)</f>
        <v>0.2</v>
      </c>
      <c r="AZ1013" s="1255">
        <v>0.2</v>
      </c>
    </row>
    <row r="1014" spans="1:52" ht="13" customHeight="1">
      <c r="A1014" s="14"/>
      <c r="B1014" s="73"/>
      <c r="C1014" s="74"/>
      <c r="D1014" s="1680" t="s">
        <v>1290</v>
      </c>
      <c r="E1014" s="1681"/>
      <c r="F1014" s="1681"/>
      <c r="G1014" s="1681"/>
      <c r="H1014" s="1681"/>
      <c r="I1014" s="1681"/>
      <c r="J1014" s="1681"/>
      <c r="K1014" s="1681"/>
      <c r="L1014" s="1681"/>
      <c r="M1014" s="1681"/>
      <c r="N1014" s="1681"/>
      <c r="O1014" s="1681"/>
      <c r="P1014" s="1681"/>
      <c r="Q1014" s="1681"/>
      <c r="R1014" s="1681"/>
      <c r="S1014" s="1681"/>
      <c r="T1014" s="1681"/>
      <c r="U1014" s="1681"/>
      <c r="V1014" s="1681"/>
      <c r="W1014" s="1681"/>
      <c r="X1014" s="1681"/>
      <c r="Y1014" s="1681"/>
      <c r="Z1014" s="1681"/>
      <c r="AA1014" s="1681"/>
      <c r="AB1014" s="1681"/>
      <c r="AC1014" s="1681"/>
      <c r="AD1014" s="1681"/>
      <c r="AE1014" s="1682"/>
      <c r="AF1014" s="1837" t="str">
        <f>IF(AND(AG1013="yes",T212&lt;&gt;1),"The project may not be eligible for this boost","")</f>
        <v/>
      </c>
      <c r="AG1014" s="1838"/>
      <c r="AH1014" s="1838"/>
      <c r="AI1014" s="1839"/>
      <c r="AJ1014" s="1715"/>
      <c r="AK1014" s="1716"/>
      <c r="AL1014" s="1716"/>
      <c r="AM1014" s="1716"/>
      <c r="AN1014" s="1716"/>
      <c r="AO1014" s="1716"/>
      <c r="AP1014" s="1716"/>
      <c r="AQ1014" s="1717"/>
      <c r="AR1014" s="68"/>
      <c r="AS1014" s="68"/>
      <c r="AT1014" s="68"/>
      <c r="AU1014" s="68"/>
      <c r="AV1014" s="68"/>
      <c r="AW1014" s="68"/>
      <c r="AX1014" s="3">
        <v>2</v>
      </c>
      <c r="AY1014" s="200">
        <f t="shared" ref="AY1014:AY1023" si="53">IF((_xlfn.XLOOKUP(AX1014,$C$1065:$C$1103,$A$1065:$A$1103,"",0,1))="Yes",AZ1014,0)</f>
        <v>0</v>
      </c>
      <c r="AZ1014" s="1255">
        <v>0.15</v>
      </c>
    </row>
    <row r="1015" spans="1:52" ht="13" customHeight="1">
      <c r="A1015" s="14"/>
      <c r="B1015" s="75"/>
      <c r="C1015" s="76"/>
      <c r="D1015" s="1730"/>
      <c r="E1015" s="1731"/>
      <c r="F1015" s="1731"/>
      <c r="G1015" s="1731"/>
      <c r="H1015" s="1731"/>
      <c r="I1015" s="1731"/>
      <c r="J1015" s="1731"/>
      <c r="K1015" s="1731"/>
      <c r="L1015" s="1731"/>
      <c r="M1015" s="1731"/>
      <c r="N1015" s="1731"/>
      <c r="O1015" s="1731"/>
      <c r="P1015" s="1731"/>
      <c r="Q1015" s="1731"/>
      <c r="R1015" s="1731"/>
      <c r="S1015" s="1731"/>
      <c r="T1015" s="1731"/>
      <c r="U1015" s="1731"/>
      <c r="V1015" s="1731"/>
      <c r="W1015" s="1731"/>
      <c r="X1015" s="1731"/>
      <c r="Y1015" s="1731"/>
      <c r="Z1015" s="1731"/>
      <c r="AA1015" s="1731"/>
      <c r="AB1015" s="1731"/>
      <c r="AC1015" s="1731"/>
      <c r="AD1015" s="1731"/>
      <c r="AE1015" s="1732"/>
      <c r="AF1015" s="1840"/>
      <c r="AG1015" s="1841"/>
      <c r="AH1015" s="1841"/>
      <c r="AI1015" s="1842"/>
      <c r="AJ1015" s="1718"/>
      <c r="AK1015" s="1719"/>
      <c r="AL1015" s="1719"/>
      <c r="AM1015" s="1719"/>
      <c r="AN1015" s="1719"/>
      <c r="AO1015" s="1719"/>
      <c r="AP1015" s="1719"/>
      <c r="AQ1015" s="1720"/>
      <c r="AR1015" s="68"/>
      <c r="AS1015" s="68"/>
      <c r="AT1015" s="68"/>
      <c r="AU1015" s="68"/>
      <c r="AV1015" s="68"/>
      <c r="AW1015" s="68"/>
      <c r="AX1015" s="3">
        <v>3</v>
      </c>
      <c r="AY1015" s="200">
        <f t="shared" si="53"/>
        <v>0.05</v>
      </c>
      <c r="AZ1015" s="1255">
        <v>0.05</v>
      </c>
    </row>
    <row r="1016" spans="1:52" ht="13" customHeight="1">
      <c r="A1016" s="14"/>
      <c r="B1016" s="79"/>
      <c r="C1016" s="80" t="s">
        <v>217</v>
      </c>
      <c r="D1016" s="1721" t="s">
        <v>2235</v>
      </c>
      <c r="E1016" s="1722"/>
      <c r="F1016" s="1722"/>
      <c r="G1016" s="1722"/>
      <c r="H1016" s="1722"/>
      <c r="I1016" s="1722"/>
      <c r="J1016" s="1722"/>
      <c r="K1016" s="1722"/>
      <c r="L1016" s="1722"/>
      <c r="M1016" s="1722"/>
      <c r="N1016" s="1722"/>
      <c r="O1016" s="1722"/>
      <c r="P1016" s="1722"/>
      <c r="Q1016" s="1722"/>
      <c r="R1016" s="1722"/>
      <c r="S1016" s="1722"/>
      <c r="T1016" s="1722"/>
      <c r="U1016" s="1722"/>
      <c r="V1016" s="1722"/>
      <c r="W1016" s="1722"/>
      <c r="X1016" s="1722"/>
      <c r="Y1016" s="1722"/>
      <c r="Z1016" s="1722"/>
      <c r="AA1016" s="1722"/>
      <c r="AB1016" s="1722"/>
      <c r="AC1016" s="1722"/>
      <c r="AD1016" s="1722"/>
      <c r="AE1016" s="1723"/>
      <c r="AF1016" s="79"/>
      <c r="AG1016" s="1738" t="s">
        <v>545</v>
      </c>
      <c r="AH1016" s="1739"/>
      <c r="AI1016" s="87"/>
      <c r="AJ1016" s="1712">
        <f>IF(AG1016="yes",AJ992*AY1024,0)</f>
        <v>13495206.800000001</v>
      </c>
      <c r="AK1016" s="1713"/>
      <c r="AL1016" s="1713"/>
      <c r="AM1016" s="1713"/>
      <c r="AN1016" s="1713"/>
      <c r="AO1016" s="1713"/>
      <c r="AP1016" s="1713"/>
      <c r="AQ1016" s="1714"/>
      <c r="AR1016" s="68"/>
      <c r="AS1016" s="68"/>
      <c r="AT1016" s="68"/>
      <c r="AU1016" s="68"/>
      <c r="AV1016" s="68"/>
      <c r="AW1016" s="68"/>
      <c r="AX1016" s="3">
        <v>4</v>
      </c>
      <c r="AY1016" s="200">
        <f t="shared" si="53"/>
        <v>0</v>
      </c>
      <c r="AZ1016" s="1255">
        <v>0.02</v>
      </c>
    </row>
    <row r="1017" spans="1:52" ht="13" customHeight="1">
      <c r="A1017" s="14"/>
      <c r="B1017" s="73"/>
      <c r="C1017" s="74"/>
      <c r="D1017" s="1680" t="s">
        <v>1291</v>
      </c>
      <c r="E1017" s="1681"/>
      <c r="F1017" s="1681"/>
      <c r="G1017" s="1681"/>
      <c r="H1017" s="1681"/>
      <c r="I1017" s="1681"/>
      <c r="J1017" s="1681"/>
      <c r="K1017" s="1681"/>
      <c r="L1017" s="1681"/>
      <c r="M1017" s="1681"/>
      <c r="N1017" s="1681"/>
      <c r="O1017" s="1681"/>
      <c r="P1017" s="1681"/>
      <c r="Q1017" s="1681"/>
      <c r="R1017" s="1681"/>
      <c r="S1017" s="1681"/>
      <c r="T1017" s="1681"/>
      <c r="U1017" s="1681"/>
      <c r="V1017" s="1681"/>
      <c r="W1017" s="1681"/>
      <c r="X1017" s="1681"/>
      <c r="Y1017" s="1681"/>
      <c r="Z1017" s="1681"/>
      <c r="AA1017" s="1681"/>
      <c r="AB1017" s="1681"/>
      <c r="AC1017" s="1681"/>
      <c r="AD1017" s="1681"/>
      <c r="AE1017" s="1682"/>
      <c r="AF1017" s="1831" t="str">
        <f>IF(AND(AG1016="Yes",AY1024=0),AY1027,"")</f>
        <v/>
      </c>
      <c r="AG1017" s="1832"/>
      <c r="AH1017" s="1832"/>
      <c r="AI1017" s="1833"/>
      <c r="AJ1017" s="1715"/>
      <c r="AK1017" s="1716"/>
      <c r="AL1017" s="1716"/>
      <c r="AM1017" s="1716"/>
      <c r="AN1017" s="1716"/>
      <c r="AO1017" s="1716"/>
      <c r="AP1017" s="1716"/>
      <c r="AQ1017" s="1717"/>
      <c r="AR1017" s="68"/>
      <c r="AS1017" s="68"/>
      <c r="AT1017" s="68"/>
      <c r="AU1017" s="68"/>
      <c r="AV1017" s="68"/>
      <c r="AW1017" s="68"/>
      <c r="AX1017" s="3">
        <v>5</v>
      </c>
      <c r="AY1017" s="200">
        <f t="shared" si="53"/>
        <v>0</v>
      </c>
      <c r="AZ1017" s="1255">
        <v>0.04</v>
      </c>
    </row>
    <row r="1018" spans="1:52" ht="13" customHeight="1">
      <c r="A1018" s="14"/>
      <c r="B1018" s="73"/>
      <c r="C1018" s="74"/>
      <c r="D1018" s="1680"/>
      <c r="E1018" s="1681"/>
      <c r="F1018" s="1681"/>
      <c r="G1018" s="1681"/>
      <c r="H1018" s="1681"/>
      <c r="I1018" s="1681"/>
      <c r="J1018" s="1681"/>
      <c r="K1018" s="1681"/>
      <c r="L1018" s="1681"/>
      <c r="M1018" s="1681"/>
      <c r="N1018" s="1681"/>
      <c r="O1018" s="1681"/>
      <c r="P1018" s="1681"/>
      <c r="Q1018" s="1681"/>
      <c r="R1018" s="1681"/>
      <c r="S1018" s="1681"/>
      <c r="T1018" s="1681"/>
      <c r="U1018" s="1681"/>
      <c r="V1018" s="1681"/>
      <c r="W1018" s="1681"/>
      <c r="X1018" s="1681"/>
      <c r="Y1018" s="1681"/>
      <c r="Z1018" s="1681"/>
      <c r="AA1018" s="1681"/>
      <c r="AB1018" s="1681"/>
      <c r="AC1018" s="1681"/>
      <c r="AD1018" s="1681"/>
      <c r="AE1018" s="1682"/>
      <c r="AF1018" s="1831"/>
      <c r="AG1018" s="1832"/>
      <c r="AH1018" s="1832"/>
      <c r="AI1018" s="1833"/>
      <c r="AJ1018" s="1715"/>
      <c r="AK1018" s="1716"/>
      <c r="AL1018" s="1716"/>
      <c r="AM1018" s="1716"/>
      <c r="AN1018" s="1716"/>
      <c r="AO1018" s="1716"/>
      <c r="AP1018" s="1716"/>
      <c r="AQ1018" s="1717"/>
      <c r="AR1018" s="68"/>
      <c r="AS1018" s="68"/>
      <c r="AT1018" s="68"/>
      <c r="AU1018" s="68"/>
      <c r="AV1018" s="68"/>
      <c r="AW1018" s="68"/>
      <c r="AX1018" s="3">
        <v>6</v>
      </c>
      <c r="AY1018" s="200">
        <f t="shared" si="53"/>
        <v>0</v>
      </c>
      <c r="AZ1018" s="1255">
        <v>0.04</v>
      </c>
    </row>
    <row r="1019" spans="1:52" ht="13" customHeight="1">
      <c r="A1019" s="14"/>
      <c r="B1019" s="81"/>
      <c r="C1019" s="82"/>
      <c r="D1019" s="1730"/>
      <c r="E1019" s="1731"/>
      <c r="F1019" s="1731"/>
      <c r="G1019" s="1731"/>
      <c r="H1019" s="1731"/>
      <c r="I1019" s="1731"/>
      <c r="J1019" s="1731"/>
      <c r="K1019" s="1731"/>
      <c r="L1019" s="1731"/>
      <c r="M1019" s="1731"/>
      <c r="N1019" s="1731"/>
      <c r="O1019" s="1731"/>
      <c r="P1019" s="1731"/>
      <c r="Q1019" s="1731"/>
      <c r="R1019" s="1731"/>
      <c r="S1019" s="1731"/>
      <c r="T1019" s="1731"/>
      <c r="U1019" s="1731"/>
      <c r="V1019" s="1731"/>
      <c r="W1019" s="1731"/>
      <c r="X1019" s="1731"/>
      <c r="Y1019" s="1731"/>
      <c r="Z1019" s="1731"/>
      <c r="AA1019" s="1731"/>
      <c r="AB1019" s="1731"/>
      <c r="AC1019" s="1731"/>
      <c r="AD1019" s="1731"/>
      <c r="AE1019" s="1732"/>
      <c r="AF1019" s="1834"/>
      <c r="AG1019" s="1835"/>
      <c r="AH1019" s="1835"/>
      <c r="AI1019" s="1836"/>
      <c r="AJ1019" s="1718"/>
      <c r="AK1019" s="1719"/>
      <c r="AL1019" s="1719"/>
      <c r="AM1019" s="1719"/>
      <c r="AN1019" s="1719"/>
      <c r="AO1019" s="1719"/>
      <c r="AP1019" s="1719"/>
      <c r="AQ1019" s="1720"/>
      <c r="AR1019" s="68"/>
      <c r="AS1019" s="68"/>
      <c r="AT1019" s="68"/>
      <c r="AU1019" s="68"/>
      <c r="AV1019" s="68"/>
      <c r="AW1019" s="68"/>
      <c r="AX1019" s="3">
        <v>7</v>
      </c>
      <c r="AY1019" s="200">
        <f t="shared" si="53"/>
        <v>0.01</v>
      </c>
      <c r="AZ1019" s="1255">
        <v>0.01</v>
      </c>
    </row>
    <row r="1020" spans="1:52" ht="13" customHeight="1">
      <c r="A1020" s="14"/>
      <c r="B1020" s="79"/>
      <c r="C1020" s="80" t="s">
        <v>222</v>
      </c>
      <c r="D1020" s="1802" t="s">
        <v>1292</v>
      </c>
      <c r="E1020" s="1803"/>
      <c r="F1020" s="1803"/>
      <c r="G1020" s="1803"/>
      <c r="H1020" s="1803"/>
      <c r="I1020" s="1803"/>
      <c r="J1020" s="1803"/>
      <c r="K1020" s="1803"/>
      <c r="L1020" s="1803"/>
      <c r="M1020" s="1803"/>
      <c r="N1020" s="1803"/>
      <c r="O1020" s="1803"/>
      <c r="P1020" s="1803"/>
      <c r="Q1020" s="1803"/>
      <c r="R1020" s="1803"/>
      <c r="S1020" s="1803"/>
      <c r="T1020" s="1803"/>
      <c r="U1020" s="1803"/>
      <c r="V1020" s="1803"/>
      <c r="W1020" s="1803"/>
      <c r="X1020" s="1803"/>
      <c r="Y1020" s="1803"/>
      <c r="Z1020" s="1803"/>
      <c r="AA1020" s="1803"/>
      <c r="AB1020" s="1803"/>
      <c r="AC1020" s="1803"/>
      <c r="AD1020" s="1803"/>
      <c r="AE1020" s="1804"/>
      <c r="AF1020" s="79"/>
      <c r="AG1020" s="1738" t="s">
        <v>669</v>
      </c>
      <c r="AH1020" s="1739"/>
      <c r="AI1020" s="87"/>
      <c r="AJ1020" s="1712">
        <f>ROUND(IF(AND(AG1020="Yes",J1024&lt;&gt;"N/A",AF1023&lt;&gt;""),MIN(AF1023,(0.15*AJ992)),0),0)</f>
        <v>0</v>
      </c>
      <c r="AK1020" s="1713"/>
      <c r="AL1020" s="1713"/>
      <c r="AM1020" s="1713"/>
      <c r="AN1020" s="1713"/>
      <c r="AO1020" s="1713"/>
      <c r="AP1020" s="1713"/>
      <c r="AQ1020" s="1714"/>
      <c r="AR1020" s="68"/>
      <c r="AS1020" s="68"/>
      <c r="AT1020" s="68"/>
      <c r="AU1020" s="68"/>
      <c r="AV1020" s="68"/>
      <c r="AW1020" s="68"/>
      <c r="AX1020" s="3">
        <v>8</v>
      </c>
      <c r="AY1020" s="200">
        <f t="shared" si="53"/>
        <v>0</v>
      </c>
      <c r="AZ1020" s="1255">
        <v>0.01</v>
      </c>
    </row>
    <row r="1021" spans="1:52" ht="13" customHeight="1">
      <c r="A1021" s="14"/>
      <c r="B1021" s="81"/>
      <c r="C1021" s="84"/>
      <c r="D1021" s="1805"/>
      <c r="E1021" s="1806"/>
      <c r="F1021" s="1806"/>
      <c r="G1021" s="1806"/>
      <c r="H1021" s="1806"/>
      <c r="I1021" s="1806"/>
      <c r="J1021" s="1806"/>
      <c r="K1021" s="1806"/>
      <c r="L1021" s="1806"/>
      <c r="M1021" s="1806"/>
      <c r="N1021" s="1806"/>
      <c r="O1021" s="1806"/>
      <c r="P1021" s="1806"/>
      <c r="Q1021" s="1806"/>
      <c r="R1021" s="1806"/>
      <c r="S1021" s="1806"/>
      <c r="T1021" s="1806"/>
      <c r="U1021" s="1806"/>
      <c r="V1021" s="1806"/>
      <c r="W1021" s="1806"/>
      <c r="X1021" s="1806"/>
      <c r="Y1021" s="1806"/>
      <c r="Z1021" s="1806"/>
      <c r="AA1021" s="1806"/>
      <c r="AB1021" s="1806"/>
      <c r="AC1021" s="1806"/>
      <c r="AD1021" s="1806"/>
      <c r="AE1021" s="1807"/>
      <c r="AF1021" s="1819" t="str">
        <f>IF(AG1020="yes","Please Select Type and Enter Amount:","")</f>
        <v/>
      </c>
      <c r="AG1021" s="1820"/>
      <c r="AH1021" s="1820"/>
      <c r="AI1021" s="1821"/>
      <c r="AJ1021" s="1715"/>
      <c r="AK1021" s="1716"/>
      <c r="AL1021" s="1716"/>
      <c r="AM1021" s="1716"/>
      <c r="AN1021" s="1716"/>
      <c r="AO1021" s="1716"/>
      <c r="AP1021" s="1716"/>
      <c r="AQ1021" s="1717"/>
      <c r="AR1021" s="68"/>
      <c r="AS1021" s="68"/>
      <c r="AT1021" s="68"/>
      <c r="AU1021" s="68"/>
      <c r="AV1021" s="68"/>
      <c r="AW1021" s="68"/>
      <c r="AX1021" s="3">
        <v>9</v>
      </c>
      <c r="AY1021" s="200">
        <f t="shared" si="53"/>
        <v>0</v>
      </c>
      <c r="AZ1021" s="1255">
        <v>0.01</v>
      </c>
    </row>
    <row r="1022" spans="1:52" ht="13" customHeight="1">
      <c r="A1022" s="14"/>
      <c r="B1022" s="81"/>
      <c r="C1022" s="84"/>
      <c r="D1022" s="1680" t="s">
        <v>1293</v>
      </c>
      <c r="E1022" s="1681"/>
      <c r="F1022" s="1681"/>
      <c r="G1022" s="1681"/>
      <c r="H1022" s="1681"/>
      <c r="I1022" s="1681"/>
      <c r="J1022" s="1681"/>
      <c r="K1022" s="1681"/>
      <c r="L1022" s="1681"/>
      <c r="M1022" s="1681"/>
      <c r="N1022" s="1681"/>
      <c r="O1022" s="1681"/>
      <c r="P1022" s="1681"/>
      <c r="Q1022" s="1681"/>
      <c r="R1022" s="1681"/>
      <c r="S1022" s="1681"/>
      <c r="T1022" s="1681"/>
      <c r="U1022" s="1681"/>
      <c r="V1022" s="1681"/>
      <c r="W1022" s="1681"/>
      <c r="X1022" s="1681"/>
      <c r="Y1022" s="1681"/>
      <c r="Z1022" s="1681"/>
      <c r="AA1022" s="1681"/>
      <c r="AB1022" s="1681"/>
      <c r="AC1022" s="1681"/>
      <c r="AD1022" s="1681"/>
      <c r="AE1022" s="1682"/>
      <c r="AF1022" s="1819"/>
      <c r="AG1022" s="1820"/>
      <c r="AH1022" s="1820"/>
      <c r="AI1022" s="1821"/>
      <c r="AJ1022" s="1715"/>
      <c r="AK1022" s="1716"/>
      <c r="AL1022" s="1716"/>
      <c r="AM1022" s="1716"/>
      <c r="AN1022" s="1716"/>
      <c r="AO1022" s="1716"/>
      <c r="AP1022" s="1716"/>
      <c r="AQ1022" s="1717"/>
      <c r="AR1022" s="68"/>
      <c r="AS1022" s="68"/>
      <c r="AT1022" s="68"/>
      <c r="AU1022" s="68"/>
      <c r="AV1022" s="68"/>
      <c r="AW1022" s="68"/>
      <c r="AX1022" s="3">
        <v>10</v>
      </c>
      <c r="AY1022" s="200">
        <f t="shared" si="53"/>
        <v>0</v>
      </c>
      <c r="AZ1022" s="1255">
        <v>0.02</v>
      </c>
    </row>
    <row r="1023" spans="1:52" ht="13" customHeight="1">
      <c r="A1023" s="14"/>
      <c r="B1023" s="81"/>
      <c r="C1023" s="84"/>
      <c r="D1023" s="1680"/>
      <c r="E1023" s="1681"/>
      <c r="F1023" s="1681"/>
      <c r="G1023" s="1681"/>
      <c r="H1023" s="1681"/>
      <c r="I1023" s="1681"/>
      <c r="J1023" s="1681"/>
      <c r="K1023" s="1681"/>
      <c r="L1023" s="1681"/>
      <c r="M1023" s="1681"/>
      <c r="N1023" s="1681"/>
      <c r="O1023" s="1681"/>
      <c r="P1023" s="1681"/>
      <c r="Q1023" s="1681"/>
      <c r="R1023" s="1681"/>
      <c r="S1023" s="1681"/>
      <c r="T1023" s="1681"/>
      <c r="U1023" s="1681"/>
      <c r="V1023" s="1681"/>
      <c r="W1023" s="1681"/>
      <c r="X1023" s="1681"/>
      <c r="Y1023" s="1681"/>
      <c r="Z1023" s="1681"/>
      <c r="AA1023" s="1681"/>
      <c r="AB1023" s="1681"/>
      <c r="AC1023" s="1681"/>
      <c r="AD1023" s="1681"/>
      <c r="AE1023" s="1682"/>
      <c r="AF1023" s="1761"/>
      <c r="AG1023" s="1761"/>
      <c r="AH1023" s="1761"/>
      <c r="AI1023" s="1761"/>
      <c r="AJ1023" s="1715"/>
      <c r="AK1023" s="1716"/>
      <c r="AL1023" s="1716"/>
      <c r="AM1023" s="1716"/>
      <c r="AN1023" s="1716"/>
      <c r="AO1023" s="1716"/>
      <c r="AP1023" s="1716"/>
      <c r="AQ1023" s="1717"/>
      <c r="AR1023" s="68"/>
      <c r="AS1023" s="68"/>
      <c r="AT1023" s="68"/>
      <c r="AU1023" s="68"/>
      <c r="AV1023" s="68"/>
      <c r="AW1023" s="68"/>
      <c r="AX1023" s="3">
        <v>11</v>
      </c>
      <c r="AY1023" s="200">
        <f t="shared" si="53"/>
        <v>0</v>
      </c>
      <c r="AZ1023" s="1255">
        <v>0.02</v>
      </c>
    </row>
    <row r="1024" spans="1:52" ht="13" customHeight="1">
      <c r="A1024" s="14"/>
      <c r="B1024" s="81"/>
      <c r="C1024" s="84"/>
      <c r="D1024" s="526" t="s">
        <v>358</v>
      </c>
      <c r="E1024" s="90"/>
      <c r="F1024" s="90"/>
      <c r="G1024" s="104"/>
      <c r="H1024" s="104"/>
      <c r="I1024" s="49"/>
      <c r="J1024" s="1811" t="s">
        <v>591</v>
      </c>
      <c r="K1024" s="1812"/>
      <c r="L1024" s="1812"/>
      <c r="M1024" s="1812"/>
      <c r="N1024" s="1812"/>
      <c r="O1024" s="1812"/>
      <c r="P1024" s="1812"/>
      <c r="Q1024" s="1812"/>
      <c r="R1024" s="1812"/>
      <c r="S1024" s="1812"/>
      <c r="T1024" s="1812"/>
      <c r="U1024" s="1812"/>
      <c r="V1024" s="1812"/>
      <c r="W1024" s="1812"/>
      <c r="X1024" s="1812"/>
      <c r="Y1024" s="1812"/>
      <c r="Z1024" s="1812"/>
      <c r="AA1024" s="1812"/>
      <c r="AB1024" s="1812"/>
      <c r="AC1024" s="1812"/>
      <c r="AD1024" s="1812"/>
      <c r="AE1024" s="1813"/>
      <c r="AF1024" s="1761"/>
      <c r="AG1024" s="1761"/>
      <c r="AH1024" s="1761"/>
      <c r="AI1024" s="1761"/>
      <c r="AJ1024" s="1718"/>
      <c r="AK1024" s="1719"/>
      <c r="AL1024" s="1719"/>
      <c r="AM1024" s="1719"/>
      <c r="AN1024" s="1719"/>
      <c r="AO1024" s="1719"/>
      <c r="AP1024" s="1719"/>
      <c r="AQ1024" s="1720"/>
      <c r="AR1024" s="68"/>
      <c r="AS1024" s="68"/>
      <c r="AT1024" s="68"/>
      <c r="AU1024" s="68"/>
      <c r="AV1024" s="68"/>
      <c r="AW1024" s="68"/>
      <c r="AX1024" s="1032" t="s">
        <v>2601</v>
      </c>
      <c r="AY1024" s="201">
        <f>IF(SUM(AY1013:AY1023)&lt;=0.2,SUM(AY1013:AY1023),0.2)</f>
        <v>0.2</v>
      </c>
    </row>
    <row r="1025" spans="1:57" ht="13" customHeight="1">
      <c r="A1025" s="14"/>
      <c r="B1025" s="79"/>
      <c r="C1025" s="80" t="s">
        <v>228</v>
      </c>
      <c r="D1025" s="1752" t="s">
        <v>1294</v>
      </c>
      <c r="E1025" s="1753"/>
      <c r="F1025" s="1753"/>
      <c r="G1025" s="1753"/>
      <c r="H1025" s="1753"/>
      <c r="I1025" s="1753"/>
      <c r="J1025" s="1753"/>
      <c r="K1025" s="1753"/>
      <c r="L1025" s="1753"/>
      <c r="M1025" s="1753"/>
      <c r="N1025" s="1753"/>
      <c r="O1025" s="1753"/>
      <c r="P1025" s="1753"/>
      <c r="Q1025" s="1753"/>
      <c r="R1025" s="1753"/>
      <c r="S1025" s="1753"/>
      <c r="T1025" s="1753"/>
      <c r="U1025" s="1753"/>
      <c r="V1025" s="1753"/>
      <c r="W1025" s="1753"/>
      <c r="X1025" s="1753"/>
      <c r="Y1025" s="1753"/>
      <c r="Z1025" s="1753"/>
      <c r="AA1025" s="1753"/>
      <c r="AB1025" s="1753"/>
      <c r="AC1025" s="1753"/>
      <c r="AD1025" s="1753"/>
      <c r="AE1025" s="1754"/>
      <c r="AF1025" s="79"/>
      <c r="AG1025" s="1738" t="s">
        <v>545</v>
      </c>
      <c r="AH1025" s="1739"/>
      <c r="AI1025" s="87"/>
      <c r="AJ1025" s="1712">
        <f>ROUND(IF(AG1025="Yes",AF1027,0),0)</f>
        <v>2109915</v>
      </c>
      <c r="AK1025" s="1713"/>
      <c r="AL1025" s="1713"/>
      <c r="AM1025" s="1713"/>
      <c r="AN1025" s="1713"/>
      <c r="AO1025" s="1713"/>
      <c r="AP1025" s="1713"/>
      <c r="AQ1025" s="1714"/>
      <c r="AR1025" s="68"/>
      <c r="AS1025" s="68"/>
      <c r="AT1025" s="68"/>
      <c r="AU1025" s="68"/>
      <c r="AV1025" s="68"/>
      <c r="AW1025" s="68"/>
      <c r="AX1025" s="68"/>
      <c r="AY1025" s="68"/>
    </row>
    <row r="1026" spans="1:57" ht="13" customHeight="1">
      <c r="A1026" s="14"/>
      <c r="B1026" s="73"/>
      <c r="C1026" s="74"/>
      <c r="D1026" s="1680" t="s">
        <v>1690</v>
      </c>
      <c r="E1026" s="1681"/>
      <c r="F1026" s="1681"/>
      <c r="G1026" s="1681"/>
      <c r="H1026" s="1681"/>
      <c r="I1026" s="1681"/>
      <c r="J1026" s="1681"/>
      <c r="K1026" s="1681"/>
      <c r="L1026" s="1681"/>
      <c r="M1026" s="1681"/>
      <c r="N1026" s="1681"/>
      <c r="O1026" s="1681"/>
      <c r="P1026" s="1681"/>
      <c r="Q1026" s="1681"/>
      <c r="R1026" s="1681"/>
      <c r="S1026" s="1681"/>
      <c r="T1026" s="1681"/>
      <c r="U1026" s="1681"/>
      <c r="V1026" s="1681"/>
      <c r="W1026" s="1681"/>
      <c r="X1026" s="1681"/>
      <c r="Y1026" s="1681"/>
      <c r="Z1026" s="1681"/>
      <c r="AA1026" s="1681"/>
      <c r="AB1026" s="1681"/>
      <c r="AC1026" s="1681"/>
      <c r="AD1026" s="1681"/>
      <c r="AE1026" s="1682"/>
      <c r="AF1026" s="1808" t="str">
        <f>IF(AG1025="yes","Enter Amount:","")</f>
        <v>Enter Amount:</v>
      </c>
      <c r="AG1026" s="1809"/>
      <c r="AH1026" s="1809"/>
      <c r="AI1026" s="1810"/>
      <c r="AJ1026" s="1715"/>
      <c r="AK1026" s="1716"/>
      <c r="AL1026" s="1716"/>
      <c r="AM1026" s="1716"/>
      <c r="AN1026" s="1716"/>
      <c r="AO1026" s="1716"/>
      <c r="AP1026" s="1716"/>
      <c r="AQ1026" s="1717"/>
      <c r="AR1026" s="68"/>
      <c r="AS1026" s="68"/>
      <c r="AT1026" s="68"/>
      <c r="AU1026" s="68"/>
      <c r="AV1026" s="68"/>
      <c r="AW1026" s="68"/>
      <c r="AX1026" s="68"/>
      <c r="AY1026" s="68"/>
    </row>
    <row r="1027" spans="1:57" ht="13" customHeight="1">
      <c r="A1027" s="14"/>
      <c r="B1027" s="73"/>
      <c r="C1027" s="74"/>
      <c r="D1027" s="1680"/>
      <c r="E1027" s="1681"/>
      <c r="F1027" s="1681"/>
      <c r="G1027" s="1681"/>
      <c r="H1027" s="1681"/>
      <c r="I1027" s="1681"/>
      <c r="J1027" s="1681"/>
      <c r="K1027" s="1681"/>
      <c r="L1027" s="1681"/>
      <c r="M1027" s="1681"/>
      <c r="N1027" s="1681"/>
      <c r="O1027" s="1681"/>
      <c r="P1027" s="1681"/>
      <c r="Q1027" s="1681"/>
      <c r="R1027" s="1681"/>
      <c r="S1027" s="1681"/>
      <c r="T1027" s="1681"/>
      <c r="U1027" s="1681"/>
      <c r="V1027" s="1681"/>
      <c r="W1027" s="1681"/>
      <c r="X1027" s="1681"/>
      <c r="Y1027" s="1681"/>
      <c r="Z1027" s="1681"/>
      <c r="AA1027" s="1681"/>
      <c r="AB1027" s="1681"/>
      <c r="AC1027" s="1681"/>
      <c r="AD1027" s="1681"/>
      <c r="AE1027" s="1682"/>
      <c r="AF1027" s="1761">
        <v>2109915</v>
      </c>
      <c r="AG1027" s="1761"/>
      <c r="AH1027" s="1761"/>
      <c r="AI1027" s="1761"/>
      <c r="AJ1027" s="1715"/>
      <c r="AK1027" s="1716"/>
      <c r="AL1027" s="1716"/>
      <c r="AM1027" s="1716"/>
      <c r="AN1027" s="1716"/>
      <c r="AO1027" s="1716"/>
      <c r="AP1027" s="1716"/>
      <c r="AQ1027" s="1717"/>
      <c r="AR1027" s="68"/>
      <c r="AS1027" s="68"/>
      <c r="AT1027" s="68"/>
      <c r="AU1027" s="68"/>
      <c r="AV1027" s="68"/>
      <c r="AW1027" s="68"/>
      <c r="AX1027" s="68"/>
      <c r="AY1027" s="14" t="str">
        <f>"Select items beginning on row #"&amp;TEXT(ROW(A1061),"#")&amp;" to claim this boost"</f>
        <v>Select items beginning on row #1061 to claim this boost</v>
      </c>
    </row>
    <row r="1028" spans="1:57" ht="13" customHeight="1">
      <c r="A1028" s="14"/>
      <c r="B1028" s="85"/>
      <c r="C1028" s="84"/>
      <c r="D1028" s="1730"/>
      <c r="E1028" s="1731"/>
      <c r="F1028" s="1731"/>
      <c r="G1028" s="1731"/>
      <c r="H1028" s="1731"/>
      <c r="I1028" s="1731"/>
      <c r="J1028" s="1731"/>
      <c r="K1028" s="1731"/>
      <c r="L1028" s="1731"/>
      <c r="M1028" s="1731"/>
      <c r="N1028" s="1731"/>
      <c r="O1028" s="1731"/>
      <c r="P1028" s="1731"/>
      <c r="Q1028" s="1731"/>
      <c r="R1028" s="1731"/>
      <c r="S1028" s="1731"/>
      <c r="T1028" s="1731"/>
      <c r="U1028" s="1731"/>
      <c r="V1028" s="1731"/>
      <c r="W1028" s="1731"/>
      <c r="X1028" s="1731"/>
      <c r="Y1028" s="1731"/>
      <c r="Z1028" s="1731"/>
      <c r="AA1028" s="1731"/>
      <c r="AB1028" s="1731"/>
      <c r="AC1028" s="1731"/>
      <c r="AD1028" s="1731"/>
      <c r="AE1028" s="1732"/>
      <c r="AF1028" s="1761"/>
      <c r="AG1028" s="1761"/>
      <c r="AH1028" s="1761"/>
      <c r="AI1028" s="1761"/>
      <c r="AJ1028" s="1718"/>
      <c r="AK1028" s="1719"/>
      <c r="AL1028" s="1719"/>
      <c r="AM1028" s="1719"/>
      <c r="AN1028" s="1719"/>
      <c r="AO1028" s="1719"/>
      <c r="AP1028" s="1719"/>
      <c r="AQ1028" s="1720"/>
      <c r="AR1028" s="68"/>
      <c r="AS1028" s="68"/>
      <c r="AT1028" s="68"/>
      <c r="AU1028" s="68"/>
      <c r="AV1028" s="68"/>
      <c r="AW1028" s="68"/>
      <c r="AX1028" s="68"/>
      <c r="AY1028" s="68"/>
    </row>
    <row r="1029" spans="1:57" ht="13" customHeight="1">
      <c r="A1029" s="14"/>
      <c r="B1029" s="79"/>
      <c r="C1029" s="80" t="s">
        <v>233</v>
      </c>
      <c r="D1029" s="1721" t="s">
        <v>1295</v>
      </c>
      <c r="E1029" s="1722"/>
      <c r="F1029" s="1722"/>
      <c r="G1029" s="1722"/>
      <c r="H1029" s="1722"/>
      <c r="I1029" s="1722"/>
      <c r="J1029" s="1722"/>
      <c r="K1029" s="1722"/>
      <c r="L1029" s="1722"/>
      <c r="M1029" s="1722"/>
      <c r="N1029" s="1722"/>
      <c r="O1029" s="1722"/>
      <c r="P1029" s="1722"/>
      <c r="Q1029" s="1722"/>
      <c r="R1029" s="1722"/>
      <c r="S1029" s="1722"/>
      <c r="T1029" s="1722"/>
      <c r="U1029" s="1722"/>
      <c r="V1029" s="1722"/>
      <c r="W1029" s="1722"/>
      <c r="X1029" s="1722"/>
      <c r="Y1029" s="1722"/>
      <c r="Z1029" s="1722"/>
      <c r="AA1029" s="1722"/>
      <c r="AB1029" s="1722"/>
      <c r="AC1029" s="1722"/>
      <c r="AD1029" s="1722"/>
      <c r="AE1029" s="1723"/>
      <c r="AF1029" s="79"/>
      <c r="AG1029" s="1738" t="s">
        <v>669</v>
      </c>
      <c r="AH1029" s="1739"/>
      <c r="AI1029" s="87"/>
      <c r="AJ1029" s="1712">
        <f>ROUND(IF(AG1029="yes",(AJ992*0.1),0),0)</f>
        <v>0</v>
      </c>
      <c r="AK1029" s="1713"/>
      <c r="AL1029" s="1713"/>
      <c r="AM1029" s="1713"/>
      <c r="AN1029" s="1713"/>
      <c r="AO1029" s="1713"/>
      <c r="AP1029" s="1713"/>
      <c r="AQ1029" s="1714"/>
      <c r="AR1029" s="68"/>
      <c r="AS1029" s="68"/>
      <c r="AT1029" s="68"/>
      <c r="AU1029" s="68"/>
      <c r="AV1029" s="68"/>
      <c r="AW1029" s="68"/>
      <c r="AX1029" s="68"/>
      <c r="AY1029" s="68"/>
    </row>
    <row r="1030" spans="1:57" ht="13" customHeight="1">
      <c r="A1030" s="14"/>
      <c r="B1030" s="73"/>
      <c r="C1030" s="74"/>
      <c r="D1030" s="1680" t="s">
        <v>1296</v>
      </c>
      <c r="E1030" s="1681"/>
      <c r="F1030" s="1681"/>
      <c r="G1030" s="1681"/>
      <c r="H1030" s="1681"/>
      <c r="I1030" s="1681"/>
      <c r="J1030" s="1681"/>
      <c r="K1030" s="1681"/>
      <c r="L1030" s="1681"/>
      <c r="M1030" s="1681"/>
      <c r="N1030" s="1681"/>
      <c r="O1030" s="1681"/>
      <c r="P1030" s="1681"/>
      <c r="Q1030" s="1681"/>
      <c r="R1030" s="1681"/>
      <c r="S1030" s="1681"/>
      <c r="T1030" s="1681"/>
      <c r="U1030" s="1681"/>
      <c r="V1030" s="1681"/>
      <c r="W1030" s="1681"/>
      <c r="X1030" s="1681"/>
      <c r="Y1030" s="1681"/>
      <c r="Z1030" s="1681"/>
      <c r="AA1030" s="1681"/>
      <c r="AB1030" s="1681"/>
      <c r="AC1030" s="1681"/>
      <c r="AD1030" s="1681"/>
      <c r="AE1030" s="1682"/>
      <c r="AF1030" s="73"/>
      <c r="AG1030" s="14"/>
      <c r="AH1030" s="14"/>
      <c r="AI1030" s="83"/>
      <c r="AJ1030" s="1715"/>
      <c r="AK1030" s="1716"/>
      <c r="AL1030" s="1716"/>
      <c r="AM1030" s="1716"/>
      <c r="AN1030" s="1716"/>
      <c r="AO1030" s="1716"/>
      <c r="AP1030" s="1716"/>
      <c r="AQ1030" s="1717"/>
      <c r="AR1030" s="68"/>
      <c r="AS1030" s="68"/>
      <c r="AT1030" s="68"/>
      <c r="AU1030" s="68"/>
      <c r="AV1030" s="68"/>
      <c r="AW1030" s="68"/>
      <c r="AX1030" s="68"/>
      <c r="AY1030" s="68"/>
    </row>
    <row r="1031" spans="1:57" ht="13" customHeight="1">
      <c r="A1031" s="14"/>
      <c r="B1031" s="77"/>
      <c r="C1031" s="74"/>
      <c r="D1031" s="1730"/>
      <c r="E1031" s="1731"/>
      <c r="F1031" s="1731"/>
      <c r="G1031" s="1731"/>
      <c r="H1031" s="1731"/>
      <c r="I1031" s="1731"/>
      <c r="J1031" s="1731"/>
      <c r="K1031" s="1731"/>
      <c r="L1031" s="1731"/>
      <c r="M1031" s="1731"/>
      <c r="N1031" s="1731"/>
      <c r="O1031" s="1731"/>
      <c r="P1031" s="1731"/>
      <c r="Q1031" s="1731"/>
      <c r="R1031" s="1731"/>
      <c r="S1031" s="1731"/>
      <c r="T1031" s="1731"/>
      <c r="U1031" s="1731"/>
      <c r="V1031" s="1731"/>
      <c r="W1031" s="1731"/>
      <c r="X1031" s="1731"/>
      <c r="Y1031" s="1731"/>
      <c r="Z1031" s="1731"/>
      <c r="AA1031" s="1731"/>
      <c r="AB1031" s="1731"/>
      <c r="AC1031" s="1731"/>
      <c r="AD1031" s="1731"/>
      <c r="AE1031" s="1732"/>
      <c r="AF1031" s="73"/>
      <c r="AG1031" s="14"/>
      <c r="AH1031" s="14"/>
      <c r="AI1031" s="83"/>
      <c r="AJ1031" s="1718"/>
      <c r="AK1031" s="1719"/>
      <c r="AL1031" s="1719"/>
      <c r="AM1031" s="1719"/>
      <c r="AN1031" s="1719"/>
      <c r="AO1031" s="1719"/>
      <c r="AP1031" s="1719"/>
      <c r="AQ1031" s="1720"/>
      <c r="AR1031" s="68"/>
      <c r="AS1031" s="68"/>
      <c r="AT1031" s="68"/>
      <c r="AU1031" s="68"/>
      <c r="AV1031" s="68"/>
      <c r="AW1031" s="68"/>
      <c r="AX1031" s="68"/>
      <c r="AY1031" s="68"/>
    </row>
    <row r="1032" spans="1:57" ht="13" customHeight="1">
      <c r="A1032" s="14"/>
      <c r="B1032" s="73"/>
      <c r="C1032" s="339" t="s">
        <v>687</v>
      </c>
      <c r="D1032" s="1752" t="s">
        <v>1686</v>
      </c>
      <c r="E1032" s="1753"/>
      <c r="F1032" s="1753"/>
      <c r="G1032" s="1753"/>
      <c r="H1032" s="1753"/>
      <c r="I1032" s="1753"/>
      <c r="J1032" s="1753"/>
      <c r="K1032" s="1753"/>
      <c r="L1032" s="1753"/>
      <c r="M1032" s="1753"/>
      <c r="N1032" s="1753"/>
      <c r="O1032" s="1753"/>
      <c r="P1032" s="1753"/>
      <c r="Q1032" s="1753"/>
      <c r="R1032" s="1753"/>
      <c r="S1032" s="1753"/>
      <c r="T1032" s="1753"/>
      <c r="U1032" s="1753"/>
      <c r="V1032" s="1753"/>
      <c r="W1032" s="1753"/>
      <c r="X1032" s="1753"/>
      <c r="Y1032" s="1753"/>
      <c r="Z1032" s="1753"/>
      <c r="AA1032" s="1753"/>
      <c r="AB1032" s="1753"/>
      <c r="AC1032" s="1753"/>
      <c r="AD1032" s="1753"/>
      <c r="AE1032" s="1754"/>
      <c r="AF1032" s="79"/>
      <c r="AG1032" s="1738" t="s">
        <v>669</v>
      </c>
      <c r="AH1032" s="1739"/>
      <c r="AI1032" s="87"/>
      <c r="AJ1032" s="1712">
        <f>ROUND(IF(AG1032="yes",(AJ992*0.15),0),0)</f>
        <v>0</v>
      </c>
      <c r="AK1032" s="1713"/>
      <c r="AL1032" s="1713"/>
      <c r="AM1032" s="1713"/>
      <c r="AN1032" s="1713"/>
      <c r="AO1032" s="1713"/>
      <c r="AP1032" s="1713"/>
      <c r="AQ1032" s="1714"/>
      <c r="AR1032" s="68"/>
      <c r="AS1032" s="68"/>
      <c r="AT1032" s="68"/>
      <c r="AU1032" s="68"/>
      <c r="AV1032" s="68"/>
      <c r="AW1032" s="68"/>
      <c r="AX1032" s="68"/>
      <c r="AY1032" s="68"/>
    </row>
    <row r="1033" spans="1:57" ht="13" customHeight="1">
      <c r="A1033" s="14"/>
      <c r="B1033" s="73"/>
      <c r="C1033" s="74"/>
      <c r="D1033" s="1791" t="s">
        <v>1687</v>
      </c>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792"/>
      <c r="AF1033" s="915"/>
      <c r="AG1033" s="916"/>
      <c r="AH1033" s="916"/>
      <c r="AI1033" s="917"/>
      <c r="AJ1033" s="1715"/>
      <c r="AK1033" s="1716"/>
      <c r="AL1033" s="1716"/>
      <c r="AM1033" s="1716"/>
      <c r="AN1033" s="1716"/>
      <c r="AO1033" s="1716"/>
      <c r="AP1033" s="1716"/>
      <c r="AQ1033" s="1717"/>
      <c r="AR1033" s="68"/>
      <c r="AS1033" s="68"/>
      <c r="AT1033" s="68"/>
      <c r="AU1033" s="68"/>
      <c r="AV1033" s="68"/>
      <c r="AW1033" s="68"/>
      <c r="AX1033" s="68"/>
      <c r="AY1033" s="68"/>
    </row>
    <row r="1034" spans="1:57" ht="13" customHeight="1">
      <c r="A1034" s="14"/>
      <c r="B1034" s="73"/>
      <c r="C1034" s="74"/>
      <c r="D1034" s="1791"/>
      <c r="E1034" s="1270"/>
      <c r="F1034" s="1270"/>
      <c r="G1034" s="1270"/>
      <c r="H1034" s="1270"/>
      <c r="I1034" s="1270"/>
      <c r="J1034" s="1270"/>
      <c r="K1034" s="1270"/>
      <c r="L1034" s="1270"/>
      <c r="M1034" s="1270"/>
      <c r="N1034" s="1270"/>
      <c r="O1034" s="1270"/>
      <c r="P1034" s="1270"/>
      <c r="Q1034" s="1270"/>
      <c r="R1034" s="1270"/>
      <c r="S1034" s="1270"/>
      <c r="T1034" s="1270"/>
      <c r="U1034" s="1270"/>
      <c r="V1034" s="1270"/>
      <c r="W1034" s="1270"/>
      <c r="X1034" s="1270"/>
      <c r="Y1034" s="1270"/>
      <c r="Z1034" s="1270"/>
      <c r="AA1034" s="1270"/>
      <c r="AB1034" s="1270"/>
      <c r="AC1034" s="1270"/>
      <c r="AD1034" s="1270"/>
      <c r="AE1034" s="1792"/>
      <c r="AF1034" s="915"/>
      <c r="AG1034" s="916"/>
      <c r="AH1034" s="916"/>
      <c r="AI1034" s="917"/>
      <c r="AJ1034" s="1715"/>
      <c r="AK1034" s="1716"/>
      <c r="AL1034" s="1716"/>
      <c r="AM1034" s="1716"/>
      <c r="AN1034" s="1716"/>
      <c r="AO1034" s="1716"/>
      <c r="AP1034" s="1716"/>
      <c r="AQ1034" s="1717"/>
      <c r="AR1034" s="68"/>
      <c r="AS1034" s="68"/>
      <c r="AT1034" s="68"/>
      <c r="AU1034" s="68"/>
      <c r="AV1034" s="68"/>
      <c r="AW1034" s="68"/>
      <c r="AX1034" s="68"/>
      <c r="AY1034" s="68"/>
    </row>
    <row r="1035" spans="1:57" ht="13" customHeight="1">
      <c r="A1035" s="14"/>
      <c r="B1035" s="73"/>
      <c r="C1035" s="74"/>
      <c r="D1035" s="1793"/>
      <c r="E1035" s="1794"/>
      <c r="F1035" s="1794"/>
      <c r="G1035" s="1794"/>
      <c r="H1035" s="1794"/>
      <c r="I1035" s="1794"/>
      <c r="J1035" s="1794"/>
      <c r="K1035" s="1794"/>
      <c r="L1035" s="1794"/>
      <c r="M1035" s="1794"/>
      <c r="N1035" s="1794"/>
      <c r="O1035" s="1794"/>
      <c r="P1035" s="1794"/>
      <c r="Q1035" s="1794"/>
      <c r="R1035" s="1794"/>
      <c r="S1035" s="1794"/>
      <c r="T1035" s="1794"/>
      <c r="U1035" s="1794"/>
      <c r="V1035" s="1794"/>
      <c r="W1035" s="1794"/>
      <c r="X1035" s="1794"/>
      <c r="Y1035" s="1794"/>
      <c r="Z1035" s="1794"/>
      <c r="AA1035" s="1794"/>
      <c r="AB1035" s="1794"/>
      <c r="AC1035" s="1794"/>
      <c r="AD1035" s="1794"/>
      <c r="AE1035" s="1795"/>
      <c r="AF1035" s="918"/>
      <c r="AG1035" s="919"/>
      <c r="AH1035" s="919"/>
      <c r="AI1035" s="920"/>
      <c r="AJ1035" s="1718"/>
      <c r="AK1035" s="1719"/>
      <c r="AL1035" s="1719"/>
      <c r="AM1035" s="1719"/>
      <c r="AN1035" s="1719"/>
      <c r="AO1035" s="1719"/>
      <c r="AP1035" s="1719"/>
      <c r="AQ1035" s="1720"/>
      <c r="AR1035" s="68"/>
      <c r="AS1035" s="68"/>
      <c r="AT1035" s="68"/>
      <c r="AU1035" s="68"/>
      <c r="AV1035" s="68"/>
      <c r="AW1035" s="68"/>
      <c r="AX1035" s="68"/>
      <c r="AY1035" s="68"/>
    </row>
    <row r="1036" spans="1:57" ht="13" customHeight="1">
      <c r="A1036" s="14"/>
      <c r="B1036" s="73"/>
      <c r="C1036" s="339" t="s">
        <v>687</v>
      </c>
      <c r="D1036" s="1721" t="s">
        <v>1688</v>
      </c>
      <c r="E1036" s="1722"/>
      <c r="F1036" s="1722"/>
      <c r="G1036" s="1722"/>
      <c r="H1036" s="1722"/>
      <c r="I1036" s="1722"/>
      <c r="J1036" s="1722"/>
      <c r="K1036" s="1722"/>
      <c r="L1036" s="1722"/>
      <c r="M1036" s="1722"/>
      <c r="N1036" s="1722"/>
      <c r="O1036" s="1722"/>
      <c r="P1036" s="1722"/>
      <c r="Q1036" s="1722"/>
      <c r="R1036" s="1722"/>
      <c r="S1036" s="1722"/>
      <c r="T1036" s="1722"/>
      <c r="U1036" s="1722"/>
      <c r="V1036" s="1722"/>
      <c r="W1036" s="1722"/>
      <c r="X1036" s="1722"/>
      <c r="Y1036" s="1722"/>
      <c r="Z1036" s="1722"/>
      <c r="AA1036" s="1722"/>
      <c r="AB1036" s="1722"/>
      <c r="AC1036" s="1722"/>
      <c r="AD1036" s="1722"/>
      <c r="AE1036" s="1723"/>
      <c r="AF1036" s="73"/>
      <c r="AG1036" s="1740" t="s">
        <v>669</v>
      </c>
      <c r="AH1036" s="1741"/>
      <c r="AI1036" s="83"/>
      <c r="AJ1036" s="1712">
        <f>ROUND(IF(AND(AG1036="yes",AJ1032=0),(AJ992*0.1),0),0)</f>
        <v>0</v>
      </c>
      <c r="AK1036" s="1713"/>
      <c r="AL1036" s="1713"/>
      <c r="AM1036" s="1713"/>
      <c r="AN1036" s="1713"/>
      <c r="AO1036" s="1713"/>
      <c r="AP1036" s="1713"/>
      <c r="AQ1036" s="1714"/>
      <c r="AR1036" s="68"/>
      <c r="AS1036" s="68"/>
      <c r="AT1036" s="68"/>
      <c r="AU1036" s="68"/>
      <c r="AV1036" s="68"/>
      <c r="AW1036" s="68"/>
      <c r="AX1036" s="68"/>
      <c r="AY1036" s="68"/>
    </row>
    <row r="1037" spans="1:57" ht="13" customHeight="1">
      <c r="A1037" s="14"/>
      <c r="B1037" s="73"/>
      <c r="C1037" s="74"/>
      <c r="D1037" s="1791" t="s">
        <v>1689</v>
      </c>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792"/>
      <c r="AF1037" s="73"/>
      <c r="AG1037" s="14"/>
      <c r="AH1037" s="14"/>
      <c r="AI1037" s="83"/>
      <c r="AJ1037" s="1715"/>
      <c r="AK1037" s="1716"/>
      <c r="AL1037" s="1716"/>
      <c r="AM1037" s="1716"/>
      <c r="AN1037" s="1716"/>
      <c r="AO1037" s="1716"/>
      <c r="AP1037" s="1716"/>
      <c r="AQ1037" s="1717"/>
      <c r="AR1037" s="68"/>
      <c r="AS1037" s="68"/>
      <c r="AT1037" s="68"/>
      <c r="AU1037" s="68"/>
      <c r="AV1037" s="68"/>
      <c r="AW1037" s="68"/>
      <c r="AX1037" s="68"/>
      <c r="AY1037" s="68"/>
    </row>
    <row r="1038" spans="1:57" ht="13" customHeight="1">
      <c r="A1038" s="14"/>
      <c r="B1038" s="73"/>
      <c r="C1038" s="74"/>
      <c r="D1038" s="1791"/>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792"/>
      <c r="AF1038" s="73"/>
      <c r="AG1038" s="14"/>
      <c r="AH1038" s="14"/>
      <c r="AI1038" s="83"/>
      <c r="AJ1038" s="1715"/>
      <c r="AK1038" s="1716"/>
      <c r="AL1038" s="1716"/>
      <c r="AM1038" s="1716"/>
      <c r="AN1038" s="1716"/>
      <c r="AO1038" s="1716"/>
      <c r="AP1038" s="1716"/>
      <c r="AQ1038" s="1717"/>
      <c r="AR1038" s="68"/>
      <c r="AS1038" s="68"/>
      <c r="AT1038" s="68"/>
      <c r="AU1038" s="68"/>
      <c r="AV1038" s="68"/>
      <c r="AW1038" s="68"/>
      <c r="AX1038" s="68"/>
      <c r="AY1038" s="68"/>
      <c r="BA1038" s="1183">
        <f>IFERROR(('Sources and Uses Budget'!$C$17+'Sources and Uses Budget'!$C$18+'Sources and Uses Budget'!$C$22)/$AG$437,0)</f>
        <v>0</v>
      </c>
      <c r="BB1038" s="1183" t="s">
        <v>2484</v>
      </c>
      <c r="BC1038" s="1183"/>
      <c r="BD1038" s="1183"/>
      <c r="BE1038" s="1183"/>
    </row>
    <row r="1039" spans="1:57" ht="13" customHeight="1">
      <c r="A1039" s="14"/>
      <c r="B1039" s="73"/>
      <c r="C1039" s="74"/>
      <c r="D1039" s="1791"/>
      <c r="E1039" s="1270"/>
      <c r="F1039" s="1270"/>
      <c r="G1039" s="1270"/>
      <c r="H1039" s="1270"/>
      <c r="I1039" s="1270"/>
      <c r="J1039" s="1270"/>
      <c r="K1039" s="1270"/>
      <c r="L1039" s="1270"/>
      <c r="M1039" s="1270"/>
      <c r="N1039" s="1270"/>
      <c r="O1039" s="1270"/>
      <c r="P1039" s="1270"/>
      <c r="Q1039" s="1270"/>
      <c r="R1039" s="1270"/>
      <c r="S1039" s="1270"/>
      <c r="T1039" s="1270"/>
      <c r="U1039" s="1270"/>
      <c r="V1039" s="1270"/>
      <c r="W1039" s="1270"/>
      <c r="X1039" s="1270"/>
      <c r="Y1039" s="1270"/>
      <c r="Z1039" s="1270"/>
      <c r="AA1039" s="1270"/>
      <c r="AB1039" s="1270"/>
      <c r="AC1039" s="1270"/>
      <c r="AD1039" s="1270"/>
      <c r="AE1039" s="1792"/>
      <c r="AF1039" s="73"/>
      <c r="AG1039" s="14"/>
      <c r="AH1039" s="14"/>
      <c r="AI1039" s="83"/>
      <c r="AJ1039" s="1715"/>
      <c r="AK1039" s="1716"/>
      <c r="AL1039" s="1716"/>
      <c r="AM1039" s="1716"/>
      <c r="AN1039" s="1716"/>
      <c r="AO1039" s="1716"/>
      <c r="AP1039" s="1716"/>
      <c r="AQ1039" s="1717"/>
      <c r="AR1039" s="68"/>
      <c r="AS1039" s="68"/>
      <c r="AT1039" s="68"/>
      <c r="AU1039" s="68"/>
      <c r="AV1039" s="68"/>
      <c r="AW1039" s="68"/>
      <c r="AX1039" s="68"/>
      <c r="AY1039" s="68"/>
      <c r="BA1039">
        <f>IFERROR((($CI$753+$CM$753)/$AG$440),0)</f>
        <v>0.50806451612903225</v>
      </c>
      <c r="BB1039" s="3" t="s">
        <v>2488</v>
      </c>
    </row>
    <row r="1040" spans="1:57" ht="13" customHeight="1">
      <c r="A1040" s="14"/>
      <c r="B1040" s="73"/>
      <c r="C1040" s="74"/>
      <c r="D1040" s="1793"/>
      <c r="E1040" s="1794"/>
      <c r="F1040" s="1794"/>
      <c r="G1040" s="1794"/>
      <c r="H1040" s="1794"/>
      <c r="I1040" s="1794"/>
      <c r="J1040" s="1794"/>
      <c r="K1040" s="1794"/>
      <c r="L1040" s="1794"/>
      <c r="M1040" s="1794"/>
      <c r="N1040" s="1794"/>
      <c r="O1040" s="1794"/>
      <c r="P1040" s="1794"/>
      <c r="Q1040" s="1794"/>
      <c r="R1040" s="1794"/>
      <c r="S1040" s="1794"/>
      <c r="T1040" s="1794"/>
      <c r="U1040" s="1794"/>
      <c r="V1040" s="1794"/>
      <c r="W1040" s="1794"/>
      <c r="X1040" s="1794"/>
      <c r="Y1040" s="1794"/>
      <c r="Z1040" s="1794"/>
      <c r="AA1040" s="1794"/>
      <c r="AB1040" s="1794"/>
      <c r="AC1040" s="1794"/>
      <c r="AD1040" s="1794"/>
      <c r="AE1040" s="1795"/>
      <c r="AF1040" s="73"/>
      <c r="AG1040" s="14"/>
      <c r="AH1040" s="14"/>
      <c r="AI1040" s="83"/>
      <c r="AJ1040" s="1715"/>
      <c r="AK1040" s="1716"/>
      <c r="AL1040" s="1716"/>
      <c r="AM1040" s="1716"/>
      <c r="AN1040" s="1716"/>
      <c r="AO1040" s="1716"/>
      <c r="AP1040" s="1716"/>
      <c r="AQ1040" s="1717"/>
      <c r="AR1040" s="68"/>
      <c r="AS1040" s="68"/>
      <c r="AT1040" s="68"/>
      <c r="AU1040" s="68"/>
      <c r="AV1040" s="68"/>
      <c r="AW1040" s="68"/>
      <c r="AX1040" s="68"/>
      <c r="AY1040" s="68"/>
      <c r="BA1040" t="b">
        <f>'Points System'!AJ164="Yes"</f>
        <v>0</v>
      </c>
      <c r="BB1040" s="3" t="s">
        <v>2485</v>
      </c>
    </row>
    <row r="1041" spans="1:56" ht="13" customHeight="1">
      <c r="A1041" s="14"/>
      <c r="B1041" s="79"/>
      <c r="C1041" s="131" t="s">
        <v>1010</v>
      </c>
      <c r="D1041" s="1752" t="s">
        <v>1297</v>
      </c>
      <c r="E1041" s="1753"/>
      <c r="F1041" s="1753"/>
      <c r="G1041" s="1753"/>
      <c r="H1041" s="1753"/>
      <c r="I1041" s="1753"/>
      <c r="J1041" s="1753"/>
      <c r="K1041" s="1753"/>
      <c r="L1041" s="1753"/>
      <c r="M1041" s="1753"/>
      <c r="N1041" s="1753"/>
      <c r="O1041" s="1753"/>
      <c r="P1041" s="1753"/>
      <c r="Q1041" s="1753"/>
      <c r="R1041" s="1753"/>
      <c r="S1041" s="1753"/>
      <c r="T1041" s="1753"/>
      <c r="U1041" s="1753"/>
      <c r="V1041" s="1753"/>
      <c r="W1041" s="1753"/>
      <c r="X1041" s="1753"/>
      <c r="Y1041" s="1753"/>
      <c r="Z1041" s="1753"/>
      <c r="AA1041" s="1753"/>
      <c r="AB1041" s="1753"/>
      <c r="AC1041" s="1753"/>
      <c r="AD1041" s="1753"/>
      <c r="AE1041" s="1754"/>
      <c r="AF1041" s="79"/>
      <c r="AG1041" s="1738" t="s">
        <v>545</v>
      </c>
      <c r="AH1041" s="1739"/>
      <c r="AI1041" s="87"/>
      <c r="AJ1041" s="1712">
        <f>ROUND(IF(AG1041="yes",(AJ992*0.1),0),0)</f>
        <v>6747603</v>
      </c>
      <c r="AK1041" s="1713"/>
      <c r="AL1041" s="1713"/>
      <c r="AM1041" s="1713"/>
      <c r="AN1041" s="1713"/>
      <c r="AO1041" s="1713"/>
      <c r="AP1041" s="1713"/>
      <c r="AQ1041" s="1714"/>
      <c r="AR1041" s="68"/>
      <c r="AS1041" s="68"/>
      <c r="AT1041" s="68"/>
      <c r="AU1041" s="68"/>
      <c r="AV1041" s="68"/>
      <c r="AW1041" s="68"/>
      <c r="AX1041" s="68"/>
      <c r="AY1041" s="68"/>
      <c r="BA1041">
        <f>Q212</f>
        <v>0</v>
      </c>
      <c r="BB1041" s="3" t="s">
        <v>2486</v>
      </c>
    </row>
    <row r="1042" spans="1:56" ht="13" customHeight="1">
      <c r="A1042" s="14"/>
      <c r="B1042" s="73"/>
      <c r="C1042" s="74"/>
      <c r="D1042" s="1680" t="s">
        <v>2144</v>
      </c>
      <c r="E1042" s="1681"/>
      <c r="F1042" s="1681"/>
      <c r="G1042" s="1681"/>
      <c r="H1042" s="1681"/>
      <c r="I1042" s="1681"/>
      <c r="J1042" s="1681"/>
      <c r="K1042" s="1681"/>
      <c r="L1042" s="1681"/>
      <c r="M1042" s="1681"/>
      <c r="N1042" s="1681"/>
      <c r="O1042" s="1681"/>
      <c r="P1042" s="1681"/>
      <c r="Q1042" s="1681"/>
      <c r="R1042" s="1681"/>
      <c r="S1042" s="1681"/>
      <c r="T1042" s="1681"/>
      <c r="U1042" s="1681"/>
      <c r="V1042" s="1681"/>
      <c r="W1042" s="1681"/>
      <c r="X1042" s="1681"/>
      <c r="Y1042" s="1681"/>
      <c r="Z1042" s="1681"/>
      <c r="AA1042" s="1681"/>
      <c r="AB1042" s="1681"/>
      <c r="AC1042" s="1681"/>
      <c r="AD1042" s="1681"/>
      <c r="AE1042" s="1682"/>
      <c r="AF1042" s="73"/>
      <c r="AG1042" s="14"/>
      <c r="AH1042" s="14"/>
      <c r="AI1042" s="83"/>
      <c r="AJ1042" s="1715"/>
      <c r="AK1042" s="1716"/>
      <c r="AL1042" s="1716"/>
      <c r="AM1042" s="1716"/>
      <c r="AN1042" s="1716"/>
      <c r="AO1042" s="1716"/>
      <c r="AP1042" s="1716"/>
      <c r="AQ1042" s="1717"/>
      <c r="AR1042" s="68"/>
      <c r="AS1042" s="68"/>
      <c r="AT1042" s="68"/>
      <c r="AU1042" s="68"/>
      <c r="AV1042" s="68"/>
      <c r="AW1042" s="68"/>
      <c r="AX1042" s="68"/>
      <c r="AY1042" s="68"/>
      <c r="BA1042" s="1184">
        <f>T212</f>
        <v>0</v>
      </c>
      <c r="BB1042" s="3" t="s">
        <v>2487</v>
      </c>
    </row>
    <row r="1043" spans="1:56" ht="13" customHeight="1">
      <c r="A1043" s="14"/>
      <c r="B1043" s="73"/>
      <c r="C1043" s="74"/>
      <c r="D1043" s="1680"/>
      <c r="E1043" s="1681"/>
      <c r="F1043" s="1681"/>
      <c r="G1043" s="1681"/>
      <c r="H1043" s="1681"/>
      <c r="I1043" s="1681"/>
      <c r="J1043" s="1681"/>
      <c r="K1043" s="1681"/>
      <c r="L1043" s="1681"/>
      <c r="M1043" s="1681"/>
      <c r="N1043" s="1681"/>
      <c r="O1043" s="1681"/>
      <c r="P1043" s="1681"/>
      <c r="Q1043" s="1681"/>
      <c r="R1043" s="1681"/>
      <c r="S1043" s="1681"/>
      <c r="T1043" s="1681"/>
      <c r="U1043" s="1681"/>
      <c r="V1043" s="1681"/>
      <c r="W1043" s="1681"/>
      <c r="X1043" s="1681"/>
      <c r="Y1043" s="1681"/>
      <c r="Z1043" s="1681"/>
      <c r="AA1043" s="1681"/>
      <c r="AB1043" s="1681"/>
      <c r="AC1043" s="1681"/>
      <c r="AD1043" s="1681"/>
      <c r="AE1043" s="1682"/>
      <c r="AF1043" s="73"/>
      <c r="AG1043" s="14"/>
      <c r="AH1043" s="14"/>
      <c r="AI1043" s="83"/>
      <c r="AJ1043" s="1715"/>
      <c r="AK1043" s="1716"/>
      <c r="AL1043" s="1716"/>
      <c r="AM1043" s="1716"/>
      <c r="AN1043" s="1716"/>
      <c r="AO1043" s="1716"/>
      <c r="AP1043" s="1716"/>
      <c r="AQ1043" s="1717"/>
      <c r="AR1043" s="68"/>
      <c r="AS1043" s="68"/>
      <c r="AT1043" s="68"/>
      <c r="AU1043" s="68"/>
      <c r="AV1043" s="68"/>
      <c r="AW1043" s="68"/>
      <c r="AX1043" s="68"/>
      <c r="AY1043" s="68"/>
    </row>
    <row r="1044" spans="1:56" ht="13" customHeight="1">
      <c r="A1044" s="14"/>
      <c r="B1044" s="73"/>
      <c r="C1044" s="74"/>
      <c r="D1044" s="1730"/>
      <c r="E1044" s="1731"/>
      <c r="F1044" s="1731"/>
      <c r="G1044" s="1731"/>
      <c r="H1044" s="1731"/>
      <c r="I1044" s="1731"/>
      <c r="J1044" s="1731"/>
      <c r="K1044" s="1731"/>
      <c r="L1044" s="1731"/>
      <c r="M1044" s="1731"/>
      <c r="N1044" s="1731"/>
      <c r="O1044" s="1731"/>
      <c r="P1044" s="1731"/>
      <c r="Q1044" s="1731"/>
      <c r="R1044" s="1731"/>
      <c r="S1044" s="1731"/>
      <c r="T1044" s="1731"/>
      <c r="U1044" s="1731"/>
      <c r="V1044" s="1731"/>
      <c r="W1044" s="1731"/>
      <c r="X1044" s="1731"/>
      <c r="Y1044" s="1731"/>
      <c r="Z1044" s="1731"/>
      <c r="AA1044" s="1731"/>
      <c r="AB1044" s="1731"/>
      <c r="AC1044" s="1731"/>
      <c r="AD1044" s="1731"/>
      <c r="AE1044" s="1732"/>
      <c r="AF1044" s="73"/>
      <c r="AG1044" s="14"/>
      <c r="AH1044" s="14"/>
      <c r="AI1044" s="83"/>
      <c r="AJ1044" s="1718"/>
      <c r="AK1044" s="1719"/>
      <c r="AL1044" s="1719"/>
      <c r="AM1044" s="1719"/>
      <c r="AN1044" s="1719"/>
      <c r="AO1044" s="1719"/>
      <c r="AP1044" s="1719"/>
      <c r="AQ1044" s="1720"/>
      <c r="AR1044" s="68"/>
      <c r="AS1044" s="68"/>
      <c r="AT1044" s="68"/>
      <c r="AU1044" s="68"/>
      <c r="AV1044" s="68"/>
      <c r="AW1044" s="68"/>
      <c r="AX1044" s="68"/>
      <c r="AY1044" s="68"/>
    </row>
    <row r="1045" spans="1:56" ht="13" customHeight="1">
      <c r="A1045" s="14"/>
      <c r="B1045" s="79"/>
      <c r="C1045" s="131" t="s">
        <v>1684</v>
      </c>
      <c r="D1045" s="1721" t="s">
        <v>1864</v>
      </c>
      <c r="E1045" s="1722"/>
      <c r="F1045" s="1722"/>
      <c r="G1045" s="1722"/>
      <c r="H1045" s="1722"/>
      <c r="I1045" s="1722"/>
      <c r="J1045" s="1722"/>
      <c r="K1045" s="1722"/>
      <c r="L1045" s="1722"/>
      <c r="M1045" s="1722"/>
      <c r="N1045" s="1722"/>
      <c r="O1045" s="1722"/>
      <c r="P1045" s="1722"/>
      <c r="Q1045" s="1722"/>
      <c r="R1045" s="1722"/>
      <c r="S1045" s="1722"/>
      <c r="T1045" s="1722"/>
      <c r="U1045" s="1722"/>
      <c r="V1045" s="1722"/>
      <c r="W1045" s="1722"/>
      <c r="X1045" s="1722"/>
      <c r="Y1045" s="1722"/>
      <c r="Z1045" s="1722"/>
      <c r="AA1045" s="1722"/>
      <c r="AB1045" s="1722"/>
      <c r="AC1045" s="1722"/>
      <c r="AD1045" s="1722"/>
      <c r="AE1045" s="1723"/>
      <c r="AF1045" s="79"/>
      <c r="AG1045" s="1736" t="str">
        <f>IF(X1048&gt;0,"Yes","No")</f>
        <v>Yes</v>
      </c>
      <c r="AH1045" s="1737"/>
      <c r="AI1045" s="87"/>
      <c r="AJ1045" s="1712">
        <f>IF((X1048=0),0,AY1005*AJ992)</f>
        <v>26315653.260000002</v>
      </c>
      <c r="AK1045" s="1713"/>
      <c r="AL1045" s="1713"/>
      <c r="AM1045" s="1713"/>
      <c r="AN1045" s="1713"/>
      <c r="AO1045" s="1713"/>
      <c r="AP1045" s="1713"/>
      <c r="AQ1045" s="1714"/>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150000</v>
      </c>
      <c r="BA1045" s="3" t="s">
        <v>2473</v>
      </c>
      <c r="BB1045" s="3"/>
      <c r="BC1045" s="3"/>
      <c r="BD1045" s="3"/>
    </row>
    <row r="1046" spans="1:56" ht="13" customHeight="1">
      <c r="A1046" s="14"/>
      <c r="B1046" s="73"/>
      <c r="C1046" s="442"/>
      <c r="D1046" s="1680" t="s">
        <v>1299</v>
      </c>
      <c r="E1046" s="1681"/>
      <c r="F1046" s="1681"/>
      <c r="G1046" s="1681"/>
      <c r="H1046" s="1681"/>
      <c r="I1046" s="1681"/>
      <c r="J1046" s="1681"/>
      <c r="K1046" s="1681"/>
      <c r="L1046" s="1681"/>
      <c r="M1046" s="1681"/>
      <c r="N1046" s="1681"/>
      <c r="O1046" s="1681"/>
      <c r="P1046" s="1681"/>
      <c r="Q1046" s="1681"/>
      <c r="R1046" s="1681"/>
      <c r="S1046" s="1681"/>
      <c r="T1046" s="1681"/>
      <c r="U1046" s="1681"/>
      <c r="V1046" s="1681"/>
      <c r="W1046" s="1681"/>
      <c r="X1046" s="1681"/>
      <c r="Y1046" s="1681"/>
      <c r="Z1046" s="1681"/>
      <c r="AA1046" s="1681"/>
      <c r="AB1046" s="1681"/>
      <c r="AC1046" s="1681"/>
      <c r="AD1046" s="1681"/>
      <c r="AE1046" s="1682"/>
      <c r="AF1046" s="73"/>
      <c r="AG1046" s="443"/>
      <c r="AH1046" s="443"/>
      <c r="AI1046" s="83"/>
      <c r="AJ1046" s="1715"/>
      <c r="AK1046" s="1716"/>
      <c r="AL1046" s="1716"/>
      <c r="AM1046" s="1716"/>
      <c r="AN1046" s="1716"/>
      <c r="AO1046" s="1716"/>
      <c r="AP1046" s="1716"/>
      <c r="AQ1046" s="1717"/>
      <c r="AR1046" s="68"/>
      <c r="AS1046" s="68"/>
      <c r="AT1046" s="68"/>
      <c r="AU1046" s="13"/>
      <c r="AV1046" s="68"/>
      <c r="AW1046" s="68"/>
      <c r="AX1046" s="68"/>
      <c r="AY1046" s="68"/>
      <c r="AZ1046" s="962">
        <f>'Sources and Uses Budget'!S97*BA1046</f>
        <v>7589096.5499999998</v>
      </c>
      <c r="BA1046" s="1182">
        <f>IF(BA1040,20%,15%)</f>
        <v>0.15</v>
      </c>
      <c r="BB1046" s="3" t="s">
        <v>2474</v>
      </c>
      <c r="BC1046" s="3" t="s">
        <v>2475</v>
      </c>
      <c r="BD1046" s="3"/>
    </row>
    <row r="1047" spans="1:56" ht="13" customHeight="1">
      <c r="A1047" s="14"/>
      <c r="B1047" s="73"/>
      <c r="C1047" s="442"/>
      <c r="D1047" s="1680"/>
      <c r="E1047" s="1681"/>
      <c r="F1047" s="1681"/>
      <c r="G1047" s="1681"/>
      <c r="H1047" s="1681"/>
      <c r="I1047" s="1681"/>
      <c r="J1047" s="1681"/>
      <c r="K1047" s="1681"/>
      <c r="L1047" s="1681"/>
      <c r="M1047" s="1681"/>
      <c r="N1047" s="1681"/>
      <c r="O1047" s="1681"/>
      <c r="P1047" s="1681"/>
      <c r="Q1047" s="1681"/>
      <c r="R1047" s="1681"/>
      <c r="S1047" s="1681"/>
      <c r="T1047" s="1681"/>
      <c r="U1047" s="1681"/>
      <c r="V1047" s="1681"/>
      <c r="W1047" s="1681"/>
      <c r="X1047" s="1681"/>
      <c r="Y1047" s="1681"/>
      <c r="Z1047" s="1681"/>
      <c r="AA1047" s="1681"/>
      <c r="AB1047" s="1681"/>
      <c r="AC1047" s="1681"/>
      <c r="AD1047" s="1681"/>
      <c r="AE1047" s="1682"/>
      <c r="AF1047" s="73"/>
      <c r="AG1047" s="443"/>
      <c r="AH1047" s="443"/>
      <c r="AI1047" s="83"/>
      <c r="AJ1047" s="1715"/>
      <c r="AK1047" s="1716"/>
      <c r="AL1047" s="1716"/>
      <c r="AM1047" s="1716"/>
      <c r="AN1047" s="1716"/>
      <c r="AO1047" s="1716"/>
      <c r="AP1047" s="1716"/>
      <c r="AQ1047" s="1717"/>
      <c r="AR1047" s="68"/>
      <c r="AS1047" s="68"/>
      <c r="AT1047" s="68"/>
      <c r="AU1047" s="13"/>
      <c r="AV1047" s="68"/>
      <c r="AW1047" s="68"/>
      <c r="AX1047" s="68"/>
      <c r="AY1047" s="68"/>
      <c r="AZ1047" s="962">
        <f>IF(M356="N/A",0,'Sources and Uses Budget'!T97*BA1047)</f>
        <v>0</v>
      </c>
      <c r="BA1047" s="1182">
        <v>0.15</v>
      </c>
      <c r="BB1047" s="3" t="s">
        <v>2474</v>
      </c>
      <c r="BC1047" s="3" t="s">
        <v>2476</v>
      </c>
      <c r="BD1047" s="3"/>
    </row>
    <row r="1048" spans="1:56" ht="13" customHeight="1">
      <c r="A1048" s="14"/>
      <c r="B1048" s="77"/>
      <c r="C1048" s="78"/>
      <c r="D1048" s="132" t="s">
        <v>972</v>
      </c>
      <c r="E1048" s="133"/>
      <c r="F1048" s="133"/>
      <c r="G1048" s="133"/>
      <c r="H1048" s="133"/>
      <c r="I1048" s="1775">
        <f>AY1003</f>
        <v>124</v>
      </c>
      <c r="J1048" s="1776"/>
      <c r="K1048" s="7"/>
      <c r="L1048" s="133"/>
      <c r="M1048" s="133"/>
      <c r="N1048" s="133"/>
      <c r="O1048" s="133"/>
      <c r="P1048" s="133"/>
      <c r="Q1048" s="133"/>
      <c r="R1048" s="133"/>
      <c r="S1048" s="133"/>
      <c r="T1048" s="133"/>
      <c r="U1048" s="133"/>
      <c r="V1048" s="134" t="s">
        <v>973</v>
      </c>
      <c r="W1048" s="48"/>
      <c r="X1048" s="1773">
        <f>CI753</f>
        <v>49</v>
      </c>
      <c r="Y1048" s="1774"/>
      <c r="Z1048" s="48"/>
      <c r="AA1048" s="48"/>
      <c r="AB1048" s="48"/>
      <c r="AC1048" s="48"/>
      <c r="AD1048" s="48"/>
      <c r="AE1048" s="49"/>
      <c r="AF1048" s="924"/>
      <c r="AG1048" s="925"/>
      <c r="AH1048" s="925"/>
      <c r="AI1048" s="926"/>
      <c r="AJ1048" s="1718"/>
      <c r="AK1048" s="1719"/>
      <c r="AL1048" s="1719"/>
      <c r="AM1048" s="1719"/>
      <c r="AN1048" s="1719"/>
      <c r="AO1048" s="1719"/>
      <c r="AP1048" s="1719"/>
      <c r="AQ1048" s="1720"/>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2474</v>
      </c>
      <c r="BC1048" s="3" t="s">
        <v>2477</v>
      </c>
      <c r="BD1048" s="3"/>
    </row>
    <row r="1049" spans="1:56" ht="13" customHeight="1">
      <c r="A1049" s="14"/>
      <c r="B1049" s="79"/>
      <c r="C1049" s="131" t="s">
        <v>1685</v>
      </c>
      <c r="D1049" s="1752" t="s">
        <v>2170</v>
      </c>
      <c r="E1049" s="1753"/>
      <c r="F1049" s="1753"/>
      <c r="G1049" s="1753"/>
      <c r="H1049" s="1753"/>
      <c r="I1049" s="1753"/>
      <c r="J1049" s="1753"/>
      <c r="K1049" s="1753"/>
      <c r="L1049" s="1753"/>
      <c r="M1049" s="1753"/>
      <c r="N1049" s="1753"/>
      <c r="O1049" s="1753"/>
      <c r="P1049" s="1753"/>
      <c r="Q1049" s="1753"/>
      <c r="R1049" s="1753"/>
      <c r="S1049" s="1753"/>
      <c r="T1049" s="1753"/>
      <c r="U1049" s="1753"/>
      <c r="V1049" s="1753"/>
      <c r="W1049" s="1753"/>
      <c r="X1049" s="1753"/>
      <c r="Y1049" s="1753"/>
      <c r="Z1049" s="1753"/>
      <c r="AA1049" s="1753"/>
      <c r="AB1049" s="1753"/>
      <c r="AC1049" s="1753"/>
      <c r="AD1049" s="1753"/>
      <c r="AE1049" s="1754"/>
      <c r="AF1049" s="73"/>
      <c r="AG1049" s="1736" t="str">
        <f>IF(X1052&gt;0,"Yes","No")</f>
        <v>Yes</v>
      </c>
      <c r="AH1049" s="1737"/>
      <c r="AI1049" s="83"/>
      <c r="AJ1049" s="1712">
        <f>IF((X1052=0),0,(2*AY1006)*AJ992)</f>
        <v>14844727.48</v>
      </c>
      <c r="AK1049" s="1713"/>
      <c r="AL1049" s="1713"/>
      <c r="AM1049" s="1713"/>
      <c r="AN1049" s="1713"/>
      <c r="AO1049" s="1713"/>
      <c r="AP1049" s="1713"/>
      <c r="AQ1049" s="1714"/>
      <c r="AR1049" s="68"/>
      <c r="AS1049" s="68"/>
      <c r="AT1049" s="68"/>
      <c r="AU1049" s="14"/>
      <c r="AV1049" s="68"/>
      <c r="AW1049" s="68"/>
      <c r="AX1049" s="68"/>
      <c r="AY1049" s="68"/>
      <c r="AZ1049" s="962">
        <f>AZ1045*BA1049</f>
        <v>22500</v>
      </c>
      <c r="BA1049" s="1182">
        <v>0.15</v>
      </c>
      <c r="BB1049" s="3" t="s">
        <v>2474</v>
      </c>
      <c r="BC1049" s="3" t="s">
        <v>2478</v>
      </c>
      <c r="BD1049" s="3"/>
    </row>
    <row r="1050" spans="1:56" ht="13" customHeight="1">
      <c r="A1050" s="14"/>
      <c r="B1050" s="73"/>
      <c r="C1050" s="442"/>
      <c r="D1050" s="1680" t="s">
        <v>1298</v>
      </c>
      <c r="E1050" s="1681"/>
      <c r="F1050" s="1681"/>
      <c r="G1050" s="1681"/>
      <c r="H1050" s="1681"/>
      <c r="I1050" s="1681"/>
      <c r="J1050" s="1681"/>
      <c r="K1050" s="1681"/>
      <c r="L1050" s="1681"/>
      <c r="M1050" s="1681"/>
      <c r="N1050" s="1681"/>
      <c r="O1050" s="1681"/>
      <c r="P1050" s="1681"/>
      <c r="Q1050" s="1681"/>
      <c r="R1050" s="1681"/>
      <c r="S1050" s="1681"/>
      <c r="T1050" s="1681"/>
      <c r="U1050" s="1681"/>
      <c r="V1050" s="1681"/>
      <c r="W1050" s="1681"/>
      <c r="X1050" s="1681"/>
      <c r="Y1050" s="1681"/>
      <c r="Z1050" s="1681"/>
      <c r="AA1050" s="1681"/>
      <c r="AB1050" s="1681"/>
      <c r="AC1050" s="1681"/>
      <c r="AD1050" s="1681"/>
      <c r="AE1050" s="1682"/>
      <c r="AF1050" s="73"/>
      <c r="AG1050" s="443"/>
      <c r="AH1050" s="443"/>
      <c r="AI1050" s="83"/>
      <c r="AJ1050" s="1715"/>
      <c r="AK1050" s="1716"/>
      <c r="AL1050" s="1716"/>
      <c r="AM1050" s="1716"/>
      <c r="AN1050" s="1716"/>
      <c r="AO1050" s="1716"/>
      <c r="AP1050" s="1716"/>
      <c r="AQ1050" s="1717"/>
      <c r="AR1050" s="68"/>
      <c r="AS1050" s="68"/>
      <c r="AT1050" s="68"/>
      <c r="AU1050" s="68"/>
      <c r="AV1050" s="68"/>
      <c r="AW1050" s="68"/>
      <c r="AX1050" s="68"/>
      <c r="AY1050" s="68"/>
      <c r="AZ1050" s="962"/>
      <c r="BA1050" s="3"/>
      <c r="BB1050" s="3"/>
      <c r="BC1050" s="3"/>
      <c r="BD1050" s="3"/>
    </row>
    <row r="1051" spans="1:56" ht="13" customHeight="1">
      <c r="A1051" s="14"/>
      <c r="B1051" s="73"/>
      <c r="C1051" s="83"/>
      <c r="D1051" s="1680"/>
      <c r="E1051" s="1681"/>
      <c r="F1051" s="1681"/>
      <c r="G1051" s="1681"/>
      <c r="H1051" s="1681"/>
      <c r="I1051" s="1681"/>
      <c r="J1051" s="1681"/>
      <c r="K1051" s="1681"/>
      <c r="L1051" s="1681"/>
      <c r="M1051" s="1681"/>
      <c r="N1051" s="1681"/>
      <c r="O1051" s="1681"/>
      <c r="P1051" s="1681"/>
      <c r="Q1051" s="1681"/>
      <c r="R1051" s="1681"/>
      <c r="S1051" s="1681"/>
      <c r="T1051" s="1681"/>
      <c r="U1051" s="1681"/>
      <c r="V1051" s="1681"/>
      <c r="W1051" s="1681"/>
      <c r="X1051" s="1681"/>
      <c r="Y1051" s="1681"/>
      <c r="Z1051" s="1681"/>
      <c r="AA1051" s="1681"/>
      <c r="AB1051" s="1681"/>
      <c r="AC1051" s="1681"/>
      <c r="AD1051" s="1681"/>
      <c r="AE1051" s="1682"/>
      <c r="AF1051" s="921"/>
      <c r="AG1051" s="922"/>
      <c r="AH1051" s="922"/>
      <c r="AI1051" s="923"/>
      <c r="AJ1051" s="1715"/>
      <c r="AK1051" s="1716"/>
      <c r="AL1051" s="1716"/>
      <c r="AM1051" s="1716"/>
      <c r="AN1051" s="1716"/>
      <c r="AO1051" s="1716"/>
      <c r="AP1051" s="1716"/>
      <c r="AQ1051" s="1717"/>
      <c r="AR1051" s="68"/>
      <c r="AS1051" s="68"/>
      <c r="AT1051" s="68"/>
      <c r="AU1051" s="68"/>
      <c r="AV1051" s="68"/>
      <c r="AW1051" s="68"/>
      <c r="AX1051" s="68"/>
      <c r="AY1051" s="68"/>
      <c r="AZ1051" s="962">
        <f>ROUNDDOWN(MIN(SUM(AZ1046,AZ1047,AZ1048,AZ1049),BD1051),0)</f>
        <v>2500000</v>
      </c>
      <c r="BA1051" s="3" t="s">
        <v>2479</v>
      </c>
      <c r="BB1051" s="3"/>
      <c r="BC1051" s="3"/>
      <c r="BD1051" s="3" cm="1">
        <f t="array" ref="BD1051">_xlfn.IFS(BA1040,3000000,AND(BA1041&gt;=25%,BA1042&gt;=15),2800000,TRUE,2500000)</f>
        <v>2500000</v>
      </c>
    </row>
    <row r="1052" spans="1:56" ht="13" customHeight="1">
      <c r="A1052" s="14"/>
      <c r="B1052" s="77"/>
      <c r="C1052" s="78"/>
      <c r="D1052" s="132" t="s">
        <v>972</v>
      </c>
      <c r="E1052" s="133"/>
      <c r="F1052" s="133"/>
      <c r="G1052" s="133"/>
      <c r="H1052" s="133"/>
      <c r="I1052" s="1775">
        <f>AY1003</f>
        <v>124</v>
      </c>
      <c r="J1052" s="1776"/>
      <c r="K1052" s="14"/>
      <c r="L1052" s="133"/>
      <c r="M1052" s="133"/>
      <c r="N1052" s="133"/>
      <c r="O1052" s="133"/>
      <c r="P1052" s="133"/>
      <c r="Q1052" s="133"/>
      <c r="R1052" s="133"/>
      <c r="S1052" s="133"/>
      <c r="T1052" s="133"/>
      <c r="U1052" s="133"/>
      <c r="V1052" s="134" t="s">
        <v>974</v>
      </c>
      <c r="X1052" s="1773">
        <f>CM753</f>
        <v>14</v>
      </c>
      <c r="Y1052" s="1774"/>
      <c r="AF1052" s="924"/>
      <c r="AG1052" s="925"/>
      <c r="AH1052" s="925"/>
      <c r="AI1052" s="926"/>
      <c r="AJ1052" s="1718"/>
      <c r="AK1052" s="1719"/>
      <c r="AL1052" s="1719"/>
      <c r="AM1052" s="1719"/>
      <c r="AN1052" s="1719"/>
      <c r="AO1052" s="1719"/>
      <c r="AP1052" s="1719"/>
      <c r="AQ1052" s="1720"/>
      <c r="AR1052" s="68"/>
      <c r="AS1052" s="68"/>
      <c r="AT1052" s="68"/>
      <c r="AU1052" s="68"/>
      <c r="AV1052" s="68"/>
      <c r="AW1052" s="68"/>
      <c r="AX1052" s="68"/>
      <c r="AY1052" s="68"/>
      <c r="AZ1052" s="962">
        <f>ROUNDDOWN(MAX(0,BA1052*(SUM(AG1093,AL1093,AZ1045)-BD1052))+BF1052,0)</f>
        <v>0</v>
      </c>
      <c r="BA1052" s="1182">
        <f>IF(L1042,7%,5%)</f>
        <v>0.05</v>
      </c>
      <c r="BB1052" s="3" t="s">
        <v>2480</v>
      </c>
      <c r="BC1052" s="3"/>
      <c r="BD1052" s="3">
        <v>6666667</v>
      </c>
    </row>
    <row r="1053" spans="1:56" ht="13" customHeight="1">
      <c r="A1053" s="14"/>
      <c r="B1053" s="102"/>
      <c r="C1053" s="103"/>
      <c r="D1053" s="1771" t="s">
        <v>513</v>
      </c>
      <c r="E1053" s="1771"/>
      <c r="F1053" s="1771"/>
      <c r="G1053" s="1771"/>
      <c r="H1053" s="1771"/>
      <c r="I1053" s="1771"/>
      <c r="J1053" s="1771"/>
      <c r="K1053" s="1771"/>
      <c r="L1053" s="1771"/>
      <c r="M1053" s="1771"/>
      <c r="N1053" s="1771"/>
      <c r="O1053" s="1771"/>
      <c r="P1053" s="1771"/>
      <c r="Q1053" s="1771"/>
      <c r="R1053" s="1771"/>
      <c r="S1053" s="1771"/>
      <c r="T1053" s="1771"/>
      <c r="U1053" s="1771"/>
      <c r="V1053" s="1771"/>
      <c r="W1053" s="1771"/>
      <c r="X1053" s="1771"/>
      <c r="Y1053" s="1771"/>
      <c r="Z1053" s="1771"/>
      <c r="AA1053" s="1771"/>
      <c r="AB1053" s="1771"/>
      <c r="AC1053" s="1771"/>
      <c r="AD1053" s="1771"/>
      <c r="AE1053" s="1771"/>
      <c r="AF1053" s="1771"/>
      <c r="AG1053" s="1771"/>
      <c r="AH1053" s="1771"/>
      <c r="AI1053" s="1772"/>
      <c r="AJ1053" s="1788">
        <f>SUM(AJ992:AQ1052)</f>
        <v>130989139.54000001</v>
      </c>
      <c r="AK1053" s="1789"/>
      <c r="AL1053" s="1789"/>
      <c r="AM1053" s="1789"/>
      <c r="AN1053" s="1789"/>
      <c r="AO1053" s="1789"/>
      <c r="AP1053" s="1789"/>
      <c r="AQ1053" s="1790"/>
      <c r="AR1053" s="68"/>
      <c r="AS1053" s="68"/>
      <c r="AT1053" s="68"/>
      <c r="AU1053" s="68"/>
      <c r="AV1053" s="68"/>
      <c r="AW1053" s="68"/>
      <c r="AX1053" s="68"/>
      <c r="AY1053" s="68"/>
      <c r="AZ1053" s="1181">
        <v>6000000</v>
      </c>
      <c r="BA1053" s="3" t="s">
        <v>2481</v>
      </c>
      <c r="BB1053" s="3"/>
      <c r="BC1053" s="3"/>
      <c r="BD1053" s="3"/>
    </row>
    <row r="1054" spans="1:56" ht="13"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3" t="s">
        <v>2466</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2482</v>
      </c>
      <c r="BC1055" s="3"/>
      <c r="BD1055" s="3"/>
    </row>
    <row r="1056" spans="1:56" ht="13" customHeight="1">
      <c r="A1056" s="14"/>
      <c r="B1056" s="68"/>
      <c r="C1056" s="68"/>
      <c r="D1056" s="68"/>
      <c r="E1056" s="68"/>
      <c r="F1056" s="68"/>
      <c r="G1056" s="1176" t="s">
        <v>2467</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4">
        <f>'Sources and Uses Budget'!S107+'Sources and Uses Budget'!T107</f>
        <v>58183073</v>
      </c>
      <c r="AB1056" s="1344"/>
      <c r="AC1056" s="1344"/>
      <c r="AD1056" s="1344"/>
      <c r="AE1056" s="1344"/>
      <c r="AF1056" s="1344"/>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7611596.5499999998</v>
      </c>
      <c r="BB1056" s="3" t="s">
        <v>2483</v>
      </c>
      <c r="BC1056" s="3"/>
      <c r="BD1056" s="3"/>
    </row>
    <row r="1057" spans="1:54" ht="13" customHeight="1">
      <c r="A1057" s="14"/>
      <c r="B1057" s="68"/>
      <c r="C1057" s="68"/>
      <c r="D1057" s="68"/>
      <c r="E1057" s="68"/>
      <c r="F1057" s="68"/>
      <c r="G1057" s="1176"/>
      <c r="H1057" s="1176" t="s">
        <v>2468</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5">
        <f>IFERROR((AA1056-BA1059)/(AJ1053-AJ1045-AJ1049),"")</f>
        <v>0.59105767138797427</v>
      </c>
      <c r="AB1057" s="1346"/>
      <c r="AC1057" s="1346"/>
      <c r="AD1057" s="1346"/>
      <c r="AE1057" s="1346"/>
      <c r="AF1057" s="1347"/>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348"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8"/>
      <c r="I1058" s="1348"/>
      <c r="J1058" s="1348"/>
      <c r="K1058" s="1348"/>
      <c r="L1058" s="1348"/>
      <c r="M1058" s="1348"/>
      <c r="N1058" s="1348"/>
      <c r="O1058" s="1348"/>
      <c r="P1058" s="1348"/>
      <c r="Q1058" s="1348"/>
      <c r="R1058" s="1348"/>
      <c r="S1058" s="1348"/>
      <c r="T1058" s="1348"/>
      <c r="U1058" s="1348"/>
      <c r="V1058" s="1348"/>
      <c r="W1058" s="1348"/>
      <c r="X1058" s="1348"/>
      <c r="Y1058" s="1348"/>
      <c r="Z1058" s="1348"/>
      <c r="AA1058" s="1348"/>
      <c r="AB1058" s="1348"/>
      <c r="AC1058" s="1348"/>
      <c r="AD1058" s="1348"/>
      <c r="AE1058" s="1348"/>
      <c r="AF1058" s="1348"/>
      <c r="AG1058" s="1348"/>
      <c r="AH1058" s="1348"/>
      <c r="AI1058" s="1348"/>
      <c r="AJ1058" s="1348"/>
      <c r="AK1058" s="1348"/>
      <c r="AL1058" s="1348"/>
      <c r="AM1058" s="1348"/>
      <c r="AN1058" s="1348"/>
      <c r="AO1058" s="68"/>
      <c r="AP1058" s="68"/>
      <c r="AQ1058" s="68"/>
      <c r="AR1058" s="68"/>
      <c r="AS1058" s="68"/>
      <c r="AT1058" s="68"/>
      <c r="AU1058" s="68"/>
      <c r="AV1058" s="14"/>
      <c r="AW1058" s="14"/>
      <c r="AX1058" s="14"/>
      <c r="AY1058" s="14"/>
      <c r="BA1058" s="1185">
        <f>'Sources and Uses Budget'!$S$104+'Sources and Uses Budget'!$T$104</f>
        <v>7589096</v>
      </c>
      <c r="BB1058" s="3" t="s">
        <v>2489</v>
      </c>
    </row>
    <row r="1059" spans="1:54" ht="13" customHeight="1">
      <c r="A1059" s="14"/>
      <c r="B1059" s="14"/>
      <c r="C1059" s="208"/>
      <c r="D1059" s="858"/>
      <c r="E1059" s="858"/>
      <c r="F1059" s="858"/>
      <c r="G1059" s="1348"/>
      <c r="H1059" s="1348"/>
      <c r="I1059" s="1348"/>
      <c r="J1059" s="1348"/>
      <c r="K1059" s="1348"/>
      <c r="L1059" s="1348"/>
      <c r="M1059" s="1348"/>
      <c r="N1059" s="1348"/>
      <c r="O1059" s="1348"/>
      <c r="P1059" s="1348"/>
      <c r="Q1059" s="1348"/>
      <c r="R1059" s="1348"/>
      <c r="S1059" s="1348"/>
      <c r="T1059" s="1348"/>
      <c r="U1059" s="1348"/>
      <c r="V1059" s="1348"/>
      <c r="W1059" s="1348"/>
      <c r="X1059" s="1348"/>
      <c r="Y1059" s="1348"/>
      <c r="Z1059" s="1348"/>
      <c r="AA1059" s="1348"/>
      <c r="AB1059" s="1348"/>
      <c r="AC1059" s="1348"/>
      <c r="AD1059" s="1348"/>
      <c r="AE1059" s="1348"/>
      <c r="AF1059" s="1348"/>
      <c r="AG1059" s="1348"/>
      <c r="AH1059" s="1348"/>
      <c r="AI1059" s="1348"/>
      <c r="AJ1059" s="1348"/>
      <c r="AK1059" s="1348"/>
      <c r="AL1059" s="1348"/>
      <c r="AM1059" s="1348"/>
      <c r="AN1059" s="1348"/>
      <c r="AO1059" s="68"/>
      <c r="AP1059" s="68"/>
      <c r="AQ1059" s="68"/>
      <c r="AR1059" s="68"/>
      <c r="AS1059" s="68"/>
      <c r="AT1059" s="68"/>
      <c r="AU1059" s="68"/>
      <c r="AV1059" s="14"/>
      <c r="AW1059" s="14"/>
      <c r="AX1059" s="14"/>
      <c r="AY1059" s="14"/>
      <c r="BA1059" s="1186">
        <f>MAX($BA$1058-$BA$1055,0)</f>
        <v>5089096</v>
      </c>
      <c r="BB1059" s="3" t="s">
        <v>2490</v>
      </c>
    </row>
    <row r="1060" spans="1:54" ht="13" customHeight="1">
      <c r="A1060" s="88"/>
      <c r="B1060" s="1172"/>
      <c r="C1060" s="1172"/>
      <c r="D1060" s="1172"/>
      <c r="E1060" s="1172"/>
      <c r="F1060" s="1172"/>
      <c r="G1060" s="1348"/>
      <c r="H1060" s="1348"/>
      <c r="I1060" s="1348"/>
      <c r="J1060" s="1348"/>
      <c r="K1060" s="1348"/>
      <c r="L1060" s="1348"/>
      <c r="M1060" s="1348"/>
      <c r="N1060" s="1348"/>
      <c r="O1060" s="1348"/>
      <c r="P1060" s="1348"/>
      <c r="Q1060" s="1348"/>
      <c r="R1060" s="1348"/>
      <c r="S1060" s="1348"/>
      <c r="T1060" s="1348"/>
      <c r="U1060" s="1348"/>
      <c r="V1060" s="1348"/>
      <c r="W1060" s="1348"/>
      <c r="X1060" s="1348"/>
      <c r="Y1060" s="1348"/>
      <c r="Z1060" s="1348"/>
      <c r="AA1060" s="1348"/>
      <c r="AB1060" s="1348"/>
      <c r="AC1060" s="1348"/>
      <c r="AD1060" s="1348"/>
      <c r="AE1060" s="1348"/>
      <c r="AF1060" s="1348"/>
      <c r="AG1060" s="1348"/>
      <c r="AH1060" s="1348"/>
      <c r="AI1060" s="1348"/>
      <c r="AJ1060" s="1348"/>
      <c r="AK1060" s="1348"/>
      <c r="AL1060" s="1348"/>
      <c r="AM1060" s="1348"/>
      <c r="AN1060" s="1348"/>
      <c r="AO1060" s="1172"/>
      <c r="AP1060" s="1172"/>
      <c r="AQ1060" s="68"/>
      <c r="AR1060" s="68"/>
      <c r="AS1060" s="68"/>
      <c r="AT1060" s="68"/>
      <c r="AU1060" s="68"/>
      <c r="AV1060" s="68"/>
      <c r="AW1060" s="68"/>
      <c r="AX1060" s="68"/>
      <c r="AY1060" s="68"/>
    </row>
    <row r="1061" spans="1:54" ht="13" customHeight="1">
      <c r="A1061" s="1824" t="s">
        <v>794</v>
      </c>
      <c r="B1061" s="1824"/>
      <c r="C1061" s="1824"/>
      <c r="D1061" s="1824"/>
      <c r="E1061" s="1824"/>
      <c r="F1061" s="1824"/>
      <c r="G1061" s="1824"/>
      <c r="H1061" s="1824"/>
      <c r="I1061" s="1824"/>
      <c r="J1061" s="1824"/>
      <c r="K1061" s="1824"/>
      <c r="L1061" s="1824"/>
      <c r="M1061" s="1824"/>
      <c r="N1061" s="1824"/>
      <c r="O1061" s="1824"/>
      <c r="P1061" s="1824"/>
      <c r="Q1061" s="1824"/>
      <c r="R1061" s="1824"/>
      <c r="S1061" s="1824"/>
      <c r="T1061" s="1824"/>
      <c r="U1061" s="1824"/>
      <c r="V1061" s="1824"/>
      <c r="W1061" s="1824"/>
      <c r="X1061" s="1824"/>
      <c r="Y1061" s="1824"/>
      <c r="Z1061" s="1824"/>
      <c r="AA1061" s="1824"/>
      <c r="AB1061" s="1824"/>
      <c r="AC1061" s="1824"/>
      <c r="AD1061" s="1824"/>
      <c r="AE1061" s="1824"/>
      <c r="AF1061" s="1824"/>
      <c r="AG1061" s="1824"/>
      <c r="AH1061" s="1824"/>
      <c r="AI1061" s="1824"/>
      <c r="AJ1061" s="1824"/>
      <c r="AK1061" s="1824"/>
      <c r="AL1061" s="1824"/>
      <c r="AM1061" s="1824"/>
      <c r="AN1061" s="1824"/>
      <c r="AO1061" s="1824"/>
      <c r="AP1061" s="1824"/>
      <c r="AQ1061" s="1824"/>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426" t="s">
        <v>545</v>
      </c>
      <c r="B1065" s="1426"/>
      <c r="C1065" s="1845">
        <v>1</v>
      </c>
      <c r="D1065" s="1845"/>
      <c r="E1065" s="14" t="s">
        <v>2236</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845"/>
      <c r="D1066" s="1845"/>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426" t="s">
        <v>591</v>
      </c>
      <c r="B1067" s="1426"/>
      <c r="C1067" s="1845">
        <v>2</v>
      </c>
      <c r="D1067" s="1845"/>
      <c r="E1067" s="1847" t="s">
        <v>2237</v>
      </c>
      <c r="F1067" s="1847"/>
      <c r="G1067" s="1847"/>
      <c r="H1067" s="1847"/>
      <c r="I1067" s="1847"/>
      <c r="J1067" s="1847"/>
      <c r="K1067" s="1847"/>
      <c r="L1067" s="1847"/>
      <c r="M1067" s="1847"/>
      <c r="N1067" s="1847"/>
      <c r="O1067" s="1847"/>
      <c r="P1067" s="1847"/>
      <c r="Q1067" s="1847"/>
      <c r="R1067" s="1847"/>
      <c r="S1067" s="1847"/>
      <c r="T1067" s="1847"/>
      <c r="U1067" s="1847"/>
      <c r="V1067" s="1847"/>
      <c r="W1067" s="1847"/>
      <c r="X1067" s="1847"/>
      <c r="Y1067" s="1847"/>
      <c r="Z1067" s="1847"/>
      <c r="AA1067" s="1847"/>
      <c r="AB1067" s="1847"/>
      <c r="AC1067" s="1847"/>
      <c r="AD1067" s="1847"/>
      <c r="AE1067" s="1847"/>
      <c r="AF1067" s="1847"/>
      <c r="AG1067" s="1847"/>
      <c r="AH1067" s="1847"/>
      <c r="AI1067" s="1847"/>
      <c r="AJ1067" s="1847"/>
      <c r="AK1067" s="1847"/>
      <c r="AL1067" s="1847"/>
      <c r="AM1067" s="1847"/>
      <c r="AN1067" s="1847"/>
      <c r="AO1067" s="1847"/>
      <c r="AP1067" s="1847"/>
      <c r="AQ1067" s="1847"/>
      <c r="AR1067" s="1847"/>
      <c r="AS1067" s="14"/>
      <c r="AT1067" s="14"/>
      <c r="AV1067" s="68"/>
      <c r="AW1067" s="68"/>
      <c r="AX1067" s="68"/>
      <c r="AY1067" s="68"/>
    </row>
    <row r="1068" spans="1:54" ht="13" customHeight="1">
      <c r="A1068" s="198"/>
      <c r="B1068" s="67"/>
      <c r="C1068" s="1845"/>
      <c r="D1068" s="1845"/>
      <c r="E1068" s="1847"/>
      <c r="F1068" s="1847"/>
      <c r="G1068" s="1847"/>
      <c r="H1068" s="1847"/>
      <c r="I1068" s="1847"/>
      <c r="J1068" s="1847"/>
      <c r="K1068" s="1847"/>
      <c r="L1068" s="1847"/>
      <c r="M1068" s="1847"/>
      <c r="N1068" s="1847"/>
      <c r="O1068" s="1847"/>
      <c r="P1068" s="1847"/>
      <c r="Q1068" s="1847"/>
      <c r="R1068" s="1847"/>
      <c r="S1068" s="1847"/>
      <c r="T1068" s="1847"/>
      <c r="U1068" s="1847"/>
      <c r="V1068" s="1847"/>
      <c r="W1068" s="1847"/>
      <c r="X1068" s="1847"/>
      <c r="Y1068" s="1847"/>
      <c r="Z1068" s="1847"/>
      <c r="AA1068" s="1847"/>
      <c r="AB1068" s="1847"/>
      <c r="AC1068" s="1847"/>
      <c r="AD1068" s="1847"/>
      <c r="AE1068" s="1847"/>
      <c r="AF1068" s="1847"/>
      <c r="AG1068" s="1847"/>
      <c r="AH1068" s="1847"/>
      <c r="AI1068" s="1847"/>
      <c r="AJ1068" s="1847"/>
      <c r="AK1068" s="1847"/>
      <c r="AL1068" s="1847"/>
      <c r="AM1068" s="1847"/>
      <c r="AN1068" s="1847"/>
      <c r="AO1068" s="1847"/>
      <c r="AP1068" s="1847"/>
      <c r="AQ1068" s="1847"/>
      <c r="AR1068" s="1847"/>
      <c r="AS1068" s="14"/>
      <c r="AT1068" s="14"/>
      <c r="AV1068" s="68"/>
      <c r="AW1068" s="68"/>
      <c r="AX1068" s="68"/>
      <c r="AY1068" s="68"/>
    </row>
    <row r="1069" spans="1:54" ht="13" customHeight="1">
      <c r="A1069" s="198"/>
      <c r="B1069" s="67"/>
      <c r="C1069" s="1845"/>
      <c r="D1069" s="1845"/>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426" t="s">
        <v>545</v>
      </c>
      <c r="B1070" s="1426"/>
      <c r="C1070" s="1407">
        <v>3</v>
      </c>
      <c r="D1070" s="1407"/>
      <c r="E1070" s="1332" t="s">
        <v>1080</v>
      </c>
      <c r="F1070" s="1332"/>
      <c r="G1070" s="1332"/>
      <c r="H1070" s="1332"/>
      <c r="I1070" s="1332"/>
      <c r="J1070" s="1332"/>
      <c r="K1070" s="1332"/>
      <c r="L1070" s="1332"/>
      <c r="M1070" s="1332"/>
      <c r="N1070" s="1332"/>
      <c r="O1070" s="1332"/>
      <c r="P1070" s="1332"/>
      <c r="Q1070" s="1332"/>
      <c r="R1070" s="1332"/>
      <c r="S1070" s="1332"/>
      <c r="T1070" s="1332"/>
      <c r="U1070" s="1332"/>
      <c r="V1070" s="1332"/>
      <c r="W1070" s="1332"/>
      <c r="X1070" s="1332"/>
      <c r="Y1070" s="1332"/>
      <c r="Z1070" s="1332"/>
      <c r="AA1070" s="1332"/>
      <c r="AB1070" s="1332"/>
      <c r="AC1070" s="1332"/>
      <c r="AD1070" s="1332"/>
      <c r="AE1070" s="1332"/>
      <c r="AF1070" s="1332"/>
      <c r="AG1070" s="1332"/>
      <c r="AH1070" s="1332"/>
      <c r="AI1070" s="1332"/>
      <c r="AJ1070" s="1332"/>
      <c r="AK1070" s="1332"/>
      <c r="AL1070" s="1332"/>
      <c r="AM1070" s="1332"/>
      <c r="AN1070" s="1332"/>
      <c r="AO1070" s="1332"/>
      <c r="AP1070" s="1332"/>
      <c r="AQ1070" s="1332"/>
      <c r="AR1070" s="1332"/>
      <c r="AS1070" s="14"/>
      <c r="AT1070" s="68"/>
      <c r="AV1070" s="68"/>
      <c r="AW1070" s="68"/>
      <c r="AX1070" s="68"/>
      <c r="AY1070" s="68"/>
    </row>
    <row r="1071" spans="1:54" ht="13" customHeight="1">
      <c r="A1071" s="1"/>
      <c r="B1071" s="1"/>
      <c r="C1071" s="1407"/>
      <c r="D1071" s="1407"/>
      <c r="E1071" s="1332"/>
      <c r="F1071" s="1332"/>
      <c r="G1071" s="1332"/>
      <c r="H1071" s="1332"/>
      <c r="I1071" s="1332"/>
      <c r="J1071" s="1332"/>
      <c r="K1071" s="1332"/>
      <c r="L1071" s="1332"/>
      <c r="M1071" s="1332"/>
      <c r="N1071" s="1332"/>
      <c r="O1071" s="1332"/>
      <c r="P1071" s="1332"/>
      <c r="Q1071" s="1332"/>
      <c r="R1071" s="1332"/>
      <c r="S1071" s="1332"/>
      <c r="T1071" s="1332"/>
      <c r="U1071" s="1332"/>
      <c r="V1071" s="1332"/>
      <c r="W1071" s="1332"/>
      <c r="X1071" s="1332"/>
      <c r="Y1071" s="1332"/>
      <c r="Z1071" s="1332"/>
      <c r="AA1071" s="1332"/>
      <c r="AB1071" s="1332"/>
      <c r="AC1071" s="1332"/>
      <c r="AD1071" s="1332"/>
      <c r="AE1071" s="1332"/>
      <c r="AF1071" s="1332"/>
      <c r="AG1071" s="1332"/>
      <c r="AH1071" s="1332"/>
      <c r="AI1071" s="1332"/>
      <c r="AJ1071" s="1332"/>
      <c r="AK1071" s="1332"/>
      <c r="AL1071" s="1332"/>
      <c r="AM1071" s="1332"/>
      <c r="AN1071" s="1332"/>
      <c r="AO1071" s="1332"/>
      <c r="AP1071" s="1332"/>
      <c r="AQ1071" s="1332"/>
      <c r="AR1071" s="1332"/>
      <c r="AS1071" s="14"/>
      <c r="AT1071" s="68"/>
      <c r="AV1071" s="68"/>
      <c r="AW1071" s="68"/>
      <c r="AX1071" s="68"/>
      <c r="AY1071" s="68"/>
    </row>
    <row r="1072" spans="1:54" ht="13" customHeight="1">
      <c r="A1072" s="1"/>
      <c r="B1072" s="1"/>
      <c r="C1072" s="1407"/>
      <c r="D1072" s="1407"/>
      <c r="E1072" s="1332"/>
      <c r="F1072" s="1332"/>
      <c r="G1072" s="1332"/>
      <c r="H1072" s="1332"/>
      <c r="I1072" s="1332"/>
      <c r="J1072" s="1332"/>
      <c r="K1072" s="1332"/>
      <c r="L1072" s="1332"/>
      <c r="M1072" s="1332"/>
      <c r="N1072" s="1332"/>
      <c r="O1072" s="1332"/>
      <c r="P1072" s="1332"/>
      <c r="Q1072" s="1332"/>
      <c r="R1072" s="1332"/>
      <c r="S1072" s="1332"/>
      <c r="T1072" s="1332"/>
      <c r="U1072" s="1332"/>
      <c r="V1072" s="1332"/>
      <c r="W1072" s="1332"/>
      <c r="X1072" s="1332"/>
      <c r="Y1072" s="1332"/>
      <c r="Z1072" s="1332"/>
      <c r="AA1072" s="1332"/>
      <c r="AB1072" s="1332"/>
      <c r="AC1072" s="1332"/>
      <c r="AD1072" s="1332"/>
      <c r="AE1072" s="1332"/>
      <c r="AF1072" s="1332"/>
      <c r="AG1072" s="1332"/>
      <c r="AH1072" s="1332"/>
      <c r="AI1072" s="1332"/>
      <c r="AJ1072" s="1332"/>
      <c r="AK1072" s="1332"/>
      <c r="AL1072" s="1332"/>
      <c r="AM1072" s="1332"/>
      <c r="AN1072" s="1332"/>
      <c r="AO1072" s="1332"/>
      <c r="AP1072" s="1332"/>
      <c r="AQ1072" s="1332"/>
      <c r="AR1072" s="1332"/>
      <c r="AS1072" s="14"/>
      <c r="AT1072" s="68"/>
      <c r="AV1072" s="68"/>
      <c r="AW1072" s="68"/>
      <c r="AX1072" s="68"/>
      <c r="AY1072" s="68"/>
    </row>
    <row r="1073" spans="1:51" ht="13" customHeight="1">
      <c r="A1073" s="1"/>
      <c r="B1073" s="1"/>
      <c r="C1073" s="1407"/>
      <c r="D1073" s="1407"/>
      <c r="E1073" s="1332"/>
      <c r="F1073" s="1332"/>
      <c r="G1073" s="1332"/>
      <c r="H1073" s="1332"/>
      <c r="I1073" s="1332"/>
      <c r="J1073" s="1332"/>
      <c r="K1073" s="1332"/>
      <c r="L1073" s="1332"/>
      <c r="M1073" s="1332"/>
      <c r="N1073" s="1332"/>
      <c r="O1073" s="1332"/>
      <c r="P1073" s="1332"/>
      <c r="Q1073" s="1332"/>
      <c r="R1073" s="1332"/>
      <c r="S1073" s="1332"/>
      <c r="T1073" s="1332"/>
      <c r="U1073" s="1332"/>
      <c r="V1073" s="1332"/>
      <c r="W1073" s="1332"/>
      <c r="X1073" s="1332"/>
      <c r="Y1073" s="1332"/>
      <c r="Z1073" s="1332"/>
      <c r="AA1073" s="1332"/>
      <c r="AB1073" s="1332"/>
      <c r="AC1073" s="1332"/>
      <c r="AD1073" s="1332"/>
      <c r="AE1073" s="1332"/>
      <c r="AF1073" s="1332"/>
      <c r="AG1073" s="1332"/>
      <c r="AH1073" s="1332"/>
      <c r="AI1073" s="1332"/>
      <c r="AJ1073" s="1332"/>
      <c r="AK1073" s="1332"/>
      <c r="AL1073" s="1332"/>
      <c r="AM1073" s="1332"/>
      <c r="AN1073" s="1332"/>
      <c r="AO1073" s="1332"/>
      <c r="AP1073" s="1332"/>
      <c r="AQ1073" s="1332"/>
      <c r="AR1073" s="1332"/>
      <c r="AS1073" s="14"/>
      <c r="AT1073" s="68"/>
      <c r="AV1073" s="68"/>
      <c r="AW1073" s="68"/>
      <c r="AX1073" s="68"/>
      <c r="AY1073" s="68"/>
    </row>
    <row r="1074" spans="1:51" ht="13" customHeight="1">
      <c r="A1074" s="2"/>
      <c r="B1074" s="25"/>
      <c r="C1074" s="1407"/>
      <c r="D1074" s="1407"/>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 customHeight="1">
      <c r="A1075" s="1426" t="s">
        <v>591</v>
      </c>
      <c r="B1075" s="1426"/>
      <c r="C1075" s="1407">
        <v>4</v>
      </c>
      <c r="D1075" s="1407"/>
      <c r="E1075" s="1332" t="s">
        <v>1079</v>
      </c>
      <c r="F1075" s="1332"/>
      <c r="G1075" s="1332"/>
      <c r="H1075" s="1332"/>
      <c r="I1075" s="1332"/>
      <c r="J1075" s="1332"/>
      <c r="K1075" s="1332"/>
      <c r="L1075" s="1332"/>
      <c r="M1075" s="1332"/>
      <c r="N1075" s="1332"/>
      <c r="O1075" s="1332"/>
      <c r="P1075" s="1332"/>
      <c r="Q1075" s="1332"/>
      <c r="R1075" s="1332"/>
      <c r="S1075" s="1332"/>
      <c r="T1075" s="1332"/>
      <c r="U1075" s="1332"/>
      <c r="V1075" s="1332"/>
      <c r="W1075" s="1332"/>
      <c r="X1075" s="1332"/>
      <c r="Y1075" s="1332"/>
      <c r="Z1075" s="1332"/>
      <c r="AA1075" s="1332"/>
      <c r="AB1075" s="1332"/>
      <c r="AC1075" s="1332"/>
      <c r="AD1075" s="1332"/>
      <c r="AE1075" s="1332"/>
      <c r="AF1075" s="1332"/>
      <c r="AG1075" s="1332"/>
      <c r="AH1075" s="1332"/>
      <c r="AI1075" s="1332"/>
      <c r="AJ1075" s="1332"/>
      <c r="AK1075" s="1332"/>
      <c r="AL1075" s="1332"/>
      <c r="AM1075" s="1332"/>
      <c r="AN1075" s="1332"/>
      <c r="AO1075" s="1332"/>
      <c r="AP1075" s="1332"/>
      <c r="AQ1075" s="1332"/>
      <c r="AR1075" s="1332"/>
      <c r="AS1075" s="14"/>
      <c r="AT1075" s="68"/>
    </row>
    <row r="1076" spans="1:51" ht="13" customHeight="1">
      <c r="A1076" s="1"/>
      <c r="B1076" s="1"/>
      <c r="C1076" s="1407"/>
      <c r="D1076" s="1407"/>
      <c r="E1076" s="1332"/>
      <c r="F1076" s="1332"/>
      <c r="G1076" s="1332"/>
      <c r="H1076" s="1332"/>
      <c r="I1076" s="1332"/>
      <c r="J1076" s="1332"/>
      <c r="K1076" s="1332"/>
      <c r="L1076" s="1332"/>
      <c r="M1076" s="1332"/>
      <c r="N1076" s="1332"/>
      <c r="O1076" s="1332"/>
      <c r="P1076" s="1332"/>
      <c r="Q1076" s="1332"/>
      <c r="R1076" s="1332"/>
      <c r="S1076" s="1332"/>
      <c r="T1076" s="1332"/>
      <c r="U1076" s="1332"/>
      <c r="V1076" s="1332"/>
      <c r="W1076" s="1332"/>
      <c r="X1076" s="1332"/>
      <c r="Y1076" s="1332"/>
      <c r="Z1076" s="1332"/>
      <c r="AA1076" s="1332"/>
      <c r="AB1076" s="1332"/>
      <c r="AC1076" s="1332"/>
      <c r="AD1076" s="1332"/>
      <c r="AE1076" s="1332"/>
      <c r="AF1076" s="1332"/>
      <c r="AG1076" s="1332"/>
      <c r="AH1076" s="1332"/>
      <c r="AI1076" s="1332"/>
      <c r="AJ1076" s="1332"/>
      <c r="AK1076" s="1332"/>
      <c r="AL1076" s="1332"/>
      <c r="AM1076" s="1332"/>
      <c r="AN1076" s="1332"/>
      <c r="AO1076" s="1332"/>
      <c r="AP1076" s="1332"/>
      <c r="AQ1076" s="1332"/>
      <c r="AR1076" s="1332"/>
      <c r="AS1076" s="14"/>
      <c r="AT1076" s="68"/>
    </row>
    <row r="1077" spans="1:51" ht="13" customHeight="1">
      <c r="A1077" s="1"/>
      <c r="B1077" s="1"/>
      <c r="C1077" s="1407"/>
      <c r="D1077" s="1407"/>
      <c r="E1077" s="1332"/>
      <c r="F1077" s="1332"/>
      <c r="G1077" s="1332"/>
      <c r="H1077" s="1332"/>
      <c r="I1077" s="1332"/>
      <c r="J1077" s="1332"/>
      <c r="K1077" s="1332"/>
      <c r="L1077" s="1332"/>
      <c r="M1077" s="1332"/>
      <c r="N1077" s="1332"/>
      <c r="O1077" s="1332"/>
      <c r="P1077" s="1332"/>
      <c r="Q1077" s="1332"/>
      <c r="R1077" s="1332"/>
      <c r="S1077" s="1332"/>
      <c r="T1077" s="1332"/>
      <c r="U1077" s="1332"/>
      <c r="V1077" s="1332"/>
      <c r="W1077" s="1332"/>
      <c r="X1077" s="1332"/>
      <c r="Y1077" s="1332"/>
      <c r="Z1077" s="1332"/>
      <c r="AA1077" s="1332"/>
      <c r="AB1077" s="1332"/>
      <c r="AC1077" s="1332"/>
      <c r="AD1077" s="1332"/>
      <c r="AE1077" s="1332"/>
      <c r="AF1077" s="1332"/>
      <c r="AG1077" s="1332"/>
      <c r="AH1077" s="1332"/>
      <c r="AI1077" s="1332"/>
      <c r="AJ1077" s="1332"/>
      <c r="AK1077" s="1332"/>
      <c r="AL1077" s="1332"/>
      <c r="AM1077" s="1332"/>
      <c r="AN1077" s="1332"/>
      <c r="AO1077" s="1332"/>
      <c r="AP1077" s="1332"/>
      <c r="AQ1077" s="1332"/>
      <c r="AR1077" s="1332"/>
      <c r="AS1077" s="14"/>
      <c r="AT1077" s="68"/>
    </row>
    <row r="1078" spans="1:51" ht="13" customHeight="1">
      <c r="A1078" s="1"/>
      <c r="B1078" s="1"/>
      <c r="C1078" s="1407"/>
      <c r="D1078" s="1407"/>
      <c r="E1078" s="1332"/>
      <c r="F1078" s="1332"/>
      <c r="G1078" s="1332"/>
      <c r="H1078" s="1332"/>
      <c r="I1078" s="1332"/>
      <c r="J1078" s="1332"/>
      <c r="K1078" s="1332"/>
      <c r="L1078" s="1332"/>
      <c r="M1078" s="1332"/>
      <c r="N1078" s="1332"/>
      <c r="O1078" s="1332"/>
      <c r="P1078" s="1332"/>
      <c r="Q1078" s="1332"/>
      <c r="R1078" s="1332"/>
      <c r="S1078" s="1332"/>
      <c r="T1078" s="1332"/>
      <c r="U1078" s="1332"/>
      <c r="V1078" s="1332"/>
      <c r="W1078" s="1332"/>
      <c r="X1078" s="1332"/>
      <c r="Y1078" s="1332"/>
      <c r="Z1078" s="1332"/>
      <c r="AA1078" s="1332"/>
      <c r="AB1078" s="1332"/>
      <c r="AC1078" s="1332"/>
      <c r="AD1078" s="1332"/>
      <c r="AE1078" s="1332"/>
      <c r="AF1078" s="1332"/>
      <c r="AG1078" s="1332"/>
      <c r="AH1078" s="1332"/>
      <c r="AI1078" s="1332"/>
      <c r="AJ1078" s="1332"/>
      <c r="AK1078" s="1332"/>
      <c r="AL1078" s="1332"/>
      <c r="AM1078" s="1332"/>
      <c r="AN1078" s="1332"/>
      <c r="AO1078" s="1332"/>
      <c r="AP1078" s="1332"/>
      <c r="AQ1078" s="1332"/>
      <c r="AR1078" s="1332"/>
      <c r="AS1078" s="14"/>
      <c r="AT1078" s="68"/>
    </row>
    <row r="1079" spans="1:51" ht="13" customHeight="1">
      <c r="A1079" s="1"/>
      <c r="B1079" s="1"/>
      <c r="C1079" s="1407"/>
      <c r="D1079" s="1407"/>
      <c r="E1079" s="1332"/>
      <c r="F1079" s="1332"/>
      <c r="G1079" s="1332"/>
      <c r="H1079" s="1332"/>
      <c r="I1079" s="1332"/>
      <c r="J1079" s="1332"/>
      <c r="K1079" s="1332"/>
      <c r="L1079" s="1332"/>
      <c r="M1079" s="1332"/>
      <c r="N1079" s="1332"/>
      <c r="O1079" s="1332"/>
      <c r="P1079" s="1332"/>
      <c r="Q1079" s="1332"/>
      <c r="R1079" s="1332"/>
      <c r="S1079" s="1332"/>
      <c r="T1079" s="1332"/>
      <c r="U1079" s="1332"/>
      <c r="V1079" s="1332"/>
      <c r="W1079" s="1332"/>
      <c r="X1079" s="1332"/>
      <c r="Y1079" s="1332"/>
      <c r="Z1079" s="1332"/>
      <c r="AA1079" s="1332"/>
      <c r="AB1079" s="1332"/>
      <c r="AC1079" s="1332"/>
      <c r="AD1079" s="1332"/>
      <c r="AE1079" s="1332"/>
      <c r="AF1079" s="1332"/>
      <c r="AG1079" s="1332"/>
      <c r="AH1079" s="1332"/>
      <c r="AI1079" s="1332"/>
      <c r="AJ1079" s="1332"/>
      <c r="AK1079" s="1332"/>
      <c r="AL1079" s="1332"/>
      <c r="AM1079" s="1332"/>
      <c r="AN1079" s="1332"/>
      <c r="AO1079" s="1332"/>
      <c r="AP1079" s="1332"/>
      <c r="AQ1079" s="1332"/>
      <c r="AR1079" s="1332"/>
      <c r="AS1079" s="14"/>
      <c r="AT1079" s="68"/>
    </row>
    <row r="1080" spans="1:51" ht="13" customHeight="1">
      <c r="A1080" s="1"/>
      <c r="B1080" s="1"/>
      <c r="C1080" s="1407"/>
      <c r="D1080" s="1407"/>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 customHeight="1">
      <c r="A1081" s="1426" t="s">
        <v>591</v>
      </c>
      <c r="B1081" s="1426"/>
      <c r="C1081" s="1407">
        <v>5</v>
      </c>
      <c r="D1081" s="1407"/>
      <c r="E1081" s="1332" t="s">
        <v>2241</v>
      </c>
      <c r="F1081" s="1332"/>
      <c r="G1081" s="1332"/>
      <c r="H1081" s="1332"/>
      <c r="I1081" s="1332"/>
      <c r="J1081" s="1332"/>
      <c r="K1081" s="1332"/>
      <c r="L1081" s="1332"/>
      <c r="M1081" s="1332"/>
      <c r="N1081" s="1332"/>
      <c r="O1081" s="1332"/>
      <c r="P1081" s="1332"/>
      <c r="Q1081" s="1332"/>
      <c r="R1081" s="1332"/>
      <c r="S1081" s="1332"/>
      <c r="T1081" s="1332"/>
      <c r="U1081" s="1332"/>
      <c r="V1081" s="1332"/>
      <c r="W1081" s="1332"/>
      <c r="X1081" s="1332"/>
      <c r="Y1081" s="1332"/>
      <c r="Z1081" s="1332"/>
      <c r="AA1081" s="1332"/>
      <c r="AB1081" s="1332"/>
      <c r="AC1081" s="1332"/>
      <c r="AD1081" s="1332"/>
      <c r="AE1081" s="1332"/>
      <c r="AF1081" s="1332"/>
      <c r="AG1081" s="1332"/>
      <c r="AH1081" s="1332"/>
      <c r="AI1081" s="1332"/>
      <c r="AJ1081" s="1332"/>
      <c r="AK1081" s="1332"/>
      <c r="AL1081" s="1332"/>
      <c r="AM1081" s="1332"/>
      <c r="AN1081" s="1332"/>
      <c r="AO1081" s="1332"/>
      <c r="AP1081" s="1332"/>
      <c r="AQ1081" s="1332"/>
      <c r="AR1081" s="1332"/>
      <c r="AS1081" s="14"/>
    </row>
    <row r="1082" spans="1:51" ht="13" customHeight="1">
      <c r="A1082" s="4"/>
      <c r="B1082" s="4"/>
      <c r="C1082" s="1407"/>
      <c r="D1082" s="1407"/>
      <c r="E1082" s="1332"/>
      <c r="F1082" s="1332"/>
      <c r="G1082" s="1332"/>
      <c r="H1082" s="1332"/>
      <c r="I1082" s="1332"/>
      <c r="J1082" s="1332"/>
      <c r="K1082" s="1332"/>
      <c r="L1082" s="1332"/>
      <c r="M1082" s="1332"/>
      <c r="N1082" s="1332"/>
      <c r="O1082" s="1332"/>
      <c r="P1082" s="1332"/>
      <c r="Q1082" s="1332"/>
      <c r="R1082" s="1332"/>
      <c r="S1082" s="1332"/>
      <c r="T1082" s="1332"/>
      <c r="U1082" s="1332"/>
      <c r="V1082" s="1332"/>
      <c r="W1082" s="1332"/>
      <c r="X1082" s="1332"/>
      <c r="Y1082" s="1332"/>
      <c r="Z1082" s="1332"/>
      <c r="AA1082" s="1332"/>
      <c r="AB1082" s="1332"/>
      <c r="AC1082" s="1332"/>
      <c r="AD1082" s="1332"/>
      <c r="AE1082" s="1332"/>
      <c r="AF1082" s="1332"/>
      <c r="AG1082" s="1332"/>
      <c r="AH1082" s="1332"/>
      <c r="AI1082" s="1332"/>
      <c r="AJ1082" s="1332"/>
      <c r="AK1082" s="1332"/>
      <c r="AL1082" s="1332"/>
      <c r="AM1082" s="1332"/>
      <c r="AN1082" s="1332"/>
      <c r="AO1082" s="1332"/>
      <c r="AP1082" s="1332"/>
      <c r="AQ1082" s="1332"/>
      <c r="AR1082" s="1332"/>
      <c r="AS1082" s="14"/>
    </row>
    <row r="1083" spans="1:51" ht="13" customHeight="1">
      <c r="A1083" s="4"/>
      <c r="B1083" s="4"/>
      <c r="C1083" s="1407"/>
      <c r="D1083" s="1407"/>
      <c r="E1083" s="1332"/>
      <c r="F1083" s="1332"/>
      <c r="G1083" s="1332"/>
      <c r="H1083" s="1332"/>
      <c r="I1083" s="1332"/>
      <c r="J1083" s="1332"/>
      <c r="K1083" s="1332"/>
      <c r="L1083" s="1332"/>
      <c r="M1083" s="1332"/>
      <c r="N1083" s="1332"/>
      <c r="O1083" s="1332"/>
      <c r="P1083" s="1332"/>
      <c r="Q1083" s="1332"/>
      <c r="R1083" s="1332"/>
      <c r="S1083" s="1332"/>
      <c r="T1083" s="1332"/>
      <c r="U1083" s="1332"/>
      <c r="V1083" s="1332"/>
      <c r="W1083" s="1332"/>
      <c r="X1083" s="1332"/>
      <c r="Y1083" s="1332"/>
      <c r="Z1083" s="1332"/>
      <c r="AA1083" s="1332"/>
      <c r="AB1083" s="1332"/>
      <c r="AC1083" s="1332"/>
      <c r="AD1083" s="1332"/>
      <c r="AE1083" s="1332"/>
      <c r="AF1083" s="1332"/>
      <c r="AG1083" s="1332"/>
      <c r="AH1083" s="1332"/>
      <c r="AI1083" s="1332"/>
      <c r="AJ1083" s="1332"/>
      <c r="AK1083" s="1332"/>
      <c r="AL1083" s="1332"/>
      <c r="AM1083" s="1332"/>
      <c r="AN1083" s="1332"/>
      <c r="AO1083" s="1332"/>
      <c r="AP1083" s="1332"/>
      <c r="AQ1083" s="1332"/>
      <c r="AR1083" s="1332"/>
      <c r="AS1083" s="14"/>
    </row>
    <row r="1084" spans="1:51" ht="13" customHeight="1">
      <c r="A1084" s="35"/>
      <c r="B1084" s="25"/>
      <c r="C1084" s="1407"/>
      <c r="D1084" s="1407"/>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 customHeight="1">
      <c r="A1085" s="1426" t="s">
        <v>591</v>
      </c>
      <c r="B1085" s="1426"/>
      <c r="C1085" s="1407">
        <v>6</v>
      </c>
      <c r="D1085" s="1407"/>
      <c r="E1085" s="1332" t="s">
        <v>2242</v>
      </c>
      <c r="F1085" s="1332"/>
      <c r="G1085" s="1332"/>
      <c r="H1085" s="1332"/>
      <c r="I1085" s="1332"/>
      <c r="J1085" s="1332"/>
      <c r="K1085" s="1332"/>
      <c r="L1085" s="1332"/>
      <c r="M1085" s="1332"/>
      <c r="N1085" s="1332"/>
      <c r="O1085" s="1332"/>
      <c r="P1085" s="1332"/>
      <c r="Q1085" s="1332"/>
      <c r="R1085" s="1332"/>
      <c r="S1085" s="1332"/>
      <c r="T1085" s="1332"/>
      <c r="U1085" s="1332"/>
      <c r="V1085" s="1332"/>
      <c r="W1085" s="1332"/>
      <c r="X1085" s="1332"/>
      <c r="Y1085" s="1332"/>
      <c r="Z1085" s="1332"/>
      <c r="AA1085" s="1332"/>
      <c r="AB1085" s="1332"/>
      <c r="AC1085" s="1332"/>
      <c r="AD1085" s="1332"/>
      <c r="AE1085" s="1332"/>
      <c r="AF1085" s="1332"/>
      <c r="AG1085" s="1332"/>
      <c r="AH1085" s="1332"/>
      <c r="AI1085" s="1332"/>
      <c r="AJ1085" s="1332"/>
      <c r="AK1085" s="1332"/>
      <c r="AL1085" s="1332"/>
      <c r="AM1085" s="1332"/>
      <c r="AN1085" s="1332"/>
      <c r="AO1085" s="1332"/>
      <c r="AP1085" s="1332"/>
      <c r="AQ1085" s="1332"/>
      <c r="AR1085" s="1332"/>
      <c r="AS1085" s="14"/>
    </row>
    <row r="1086" spans="1:51" ht="13" customHeight="1">
      <c r="A1086" s="1"/>
      <c r="B1086" s="1"/>
      <c r="C1086" s="1"/>
      <c r="D1086" s="1"/>
      <c r="E1086" s="1332"/>
      <c r="F1086" s="1332"/>
      <c r="G1086" s="1332"/>
      <c r="H1086" s="1332"/>
      <c r="I1086" s="1332"/>
      <c r="J1086" s="1332"/>
      <c r="K1086" s="1332"/>
      <c r="L1086" s="1332"/>
      <c r="M1086" s="1332"/>
      <c r="N1086" s="1332"/>
      <c r="O1086" s="1332"/>
      <c r="P1086" s="1332"/>
      <c r="Q1086" s="1332"/>
      <c r="R1086" s="1332"/>
      <c r="S1086" s="1332"/>
      <c r="T1086" s="1332"/>
      <c r="U1086" s="1332"/>
      <c r="V1086" s="1332"/>
      <c r="W1086" s="1332"/>
      <c r="X1086" s="1332"/>
      <c r="Y1086" s="1332"/>
      <c r="Z1086" s="1332"/>
      <c r="AA1086" s="1332"/>
      <c r="AB1086" s="1332"/>
      <c r="AC1086" s="1332"/>
      <c r="AD1086" s="1332"/>
      <c r="AE1086" s="1332"/>
      <c r="AF1086" s="1332"/>
      <c r="AG1086" s="1332"/>
      <c r="AH1086" s="1332"/>
      <c r="AI1086" s="1332"/>
      <c r="AJ1086" s="1332"/>
      <c r="AK1086" s="1332"/>
      <c r="AL1086" s="1332"/>
      <c r="AM1086" s="1332"/>
      <c r="AN1086" s="1332"/>
      <c r="AO1086" s="1332"/>
      <c r="AP1086" s="1332"/>
      <c r="AQ1086" s="1332"/>
      <c r="AR1086" s="1332"/>
      <c r="AS1086" s="14"/>
    </row>
    <row r="1087" spans="1:51" ht="13" customHeight="1">
      <c r="A1087" s="1"/>
      <c r="B1087" s="1"/>
      <c r="C1087" s="1407"/>
      <c r="D1087" s="1407"/>
      <c r="E1087" s="1332"/>
      <c r="F1087" s="1332"/>
      <c r="G1087" s="1332"/>
      <c r="H1087" s="1332"/>
      <c r="I1087" s="1332"/>
      <c r="J1087" s="1332"/>
      <c r="K1087" s="1332"/>
      <c r="L1087" s="1332"/>
      <c r="M1087" s="1332"/>
      <c r="N1087" s="1332"/>
      <c r="O1087" s="1332"/>
      <c r="P1087" s="1332"/>
      <c r="Q1087" s="1332"/>
      <c r="R1087" s="1332"/>
      <c r="S1087" s="1332"/>
      <c r="T1087" s="1332"/>
      <c r="U1087" s="1332"/>
      <c r="V1087" s="1332"/>
      <c r="W1087" s="1332"/>
      <c r="X1087" s="1332"/>
      <c r="Y1087" s="1332"/>
      <c r="Z1087" s="1332"/>
      <c r="AA1087" s="1332"/>
      <c r="AB1087" s="1332"/>
      <c r="AC1087" s="1332"/>
      <c r="AD1087" s="1332"/>
      <c r="AE1087" s="1332"/>
      <c r="AF1087" s="1332"/>
      <c r="AG1087" s="1332"/>
      <c r="AH1087" s="1332"/>
      <c r="AI1087" s="1332"/>
      <c r="AJ1087" s="1332"/>
      <c r="AK1087" s="1332"/>
      <c r="AL1087" s="1332"/>
      <c r="AM1087" s="1332"/>
      <c r="AN1087" s="1332"/>
      <c r="AO1087" s="1332"/>
      <c r="AP1087" s="1332"/>
      <c r="AQ1087" s="1332"/>
      <c r="AR1087" s="1332"/>
      <c r="AS1087" s="14"/>
    </row>
    <row r="1088" spans="1:51" ht="13" customHeight="1">
      <c r="A1088" s="35"/>
      <c r="B1088" s="25"/>
      <c r="C1088" s="1407"/>
      <c r="D1088" s="1407"/>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 customHeight="1">
      <c r="A1089" s="1426" t="s">
        <v>545</v>
      </c>
      <c r="B1089" s="1426"/>
      <c r="C1089" s="1407">
        <v>7</v>
      </c>
      <c r="D1089" s="1407"/>
      <c r="E1089" s="1332" t="s">
        <v>2138</v>
      </c>
      <c r="F1089" s="1332"/>
      <c r="G1089" s="1332"/>
      <c r="H1089" s="1332"/>
      <c r="I1089" s="1332"/>
      <c r="J1089" s="1332"/>
      <c r="K1089" s="1332"/>
      <c r="L1089" s="1332"/>
      <c r="M1089" s="1332"/>
      <c r="N1089" s="1332"/>
      <c r="O1089" s="1332"/>
      <c r="P1089" s="1332"/>
      <c r="Q1089" s="1332"/>
      <c r="R1089" s="1332"/>
      <c r="S1089" s="1332"/>
      <c r="T1089" s="1332"/>
      <c r="U1089" s="1332"/>
      <c r="V1089" s="1332"/>
      <c r="W1089" s="1332"/>
      <c r="X1089" s="1332"/>
      <c r="Y1089" s="1332"/>
      <c r="Z1089" s="1332"/>
      <c r="AA1089" s="1332"/>
      <c r="AB1089" s="1332"/>
      <c r="AC1089" s="1332"/>
      <c r="AD1089" s="1332"/>
      <c r="AE1089" s="1332"/>
      <c r="AF1089" s="1332"/>
      <c r="AG1089" s="1332"/>
      <c r="AH1089" s="1332"/>
      <c r="AI1089" s="1332"/>
      <c r="AJ1089" s="1332"/>
      <c r="AK1089" s="1332"/>
      <c r="AL1089" s="1332"/>
      <c r="AM1089" s="1332"/>
      <c r="AN1089" s="1332"/>
      <c r="AO1089" s="1332"/>
      <c r="AP1089" s="1332"/>
      <c r="AQ1089" s="1332"/>
      <c r="AR1089" s="1332"/>
      <c r="AS1089" s="14"/>
    </row>
    <row r="1090" spans="1:45" ht="13" customHeight="1">
      <c r="A1090" s="1"/>
      <c r="B1090" s="1"/>
      <c r="C1090" s="1407"/>
      <c r="D1090" s="1407"/>
      <c r="E1090" s="1332"/>
      <c r="F1090" s="1332"/>
      <c r="G1090" s="1332"/>
      <c r="H1090" s="1332"/>
      <c r="I1090" s="1332"/>
      <c r="J1090" s="1332"/>
      <c r="K1090" s="1332"/>
      <c r="L1090" s="1332"/>
      <c r="M1090" s="1332"/>
      <c r="N1090" s="1332"/>
      <c r="O1090" s="1332"/>
      <c r="P1090" s="1332"/>
      <c r="Q1090" s="1332"/>
      <c r="R1090" s="1332"/>
      <c r="S1090" s="1332"/>
      <c r="T1090" s="1332"/>
      <c r="U1090" s="1332"/>
      <c r="V1090" s="1332"/>
      <c r="W1090" s="1332"/>
      <c r="X1090" s="1332"/>
      <c r="Y1090" s="1332"/>
      <c r="Z1090" s="1332"/>
      <c r="AA1090" s="1332"/>
      <c r="AB1090" s="1332"/>
      <c r="AC1090" s="1332"/>
      <c r="AD1090" s="1332"/>
      <c r="AE1090" s="1332"/>
      <c r="AF1090" s="1332"/>
      <c r="AG1090" s="1332"/>
      <c r="AH1090" s="1332"/>
      <c r="AI1090" s="1332"/>
      <c r="AJ1090" s="1332"/>
      <c r="AK1090" s="1332"/>
      <c r="AL1090" s="1332"/>
      <c r="AM1090" s="1332"/>
      <c r="AN1090" s="1332"/>
      <c r="AO1090" s="1332"/>
      <c r="AP1090" s="1332"/>
      <c r="AQ1090" s="1332"/>
      <c r="AR1090" s="1332"/>
      <c r="AS1090" s="14"/>
    </row>
    <row r="1091" spans="1:45" ht="13" customHeight="1">
      <c r="A1091" s="1"/>
      <c r="B1091" s="1"/>
      <c r="C1091" s="1407"/>
      <c r="D1091" s="1407"/>
      <c r="E1091" s="1332"/>
      <c r="F1091" s="1332"/>
      <c r="G1091" s="1332"/>
      <c r="H1091" s="1332"/>
      <c r="I1091" s="1332"/>
      <c r="J1091" s="1332"/>
      <c r="K1091" s="1332"/>
      <c r="L1091" s="1332"/>
      <c r="M1091" s="1332"/>
      <c r="N1091" s="1332"/>
      <c r="O1091" s="1332"/>
      <c r="P1091" s="1332"/>
      <c r="Q1091" s="1332"/>
      <c r="R1091" s="1332"/>
      <c r="S1091" s="1332"/>
      <c r="T1091" s="1332"/>
      <c r="U1091" s="1332"/>
      <c r="V1091" s="1332"/>
      <c r="W1091" s="1332"/>
      <c r="X1091" s="1332"/>
      <c r="Y1091" s="1332"/>
      <c r="Z1091" s="1332"/>
      <c r="AA1091" s="1332"/>
      <c r="AB1091" s="1332"/>
      <c r="AC1091" s="1332"/>
      <c r="AD1091" s="1332"/>
      <c r="AE1091" s="1332"/>
      <c r="AF1091" s="1332"/>
      <c r="AG1091" s="1332"/>
      <c r="AH1091" s="1332"/>
      <c r="AI1091" s="1332"/>
      <c r="AJ1091" s="1332"/>
      <c r="AK1091" s="1332"/>
      <c r="AL1091" s="1332"/>
      <c r="AM1091" s="1332"/>
      <c r="AN1091" s="1332"/>
      <c r="AO1091" s="1332"/>
      <c r="AP1091" s="1332"/>
      <c r="AQ1091" s="1332"/>
      <c r="AR1091" s="1332"/>
      <c r="AS1091" s="14"/>
    </row>
    <row r="1092" spans="1:45" ht="13" customHeight="1">
      <c r="A1092" s="1"/>
      <c r="B1092" s="1"/>
      <c r="C1092" s="1407"/>
      <c r="D1092" s="1407"/>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 customHeight="1">
      <c r="A1093" s="35"/>
      <c r="B1093" s="25"/>
      <c r="C1093" s="1407"/>
      <c r="D1093" s="1407"/>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 customHeight="1">
      <c r="A1094" s="1426" t="s">
        <v>591</v>
      </c>
      <c r="B1094" s="1426"/>
      <c r="C1094" s="1407">
        <v>8</v>
      </c>
      <c r="D1094" s="1407"/>
      <c r="E1094" s="1332" t="s">
        <v>1073</v>
      </c>
      <c r="F1094" s="1332"/>
      <c r="G1094" s="1332"/>
      <c r="H1094" s="1332"/>
      <c r="I1094" s="1332"/>
      <c r="J1094" s="1332"/>
      <c r="K1094" s="1332"/>
      <c r="L1094" s="1332"/>
      <c r="M1094" s="1332"/>
      <c r="N1094" s="1332"/>
      <c r="O1094" s="1332"/>
      <c r="P1094" s="1332"/>
      <c r="Q1094" s="1332"/>
      <c r="R1094" s="1332"/>
      <c r="S1094" s="1332"/>
      <c r="T1094" s="1332"/>
      <c r="U1094" s="1332"/>
      <c r="V1094" s="1332"/>
      <c r="W1094" s="1332"/>
      <c r="X1094" s="1332"/>
      <c r="Y1094" s="1332"/>
      <c r="Z1094" s="1332"/>
      <c r="AA1094" s="1332"/>
      <c r="AB1094" s="1332"/>
      <c r="AC1094" s="1332"/>
      <c r="AD1094" s="1332"/>
      <c r="AE1094" s="1332"/>
      <c r="AF1094" s="1332"/>
      <c r="AG1094" s="1332"/>
      <c r="AH1094" s="1332"/>
      <c r="AI1094" s="1332"/>
      <c r="AJ1094" s="1332"/>
      <c r="AK1094" s="1332"/>
      <c r="AL1094" s="1332"/>
      <c r="AM1094" s="1332"/>
      <c r="AN1094" s="1332"/>
      <c r="AO1094" s="1332"/>
      <c r="AP1094" s="1332"/>
      <c r="AQ1094" s="1332"/>
      <c r="AR1094" s="1332"/>
    </row>
    <row r="1095" spans="1:45" ht="13" customHeight="1">
      <c r="A1095" s="35"/>
      <c r="B1095" s="25"/>
      <c r="C1095" s="1407"/>
      <c r="D1095" s="1407"/>
      <c r="E1095" s="1332"/>
      <c r="F1095" s="1332"/>
      <c r="G1095" s="1332"/>
      <c r="H1095" s="1332"/>
      <c r="I1095" s="1332"/>
      <c r="J1095" s="1332"/>
      <c r="K1095" s="1332"/>
      <c r="L1095" s="1332"/>
      <c r="M1095" s="1332"/>
      <c r="N1095" s="1332"/>
      <c r="O1095" s="1332"/>
      <c r="P1095" s="1332"/>
      <c r="Q1095" s="1332"/>
      <c r="R1095" s="1332"/>
      <c r="S1095" s="1332"/>
      <c r="T1095" s="1332"/>
      <c r="U1095" s="1332"/>
      <c r="V1095" s="1332"/>
      <c r="W1095" s="1332"/>
      <c r="X1095" s="1332"/>
      <c r="Y1095" s="1332"/>
      <c r="Z1095" s="1332"/>
      <c r="AA1095" s="1332"/>
      <c r="AB1095" s="1332"/>
      <c r="AC1095" s="1332"/>
      <c r="AD1095" s="1332"/>
      <c r="AE1095" s="1332"/>
      <c r="AF1095" s="1332"/>
      <c r="AG1095" s="1332"/>
      <c r="AH1095" s="1332"/>
      <c r="AI1095" s="1332"/>
      <c r="AJ1095" s="1332"/>
      <c r="AK1095" s="1332"/>
      <c r="AL1095" s="1332"/>
      <c r="AM1095" s="1332"/>
      <c r="AN1095" s="1332"/>
      <c r="AO1095" s="1332"/>
      <c r="AP1095" s="1332"/>
      <c r="AQ1095" s="1332"/>
      <c r="AR1095" s="1332"/>
    </row>
    <row r="1096" spans="1:45" ht="13" customHeight="1">
      <c r="A1096" s="35"/>
      <c r="B1096" s="25"/>
      <c r="C1096" s="1407"/>
      <c r="D1096" s="1407"/>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 customHeight="1">
      <c r="A1097" s="1426" t="s">
        <v>591</v>
      </c>
      <c r="B1097" s="1426"/>
      <c r="C1097" s="1845">
        <v>9</v>
      </c>
      <c r="D1097" s="1845"/>
      <c r="E1097" s="1332" t="s">
        <v>1075</v>
      </c>
      <c r="F1097" s="1332"/>
      <c r="G1097" s="1332"/>
      <c r="H1097" s="1332"/>
      <c r="I1097" s="1332"/>
      <c r="J1097" s="1332"/>
      <c r="K1097" s="1332"/>
      <c r="L1097" s="1332"/>
      <c r="M1097" s="1332"/>
      <c r="N1097" s="1332"/>
      <c r="O1097" s="1332"/>
      <c r="P1097" s="1332"/>
      <c r="Q1097" s="1332"/>
      <c r="R1097" s="1332"/>
      <c r="S1097" s="1332"/>
      <c r="T1097" s="1332"/>
      <c r="U1097" s="1332"/>
      <c r="V1097" s="1332"/>
      <c r="W1097" s="1332"/>
      <c r="X1097" s="1332"/>
      <c r="Y1097" s="1332"/>
      <c r="Z1097" s="1332"/>
      <c r="AA1097" s="1332"/>
      <c r="AB1097" s="1332"/>
      <c r="AC1097" s="1332"/>
      <c r="AD1097" s="1332"/>
      <c r="AE1097" s="1332"/>
      <c r="AF1097" s="1332"/>
      <c r="AG1097" s="1332"/>
      <c r="AH1097" s="1332"/>
      <c r="AI1097" s="1332"/>
      <c r="AJ1097" s="1332"/>
      <c r="AK1097" s="1332"/>
      <c r="AL1097" s="1332"/>
      <c r="AM1097" s="1332"/>
      <c r="AN1097" s="1332"/>
      <c r="AO1097" s="1332"/>
      <c r="AP1097" s="1332"/>
      <c r="AQ1097" s="1332"/>
      <c r="AR1097" s="1332"/>
    </row>
    <row r="1098" spans="1:45" ht="13" customHeight="1">
      <c r="A1098" s="1"/>
      <c r="B1098" s="1"/>
      <c r="C1098" s="1845"/>
      <c r="D1098" s="1845"/>
      <c r="E1098" s="1332"/>
      <c r="F1098" s="1332"/>
      <c r="G1098" s="1332"/>
      <c r="H1098" s="1332"/>
      <c r="I1098" s="1332"/>
      <c r="J1098" s="1332"/>
      <c r="K1098" s="1332"/>
      <c r="L1098" s="1332"/>
      <c r="M1098" s="1332"/>
      <c r="N1098" s="1332"/>
      <c r="O1098" s="1332"/>
      <c r="P1098" s="1332"/>
      <c r="Q1098" s="1332"/>
      <c r="R1098" s="1332"/>
      <c r="S1098" s="1332"/>
      <c r="T1098" s="1332"/>
      <c r="U1098" s="1332"/>
      <c r="V1098" s="1332"/>
      <c r="W1098" s="1332"/>
      <c r="X1098" s="1332"/>
      <c r="Y1098" s="1332"/>
      <c r="Z1098" s="1332"/>
      <c r="AA1098" s="1332"/>
      <c r="AB1098" s="1332"/>
      <c r="AC1098" s="1332"/>
      <c r="AD1098" s="1332"/>
      <c r="AE1098" s="1332"/>
      <c r="AF1098" s="1332"/>
      <c r="AG1098" s="1332"/>
      <c r="AH1098" s="1332"/>
      <c r="AI1098" s="1332"/>
      <c r="AJ1098" s="1332"/>
      <c r="AK1098" s="1332"/>
      <c r="AL1098" s="1332"/>
      <c r="AM1098" s="1332"/>
      <c r="AN1098" s="1332"/>
      <c r="AO1098" s="1332"/>
      <c r="AP1098" s="1332"/>
      <c r="AQ1098" s="1332"/>
      <c r="AR1098" s="1332"/>
    </row>
    <row r="1099" spans="1:45" ht="13" customHeight="1">
      <c r="A1099" s="35"/>
      <c r="B1099" s="25"/>
      <c r="C1099" s="1845"/>
      <c r="D1099" s="1845"/>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 customHeight="1">
      <c r="A1100" s="1426" t="s">
        <v>591</v>
      </c>
      <c r="B1100" s="1426"/>
      <c r="C1100" s="1845">
        <v>10</v>
      </c>
      <c r="D1100" s="1845"/>
      <c r="E1100" s="1846" t="s">
        <v>2238</v>
      </c>
      <c r="F1100" s="1846"/>
      <c r="G1100" s="1846"/>
      <c r="H1100" s="1846"/>
      <c r="I1100" s="1846"/>
      <c r="J1100" s="1846"/>
      <c r="K1100" s="1846"/>
      <c r="L1100" s="1846"/>
      <c r="M1100" s="1846"/>
      <c r="N1100" s="1846"/>
      <c r="O1100" s="1846"/>
      <c r="P1100" s="1846"/>
      <c r="Q1100" s="1846"/>
      <c r="R1100" s="1846"/>
      <c r="S1100" s="1846"/>
      <c r="T1100" s="1846"/>
      <c r="U1100" s="1846"/>
      <c r="V1100" s="1846"/>
      <c r="W1100" s="1846"/>
      <c r="X1100" s="1846"/>
      <c r="Y1100" s="1846"/>
      <c r="Z1100" s="1846"/>
      <c r="AA1100" s="1846"/>
      <c r="AB1100" s="1846"/>
      <c r="AC1100" s="1846"/>
      <c r="AD1100" s="1846"/>
      <c r="AE1100" s="1846"/>
      <c r="AF1100" s="1846"/>
      <c r="AG1100" s="1846"/>
      <c r="AH1100" s="1846"/>
      <c r="AI1100" s="1846"/>
      <c r="AJ1100" s="1846"/>
      <c r="AK1100" s="1846"/>
      <c r="AL1100" s="1846"/>
      <c r="AM1100" s="1846"/>
      <c r="AN1100" s="1846"/>
      <c r="AO1100" s="1846"/>
      <c r="AP1100" s="1846"/>
      <c r="AQ1100" s="1846"/>
      <c r="AR1100" s="1846"/>
    </row>
    <row r="1101" spans="1:45" ht="13" customHeight="1">
      <c r="A1101" s="1"/>
      <c r="B1101" s="1"/>
      <c r="C1101" s="199"/>
      <c r="D1101" s="1161"/>
      <c r="E1101" s="1846"/>
      <c r="F1101" s="1846"/>
      <c r="G1101" s="1846"/>
      <c r="H1101" s="1846"/>
      <c r="I1101" s="1846"/>
      <c r="J1101" s="1846"/>
      <c r="K1101" s="1846"/>
      <c r="L1101" s="1846"/>
      <c r="M1101" s="1846"/>
      <c r="N1101" s="1846"/>
      <c r="O1101" s="1846"/>
      <c r="P1101" s="1846"/>
      <c r="Q1101" s="1846"/>
      <c r="R1101" s="1846"/>
      <c r="S1101" s="1846"/>
      <c r="T1101" s="1846"/>
      <c r="U1101" s="1846"/>
      <c r="V1101" s="1846"/>
      <c r="W1101" s="1846"/>
      <c r="X1101" s="1846"/>
      <c r="Y1101" s="1846"/>
      <c r="Z1101" s="1846"/>
      <c r="AA1101" s="1846"/>
      <c r="AB1101" s="1846"/>
      <c r="AC1101" s="1846"/>
      <c r="AD1101" s="1846"/>
      <c r="AE1101" s="1846"/>
      <c r="AF1101" s="1846"/>
      <c r="AG1101" s="1846"/>
      <c r="AH1101" s="1846"/>
      <c r="AI1101" s="1846"/>
      <c r="AJ1101" s="1846"/>
      <c r="AK1101" s="1846"/>
      <c r="AL1101" s="1846"/>
      <c r="AM1101" s="1846"/>
      <c r="AN1101" s="1846"/>
      <c r="AO1101" s="1846"/>
      <c r="AP1101" s="1846"/>
      <c r="AQ1101" s="1846"/>
      <c r="AR1101" s="1846"/>
    </row>
    <row r="1102" spans="1:45" ht="13"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 customHeight="1">
      <c r="A1103" s="1426" t="s">
        <v>591</v>
      </c>
      <c r="B1103" s="1426"/>
      <c r="C1103" s="1845">
        <v>11</v>
      </c>
      <c r="D1103" s="1845"/>
      <c r="E1103" s="1846" t="s">
        <v>2240</v>
      </c>
      <c r="F1103" s="1846"/>
      <c r="G1103" s="1846"/>
      <c r="H1103" s="1846"/>
      <c r="I1103" s="1846"/>
      <c r="J1103" s="1846"/>
      <c r="K1103" s="1846"/>
      <c r="L1103" s="1846"/>
      <c r="M1103" s="1846"/>
      <c r="N1103" s="1846"/>
      <c r="O1103" s="1846"/>
      <c r="P1103" s="1846"/>
      <c r="Q1103" s="1846"/>
      <c r="R1103" s="1846"/>
      <c r="S1103" s="1846"/>
      <c r="T1103" s="1846"/>
      <c r="U1103" s="1846"/>
      <c r="V1103" s="1846"/>
      <c r="W1103" s="1846"/>
      <c r="X1103" s="1846"/>
      <c r="Y1103" s="1846"/>
      <c r="Z1103" s="1846"/>
      <c r="AA1103" s="1846"/>
      <c r="AB1103" s="1846"/>
      <c r="AC1103" s="1846"/>
      <c r="AD1103" s="1846"/>
      <c r="AE1103" s="1846"/>
      <c r="AF1103" s="1846"/>
      <c r="AG1103" s="1846"/>
      <c r="AH1103" s="1846"/>
      <c r="AI1103" s="1846"/>
      <c r="AJ1103" s="1846"/>
      <c r="AK1103" s="1846"/>
      <c r="AL1103" s="1846"/>
      <c r="AM1103" s="1846"/>
      <c r="AN1103" s="1846"/>
      <c r="AO1103" s="1846"/>
      <c r="AP1103" s="1846"/>
      <c r="AQ1103" s="1846"/>
      <c r="AR1103" s="1846"/>
    </row>
    <row r="1104" spans="1:45" ht="13" customHeight="1">
      <c r="A1104" s="1"/>
      <c r="B1104" s="1"/>
      <c r="C1104" s="199"/>
      <c r="D1104" s="1161"/>
      <c r="E1104" s="1846"/>
      <c r="F1104" s="1846"/>
      <c r="G1104" s="1846"/>
      <c r="H1104" s="1846"/>
      <c r="I1104" s="1846"/>
      <c r="J1104" s="1846"/>
      <c r="K1104" s="1846"/>
      <c r="L1104" s="1846"/>
      <c r="M1104" s="1846"/>
      <c r="N1104" s="1846"/>
      <c r="O1104" s="1846"/>
      <c r="P1104" s="1846"/>
      <c r="Q1104" s="1846"/>
      <c r="R1104" s="1846"/>
      <c r="S1104" s="1846"/>
      <c r="T1104" s="1846"/>
      <c r="U1104" s="1846"/>
      <c r="V1104" s="1846"/>
      <c r="W1104" s="1846"/>
      <c r="X1104" s="1846"/>
      <c r="Y1104" s="1846"/>
      <c r="Z1104" s="1846"/>
      <c r="AA1104" s="1846"/>
      <c r="AB1104" s="1846"/>
      <c r="AC1104" s="1846"/>
      <c r="AD1104" s="1846"/>
      <c r="AE1104" s="1846"/>
      <c r="AF1104" s="1846"/>
      <c r="AG1104" s="1846"/>
      <c r="AH1104" s="1846"/>
      <c r="AI1104" s="1846"/>
      <c r="AJ1104" s="1846"/>
      <c r="AK1104" s="1846"/>
      <c r="AL1104" s="1846"/>
      <c r="AM1104" s="1846"/>
      <c r="AN1104" s="1846"/>
      <c r="AO1104" s="1846"/>
      <c r="AP1104" s="1846"/>
      <c r="AQ1104" s="1846"/>
      <c r="AR1104" s="1846"/>
    </row>
    <row r="1105" spans="1:37" ht="13"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26" t="s">
        <v>591</v>
      </c>
      <c r="B1125" s="1426"/>
      <c r="C1125" s="199">
        <v>9</v>
      </c>
      <c r="D1125" s="1264" t="s">
        <v>1074</v>
      </c>
      <c r="E1125" s="1264"/>
      <c r="F1125" s="1264"/>
      <c r="G1125" s="1264"/>
      <c r="H1125" s="1264"/>
      <c r="I1125" s="1264"/>
      <c r="J1125" s="1264"/>
      <c r="K1125" s="1264"/>
      <c r="L1125" s="1264"/>
      <c r="M1125" s="1264"/>
      <c r="N1125" s="1264"/>
      <c r="O1125" s="1264"/>
      <c r="P1125" s="1264"/>
      <c r="Q1125" s="1264"/>
      <c r="R1125" s="1264"/>
      <c r="S1125" s="1264"/>
      <c r="T1125" s="1264"/>
      <c r="U1125" s="1264"/>
      <c r="V1125" s="1264"/>
      <c r="W1125" s="1264"/>
      <c r="X1125" s="1264"/>
      <c r="Y1125" s="1264"/>
      <c r="Z1125" s="1264"/>
      <c r="AA1125" s="1264"/>
      <c r="AB1125" s="1264"/>
      <c r="AC1125" s="1264"/>
      <c r="AD1125" s="1264"/>
      <c r="AE1125" s="1264"/>
      <c r="AF1125" s="1264"/>
      <c r="AG1125" s="1264"/>
      <c r="AH1125" s="1264"/>
      <c r="AI1125" s="1264"/>
      <c r="AJ1125" s="1264"/>
      <c r="AK1125" s="1264"/>
    </row>
    <row r="1126" spans="1:37" ht="0" hidden="1" customHeight="1">
      <c r="A1126" s="35"/>
      <c r="B1126" s="25"/>
      <c r="C1126" s="199"/>
      <c r="D1126" s="1264"/>
      <c r="E1126" s="1264"/>
      <c r="F1126" s="1264"/>
      <c r="G1126" s="1264"/>
      <c r="H1126" s="1264"/>
      <c r="I1126" s="1264"/>
      <c r="J1126" s="1264"/>
      <c r="K1126" s="1264"/>
      <c r="L1126" s="1264"/>
      <c r="M1126" s="1264"/>
      <c r="N1126" s="1264"/>
      <c r="O1126" s="1264"/>
      <c r="P1126" s="1264"/>
      <c r="Q1126" s="1264"/>
      <c r="R1126" s="1264"/>
      <c r="S1126" s="1264"/>
      <c r="T1126" s="1264"/>
      <c r="U1126" s="1264"/>
      <c r="V1126" s="1264"/>
      <c r="W1126" s="1264"/>
      <c r="X1126" s="1264"/>
      <c r="Y1126" s="1264"/>
      <c r="Z1126" s="1264"/>
      <c r="AA1126" s="1264"/>
      <c r="AB1126" s="1264"/>
      <c r="AC1126" s="1264"/>
      <c r="AD1126" s="1264"/>
      <c r="AE1126" s="1264"/>
      <c r="AF1126" s="1264"/>
      <c r="AG1126" s="1264"/>
      <c r="AH1126" s="1264"/>
      <c r="AI1126" s="1264"/>
      <c r="AJ1126" s="1264"/>
      <c r="AK1126" s="1264"/>
    </row>
    <row r="1127" spans="1:37" ht="0" hidden="1" customHeight="1">
      <c r="D1127" s="1264"/>
      <c r="E1127" s="1264"/>
      <c r="F1127" s="1264"/>
      <c r="G1127" s="1264"/>
      <c r="H1127" s="1264"/>
      <c r="I1127" s="1264"/>
      <c r="J1127" s="1264"/>
      <c r="K1127" s="1264"/>
      <c r="L1127" s="1264"/>
      <c r="M1127" s="1264"/>
      <c r="N1127" s="1264"/>
      <c r="O1127" s="1264"/>
      <c r="P1127" s="1264"/>
      <c r="Q1127" s="1264"/>
      <c r="R1127" s="1264"/>
      <c r="S1127" s="1264"/>
      <c r="T1127" s="1264"/>
      <c r="U1127" s="1264"/>
      <c r="V1127" s="1264"/>
      <c r="W1127" s="1264"/>
      <c r="X1127" s="1264"/>
      <c r="Y1127" s="1264"/>
      <c r="Z1127" s="1264"/>
      <c r="AA1127" s="1264"/>
      <c r="AB1127" s="1264"/>
      <c r="AC1127" s="1264"/>
      <c r="AD1127" s="1264"/>
      <c r="AE1127" s="1264"/>
      <c r="AF1127" s="1264"/>
      <c r="AG1127" s="1264"/>
      <c r="AH1127" s="1264"/>
      <c r="AI1127" s="1264"/>
      <c r="AJ1127" s="1264"/>
      <c r="AK1127" s="1264"/>
    </row>
    <row r="1137" ht="15" hidden="1" customHeight="1"/>
    <row r="2017" ht="10"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73">
    <mergeCell ref="AM555:AS555"/>
    <mergeCell ref="AM557:AS557"/>
    <mergeCell ref="AM554:AS554"/>
    <mergeCell ref="G569:R569"/>
    <mergeCell ref="G571:R571"/>
    <mergeCell ref="G570:R570"/>
    <mergeCell ref="Q487:AK487"/>
    <mergeCell ref="Q489:R490"/>
    <mergeCell ref="Q488:AK488"/>
    <mergeCell ref="Q491:AK491"/>
    <mergeCell ref="Q492:AK492"/>
    <mergeCell ref="S489:AK490"/>
    <mergeCell ref="Q486:AK486"/>
    <mergeCell ref="Q494:AK494"/>
    <mergeCell ref="Q493:AK493"/>
    <mergeCell ref="L508:AB508"/>
    <mergeCell ref="O520:AA520"/>
    <mergeCell ref="O523:AA523"/>
    <mergeCell ref="C555:L555"/>
    <mergeCell ref="C559:L559"/>
    <mergeCell ref="C556:L556"/>
    <mergeCell ref="C558:L558"/>
    <mergeCell ref="C554:L554"/>
    <mergeCell ref="C557:L557"/>
    <mergeCell ref="T563:V563"/>
    <mergeCell ref="M554:P554"/>
    <mergeCell ref="M560:P560"/>
    <mergeCell ref="AH501:AK501"/>
    <mergeCell ref="C565:L565"/>
    <mergeCell ref="AE556:AH556"/>
    <mergeCell ref="AE559:AH559"/>
    <mergeCell ref="AI559:AL559"/>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G734:J734"/>
    <mergeCell ref="K724:N724"/>
    <mergeCell ref="X728:AB728"/>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CI753:CJ753"/>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J727:EN727"/>
    <mergeCell ref="EO729:ES729"/>
    <mergeCell ref="DO725:DS725"/>
    <mergeCell ref="DO721:DS721"/>
    <mergeCell ref="CG725:CH72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M753:CN753"/>
    <mergeCell ref="CP753:CT753"/>
    <mergeCell ref="DO732:DS732"/>
    <mergeCell ref="CK751:CL751"/>
    <mergeCell ref="CP775:CT775"/>
    <mergeCell ref="CP776:CT776"/>
    <mergeCell ref="DJ734:DN734"/>
    <mergeCell ref="AO637:AS637"/>
    <mergeCell ref="EM641:EQ641"/>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EM649:EQ649"/>
    <mergeCell ref="EM654:EQ654"/>
    <mergeCell ref="ER654:EV654"/>
    <mergeCell ref="EM652:EQ652"/>
    <mergeCell ref="DX650:EB650"/>
    <mergeCell ref="EC650:EG650"/>
    <mergeCell ref="EC655:EG655"/>
    <mergeCell ref="DX667:EB667"/>
    <mergeCell ref="ER650:EV650"/>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ER661:EV661"/>
    <mergeCell ref="EO738:ES738"/>
    <mergeCell ref="DE738:DI738"/>
    <mergeCell ref="DJ740:DN740"/>
    <mergeCell ref="CP735:CT735"/>
    <mergeCell ref="DJ736:DN736"/>
    <mergeCell ref="DE736:DI736"/>
    <mergeCell ref="CM740:CN740"/>
    <mergeCell ref="EJ739:EN739"/>
    <mergeCell ref="DU734:DY734"/>
    <mergeCell ref="EW661:FA661"/>
    <mergeCell ref="EM662:EQ662"/>
    <mergeCell ref="ER662:EV662"/>
    <mergeCell ref="DU727:DY727"/>
    <mergeCell ref="EE726:EI726"/>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ET731:EX731"/>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AK749:AO749"/>
    <mergeCell ref="AK751:AO751"/>
    <mergeCell ref="K752:N752"/>
    <mergeCell ref="X746:AB746"/>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826:H826"/>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W861:AC861"/>
    <mergeCell ref="C895:AB89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DZ731:ED731"/>
    <mergeCell ref="DU728:DY728"/>
    <mergeCell ref="DU722:DY722"/>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X652:EB652"/>
    <mergeCell ref="EC652:EG652"/>
    <mergeCell ref="Z683:AK683"/>
    <mergeCell ref="AA688:AK688"/>
    <mergeCell ref="B641:AN641"/>
    <mergeCell ref="G643:R643"/>
    <mergeCell ref="DX647:EB647"/>
    <mergeCell ref="AK721:AO721"/>
    <mergeCell ref="DJ723:DN723"/>
    <mergeCell ref="DJ724:DN724"/>
    <mergeCell ref="Z651:AK651"/>
    <mergeCell ref="AK638:AN638"/>
    <mergeCell ref="CM717:CN717"/>
    <mergeCell ref="CM719:CN719"/>
    <mergeCell ref="CM721:CN721"/>
    <mergeCell ref="W703:AK703"/>
    <mergeCell ref="AF636:AJ636"/>
    <mergeCell ref="AF637:AJ637"/>
    <mergeCell ref="AC636:AE636"/>
    <mergeCell ref="Z647:AE647"/>
    <mergeCell ref="AC720:AG720"/>
    <mergeCell ref="M636:P636"/>
    <mergeCell ref="X714:AB717"/>
    <mergeCell ref="CP721:CT721"/>
    <mergeCell ref="DE720:DI720"/>
    <mergeCell ref="AO641:AS641"/>
    <mergeCell ref="CZ718:DD718"/>
    <mergeCell ref="DZ726:ED726"/>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Z631:AB631"/>
    <mergeCell ref="AF624:AJ626"/>
    <mergeCell ref="Z687:AE687"/>
    <mergeCell ref="AH718:AJ718"/>
    <mergeCell ref="DZ717:ED717"/>
    <mergeCell ref="AC630:AE630"/>
    <mergeCell ref="AO636:AS636"/>
    <mergeCell ref="DO727:DS727"/>
    <mergeCell ref="DO728:DS728"/>
    <mergeCell ref="DO722:DS722"/>
    <mergeCell ref="DO723:DS723"/>
    <mergeCell ref="DO724:DS724"/>
    <mergeCell ref="DJ721:DN721"/>
    <mergeCell ref="DO726:DS726"/>
    <mergeCell ref="AM562:AS562"/>
    <mergeCell ref="Z564:AD564"/>
    <mergeCell ref="Z565:AD565"/>
    <mergeCell ref="AI562:AL562"/>
    <mergeCell ref="Z589:AE589"/>
    <mergeCell ref="AO632:AS632"/>
    <mergeCell ref="AO640:AS640"/>
    <mergeCell ref="CI717:CJ717"/>
    <mergeCell ref="AA680:AK680"/>
    <mergeCell ref="AK624:AN626"/>
    <mergeCell ref="AG599:AH599"/>
    <mergeCell ref="AE694:AF694"/>
    <mergeCell ref="A709:AT711"/>
    <mergeCell ref="C629:L629"/>
    <mergeCell ref="Q632:S632"/>
    <mergeCell ref="Q624:S626"/>
    <mergeCell ref="G572:L572"/>
    <mergeCell ref="M565:P565"/>
    <mergeCell ref="AC721:AG721"/>
    <mergeCell ref="AC722:AG722"/>
    <mergeCell ref="AH720:AJ720"/>
    <mergeCell ref="AK722:AO722"/>
    <mergeCell ref="AH721:AJ721"/>
    <mergeCell ref="Z635:AB635"/>
    <mergeCell ref="N615:O615"/>
    <mergeCell ref="AM561:AS561"/>
    <mergeCell ref="AM556:AS556"/>
    <mergeCell ref="AM558:AS558"/>
    <mergeCell ref="AM559:AS559"/>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T631:V631"/>
    <mergeCell ref="AC628:AE628"/>
    <mergeCell ref="T629:V629"/>
    <mergeCell ref="AO631:AS631"/>
    <mergeCell ref="AM566:AS566"/>
    <mergeCell ref="Z581:AE581"/>
    <mergeCell ref="Z586:AK586"/>
    <mergeCell ref="AO628:AS628"/>
    <mergeCell ref="AG607:AH607"/>
    <mergeCell ref="AO624:AS626"/>
    <mergeCell ref="AG591:AH591"/>
    <mergeCell ref="Z632:AB632"/>
    <mergeCell ref="Z561:AD561"/>
    <mergeCell ref="W560:Y560"/>
    <mergeCell ref="P572:R572"/>
    <mergeCell ref="W563:Y563"/>
    <mergeCell ref="G602:R602"/>
    <mergeCell ref="W564:Y564"/>
    <mergeCell ref="W565:Y565"/>
    <mergeCell ref="AE561:AH561"/>
    <mergeCell ref="Q563:S563"/>
    <mergeCell ref="AI565:AL565"/>
    <mergeCell ref="AE562:AH562"/>
    <mergeCell ref="Q562:S562"/>
    <mergeCell ref="G568:R568"/>
    <mergeCell ref="M574:R574"/>
    <mergeCell ref="O719:S719"/>
    <mergeCell ref="W636:Y636"/>
    <mergeCell ref="G719:J719"/>
    <mergeCell ref="P589:R589"/>
    <mergeCell ref="Z588:AK588"/>
    <mergeCell ref="H590:R590"/>
    <mergeCell ref="AE695:AI695"/>
    <mergeCell ref="Z644:AK644"/>
    <mergeCell ref="T630:V630"/>
    <mergeCell ref="G684:R684"/>
    <mergeCell ref="W633:Y633"/>
    <mergeCell ref="Z630:AB630"/>
    <mergeCell ref="AF631:AJ631"/>
    <mergeCell ref="AK633:AN633"/>
    <mergeCell ref="Z645:AK645"/>
    <mergeCell ref="Z629:AB629"/>
    <mergeCell ref="AE699:AI699"/>
    <mergeCell ref="AA672:AK672"/>
    <mergeCell ref="M627:P627"/>
    <mergeCell ref="M629:P629"/>
    <mergeCell ref="W624:Y626"/>
    <mergeCell ref="W628:Y628"/>
    <mergeCell ref="Z603:AK603"/>
    <mergeCell ref="T635:V635"/>
    <mergeCell ref="T636:V636"/>
    <mergeCell ref="T637:V637"/>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G585:R585"/>
    <mergeCell ref="AG575:AH575"/>
    <mergeCell ref="Z568:AK568"/>
    <mergeCell ref="AI564:AL564"/>
    <mergeCell ref="T561:V561"/>
    <mergeCell ref="AE558:AH558"/>
    <mergeCell ref="T565:V565"/>
    <mergeCell ref="C560:L560"/>
    <mergeCell ref="Z610:AK610"/>
    <mergeCell ref="AF628:AJ628"/>
    <mergeCell ref="DE728:DI728"/>
    <mergeCell ref="CU729:CY729"/>
    <mergeCell ref="CP733:CT733"/>
    <mergeCell ref="CK735:CL735"/>
    <mergeCell ref="CP732:CT732"/>
    <mergeCell ref="CM729:CN729"/>
    <mergeCell ref="Q630:S630"/>
    <mergeCell ref="O722:S722"/>
    <mergeCell ref="CU722:CY722"/>
    <mergeCell ref="CZ722:DD722"/>
    <mergeCell ref="W469:Y469"/>
    <mergeCell ref="AH515:AK515"/>
    <mergeCell ref="AC516:AF516"/>
    <mergeCell ref="Z434:AA434"/>
    <mergeCell ref="H614:R614"/>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DE732:DI732"/>
    <mergeCell ref="CM732:CN732"/>
    <mergeCell ref="DE724:DI724"/>
    <mergeCell ref="DJ725:DN725"/>
    <mergeCell ref="DE725:DI725"/>
    <mergeCell ref="CP726:CT726"/>
    <mergeCell ref="DE729:DI729"/>
    <mergeCell ref="CG735:CH735"/>
    <mergeCell ref="CI737:CJ737"/>
    <mergeCell ref="DE726:DI726"/>
    <mergeCell ref="CZ724:DD724"/>
    <mergeCell ref="M628:P628"/>
    <mergeCell ref="M633:P633"/>
    <mergeCell ref="AC632:AE632"/>
    <mergeCell ref="H672:R672"/>
    <mergeCell ref="C628:L628"/>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DE730:DI730"/>
    <mergeCell ref="CM730:CN730"/>
    <mergeCell ref="CK727:CL727"/>
    <mergeCell ref="DE731:DI731"/>
    <mergeCell ref="DE739:DI739"/>
    <mergeCell ref="CM723:CN723"/>
    <mergeCell ref="CM725:CN725"/>
    <mergeCell ref="CK730:CL730"/>
    <mergeCell ref="CP731:CT731"/>
    <mergeCell ref="CI729:CJ729"/>
    <mergeCell ref="CP729:CT729"/>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CI723:CJ723"/>
    <mergeCell ref="CP728:CT728"/>
    <mergeCell ref="CU728:CY728"/>
    <mergeCell ref="CK732:CL732"/>
    <mergeCell ref="CZ732:DD732"/>
    <mergeCell ref="CU736:CY736"/>
    <mergeCell ref="CU740:CY740"/>
    <mergeCell ref="CI739:CJ739"/>
    <mergeCell ref="CK725:CL725"/>
    <mergeCell ref="CP723:CT723"/>
    <mergeCell ref="CU727:CY727"/>
    <mergeCell ref="CK724:CL724"/>
    <mergeCell ref="CI735:CJ735"/>
    <mergeCell ref="CK736:CL736"/>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Z671:AE671"/>
    <mergeCell ref="AA664:AK664"/>
    <mergeCell ref="G721:J721"/>
    <mergeCell ref="G722:J722"/>
    <mergeCell ref="P663:R663"/>
    <mergeCell ref="Z678:AK678"/>
    <mergeCell ref="T721:W721"/>
    <mergeCell ref="Z684:AK684"/>
    <mergeCell ref="AK719:AO719"/>
    <mergeCell ref="W700:AK700"/>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AI655:AK655"/>
    <mergeCell ref="G662:R662"/>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N599:O599"/>
    <mergeCell ref="AA590:AK590"/>
    <mergeCell ref="AI589:AK589"/>
    <mergeCell ref="Z596:AK596"/>
    <mergeCell ref="H598:R598"/>
    <mergeCell ref="AG583:AH583"/>
    <mergeCell ref="G588:R588"/>
    <mergeCell ref="Z580:AK580"/>
    <mergeCell ref="N607:O607"/>
    <mergeCell ref="G593:R593"/>
    <mergeCell ref="G605:L605"/>
    <mergeCell ref="H606:R606"/>
    <mergeCell ref="AI597:AK597"/>
    <mergeCell ref="G609:R609"/>
    <mergeCell ref="Z605:AE605"/>
    <mergeCell ref="Z609:AK609"/>
    <mergeCell ref="AA606:AK606"/>
    <mergeCell ref="P605:R605"/>
    <mergeCell ref="G581:L581"/>
    <mergeCell ref="Z604:AK604"/>
    <mergeCell ref="G587:R587"/>
    <mergeCell ref="G586:R586"/>
    <mergeCell ref="AI605:AK605"/>
    <mergeCell ref="G604:R604"/>
    <mergeCell ref="G589:L589"/>
    <mergeCell ref="H582:R582"/>
    <mergeCell ref="Z595:AK595"/>
    <mergeCell ref="G603:R603"/>
    <mergeCell ref="P597:R597"/>
    <mergeCell ref="G597:L597"/>
    <mergeCell ref="Z559:AD559"/>
    <mergeCell ref="Z562:AD562"/>
    <mergeCell ref="W561:Y561"/>
    <mergeCell ref="W562:Y562"/>
    <mergeCell ref="T559:V559"/>
    <mergeCell ref="M555:P555"/>
    <mergeCell ref="Q557:S557"/>
    <mergeCell ref="Z557:AD557"/>
    <mergeCell ref="M556:P556"/>
    <mergeCell ref="G595:R595"/>
    <mergeCell ref="G596:R596"/>
    <mergeCell ref="M561:P561"/>
    <mergeCell ref="W556:Y556"/>
    <mergeCell ref="C561:L561"/>
    <mergeCell ref="Q556:S556"/>
    <mergeCell ref="C563:L563"/>
    <mergeCell ref="W558:Y558"/>
    <mergeCell ref="Z555:AD555"/>
    <mergeCell ref="Q555:S555"/>
    <mergeCell ref="Q561:S561"/>
    <mergeCell ref="C562:L562"/>
    <mergeCell ref="N583:O583"/>
    <mergeCell ref="Z577:AK577"/>
    <mergeCell ref="AF574:AK574"/>
    <mergeCell ref="Z585:AK585"/>
    <mergeCell ref="G594:R594"/>
    <mergeCell ref="Z594:AK594"/>
    <mergeCell ref="Z579:AK579"/>
    <mergeCell ref="Z560:AD560"/>
    <mergeCell ref="AI563:AL563"/>
    <mergeCell ref="Z563:AD563"/>
    <mergeCell ref="T560:V560"/>
    <mergeCell ref="AA336:AK336"/>
    <mergeCell ref="H333:R33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AI556:AL556"/>
    <mergeCell ref="T557:V557"/>
    <mergeCell ref="Q389:U389"/>
    <mergeCell ref="AJ357:AK357"/>
    <mergeCell ref="D444:AF444"/>
    <mergeCell ref="D469:V469"/>
    <mergeCell ref="W473:Y473"/>
    <mergeCell ref="Q394:U394"/>
    <mergeCell ref="AD412:AE412"/>
    <mergeCell ref="H414:AE415"/>
    <mergeCell ref="AE425:AF425"/>
    <mergeCell ref="T556:V556"/>
    <mergeCell ref="B551:L553"/>
    <mergeCell ref="AH523:AK523"/>
    <mergeCell ref="AE554:AH554"/>
    <mergeCell ref="I421:K421"/>
    <mergeCell ref="AH524:AK524"/>
    <mergeCell ref="AH525:AK525"/>
    <mergeCell ref="P418:R418"/>
    <mergeCell ref="AF418:AH418"/>
    <mergeCell ref="AC528:AF528"/>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AG438:AJ438"/>
    <mergeCell ref="AH505:AK505"/>
    <mergeCell ref="G474:V474"/>
    <mergeCell ref="AH526:AK526"/>
    <mergeCell ref="W465:Y465"/>
    <mergeCell ref="W471:Y471"/>
    <mergeCell ref="AH539:AK539"/>
    <mergeCell ref="M551:P553"/>
    <mergeCell ref="H314:R314"/>
    <mergeCell ref="H316:M316"/>
    <mergeCell ref="AA322:AK322"/>
    <mergeCell ref="H292:M292"/>
    <mergeCell ref="H309:R309"/>
    <mergeCell ref="O529:AA529"/>
    <mergeCell ref="AH533:AK533"/>
    <mergeCell ref="M356:N356"/>
    <mergeCell ref="B520:H542"/>
    <mergeCell ref="Z432:AA432"/>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AA323:AF323"/>
    <mergeCell ref="H320:R320"/>
    <mergeCell ref="H296:R296"/>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H305:R305"/>
    <mergeCell ref="AA288:AK288"/>
    <mergeCell ref="H287:R287"/>
    <mergeCell ref="U255:W255"/>
    <mergeCell ref="P299:R299"/>
    <mergeCell ref="H293:R293"/>
    <mergeCell ref="M264:AE264"/>
    <mergeCell ref="AB276:AD276"/>
    <mergeCell ref="Y278:AD278"/>
    <mergeCell ref="AA295:AK295"/>
    <mergeCell ref="AF259:AK259"/>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AC520:AF520"/>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J387:U387"/>
    <mergeCell ref="AC527:AF527"/>
    <mergeCell ref="W551:Y553"/>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T742:W742"/>
    <mergeCell ref="X745:AB745"/>
    <mergeCell ref="B742:F742"/>
    <mergeCell ref="B743:F743"/>
    <mergeCell ref="AG681:AH681"/>
    <mergeCell ref="AI687:AK687"/>
    <mergeCell ref="J705:O705"/>
    <mergeCell ref="Z655:AE655"/>
    <mergeCell ref="B736:F736"/>
    <mergeCell ref="B733:F733"/>
    <mergeCell ref="B731:F731"/>
    <mergeCell ref="CU776:CY776"/>
    <mergeCell ref="CP750:CT750"/>
    <mergeCell ref="CU750:CY750"/>
    <mergeCell ref="AM560:AS560"/>
    <mergeCell ref="W630:Y630"/>
    <mergeCell ref="AH745:AJ745"/>
    <mergeCell ref="AH746:AJ746"/>
    <mergeCell ref="AH747:AJ747"/>
    <mergeCell ref="AH748:AJ748"/>
    <mergeCell ref="Z659:AK659"/>
    <mergeCell ref="CG734:CH734"/>
    <mergeCell ref="CP739:CT739"/>
    <mergeCell ref="CM738:CN738"/>
    <mergeCell ref="AK634:AN634"/>
    <mergeCell ref="AK635:AN635"/>
    <mergeCell ref="CU751:CY751"/>
    <mergeCell ref="G660:R660"/>
    <mergeCell ref="T634:V634"/>
    <mergeCell ref="Q560:S560"/>
    <mergeCell ref="Q565:S565"/>
    <mergeCell ref="AF634:AJ634"/>
    <mergeCell ref="W637:Y637"/>
    <mergeCell ref="AG657:AH657"/>
    <mergeCell ref="Z634:AB634"/>
    <mergeCell ref="C630:L630"/>
    <mergeCell ref="C631:L631"/>
    <mergeCell ref="C632:L632"/>
    <mergeCell ref="P687:R687"/>
    <mergeCell ref="R705:T705"/>
    <mergeCell ref="AE565:AH565"/>
    <mergeCell ref="G577:R577"/>
    <mergeCell ref="G613:L613"/>
    <mergeCell ref="AC514:AF514"/>
    <mergeCell ref="AH538:AK538"/>
    <mergeCell ref="Z551:AD553"/>
    <mergeCell ref="AH513:AK513"/>
    <mergeCell ref="AC531:AF531"/>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AC539:AF539"/>
    <mergeCell ref="AI560:AL560"/>
    <mergeCell ref="AE555:AH555"/>
    <mergeCell ref="AH518:AK518"/>
    <mergeCell ref="AC536:AF536"/>
    <mergeCell ref="AC530:AF530"/>
    <mergeCell ref="B566:AL566"/>
    <mergeCell ref="AE560:AH560"/>
    <mergeCell ref="N575:O575"/>
    <mergeCell ref="AH541:AK541"/>
    <mergeCell ref="AC535:AF535"/>
    <mergeCell ref="CP797:CT797"/>
    <mergeCell ref="AI557:AL557"/>
    <mergeCell ref="T724:W724"/>
    <mergeCell ref="AM551:AS553"/>
    <mergeCell ref="AH722:AJ722"/>
    <mergeCell ref="Z587:AK587"/>
    <mergeCell ref="AI572:AK572"/>
    <mergeCell ref="T564:V564"/>
    <mergeCell ref="AO639:AS639"/>
    <mergeCell ref="AO629:AS629"/>
    <mergeCell ref="AO638:AS638"/>
    <mergeCell ref="AC519:AF519"/>
    <mergeCell ref="AC523:AF523"/>
    <mergeCell ref="AH516:AK516"/>
    <mergeCell ref="Z628:AB628"/>
    <mergeCell ref="M558:P558"/>
    <mergeCell ref="Q559:S559"/>
    <mergeCell ref="P581:R581"/>
    <mergeCell ref="N591:O591"/>
    <mergeCell ref="AH534:AK534"/>
    <mergeCell ref="AH540:AK540"/>
    <mergeCell ref="AI554:AL554"/>
    <mergeCell ref="AI558:AL558"/>
    <mergeCell ref="Q551:S553"/>
    <mergeCell ref="T551:V553"/>
    <mergeCell ref="CM748:CN748"/>
    <mergeCell ref="CG749:CH749"/>
    <mergeCell ref="CG724:CH724"/>
    <mergeCell ref="CG730:CH730"/>
    <mergeCell ref="CG728:CH728"/>
    <mergeCell ref="X718:AB718"/>
    <mergeCell ref="O535:AA535"/>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495:P495"/>
    <mergeCell ref="AC501:AF501"/>
    <mergeCell ref="AH514:AK514"/>
    <mergeCell ref="Q390:U390"/>
    <mergeCell ref="I410:AE410"/>
    <mergeCell ref="AI389:AJ389"/>
    <mergeCell ref="AH521:AK521"/>
    <mergeCell ref="R411:S411"/>
    <mergeCell ref="AH509:AK509"/>
    <mergeCell ref="AG443:AJ443"/>
    <mergeCell ref="AG444:AJ444"/>
    <mergeCell ref="D468:V468"/>
    <mergeCell ref="AC512:AF512"/>
    <mergeCell ref="B489:P490"/>
    <mergeCell ref="AC506:AF506"/>
    <mergeCell ref="B501:H502"/>
    <mergeCell ref="DE746:DI746"/>
    <mergeCell ref="AK747:AO747"/>
    <mergeCell ref="AH510:AK510"/>
    <mergeCell ref="AA582:AK582"/>
    <mergeCell ref="H573:R573"/>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449:AF449"/>
    <mergeCell ref="Q554:S554"/>
    <mergeCell ref="AH529:AK529"/>
    <mergeCell ref="DU745:DY745"/>
    <mergeCell ref="DZ745:ED745"/>
    <mergeCell ref="DX666:EB666"/>
    <mergeCell ref="EC666:EG666"/>
    <mergeCell ref="AC455:AF455"/>
    <mergeCell ref="F457:AB458"/>
    <mergeCell ref="D466:V466"/>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C542:AF542"/>
    <mergeCell ref="AH535:AK535"/>
    <mergeCell ref="AC532:AF532"/>
    <mergeCell ref="Z554:AD554"/>
    <mergeCell ref="AH531:AK531"/>
    <mergeCell ref="C627:L627"/>
    <mergeCell ref="AC510:AF510"/>
    <mergeCell ref="AC515:AF515"/>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U741:DY741"/>
    <mergeCell ref="DZ741:ED741"/>
    <mergeCell ref="DJ747:DN747"/>
    <mergeCell ref="DO747:DS747"/>
    <mergeCell ref="CP748:CT748"/>
    <mergeCell ref="CU748:CY748"/>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0"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Normal="100" workbookViewId="0">
      <pane xSplit="1" ySplit="2" topLeftCell="B52" activePane="bottomRight" state="frozen"/>
      <selection pane="topRight" activeCell="B1" sqref="B1"/>
      <selection pane="bottomLeft" activeCell="A3" sqref="A3"/>
      <selection pane="bottomRight" activeCell="J90" sqref="J90"/>
    </sheetView>
  </sheetViews>
  <sheetFormatPr baseColWidth="10" defaultColWidth="0" defaultRowHeight="12" zeroHeight="1"/>
  <cols>
    <col min="1" max="1" width="35.6640625" style="187" customWidth="1"/>
    <col min="2" max="12" width="12.1640625" style="158" customWidth="1"/>
    <col min="13" max="17" width="11.33203125" style="158" customWidth="1"/>
    <col min="18" max="18" width="12.6640625" style="158" customWidth="1"/>
    <col min="19" max="20" width="12.1640625" style="158" customWidth="1"/>
    <col min="21" max="21" width="0.33203125" style="161" customWidth="1"/>
    <col min="22" max="16383" width="8.83203125" style="158" hidden="1"/>
    <col min="16384" max="16384" width="0.1640625" style="158" customWidth="1"/>
  </cols>
  <sheetData>
    <row r="1" spans="1:21" s="110" customFormat="1" ht="13">
      <c r="A1" s="168" t="s">
        <v>549</v>
      </c>
      <c r="B1" s="125"/>
      <c r="C1" s="125"/>
      <c r="D1" s="125"/>
      <c r="E1" s="126"/>
      <c r="F1" s="1867" t="s">
        <v>621</v>
      </c>
      <c r="G1" s="1868"/>
      <c r="H1" s="1868"/>
      <c r="I1" s="1868"/>
      <c r="J1" s="1868"/>
      <c r="K1" s="1868"/>
      <c r="L1" s="1868"/>
      <c r="M1" s="1868"/>
      <c r="N1" s="1868"/>
      <c r="O1" s="1868"/>
      <c r="P1" s="1868"/>
      <c r="Q1" s="1868"/>
      <c r="R1" s="1869"/>
      <c r="S1" s="112"/>
      <c r="T1" s="111"/>
      <c r="U1" s="113"/>
    </row>
    <row r="2" spans="1:21" s="138" customFormat="1" ht="71.25" customHeight="1">
      <c r="A2" s="137"/>
      <c r="B2" s="138" t="s">
        <v>23</v>
      </c>
      <c r="C2" s="138" t="s">
        <v>373</v>
      </c>
      <c r="D2" s="138" t="s">
        <v>372</v>
      </c>
      <c r="E2" s="138" t="s">
        <v>24</v>
      </c>
      <c r="F2" s="139" t="str">
        <f>Application!B627&amp;Application!C627</f>
        <v xml:space="preserve">1)CalHFA - Tax Exempt </v>
      </c>
      <c r="G2" s="139" t="str">
        <f>Application!B628&amp;Application!C628</f>
        <v>2)CalHFA  -Taxable</v>
      </c>
      <c r="H2" s="139" t="str">
        <f>Application!B629&amp;Application!C629</f>
        <v>3)CalHFA MIP Loan</v>
      </c>
      <c r="I2" s="139" t="str">
        <f>Application!B630&amp;Application!C630</f>
        <v>4)County of Marin HTF Loan</v>
      </c>
      <c r="J2" s="139" t="str">
        <f>Application!B631&amp;Application!C631</f>
        <v xml:space="preserve">5)Deferred Developer Fee </v>
      </c>
      <c r="K2" s="139" t="str">
        <f>Application!B632&amp;Application!C632</f>
        <v>6)Cash flow from operations</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ht="13">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ht="13">
      <c r="A4" s="145" t="s">
        <v>27</v>
      </c>
      <c r="B4" s="146">
        <f>SUM(C4+D4)</f>
        <v>8800000</v>
      </c>
      <c r="C4" s="147">
        <v>8800000</v>
      </c>
      <c r="D4" s="147"/>
      <c r="E4" s="147"/>
      <c r="F4" s="147">
        <f>C4</f>
        <v>8800000</v>
      </c>
      <c r="G4" s="147"/>
      <c r="H4" s="147"/>
      <c r="I4" s="147"/>
      <c r="J4" s="147"/>
      <c r="K4" s="147"/>
      <c r="L4" s="147"/>
      <c r="M4" s="147"/>
      <c r="N4" s="147"/>
      <c r="O4" s="147"/>
      <c r="P4" s="147"/>
      <c r="Q4" s="147"/>
      <c r="R4" s="516">
        <f>SUM(E4:Q4)</f>
        <v>8800000</v>
      </c>
      <c r="S4" s="148"/>
      <c r="T4" s="148"/>
      <c r="U4" s="143"/>
    </row>
    <row r="5" spans="1:21" s="144" customFormat="1" ht="13">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ht="13">
      <c r="A6" s="145" t="s">
        <v>29</v>
      </c>
      <c r="B6" s="146">
        <f>SUM(C6+D6)</f>
        <v>50000</v>
      </c>
      <c r="C6" s="147">
        <v>50000</v>
      </c>
      <c r="D6" s="147"/>
      <c r="E6" s="147"/>
      <c r="F6" s="147">
        <f>C6</f>
        <v>50000</v>
      </c>
      <c r="G6" s="147"/>
      <c r="H6" s="147"/>
      <c r="I6" s="147"/>
      <c r="J6" s="147"/>
      <c r="K6" s="147"/>
      <c r="L6" s="147"/>
      <c r="M6" s="147"/>
      <c r="N6" s="147"/>
      <c r="O6" s="147"/>
      <c r="P6" s="147"/>
      <c r="Q6" s="147"/>
      <c r="R6" s="516">
        <f>SUM(E6:Q6)</f>
        <v>50000</v>
      </c>
      <c r="S6" s="148"/>
      <c r="T6" s="148"/>
      <c r="U6" s="143"/>
    </row>
    <row r="7" spans="1:21" s="144" customFormat="1" ht="13">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ht="13">
      <c r="A8" s="149" t="s">
        <v>593</v>
      </c>
      <c r="B8" s="146">
        <f>SUM(C8:D8)</f>
        <v>8850000</v>
      </c>
      <c r="C8" s="146">
        <f t="shared" ref="C8:Q8" si="0">SUM(C4:C7)</f>
        <v>8850000</v>
      </c>
      <c r="D8" s="146">
        <f t="shared" si="0"/>
        <v>0</v>
      </c>
      <c r="E8" s="146">
        <f t="shared" si="0"/>
        <v>0</v>
      </c>
      <c r="F8" s="146">
        <f t="shared" si="0"/>
        <v>8850000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8850000</v>
      </c>
      <c r="S8" s="148"/>
      <c r="T8" s="148"/>
      <c r="U8" s="143"/>
    </row>
    <row r="9" spans="1:21" s="144" customFormat="1" ht="13">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ht="13">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ht="13">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ht="13">
      <c r="A12" s="149" t="s">
        <v>84</v>
      </c>
      <c r="B12" s="146">
        <f t="shared" ref="B12:Q12" si="2">SUM(B8+B11)</f>
        <v>8850000</v>
      </c>
      <c r="C12" s="146">
        <f t="shared" si="2"/>
        <v>8850000</v>
      </c>
      <c r="D12" s="146">
        <f t="shared" si="2"/>
        <v>0</v>
      </c>
      <c r="E12" s="146">
        <f t="shared" si="2"/>
        <v>0</v>
      </c>
      <c r="F12" s="146">
        <f t="shared" si="2"/>
        <v>8850000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8850000</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6">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ht="13">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3">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ht="13">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ht="13">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ht="13">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ht="13">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ht="13">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ht="13">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ht="13">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ht="13">
      <c r="A24" s="508" t="s">
        <v>1640</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ht="13">
      <c r="A25" s="1149" t="s">
        <v>2791</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ht="13">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ht="13">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ht="13">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ht="13">
      <c r="A29" s="145" t="s">
        <v>598</v>
      </c>
      <c r="B29" s="146">
        <f t="shared" ref="B29:B38" si="6">SUM(C29+D29)</f>
        <v>3471045</v>
      </c>
      <c r="C29" s="147">
        <v>3471045</v>
      </c>
      <c r="D29" s="147"/>
      <c r="E29" s="147">
        <f>C29</f>
        <v>3471045</v>
      </c>
      <c r="F29" s="147"/>
      <c r="G29" s="147"/>
      <c r="H29" s="147"/>
      <c r="I29" s="147"/>
      <c r="J29" s="147"/>
      <c r="K29" s="147"/>
      <c r="L29" s="147"/>
      <c r="M29" s="147"/>
      <c r="N29" s="147"/>
      <c r="O29" s="147"/>
      <c r="P29" s="147"/>
      <c r="Q29" s="147"/>
      <c r="R29" s="516">
        <f t="shared" ref="R29:R37" si="7">SUM(E29:Q29)</f>
        <v>3471045</v>
      </c>
      <c r="S29" s="147">
        <f>R29</f>
        <v>3471045</v>
      </c>
      <c r="T29" s="147"/>
      <c r="U29" s="143"/>
    </row>
    <row r="30" spans="1:21" s="144" customFormat="1" ht="13">
      <c r="A30" s="145" t="s">
        <v>599</v>
      </c>
      <c r="B30" s="146">
        <f t="shared" si="6"/>
        <v>29242508</v>
      </c>
      <c r="C30" s="147">
        <v>29092508</v>
      </c>
      <c r="D30" s="147">
        <v>150000</v>
      </c>
      <c r="E30" s="147"/>
      <c r="F30" s="147">
        <f>C30-G30-H30-I30+D30</f>
        <v>8584508</v>
      </c>
      <c r="G30" s="147">
        <f>9158000</f>
        <v>9158000</v>
      </c>
      <c r="H30" s="147">
        <v>4000000</v>
      </c>
      <c r="I30" s="147">
        <v>7500000</v>
      </c>
      <c r="J30" s="147"/>
      <c r="K30" s="147"/>
      <c r="L30" s="147"/>
      <c r="M30" s="147"/>
      <c r="N30" s="147"/>
      <c r="O30" s="147"/>
      <c r="P30" s="147"/>
      <c r="Q30" s="147"/>
      <c r="R30" s="516">
        <f t="shared" si="7"/>
        <v>29242508</v>
      </c>
      <c r="S30" s="147">
        <v>29092508</v>
      </c>
      <c r="T30" s="147"/>
      <c r="U30" s="143"/>
    </row>
    <row r="31" spans="1:21" s="144" customFormat="1" ht="13">
      <c r="A31" s="145" t="s">
        <v>600</v>
      </c>
      <c r="B31" s="146">
        <f t="shared" si="6"/>
        <v>1953813</v>
      </c>
      <c r="C31" s="147">
        <v>1953813</v>
      </c>
      <c r="D31" s="147"/>
      <c r="E31" s="147">
        <f>C31</f>
        <v>1953813</v>
      </c>
      <c r="F31" s="147"/>
      <c r="G31" s="147"/>
      <c r="H31" s="147"/>
      <c r="I31" s="147"/>
      <c r="J31" s="147"/>
      <c r="K31" s="147"/>
      <c r="L31" s="147"/>
      <c r="M31" s="147"/>
      <c r="N31" s="147"/>
      <c r="O31" s="147"/>
      <c r="P31" s="147"/>
      <c r="Q31" s="147"/>
      <c r="R31" s="516">
        <f t="shared" si="7"/>
        <v>1953813</v>
      </c>
      <c r="S31" s="147">
        <f>R31</f>
        <v>1953813</v>
      </c>
      <c r="T31" s="147"/>
      <c r="U31" s="143"/>
    </row>
    <row r="32" spans="1:21" s="144" customFormat="1" ht="13">
      <c r="A32" s="145" t="s">
        <v>137</v>
      </c>
      <c r="B32" s="146">
        <f t="shared" si="6"/>
        <v>651271</v>
      </c>
      <c r="C32" s="147">
        <v>651271</v>
      </c>
      <c r="D32" s="147"/>
      <c r="E32" s="147">
        <f>C32</f>
        <v>651271</v>
      </c>
      <c r="F32" s="147"/>
      <c r="G32" s="147"/>
      <c r="H32" s="147"/>
      <c r="I32" s="147"/>
      <c r="J32" s="147"/>
      <c r="K32" s="147"/>
      <c r="L32" s="147"/>
      <c r="M32" s="147"/>
      <c r="N32" s="147"/>
      <c r="O32" s="147"/>
      <c r="P32" s="147"/>
      <c r="Q32" s="147"/>
      <c r="R32" s="516">
        <f t="shared" si="7"/>
        <v>651271</v>
      </c>
      <c r="S32" s="147">
        <f>R32</f>
        <v>651271</v>
      </c>
      <c r="T32" s="147"/>
      <c r="U32" s="143"/>
    </row>
    <row r="33" spans="1:21" s="144" customFormat="1" ht="13">
      <c r="A33" s="145" t="s">
        <v>138</v>
      </c>
      <c r="B33" s="146">
        <f t="shared" si="6"/>
        <v>1611839</v>
      </c>
      <c r="C33" s="147">
        <v>1611839</v>
      </c>
      <c r="D33" s="147"/>
      <c r="E33" s="147">
        <f>C33</f>
        <v>1611839</v>
      </c>
      <c r="F33" s="147"/>
      <c r="G33" s="147"/>
      <c r="H33" s="147"/>
      <c r="I33" s="147"/>
      <c r="J33" s="147"/>
      <c r="K33" s="147"/>
      <c r="L33" s="147"/>
      <c r="M33" s="147"/>
      <c r="N33" s="147"/>
      <c r="O33" s="147"/>
      <c r="P33" s="147"/>
      <c r="Q33" s="147"/>
      <c r="R33" s="516">
        <f t="shared" si="7"/>
        <v>1611839</v>
      </c>
      <c r="S33" s="147">
        <f>R33</f>
        <v>1611839</v>
      </c>
      <c r="T33" s="147"/>
      <c r="U33" s="143"/>
    </row>
    <row r="34" spans="1:21" s="144" customFormat="1" ht="13">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ht="13">
      <c r="A35" s="145" t="s">
        <v>140</v>
      </c>
      <c r="B35" s="146">
        <f t="shared" si="6"/>
        <v>187152</v>
      </c>
      <c r="C35" s="147">
        <v>187152</v>
      </c>
      <c r="D35" s="147"/>
      <c r="E35" s="147">
        <f>C35</f>
        <v>187152</v>
      </c>
      <c r="F35" s="147"/>
      <c r="G35" s="147"/>
      <c r="H35" s="147"/>
      <c r="I35" s="147"/>
      <c r="J35" s="147"/>
      <c r="K35" s="147"/>
      <c r="L35" s="147"/>
      <c r="M35" s="147"/>
      <c r="N35" s="147"/>
      <c r="O35" s="147"/>
      <c r="P35" s="147"/>
      <c r="Q35" s="147"/>
      <c r="R35" s="516">
        <f t="shared" si="7"/>
        <v>187152</v>
      </c>
      <c r="S35" s="147">
        <f>R35</f>
        <v>187152</v>
      </c>
      <c r="T35" s="147"/>
      <c r="U35" s="143"/>
    </row>
    <row r="36" spans="1:21" s="144" customFormat="1" ht="13">
      <c r="A36" s="283" t="s">
        <v>1640</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ht="26">
      <c r="A37" s="1149" t="s">
        <v>2792</v>
      </c>
      <c r="B37" s="146">
        <f t="shared" si="6"/>
        <v>1039408</v>
      </c>
      <c r="C37" s="147">
        <f>300941+738467</f>
        <v>1039408</v>
      </c>
      <c r="D37" s="147"/>
      <c r="E37" s="147">
        <f>C37</f>
        <v>1039408</v>
      </c>
      <c r="F37" s="147"/>
      <c r="G37" s="147"/>
      <c r="H37" s="147"/>
      <c r="I37" s="147"/>
      <c r="J37" s="147"/>
      <c r="K37" s="147"/>
      <c r="L37" s="147"/>
      <c r="M37" s="147"/>
      <c r="N37" s="147"/>
      <c r="O37" s="147"/>
      <c r="P37" s="147"/>
      <c r="Q37" s="147"/>
      <c r="R37" s="516">
        <f t="shared" si="7"/>
        <v>1039408</v>
      </c>
      <c r="S37" s="147">
        <f>R37</f>
        <v>1039408</v>
      </c>
      <c r="T37" s="147"/>
      <c r="U37" s="143"/>
    </row>
    <row r="38" spans="1:21" s="144" customFormat="1" ht="13">
      <c r="A38" s="149" t="s">
        <v>143</v>
      </c>
      <c r="B38" s="146">
        <f t="shared" si="6"/>
        <v>38157036</v>
      </c>
      <c r="C38" s="146">
        <f>SUM(C29:C37)</f>
        <v>38007036</v>
      </c>
      <c r="D38" s="146">
        <f t="shared" ref="D38:Q38" si="8">SUM(D29:D37)</f>
        <v>150000</v>
      </c>
      <c r="E38" s="146">
        <f t="shared" si="8"/>
        <v>8914528</v>
      </c>
      <c r="F38" s="146">
        <f t="shared" si="8"/>
        <v>8584508</v>
      </c>
      <c r="G38" s="146">
        <f t="shared" si="8"/>
        <v>9158000</v>
      </c>
      <c r="H38" s="146">
        <f t="shared" si="8"/>
        <v>4000000</v>
      </c>
      <c r="I38" s="146">
        <f t="shared" si="8"/>
        <v>7500000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38157036</v>
      </c>
      <c r="S38" s="150">
        <f>SUM(S29:S37)</f>
        <v>38007036</v>
      </c>
      <c r="T38" s="150">
        <f>SUM(T29:T37)</f>
        <v>0</v>
      </c>
      <c r="U38" s="143"/>
    </row>
    <row r="39" spans="1:21" s="144" customFormat="1" ht="13">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ht="13">
      <c r="A40" s="145" t="s">
        <v>145</v>
      </c>
      <c r="B40" s="146">
        <f>SUM(C40+D40)</f>
        <v>884631</v>
      </c>
      <c r="C40" s="147">
        <v>884631</v>
      </c>
      <c r="D40" s="147"/>
      <c r="E40" s="147">
        <f>C40</f>
        <v>884631</v>
      </c>
      <c r="F40" s="147"/>
      <c r="G40" s="147"/>
      <c r="H40" s="147"/>
      <c r="I40" s="147"/>
      <c r="J40" s="147"/>
      <c r="K40" s="147"/>
      <c r="L40" s="147"/>
      <c r="M40" s="147"/>
      <c r="N40" s="147"/>
      <c r="O40" s="147"/>
      <c r="P40" s="147"/>
      <c r="Q40" s="147"/>
      <c r="R40" s="516">
        <f>SUM(E40:Q40)</f>
        <v>884631</v>
      </c>
      <c r="S40" s="147">
        <f>R40</f>
        <v>884631</v>
      </c>
      <c r="T40" s="147"/>
      <c r="U40" s="143"/>
    </row>
    <row r="41" spans="1:21" s="144" customFormat="1" ht="13">
      <c r="A41" s="145" t="s">
        <v>146</v>
      </c>
      <c r="B41" s="146">
        <f>SUM(C41+D41)</f>
        <v>326296</v>
      </c>
      <c r="C41" s="147">
        <f>226296+100000</f>
        <v>326296</v>
      </c>
      <c r="D41" s="147"/>
      <c r="E41" s="147">
        <f>C41</f>
        <v>326296</v>
      </c>
      <c r="F41" s="147"/>
      <c r="G41" s="147"/>
      <c r="H41" s="147"/>
      <c r="I41" s="147"/>
      <c r="J41" s="147"/>
      <c r="K41" s="147"/>
      <c r="L41" s="147"/>
      <c r="M41" s="147"/>
      <c r="N41" s="147"/>
      <c r="O41" s="147"/>
      <c r="P41" s="147"/>
      <c r="Q41" s="147"/>
      <c r="R41" s="516">
        <f>SUM(E41:Q41)</f>
        <v>326296</v>
      </c>
      <c r="S41" s="147">
        <f>R41</f>
        <v>326296</v>
      </c>
      <c r="T41" s="147"/>
      <c r="U41" s="143"/>
    </row>
    <row r="42" spans="1:21" s="144" customFormat="1" ht="13">
      <c r="A42" s="149" t="s">
        <v>147</v>
      </c>
      <c r="B42" s="146">
        <f>SUM(C42:D42)</f>
        <v>1210927</v>
      </c>
      <c r="C42" s="146">
        <f>SUM(C39:C41)</f>
        <v>1210927</v>
      </c>
      <c r="D42" s="146">
        <f>SUM(D39:D41)</f>
        <v>0</v>
      </c>
      <c r="E42" s="146">
        <f t="shared" ref="E42:T42" si="9">SUM(E40:E41)</f>
        <v>1210927</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1210927</v>
      </c>
      <c r="S42" s="150">
        <f t="shared" si="9"/>
        <v>1210927</v>
      </c>
      <c r="T42" s="150">
        <f t="shared" si="9"/>
        <v>0</v>
      </c>
      <c r="U42" s="143"/>
    </row>
    <row r="43" spans="1:21" s="144" customFormat="1" ht="13">
      <c r="A43" s="149" t="s">
        <v>148</v>
      </c>
      <c r="B43" s="146">
        <f>SUM(C43:D43)</f>
        <v>879310</v>
      </c>
      <c r="C43" s="147">
        <f>429310+450000</f>
        <v>879310</v>
      </c>
      <c r="D43" s="147"/>
      <c r="E43" s="147">
        <f>C43</f>
        <v>879310</v>
      </c>
      <c r="F43" s="147"/>
      <c r="G43" s="147"/>
      <c r="H43" s="147"/>
      <c r="I43" s="147"/>
      <c r="J43" s="147"/>
      <c r="K43" s="147"/>
      <c r="L43" s="147"/>
      <c r="M43" s="147"/>
      <c r="N43" s="147"/>
      <c r="O43" s="147"/>
      <c r="P43" s="147"/>
      <c r="Q43" s="147"/>
      <c r="R43" s="516">
        <f>SUM(E43:Q43)</f>
        <v>879310</v>
      </c>
      <c r="S43" s="147">
        <f>R43</f>
        <v>879310</v>
      </c>
      <c r="T43" s="147"/>
      <c r="U43" s="143"/>
    </row>
    <row r="44" spans="1:21" s="144" customFormat="1" ht="13">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ht="13">
      <c r="A45" s="145" t="s">
        <v>150</v>
      </c>
      <c r="B45" s="146">
        <f t="shared" ref="B45:B53" si="10">SUM(C45+D45)</f>
        <v>4530000</v>
      </c>
      <c r="C45" s="147">
        <v>4530000</v>
      </c>
      <c r="D45" s="147"/>
      <c r="E45" s="147">
        <f>C45-K45</f>
        <v>3643028</v>
      </c>
      <c r="F45" s="147"/>
      <c r="G45" s="147"/>
      <c r="H45" s="147"/>
      <c r="I45" s="147"/>
      <c r="J45" s="147"/>
      <c r="K45" s="147">
        <f>736972+150000</f>
        <v>886972</v>
      </c>
      <c r="L45" s="147"/>
      <c r="M45" s="147"/>
      <c r="N45" s="147"/>
      <c r="O45" s="147"/>
      <c r="P45" s="147"/>
      <c r="Q45" s="147"/>
      <c r="R45" s="516">
        <f t="shared" ref="R45:R53" si="11">SUM(E45:Q45)</f>
        <v>4530000</v>
      </c>
      <c r="S45" s="147">
        <v>2672571</v>
      </c>
      <c r="T45" s="147"/>
      <c r="U45" s="143"/>
    </row>
    <row r="46" spans="1:21" s="144" customFormat="1" ht="13">
      <c r="A46" s="145" t="s">
        <v>151</v>
      </c>
      <c r="B46" s="146">
        <f t="shared" si="10"/>
        <v>487000</v>
      </c>
      <c r="C46" s="147">
        <v>487000</v>
      </c>
      <c r="D46" s="147"/>
      <c r="E46" s="147">
        <f>C46</f>
        <v>487000</v>
      </c>
      <c r="F46" s="147"/>
      <c r="G46" s="147"/>
      <c r="H46" s="147"/>
      <c r="I46" s="147"/>
      <c r="J46" s="147"/>
      <c r="K46" s="147"/>
      <c r="L46" s="147"/>
      <c r="M46" s="147"/>
      <c r="N46" s="147"/>
      <c r="O46" s="147"/>
      <c r="P46" s="147"/>
      <c r="Q46" s="147"/>
      <c r="R46" s="516">
        <f t="shared" si="11"/>
        <v>487000</v>
      </c>
      <c r="S46" s="147">
        <f>R46</f>
        <v>487000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ht="13">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ht="13">
      <c r="A49" s="145" t="s">
        <v>57</v>
      </c>
      <c r="B49" s="146">
        <f t="shared" si="10"/>
        <v>0</v>
      </c>
      <c r="C49" s="147"/>
      <c r="D49" s="147"/>
      <c r="E49" s="147"/>
      <c r="F49" s="147"/>
      <c r="G49" s="147"/>
      <c r="H49" s="147"/>
      <c r="I49" s="147"/>
      <c r="J49" s="147"/>
      <c r="K49" s="147"/>
      <c r="L49" s="147"/>
      <c r="M49" s="147"/>
      <c r="N49" s="147"/>
      <c r="O49" s="147"/>
      <c r="P49" s="147"/>
      <c r="Q49" s="147"/>
      <c r="R49" s="516">
        <f t="shared" si="11"/>
        <v>0</v>
      </c>
      <c r="S49" s="147"/>
      <c r="T49" s="147"/>
      <c r="U49" s="143"/>
    </row>
    <row r="50" spans="1:21" s="144" customFormat="1" ht="13">
      <c r="A50" s="145" t="s">
        <v>156</v>
      </c>
      <c r="B50" s="146">
        <f t="shared" si="10"/>
        <v>45000</v>
      </c>
      <c r="C50" s="147">
        <v>45000</v>
      </c>
      <c r="D50" s="147"/>
      <c r="E50" s="147">
        <f>C50</f>
        <v>45000</v>
      </c>
      <c r="F50" s="147"/>
      <c r="G50" s="147"/>
      <c r="H50" s="147"/>
      <c r="I50" s="147"/>
      <c r="J50" s="147"/>
      <c r="K50" s="147"/>
      <c r="L50" s="147"/>
      <c r="M50" s="147"/>
      <c r="N50" s="147"/>
      <c r="O50" s="147"/>
      <c r="P50" s="147"/>
      <c r="Q50" s="147"/>
      <c r="R50" s="516">
        <f t="shared" si="11"/>
        <v>45000</v>
      </c>
      <c r="S50" s="147">
        <f>C50</f>
        <v>45000</v>
      </c>
      <c r="T50" s="147"/>
      <c r="U50" s="143"/>
    </row>
    <row r="51" spans="1:21" s="144" customFormat="1" ht="13">
      <c r="A51" s="283" t="s">
        <v>154</v>
      </c>
      <c r="B51" s="146">
        <f t="shared" si="10"/>
        <v>0</v>
      </c>
      <c r="C51" s="147"/>
      <c r="D51" s="147"/>
      <c r="E51" s="147">
        <f>C51</f>
        <v>0</v>
      </c>
      <c r="F51" s="147"/>
      <c r="G51" s="147"/>
      <c r="H51" s="147"/>
      <c r="I51" s="147"/>
      <c r="J51" s="147"/>
      <c r="K51" s="147"/>
      <c r="L51" s="147"/>
      <c r="M51" s="147"/>
      <c r="N51" s="147"/>
      <c r="O51" s="147"/>
      <c r="P51" s="147"/>
      <c r="Q51" s="147"/>
      <c r="R51" s="516">
        <f t="shared" si="11"/>
        <v>0</v>
      </c>
      <c r="S51" s="147"/>
      <c r="T51" s="147"/>
      <c r="U51" s="143"/>
    </row>
    <row r="52" spans="1:21" s="144" customFormat="1" ht="13">
      <c r="A52" s="145" t="s">
        <v>155</v>
      </c>
      <c r="B52" s="146">
        <f t="shared" si="10"/>
        <v>0</v>
      </c>
      <c r="C52" s="147"/>
      <c r="D52" s="147"/>
      <c r="E52" s="147"/>
      <c r="F52" s="147"/>
      <c r="G52" s="147"/>
      <c r="H52" s="147"/>
      <c r="I52" s="147"/>
      <c r="J52" s="147"/>
      <c r="K52" s="147"/>
      <c r="L52" s="147"/>
      <c r="M52" s="147"/>
      <c r="N52" s="147"/>
      <c r="O52" s="147"/>
      <c r="P52" s="147"/>
      <c r="Q52" s="147"/>
      <c r="R52" s="516">
        <f t="shared" si="11"/>
        <v>0</v>
      </c>
      <c r="S52" s="147"/>
      <c r="T52" s="147"/>
      <c r="U52" s="143"/>
    </row>
    <row r="53" spans="1:21" s="144" customFormat="1" ht="13">
      <c r="A53" s="1149" t="s">
        <v>2794</v>
      </c>
      <c r="B53" s="146">
        <f t="shared" si="10"/>
        <v>745647</v>
      </c>
      <c r="C53" s="147">
        <f>667647+18000+60000</f>
        <v>745647</v>
      </c>
      <c r="D53" s="147"/>
      <c r="E53" s="147">
        <f>C53</f>
        <v>745647</v>
      </c>
      <c r="F53" s="147"/>
      <c r="G53" s="147"/>
      <c r="H53" s="147"/>
      <c r="I53" s="147"/>
      <c r="J53" s="147"/>
      <c r="K53" s="147"/>
      <c r="L53" s="147"/>
      <c r="M53" s="147"/>
      <c r="N53" s="147"/>
      <c r="O53" s="147"/>
      <c r="P53" s="147"/>
      <c r="Q53" s="147"/>
      <c r="R53" s="516">
        <f t="shared" si="11"/>
        <v>745647</v>
      </c>
      <c r="S53" s="147">
        <f>R53</f>
        <v>745647</v>
      </c>
      <c r="T53" s="147"/>
      <c r="U53" s="143"/>
    </row>
    <row r="54" spans="1:21" s="153" customFormat="1" ht="13">
      <c r="A54" s="149" t="s">
        <v>157</v>
      </c>
      <c r="B54" s="150">
        <f>SUM(C54:D54)</f>
        <v>5807647</v>
      </c>
      <c r="C54" s="150">
        <f t="shared" ref="C54:T54" si="12">SUM(C45:C53)</f>
        <v>5807647</v>
      </c>
      <c r="D54" s="150">
        <f t="shared" si="12"/>
        <v>0</v>
      </c>
      <c r="E54" s="150">
        <f t="shared" si="12"/>
        <v>4920675</v>
      </c>
      <c r="F54" s="150">
        <f t="shared" si="12"/>
        <v>0</v>
      </c>
      <c r="G54" s="150">
        <f t="shared" si="12"/>
        <v>0</v>
      </c>
      <c r="H54" s="150">
        <f t="shared" si="12"/>
        <v>0</v>
      </c>
      <c r="I54" s="150">
        <f t="shared" si="12"/>
        <v>0</v>
      </c>
      <c r="J54" s="150">
        <f t="shared" si="12"/>
        <v>0</v>
      </c>
      <c r="K54" s="150">
        <f t="shared" si="12"/>
        <v>886972</v>
      </c>
      <c r="L54" s="150">
        <f t="shared" si="12"/>
        <v>0</v>
      </c>
      <c r="M54" s="150">
        <f t="shared" si="12"/>
        <v>0</v>
      </c>
      <c r="N54" s="150">
        <f t="shared" si="12"/>
        <v>0</v>
      </c>
      <c r="O54" s="150">
        <f t="shared" si="12"/>
        <v>0</v>
      </c>
      <c r="P54" s="150">
        <f t="shared" si="12"/>
        <v>0</v>
      </c>
      <c r="Q54" s="150">
        <f t="shared" si="12"/>
        <v>0</v>
      </c>
      <c r="R54" s="342">
        <f t="shared" si="12"/>
        <v>5807647</v>
      </c>
      <c r="S54" s="150">
        <f t="shared" si="12"/>
        <v>3950218</v>
      </c>
      <c r="T54" s="150">
        <f t="shared" si="12"/>
        <v>0</v>
      </c>
      <c r="U54" s="152"/>
    </row>
    <row r="55" spans="1:21" s="144" customFormat="1" ht="13">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ht="13">
      <c r="A56" s="145" t="s">
        <v>158</v>
      </c>
      <c r="B56" s="146">
        <f t="shared" ref="B56:B61" si="13">SUM(C56+D56)</f>
        <v>409485</v>
      </c>
      <c r="C56" s="147">
        <v>409485</v>
      </c>
      <c r="D56" s="147"/>
      <c r="E56" s="147">
        <f>C56</f>
        <v>409485</v>
      </c>
      <c r="F56" s="147"/>
      <c r="G56" s="147"/>
      <c r="H56" s="147"/>
      <c r="I56" s="147"/>
      <c r="J56" s="147"/>
      <c r="K56" s="147"/>
      <c r="L56" s="147"/>
      <c r="M56" s="147"/>
      <c r="N56" s="147"/>
      <c r="O56" s="147"/>
      <c r="P56" s="147"/>
      <c r="Q56" s="147"/>
      <c r="R56" s="516">
        <f t="shared" ref="R56:R61" si="14">SUM(E56:Q56)</f>
        <v>409485</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ht="13">
      <c r="A58" s="145" t="s">
        <v>156</v>
      </c>
      <c r="B58" s="146">
        <f t="shared" si="13"/>
        <v>80000</v>
      </c>
      <c r="C58" s="147">
        <v>80000</v>
      </c>
      <c r="D58" s="147"/>
      <c r="E58" s="147">
        <f>C58</f>
        <v>80000</v>
      </c>
      <c r="F58" s="147"/>
      <c r="G58" s="147"/>
      <c r="H58" s="147"/>
      <c r="I58" s="147"/>
      <c r="J58" s="147"/>
      <c r="K58" s="147"/>
      <c r="L58" s="147"/>
      <c r="M58" s="147"/>
      <c r="N58" s="147"/>
      <c r="O58" s="147"/>
      <c r="P58" s="147"/>
      <c r="Q58" s="147"/>
      <c r="R58" s="516">
        <f t="shared" si="14"/>
        <v>80000</v>
      </c>
      <c r="S58" s="148"/>
      <c r="T58" s="148"/>
      <c r="U58" s="143"/>
    </row>
    <row r="59" spans="1:21" s="144" customFormat="1" ht="13">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ht="13">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ht="26">
      <c r="A61" s="1149" t="s">
        <v>2795</v>
      </c>
      <c r="B61" s="146">
        <f t="shared" si="13"/>
        <v>385353</v>
      </c>
      <c r="C61" s="147">
        <f>267853+37500+30000+50000</f>
        <v>385353</v>
      </c>
      <c r="D61" s="147"/>
      <c r="E61" s="147">
        <f>C61</f>
        <v>385353</v>
      </c>
      <c r="F61" s="147"/>
      <c r="G61" s="147"/>
      <c r="H61" s="147"/>
      <c r="I61" s="147"/>
      <c r="J61" s="147"/>
      <c r="K61" s="147"/>
      <c r="L61" s="147"/>
      <c r="M61" s="147"/>
      <c r="N61" s="147"/>
      <c r="O61" s="147"/>
      <c r="P61" s="147"/>
      <c r="Q61" s="147"/>
      <c r="R61" s="516">
        <f t="shared" si="14"/>
        <v>385353</v>
      </c>
      <c r="S61" s="148"/>
      <c r="T61" s="148"/>
      <c r="U61" s="143"/>
    </row>
    <row r="62" spans="1:21" s="144" customFormat="1" ht="13.75" customHeight="1">
      <c r="A62" s="149" t="s">
        <v>300</v>
      </c>
      <c r="B62" s="146">
        <f>SUM(C62:D62)</f>
        <v>874838</v>
      </c>
      <c r="C62" s="146">
        <f t="shared" ref="C62:R62" si="15">SUM(C56:C61)</f>
        <v>874838</v>
      </c>
      <c r="D62" s="146">
        <f t="shared" si="15"/>
        <v>0</v>
      </c>
      <c r="E62" s="146">
        <f t="shared" si="15"/>
        <v>874838</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874838</v>
      </c>
      <c r="S62" s="148"/>
      <c r="T62" s="148"/>
      <c r="U62" s="143"/>
    </row>
    <row r="63" spans="1:21" s="144" customFormat="1" ht="13">
      <c r="A63" s="154" t="s">
        <v>301</v>
      </c>
      <c r="B63" s="146">
        <f t="shared" ref="B63:R63" si="16">SUM(B8+B11+B13+B14+B15+B26+B27+B38+B42+B43+B54+B62)</f>
        <v>55779758</v>
      </c>
      <c r="C63" s="146">
        <f t="shared" si="16"/>
        <v>55629758</v>
      </c>
      <c r="D63" s="146">
        <f t="shared" si="16"/>
        <v>150000</v>
      </c>
      <c r="E63" s="146">
        <f t="shared" si="16"/>
        <v>16800278</v>
      </c>
      <c r="F63" s="146">
        <f t="shared" si="16"/>
        <v>17434508</v>
      </c>
      <c r="G63" s="146">
        <f t="shared" si="16"/>
        <v>9158000</v>
      </c>
      <c r="H63" s="146">
        <f t="shared" si="16"/>
        <v>4000000</v>
      </c>
      <c r="I63" s="146">
        <f t="shared" si="16"/>
        <v>7500000</v>
      </c>
      <c r="J63" s="146">
        <f t="shared" si="16"/>
        <v>0</v>
      </c>
      <c r="K63" s="146">
        <f t="shared" si="16"/>
        <v>886972</v>
      </c>
      <c r="L63" s="146">
        <f t="shared" si="16"/>
        <v>0</v>
      </c>
      <c r="M63" s="146">
        <f t="shared" si="16"/>
        <v>0</v>
      </c>
      <c r="N63" s="146">
        <f t="shared" si="16"/>
        <v>0</v>
      </c>
      <c r="O63" s="146">
        <f t="shared" si="16"/>
        <v>0</v>
      </c>
      <c r="P63" s="146">
        <f t="shared" si="16"/>
        <v>0</v>
      </c>
      <c r="Q63" s="146">
        <f t="shared" si="16"/>
        <v>0</v>
      </c>
      <c r="R63" s="342">
        <f t="shared" si="16"/>
        <v>55779758</v>
      </c>
      <c r="S63" s="146">
        <f>SUM(S10+S13+S14+S15+S26+S27+S38+S42+S43+S54)</f>
        <v>44047491</v>
      </c>
      <c r="T63" s="146">
        <f>SUM(T11+T13+T14+T15+T26+T27+T38+T42+T43+T54)</f>
        <v>0</v>
      </c>
      <c r="U63" s="143"/>
    </row>
    <row r="64" spans="1:21" s="144" customFormat="1" ht="26">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ht="13">
      <c r="A65" s="145" t="s">
        <v>170</v>
      </c>
      <c r="B65" s="146">
        <f>SUM(C65+D65)</f>
        <v>0</v>
      </c>
      <c r="C65" s="147"/>
      <c r="D65" s="147"/>
      <c r="E65" s="147"/>
      <c r="F65" s="147"/>
      <c r="G65" s="147"/>
      <c r="H65" s="147"/>
      <c r="I65" s="147"/>
      <c r="J65" s="147"/>
      <c r="K65" s="147"/>
      <c r="L65" s="147"/>
      <c r="M65" s="147"/>
      <c r="N65" s="147"/>
      <c r="O65" s="147"/>
      <c r="P65" s="147"/>
      <c r="Q65" s="147"/>
      <c r="R65" s="516">
        <f>SUM(E65:Q65)</f>
        <v>0</v>
      </c>
      <c r="S65" s="147"/>
      <c r="T65" s="147"/>
      <c r="U65" s="143"/>
    </row>
    <row r="66" spans="1:21" s="144" customFormat="1" ht="24" customHeight="1">
      <c r="A66" s="283" t="s">
        <v>1641</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1642</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1648</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ht="13">
      <c r="A69" s="1149"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ht="13">
      <c r="A70" s="149" t="s">
        <v>1645</v>
      </c>
      <c r="B70" s="146">
        <f>SUM(C70:D70)</f>
        <v>0</v>
      </c>
      <c r="C70" s="146">
        <f>SUM(C65:C69)</f>
        <v>0</v>
      </c>
      <c r="D70" s="146">
        <f>SUM(D65:D69)</f>
        <v>0</v>
      </c>
      <c r="E70" s="146">
        <f t="shared" ref="E70:T70" si="17">SUM(E65:E69)</f>
        <v>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0</v>
      </c>
      <c r="S70" s="150">
        <f t="shared" si="17"/>
        <v>0</v>
      </c>
      <c r="T70" s="150">
        <f t="shared" si="17"/>
        <v>0</v>
      </c>
      <c r="U70" s="143"/>
    </row>
    <row r="71" spans="1:21" s="144" customFormat="1" ht="13">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ht="13">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ht="13">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ht="13">
      <c r="A75" s="145" t="s">
        <v>605</v>
      </c>
      <c r="B75" s="146">
        <f>SUM(C75+D75)</f>
        <v>1033881</v>
      </c>
      <c r="C75" s="147">
        <v>1033881</v>
      </c>
      <c r="D75" s="147"/>
      <c r="E75" s="147">
        <f>C75</f>
        <v>1033881</v>
      </c>
      <c r="F75" s="147"/>
      <c r="G75" s="147"/>
      <c r="H75" s="147"/>
      <c r="I75" s="147"/>
      <c r="J75" s="147"/>
      <c r="K75" s="147"/>
      <c r="L75" s="147"/>
      <c r="M75" s="147"/>
      <c r="N75" s="147"/>
      <c r="O75" s="147"/>
      <c r="P75" s="147"/>
      <c r="Q75" s="147"/>
      <c r="R75" s="516">
        <f>SUM(E75:Q75)</f>
        <v>1033881</v>
      </c>
      <c r="S75" s="148"/>
      <c r="T75" s="148"/>
      <c r="U75" s="143"/>
    </row>
    <row r="76" spans="1:21" s="144" customFormat="1" ht="13">
      <c r="A76" s="1149" t="s">
        <v>2796</v>
      </c>
      <c r="B76" s="146">
        <f>SUM(C76+D76)</f>
        <v>100000</v>
      </c>
      <c r="C76" s="147">
        <v>100000</v>
      </c>
      <c r="D76" s="147"/>
      <c r="E76" s="147">
        <f>C76</f>
        <v>100000</v>
      </c>
      <c r="F76" s="147"/>
      <c r="G76" s="147"/>
      <c r="H76" s="147"/>
      <c r="I76" s="147"/>
      <c r="J76" s="147"/>
      <c r="K76" s="147"/>
      <c r="L76" s="147"/>
      <c r="M76" s="147"/>
      <c r="N76" s="147"/>
      <c r="O76" s="147"/>
      <c r="P76" s="147"/>
      <c r="Q76" s="147"/>
      <c r="R76" s="516">
        <f>SUM(E76:Q76)</f>
        <v>100000</v>
      </c>
      <c r="S76" s="148"/>
      <c r="T76" s="148"/>
      <c r="U76" s="143"/>
    </row>
    <row r="77" spans="1:21" s="144" customFormat="1" ht="13">
      <c r="A77" s="149" t="s">
        <v>606</v>
      </c>
      <c r="B77" s="146">
        <f>SUM(C77:D77)</f>
        <v>1133881</v>
      </c>
      <c r="C77" s="146">
        <f>SUM(C72:C76)</f>
        <v>1133881</v>
      </c>
      <c r="D77" s="146">
        <f>SUM(D72:D76)</f>
        <v>0</v>
      </c>
      <c r="E77" s="146">
        <f t="shared" ref="E77:Q77" si="18">SUM(E72:E76)</f>
        <v>1133881</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1133881</v>
      </c>
      <c r="S77" s="148"/>
      <c r="T77" s="148"/>
      <c r="U77" s="143"/>
    </row>
    <row r="78" spans="1:21" s="144" customFormat="1" ht="13">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ht="13">
      <c r="A79" s="283" t="s">
        <v>1212</v>
      </c>
      <c r="B79" s="146">
        <f>SUM(C79:D79)</f>
        <v>1861570</v>
      </c>
      <c r="C79" s="147">
        <v>1861570</v>
      </c>
      <c r="D79" s="147"/>
      <c r="E79" s="147">
        <f>C79</f>
        <v>1861570</v>
      </c>
      <c r="F79" s="147"/>
      <c r="G79" s="147"/>
      <c r="H79" s="147"/>
      <c r="I79" s="147"/>
      <c r="J79" s="147"/>
      <c r="K79" s="147"/>
      <c r="L79" s="147"/>
      <c r="M79" s="147"/>
      <c r="N79" s="147"/>
      <c r="O79" s="147"/>
      <c r="P79" s="147"/>
      <c r="Q79" s="147"/>
      <c r="R79" s="516">
        <f>SUM(E79:Q79)</f>
        <v>1861570</v>
      </c>
      <c r="S79" s="147">
        <f>R79</f>
        <v>1861570</v>
      </c>
      <c r="T79" s="147"/>
      <c r="U79" s="143"/>
    </row>
    <row r="80" spans="1:21" s="144" customFormat="1" ht="13">
      <c r="A80" s="283" t="s">
        <v>58</v>
      </c>
      <c r="B80" s="146">
        <f>SUM(C80:D80)</f>
        <v>600000</v>
      </c>
      <c r="C80" s="147">
        <v>600000</v>
      </c>
      <c r="D80" s="147"/>
      <c r="E80" s="147">
        <f>C80</f>
        <v>600000</v>
      </c>
      <c r="F80" s="147"/>
      <c r="G80" s="147"/>
      <c r="H80" s="147"/>
      <c r="I80" s="147"/>
      <c r="J80" s="147"/>
      <c r="K80" s="147"/>
      <c r="L80" s="147"/>
      <c r="M80" s="147"/>
      <c r="N80" s="147"/>
      <c r="O80" s="147"/>
      <c r="P80" s="147"/>
      <c r="Q80" s="147"/>
      <c r="R80" s="516">
        <f>SUM(E80:Q80)</f>
        <v>600000</v>
      </c>
      <c r="S80" s="147">
        <f>R80</f>
        <v>600000</v>
      </c>
      <c r="T80" s="147"/>
      <c r="U80" s="143"/>
    </row>
    <row r="81" spans="1:21" s="144" customFormat="1" ht="13">
      <c r="A81" s="149" t="s">
        <v>1209</v>
      </c>
      <c r="B81" s="146">
        <f>SUM(C81:D81)</f>
        <v>2461570</v>
      </c>
      <c r="C81" s="509">
        <f>SUM(C79:C80)</f>
        <v>2461570</v>
      </c>
      <c r="D81" s="509">
        <f t="shared" ref="D81:T81" si="19">SUM(D79:D80)</f>
        <v>0</v>
      </c>
      <c r="E81" s="509">
        <f t="shared" si="19"/>
        <v>2461570</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2461570</v>
      </c>
      <c r="S81" s="509">
        <f t="shared" si="19"/>
        <v>2461570</v>
      </c>
      <c r="T81" s="509">
        <f t="shared" si="19"/>
        <v>0</v>
      </c>
      <c r="U81" s="143"/>
    </row>
    <row r="82" spans="1:21" s="144" customFormat="1" ht="13">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2094</v>
      </c>
      <c r="B83" s="146">
        <f t="shared" ref="B83:B95" si="20">SUM(C83+D83)</f>
        <v>160255</v>
      </c>
      <c r="C83" s="147">
        <f>86800+73455</f>
        <v>160255</v>
      </c>
      <c r="D83" s="147"/>
      <c r="E83" s="147">
        <f>C83</f>
        <v>160255</v>
      </c>
      <c r="F83" s="147"/>
      <c r="G83" s="147"/>
      <c r="H83" s="147"/>
      <c r="I83" s="147"/>
      <c r="J83" s="147"/>
      <c r="K83" s="147"/>
      <c r="L83" s="147"/>
      <c r="M83" s="147"/>
      <c r="N83" s="147"/>
      <c r="O83" s="147"/>
      <c r="P83" s="147"/>
      <c r="Q83" s="147"/>
      <c r="R83" s="516">
        <f t="shared" ref="R83:R95" si="21">SUM(E83:Q83)</f>
        <v>160255</v>
      </c>
      <c r="S83" s="148"/>
      <c r="T83" s="148"/>
      <c r="U83" s="143"/>
    </row>
    <row r="84" spans="1:21" s="144" customFormat="1" ht="13">
      <c r="A84" s="145" t="s">
        <v>767</v>
      </c>
      <c r="B84" s="146">
        <f t="shared" si="20"/>
        <v>0</v>
      </c>
      <c r="C84" s="147"/>
      <c r="D84" s="147"/>
      <c r="E84" s="147"/>
      <c r="F84" s="147"/>
      <c r="G84" s="147"/>
      <c r="H84" s="147"/>
      <c r="I84" s="147"/>
      <c r="J84" s="147"/>
      <c r="K84" s="147"/>
      <c r="L84" s="147"/>
      <c r="M84" s="147"/>
      <c r="N84" s="147"/>
      <c r="O84" s="147"/>
      <c r="P84" s="147"/>
      <c r="Q84" s="147"/>
      <c r="R84" s="516">
        <f t="shared" si="21"/>
        <v>0</v>
      </c>
      <c r="S84" s="147"/>
      <c r="T84" s="147"/>
      <c r="U84" s="143"/>
    </row>
    <row r="85" spans="1:21" s="144" customFormat="1" ht="13">
      <c r="A85" s="145" t="s">
        <v>768</v>
      </c>
      <c r="B85" s="146">
        <f t="shared" si="20"/>
        <v>2109915</v>
      </c>
      <c r="C85" s="147">
        <v>2109915</v>
      </c>
      <c r="D85" s="147"/>
      <c r="E85" s="147">
        <f>C85</f>
        <v>2109915</v>
      </c>
      <c r="F85" s="147"/>
      <c r="G85" s="147"/>
      <c r="H85" s="147"/>
      <c r="I85" s="147"/>
      <c r="J85" s="147"/>
      <c r="K85" s="147"/>
      <c r="L85" s="147"/>
      <c r="M85" s="147"/>
      <c r="N85" s="147"/>
      <c r="O85" s="147"/>
      <c r="P85" s="147"/>
      <c r="Q85" s="147"/>
      <c r="R85" s="516">
        <f t="shared" si="21"/>
        <v>2109915</v>
      </c>
      <c r="S85" s="147">
        <f>R85</f>
        <v>2109915</v>
      </c>
      <c r="T85" s="147"/>
      <c r="U85" s="143"/>
    </row>
    <row r="86" spans="1:21" s="144" customFormat="1" ht="13">
      <c r="A86" s="145" t="s">
        <v>769</v>
      </c>
      <c r="B86" s="146">
        <f t="shared" si="20"/>
        <v>25000</v>
      </c>
      <c r="C86" s="147">
        <f>25000</f>
        <v>25000</v>
      </c>
      <c r="D86" s="147"/>
      <c r="E86" s="147">
        <f>C86</f>
        <v>25000</v>
      </c>
      <c r="F86" s="147"/>
      <c r="G86" s="147"/>
      <c r="H86" s="147"/>
      <c r="I86" s="147"/>
      <c r="J86" s="147"/>
      <c r="K86" s="147"/>
      <c r="L86" s="147"/>
      <c r="M86" s="147"/>
      <c r="N86" s="147"/>
      <c r="O86" s="147"/>
      <c r="P86" s="147"/>
      <c r="Q86" s="147"/>
      <c r="R86" s="516">
        <f t="shared" si="21"/>
        <v>25000</v>
      </c>
      <c r="S86" s="147">
        <f>R86</f>
        <v>25000</v>
      </c>
      <c r="T86" s="147"/>
      <c r="U86" s="143"/>
    </row>
    <row r="87" spans="1:21" s="144" customFormat="1" ht="13">
      <c r="A87" s="145" t="s">
        <v>770</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ht="13">
      <c r="A88" s="145" t="s">
        <v>771</v>
      </c>
      <c r="B88" s="146">
        <f t="shared" si="20"/>
        <v>0</v>
      </c>
      <c r="C88" s="147"/>
      <c r="D88" s="147"/>
      <c r="E88" s="147"/>
      <c r="F88" s="147"/>
      <c r="G88" s="147"/>
      <c r="H88" s="147"/>
      <c r="I88" s="147"/>
      <c r="J88" s="147"/>
      <c r="K88" s="147"/>
      <c r="L88" s="147"/>
      <c r="M88" s="147"/>
      <c r="N88" s="147"/>
      <c r="O88" s="147"/>
      <c r="P88" s="147"/>
      <c r="Q88" s="147"/>
      <c r="R88" s="516">
        <f t="shared" si="21"/>
        <v>0</v>
      </c>
      <c r="S88" s="148"/>
      <c r="T88" s="148"/>
      <c r="U88" s="143"/>
    </row>
    <row r="89" spans="1:21" s="144" customFormat="1" ht="13">
      <c r="A89" s="145" t="s">
        <v>772</v>
      </c>
      <c r="B89" s="146">
        <f t="shared" si="20"/>
        <v>300000</v>
      </c>
      <c r="C89" s="147">
        <v>300000</v>
      </c>
      <c r="D89" s="147"/>
      <c r="E89" s="147">
        <f>C89</f>
        <v>300000</v>
      </c>
      <c r="F89" s="147"/>
      <c r="G89" s="147"/>
      <c r="H89" s="147"/>
      <c r="I89" s="147"/>
      <c r="J89" s="147"/>
      <c r="K89" s="147"/>
      <c r="L89" s="147"/>
      <c r="M89" s="147"/>
      <c r="N89" s="147"/>
      <c r="O89" s="147"/>
      <c r="P89" s="147"/>
      <c r="Q89" s="147"/>
      <c r="R89" s="516">
        <f t="shared" si="21"/>
        <v>300000</v>
      </c>
      <c r="S89" s="147">
        <f>R89</f>
        <v>300000</v>
      </c>
      <c r="T89" s="147"/>
      <c r="U89" s="143"/>
    </row>
    <row r="90" spans="1:21" s="144" customFormat="1" ht="13">
      <c r="A90" s="145" t="s">
        <v>773</v>
      </c>
      <c r="B90" s="146">
        <f t="shared" si="20"/>
        <v>0</v>
      </c>
      <c r="C90" s="147"/>
      <c r="D90" s="147"/>
      <c r="E90" s="147"/>
      <c r="F90" s="147"/>
      <c r="G90" s="147"/>
      <c r="H90" s="147"/>
      <c r="I90" s="147"/>
      <c r="J90" s="147"/>
      <c r="K90" s="147"/>
      <c r="L90" s="147"/>
      <c r="M90" s="147"/>
      <c r="N90" s="147"/>
      <c r="O90" s="147"/>
      <c r="P90" s="147"/>
      <c r="Q90" s="147"/>
      <c r="R90" s="516">
        <f t="shared" si="21"/>
        <v>0</v>
      </c>
      <c r="S90" s="147"/>
      <c r="T90" s="147"/>
      <c r="U90" s="143"/>
    </row>
    <row r="91" spans="1:21" s="144" customFormat="1" ht="13">
      <c r="A91" s="145" t="s">
        <v>371</v>
      </c>
      <c r="B91" s="146">
        <f t="shared" si="20"/>
        <v>60000</v>
      </c>
      <c r="C91" s="147">
        <f>40000+20000</f>
        <v>60000</v>
      </c>
      <c r="D91" s="147"/>
      <c r="E91" s="147">
        <f>C91</f>
        <v>60000</v>
      </c>
      <c r="F91" s="147"/>
      <c r="G91" s="147"/>
      <c r="H91" s="147"/>
      <c r="I91" s="147"/>
      <c r="J91" s="147"/>
      <c r="K91" s="147"/>
      <c r="L91" s="147"/>
      <c r="M91" s="147"/>
      <c r="N91" s="147"/>
      <c r="O91" s="147"/>
      <c r="P91" s="147"/>
      <c r="Q91" s="147"/>
      <c r="R91" s="516">
        <f t="shared" si="21"/>
        <v>60000</v>
      </c>
      <c r="S91" s="147">
        <f>R91</f>
        <v>60000</v>
      </c>
      <c r="T91" s="147"/>
      <c r="U91" s="143"/>
    </row>
    <row r="92" spans="1:21" s="144" customFormat="1" ht="13">
      <c r="A92" s="283" t="s">
        <v>1211</v>
      </c>
      <c r="B92" s="146">
        <f t="shared" si="20"/>
        <v>20000</v>
      </c>
      <c r="C92" s="147">
        <v>20000</v>
      </c>
      <c r="D92" s="147"/>
      <c r="E92" s="147">
        <f>C92</f>
        <v>20000</v>
      </c>
      <c r="F92" s="147"/>
      <c r="G92" s="147"/>
      <c r="H92" s="147"/>
      <c r="I92" s="147"/>
      <c r="J92" s="147"/>
      <c r="K92" s="147"/>
      <c r="L92" s="147"/>
      <c r="M92" s="147"/>
      <c r="N92" s="147"/>
      <c r="O92" s="147"/>
      <c r="P92" s="147"/>
      <c r="Q92" s="147"/>
      <c r="R92" s="516">
        <f t="shared" si="21"/>
        <v>20000</v>
      </c>
      <c r="S92" s="147">
        <f>R92</f>
        <v>20000</v>
      </c>
      <c r="T92" s="147"/>
      <c r="U92" s="143"/>
    </row>
    <row r="93" spans="1:21" s="144" customFormat="1" ht="13">
      <c r="A93" s="1149" t="s">
        <v>2790</v>
      </c>
      <c r="B93" s="146">
        <f t="shared" si="20"/>
        <v>635700</v>
      </c>
      <c r="C93" s="147">
        <f>132300+503400</f>
        <v>635700</v>
      </c>
      <c r="D93" s="147"/>
      <c r="E93" s="147">
        <f>C93</f>
        <v>635700</v>
      </c>
      <c r="F93" s="147"/>
      <c r="G93" s="147"/>
      <c r="H93" s="147"/>
      <c r="I93" s="147"/>
      <c r="J93" s="147"/>
      <c r="K93" s="147"/>
      <c r="L93" s="147"/>
      <c r="M93" s="147"/>
      <c r="N93" s="147"/>
      <c r="O93" s="147"/>
      <c r="P93" s="147"/>
      <c r="Q93" s="147"/>
      <c r="R93" s="516">
        <f t="shared" si="21"/>
        <v>635700</v>
      </c>
      <c r="S93" s="147">
        <f>R93</f>
        <v>635700</v>
      </c>
      <c r="T93" s="147"/>
      <c r="U93" s="143"/>
    </row>
    <row r="94" spans="1:21" s="144" customFormat="1" ht="26">
      <c r="A94" s="1149" t="s">
        <v>2800</v>
      </c>
      <c r="B94" s="146">
        <f t="shared" si="20"/>
        <v>694301</v>
      </c>
      <c r="C94" s="147">
        <f>494301+200000</f>
        <v>694301</v>
      </c>
      <c r="D94" s="147"/>
      <c r="E94" s="147">
        <f>C94</f>
        <v>694301</v>
      </c>
      <c r="F94" s="147"/>
      <c r="G94" s="147"/>
      <c r="H94" s="147"/>
      <c r="I94" s="147"/>
      <c r="J94" s="147"/>
      <c r="K94" s="147"/>
      <c r="L94" s="147"/>
      <c r="M94" s="147"/>
      <c r="N94" s="147"/>
      <c r="O94" s="147"/>
      <c r="P94" s="147"/>
      <c r="Q94" s="147"/>
      <c r="R94" s="516">
        <f t="shared" si="21"/>
        <v>694301</v>
      </c>
      <c r="S94" s="147">
        <f>R94</f>
        <v>694301</v>
      </c>
      <c r="T94" s="147"/>
      <c r="U94" s="143"/>
    </row>
    <row r="95" spans="1:21" s="144" customFormat="1" ht="13">
      <c r="A95" s="1149" t="s">
        <v>2793</v>
      </c>
      <c r="B95" s="146">
        <f t="shared" si="20"/>
        <v>340000</v>
      </c>
      <c r="C95" s="147">
        <f>200000+80000+40000+20000</f>
        <v>340000</v>
      </c>
      <c r="D95" s="147"/>
      <c r="E95" s="147">
        <f>C95</f>
        <v>340000</v>
      </c>
      <c r="F95" s="147"/>
      <c r="G95" s="147"/>
      <c r="H95" s="147"/>
      <c r="I95" s="147"/>
      <c r="J95" s="147"/>
      <c r="K95" s="147"/>
      <c r="L95" s="147"/>
      <c r="M95" s="147"/>
      <c r="N95" s="147"/>
      <c r="O95" s="147"/>
      <c r="P95" s="147"/>
      <c r="Q95" s="147"/>
      <c r="R95" s="516">
        <f t="shared" si="21"/>
        <v>340000</v>
      </c>
      <c r="S95" s="147">
        <f>200000+40000</f>
        <v>240000</v>
      </c>
      <c r="T95" s="147"/>
      <c r="U95" s="143"/>
    </row>
    <row r="96" spans="1:21" s="144" customFormat="1" ht="13">
      <c r="A96" s="149" t="s">
        <v>774</v>
      </c>
      <c r="B96" s="146">
        <f>SUM(C96:D96)</f>
        <v>4345171</v>
      </c>
      <c r="C96" s="146">
        <f t="shared" ref="C96:R96" si="22">SUM(C83:C95)</f>
        <v>4345171</v>
      </c>
      <c r="D96" s="146">
        <f t="shared" si="22"/>
        <v>0</v>
      </c>
      <c r="E96" s="146">
        <f t="shared" si="22"/>
        <v>4345171</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4345171</v>
      </c>
      <c r="S96" s="150">
        <f>SUM(S84:S87,S89:S95)</f>
        <v>4084916</v>
      </c>
      <c r="T96" s="146">
        <f>SUM(T84:T87,T89:T95)</f>
        <v>0</v>
      </c>
      <c r="U96" s="143"/>
    </row>
    <row r="97" spans="1:21" s="144" customFormat="1" ht="13">
      <c r="A97" s="149" t="s">
        <v>775</v>
      </c>
      <c r="B97" s="146">
        <f>SUM(C97:D97)</f>
        <v>63720380</v>
      </c>
      <c r="C97" s="146">
        <f t="shared" ref="C97:R97" si="23">SUM(C63+C70+C77+C81+C96)</f>
        <v>63570380</v>
      </c>
      <c r="D97" s="146">
        <f t="shared" si="23"/>
        <v>150000</v>
      </c>
      <c r="E97" s="146">
        <f t="shared" si="23"/>
        <v>24740900</v>
      </c>
      <c r="F97" s="146">
        <f t="shared" si="23"/>
        <v>17434508</v>
      </c>
      <c r="G97" s="146">
        <f t="shared" si="23"/>
        <v>9158000</v>
      </c>
      <c r="H97" s="146">
        <f t="shared" si="23"/>
        <v>4000000</v>
      </c>
      <c r="I97" s="146">
        <f t="shared" si="23"/>
        <v>7500000</v>
      </c>
      <c r="J97" s="146">
        <f t="shared" si="23"/>
        <v>0</v>
      </c>
      <c r="K97" s="146">
        <f t="shared" si="23"/>
        <v>886972</v>
      </c>
      <c r="L97" s="146">
        <f t="shared" si="23"/>
        <v>0</v>
      </c>
      <c r="M97" s="146">
        <f t="shared" si="23"/>
        <v>0</v>
      </c>
      <c r="N97" s="146">
        <f t="shared" si="23"/>
        <v>0</v>
      </c>
      <c r="O97" s="146">
        <f t="shared" si="23"/>
        <v>0</v>
      </c>
      <c r="P97" s="146">
        <f t="shared" si="23"/>
        <v>0</v>
      </c>
      <c r="Q97" s="146">
        <f t="shared" si="23"/>
        <v>0</v>
      </c>
      <c r="R97" s="146">
        <f t="shared" si="23"/>
        <v>63720380</v>
      </c>
      <c r="S97" s="146">
        <f>SUM(S63+S70+S81+S96)</f>
        <v>50593977</v>
      </c>
      <c r="T97" s="146">
        <f>SUM(T63+T70+T81+T96)</f>
        <v>0</v>
      </c>
      <c r="U97" s="143"/>
    </row>
    <row r="98" spans="1:21" s="144" customFormat="1" ht="13">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ht="13">
      <c r="A99" s="145" t="s">
        <v>777</v>
      </c>
      <c r="B99" s="146">
        <f>SUM(C99+D99)</f>
        <v>7589096</v>
      </c>
      <c r="C99" s="979">
        <v>7589096</v>
      </c>
      <c r="D99" s="979"/>
      <c r="E99" s="979">
        <f>C99-J99-F99</f>
        <v>2486055</v>
      </c>
      <c r="F99" s="147">
        <f>856492-150000</f>
        <v>706492</v>
      </c>
      <c r="G99" s="147"/>
      <c r="H99" s="147"/>
      <c r="I99" s="147"/>
      <c r="J99" s="147">
        <v>4396549</v>
      </c>
      <c r="K99" s="147"/>
      <c r="L99" s="147"/>
      <c r="M99" s="147"/>
      <c r="N99" s="147"/>
      <c r="O99" s="147"/>
      <c r="P99" s="147"/>
      <c r="Q99" s="147"/>
      <c r="R99" s="516">
        <f>SUM(E99:Q99)</f>
        <v>7589096</v>
      </c>
      <c r="S99" s="147">
        <f>R99</f>
        <v>7589096</v>
      </c>
      <c r="T99" s="147"/>
      <c r="U99" s="143"/>
    </row>
    <row r="100" spans="1:21" s="144" customFormat="1" ht="13">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ht="13">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ht="13">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3">
      <c r="A104" s="149" t="s">
        <v>779</v>
      </c>
      <c r="B104" s="146">
        <f>SUM(C104:D104)</f>
        <v>7589096</v>
      </c>
      <c r="C104" s="146">
        <f>SUM(C99:C103)</f>
        <v>7589096</v>
      </c>
      <c r="D104" s="146">
        <f t="shared" ref="D104:T104" si="24">SUM(D99:D103)</f>
        <v>0</v>
      </c>
      <c r="E104" s="146">
        <f t="shared" si="24"/>
        <v>2486055</v>
      </c>
      <c r="F104" s="146">
        <f t="shared" si="24"/>
        <v>706492</v>
      </c>
      <c r="G104" s="146">
        <f t="shared" si="24"/>
        <v>0</v>
      </c>
      <c r="H104" s="146">
        <f t="shared" si="24"/>
        <v>0</v>
      </c>
      <c r="I104" s="146">
        <f t="shared" si="24"/>
        <v>0</v>
      </c>
      <c r="J104" s="146">
        <f t="shared" si="24"/>
        <v>4396549</v>
      </c>
      <c r="K104" s="146">
        <f t="shared" si="24"/>
        <v>0</v>
      </c>
      <c r="L104" s="146">
        <f t="shared" si="24"/>
        <v>0</v>
      </c>
      <c r="M104" s="146">
        <f t="shared" si="24"/>
        <v>0</v>
      </c>
      <c r="N104" s="146">
        <f t="shared" si="24"/>
        <v>0</v>
      </c>
      <c r="O104" s="146">
        <f t="shared" si="24"/>
        <v>0</v>
      </c>
      <c r="P104" s="146">
        <f t="shared" si="24"/>
        <v>0</v>
      </c>
      <c r="Q104" s="146">
        <f t="shared" si="24"/>
        <v>0</v>
      </c>
      <c r="R104" s="342">
        <f t="shared" si="24"/>
        <v>7589096</v>
      </c>
      <c r="S104" s="150">
        <f t="shared" si="24"/>
        <v>7589096</v>
      </c>
      <c r="T104" s="150">
        <f t="shared" si="24"/>
        <v>0</v>
      </c>
      <c r="U104" s="143"/>
    </row>
    <row r="105" spans="1:21" s="144" customFormat="1" ht="13">
      <c r="A105" s="149" t="s">
        <v>780</v>
      </c>
      <c r="B105" s="150">
        <f>SUM(C105:D105)</f>
        <v>71309476</v>
      </c>
      <c r="C105" s="150">
        <f t="shared" ref="C105:R105" si="25">SUM(C97+C104)</f>
        <v>71159476</v>
      </c>
      <c r="D105" s="150">
        <f t="shared" si="25"/>
        <v>150000</v>
      </c>
      <c r="E105" s="150">
        <f t="shared" si="25"/>
        <v>27226955</v>
      </c>
      <c r="F105" s="150">
        <f t="shared" si="25"/>
        <v>18141000</v>
      </c>
      <c r="G105" s="150">
        <f t="shared" si="25"/>
        <v>9158000</v>
      </c>
      <c r="H105" s="150">
        <f t="shared" si="25"/>
        <v>4000000</v>
      </c>
      <c r="I105" s="150">
        <f t="shared" si="25"/>
        <v>7500000</v>
      </c>
      <c r="J105" s="150">
        <f t="shared" si="25"/>
        <v>4396549</v>
      </c>
      <c r="K105" s="150">
        <f t="shared" si="25"/>
        <v>886972</v>
      </c>
      <c r="L105" s="150">
        <f t="shared" si="25"/>
        <v>0</v>
      </c>
      <c r="M105" s="150">
        <f t="shared" si="25"/>
        <v>0</v>
      </c>
      <c r="N105" s="150">
        <f t="shared" si="25"/>
        <v>0</v>
      </c>
      <c r="O105" s="150">
        <f t="shared" si="25"/>
        <v>0</v>
      </c>
      <c r="P105" s="150">
        <f t="shared" si="25"/>
        <v>0</v>
      </c>
      <c r="Q105" s="150">
        <f t="shared" si="25"/>
        <v>0</v>
      </c>
      <c r="R105" s="342">
        <f t="shared" si="25"/>
        <v>71309476</v>
      </c>
      <c r="S105" s="150">
        <f>S97+S104</f>
        <v>58183073</v>
      </c>
      <c r="T105" s="150">
        <f>T97+T104</f>
        <v>0</v>
      </c>
      <c r="U105" s="143"/>
    </row>
    <row r="106" spans="1:21">
      <c r="A106" s="514" t="s">
        <v>1020</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58183073</v>
      </c>
      <c r="T107" s="150">
        <f>T105+T106</f>
        <v>0</v>
      </c>
    </row>
    <row r="108" spans="1:21" s="189" customFormat="1">
      <c r="A108" s="162" t="s">
        <v>879</v>
      </c>
      <c r="B108" s="157"/>
      <c r="C108" s="157"/>
      <c r="D108" s="157"/>
      <c r="E108" s="301">
        <f>Application!AO640</f>
        <v>27226955</v>
      </c>
      <c r="F108" s="301">
        <f>Application!AO627</f>
        <v>18141000</v>
      </c>
      <c r="G108" s="301">
        <f>Application!AO628</f>
        <v>9158000</v>
      </c>
      <c r="H108" s="301">
        <f>Application!AO629</f>
        <v>4000000</v>
      </c>
      <c r="I108" s="301">
        <f>Application!AO630</f>
        <v>7500000</v>
      </c>
      <c r="J108" s="301">
        <f>Application!AO631</f>
        <v>4396549</v>
      </c>
      <c r="K108" s="301">
        <f>Application!AO632</f>
        <v>886972</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2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2095</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6">
      <c r="A121" s="338" t="s">
        <v>1005</v>
      </c>
      <c r="B121" s="157"/>
      <c r="C121" s="157"/>
      <c r="D121" s="157"/>
    </row>
    <row r="122" spans="1:21">
      <c r="A122" s="325" t="s">
        <v>989</v>
      </c>
      <c r="B122" s="324"/>
      <c r="C122" s="324"/>
      <c r="D122" s="1871" t="s">
        <v>990</v>
      </c>
      <c r="E122" s="1871"/>
      <c r="F122" s="1871"/>
      <c r="G122" s="324"/>
      <c r="H122" s="324"/>
      <c r="I122" s="324"/>
      <c r="J122" s="324"/>
      <c r="K122" s="324"/>
      <c r="L122" s="324"/>
      <c r="M122" s="324"/>
      <c r="N122" s="324"/>
      <c r="O122" s="324"/>
      <c r="P122" s="324"/>
      <c r="Q122" s="324"/>
      <c r="R122" s="324"/>
      <c r="S122" s="324"/>
      <c r="T122" s="324"/>
      <c r="U122" s="326"/>
    </row>
    <row r="123" spans="1:21" ht="13">
      <c r="A123" s="324" t="s">
        <v>991</v>
      </c>
      <c r="B123" s="333"/>
      <c r="C123" s="324"/>
      <c r="D123" s="1863" t="s">
        <v>1224</v>
      </c>
      <c r="E123" s="1540"/>
      <c r="F123" s="1540"/>
      <c r="G123" s="1540"/>
      <c r="H123" s="1540"/>
      <c r="I123" s="1540"/>
      <c r="J123" s="1540"/>
      <c r="K123" s="1540"/>
      <c r="L123" s="1540"/>
      <c r="M123" s="1540"/>
      <c r="N123" s="1540"/>
      <c r="O123" s="1540"/>
      <c r="P123" s="1540"/>
      <c r="Q123" s="1540"/>
      <c r="R123" s="1540"/>
      <c r="S123" s="1540"/>
      <c r="T123" s="324"/>
      <c r="U123" s="326"/>
    </row>
    <row r="124" spans="1:21" ht="14">
      <c r="A124" s="117" t="s">
        <v>992</v>
      </c>
      <c r="B124" s="333"/>
      <c r="C124" s="117"/>
      <c r="D124" s="1540"/>
      <c r="E124" s="1540"/>
      <c r="F124" s="1540"/>
      <c r="G124" s="1540"/>
      <c r="H124" s="1540"/>
      <c r="I124" s="1540"/>
      <c r="J124" s="1540"/>
      <c r="K124" s="1540"/>
      <c r="L124" s="1540"/>
      <c r="M124" s="1540"/>
      <c r="N124" s="1540"/>
      <c r="O124" s="1540"/>
      <c r="P124" s="1540"/>
      <c r="Q124" s="1540"/>
      <c r="R124" s="1540"/>
      <c r="S124" s="1540"/>
      <c r="T124" s="324"/>
      <c r="U124" s="326"/>
    </row>
    <row r="125" spans="1:21" ht="14">
      <c r="A125" s="117" t="s">
        <v>993</v>
      </c>
      <c r="B125" s="333"/>
      <c r="C125" s="117"/>
      <c r="D125" s="1540"/>
      <c r="E125" s="1540"/>
      <c r="F125" s="1540"/>
      <c r="G125" s="1540"/>
      <c r="H125" s="1540"/>
      <c r="I125" s="1540"/>
      <c r="J125" s="1540"/>
      <c r="K125" s="1540"/>
      <c r="L125" s="1540"/>
      <c r="M125" s="1540"/>
      <c r="N125" s="1540"/>
      <c r="O125" s="1540"/>
      <c r="P125" s="1540"/>
      <c r="Q125" s="1540"/>
      <c r="R125" s="1540"/>
      <c r="S125" s="1540"/>
      <c r="T125" s="324"/>
      <c r="U125" s="326"/>
    </row>
    <row r="126" spans="1:21" ht="14">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4">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4">
      <c r="A128" s="117" t="s">
        <v>996</v>
      </c>
      <c r="B128" s="333"/>
      <c r="C128" s="117"/>
      <c r="D128" s="1866"/>
      <c r="E128" s="1866"/>
      <c r="F128" s="1866"/>
      <c r="G128" s="1866"/>
      <c r="H128" s="1866"/>
      <c r="I128" s="117"/>
      <c r="J128" s="1862"/>
      <c r="K128" s="1862"/>
      <c r="L128" s="117"/>
      <c r="M128" s="117"/>
      <c r="N128" s="117"/>
      <c r="O128" s="117"/>
      <c r="P128" s="117"/>
      <c r="Q128" s="117"/>
      <c r="R128" s="117"/>
      <c r="S128" s="117"/>
      <c r="T128" s="324"/>
      <c r="U128" s="326"/>
    </row>
    <row r="129" spans="1:21" ht="14">
      <c r="A129" s="117" t="s">
        <v>299</v>
      </c>
      <c r="B129" s="333"/>
      <c r="C129" s="117"/>
      <c r="D129" s="1870" t="s">
        <v>997</v>
      </c>
      <c r="E129" s="1870"/>
      <c r="F129" s="1870"/>
      <c r="G129" s="1870"/>
      <c r="H129" s="1870"/>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4">
      <c r="A131" s="335" t="s">
        <v>999</v>
      </c>
      <c r="B131" s="334">
        <f>SUM(B123:B129)</f>
        <v>0</v>
      </c>
      <c r="C131" s="117"/>
      <c r="D131" s="1519"/>
      <c r="E131" s="1519"/>
      <c r="F131" s="1519"/>
      <c r="G131" s="1519"/>
      <c r="H131" s="1519"/>
      <c r="I131" s="117"/>
      <c r="J131" s="1519"/>
      <c r="K131" s="1519"/>
      <c r="L131" s="1519"/>
      <c r="M131" s="1519"/>
      <c r="N131" s="117"/>
      <c r="O131" s="117"/>
      <c r="P131" s="117"/>
      <c r="Q131" s="117"/>
      <c r="R131" s="117"/>
      <c r="S131" s="117"/>
      <c r="T131" s="324"/>
      <c r="U131" s="326"/>
    </row>
    <row r="132" spans="1:21" ht="12" customHeight="1">
      <c r="A132" s="336"/>
      <c r="B132" s="117"/>
      <c r="C132" s="117"/>
      <c r="D132" s="1864" t="s">
        <v>1000</v>
      </c>
      <c r="E132" s="1864"/>
      <c r="F132" s="1864"/>
      <c r="G132" s="1864"/>
      <c r="H132" s="1864"/>
      <c r="I132" s="117"/>
      <c r="J132" s="1864" t="s">
        <v>1001</v>
      </c>
      <c r="K132" s="1864"/>
      <c r="L132" s="1864"/>
      <c r="M132" s="1864"/>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5"/>
      <c r="B138" s="1866"/>
      <c r="C138" s="1866"/>
      <c r="D138" s="328"/>
      <c r="E138" s="1862"/>
      <c r="F138" s="1862"/>
      <c r="G138" s="117"/>
      <c r="H138" s="117"/>
      <c r="I138" s="117"/>
      <c r="J138" s="117"/>
      <c r="K138" s="117"/>
      <c r="L138" s="117"/>
      <c r="M138" s="117"/>
      <c r="N138" s="117"/>
      <c r="O138" s="117"/>
      <c r="P138" s="117"/>
      <c r="Q138" s="117"/>
      <c r="R138" s="117"/>
      <c r="S138" s="117"/>
      <c r="T138" s="330"/>
      <c r="U138" s="331"/>
    </row>
    <row r="139" spans="1:21" ht="14">
      <c r="A139" s="1861" t="s">
        <v>1004</v>
      </c>
      <c r="B139" s="1861"/>
      <c r="C139" s="1861"/>
      <c r="D139" s="328"/>
      <c r="E139" s="117" t="s">
        <v>998</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8" workbookViewId="0">
      <selection activeCell="B4" sqref="B4"/>
    </sheetView>
  </sheetViews>
  <sheetFormatPr baseColWidth="10" defaultColWidth="0" defaultRowHeight="12" zeroHeight="1"/>
  <cols>
    <col min="1" max="1" width="32.6640625" style="397" customWidth="1"/>
    <col min="2" max="3" width="12.1640625" style="393" customWidth="1"/>
    <col min="4" max="6" width="12.83203125" style="393" customWidth="1"/>
    <col min="7" max="9" width="12.1640625" style="393" customWidth="1"/>
    <col min="10" max="10" width="12.1640625" style="394" customWidth="1"/>
    <col min="11" max="11" width="8.83203125" style="395" hidden="1" customWidth="1"/>
    <col min="12" max="21" width="8.83203125" style="393" hidden="1" customWidth="1"/>
    <col min="22" max="23" width="0" style="393" hidden="1"/>
    <col min="24" max="256" width="8.83203125" style="393" hidden="1"/>
    <col min="257" max="257" width="32.6640625" style="393" hidden="1" customWidth="1"/>
    <col min="258" max="259" width="12.1640625" style="393" hidden="1" customWidth="1"/>
    <col min="260" max="260" width="12.83203125" style="393" hidden="1" customWidth="1"/>
    <col min="261" max="266" width="12.1640625" style="393" hidden="1" customWidth="1"/>
    <col min="267" max="277" width="8.83203125" style="393" hidden="1" customWidth="1"/>
    <col min="278" max="512" width="8.83203125" style="393" hidden="1"/>
    <col min="513" max="513" width="32.6640625" style="393" hidden="1" customWidth="1"/>
    <col min="514" max="515" width="12.1640625" style="393" hidden="1" customWidth="1"/>
    <col min="516" max="516" width="12.83203125" style="393" hidden="1" customWidth="1"/>
    <col min="517" max="522" width="12.1640625" style="393" hidden="1" customWidth="1"/>
    <col min="523" max="533" width="8.83203125" style="393" hidden="1" customWidth="1"/>
    <col min="534" max="768" width="8.83203125" style="393" hidden="1"/>
    <col min="769" max="769" width="32.6640625" style="393" hidden="1" customWidth="1"/>
    <col min="770" max="771" width="12.1640625" style="393" hidden="1" customWidth="1"/>
    <col min="772" max="772" width="12.83203125" style="393" hidden="1" customWidth="1"/>
    <col min="773" max="778" width="12.1640625" style="393" hidden="1" customWidth="1"/>
    <col min="779" max="789" width="8.83203125" style="393" hidden="1" customWidth="1"/>
    <col min="790" max="1024" width="8.83203125" style="393" hidden="1"/>
    <col min="1025" max="1025" width="32.6640625" style="393" hidden="1" customWidth="1"/>
    <col min="1026" max="1027" width="12.1640625" style="393" hidden="1" customWidth="1"/>
    <col min="1028" max="1028" width="12.83203125" style="393" hidden="1" customWidth="1"/>
    <col min="1029" max="1034" width="12.1640625" style="393" hidden="1" customWidth="1"/>
    <col min="1035" max="1045" width="8.83203125" style="393" hidden="1" customWidth="1"/>
    <col min="1046" max="1280" width="8.83203125" style="393" hidden="1"/>
    <col min="1281" max="1281" width="32.6640625" style="393" hidden="1" customWidth="1"/>
    <col min="1282" max="1283" width="12.1640625" style="393" hidden="1" customWidth="1"/>
    <col min="1284" max="1284" width="12.83203125" style="393" hidden="1" customWidth="1"/>
    <col min="1285" max="1290" width="12.1640625" style="393" hidden="1" customWidth="1"/>
    <col min="1291" max="1301" width="8.83203125" style="393" hidden="1" customWidth="1"/>
    <col min="1302" max="1536" width="8.83203125" style="393" hidden="1"/>
    <col min="1537" max="1537" width="32.6640625" style="393" hidden="1" customWidth="1"/>
    <col min="1538" max="1539" width="12.1640625" style="393" hidden="1" customWidth="1"/>
    <col min="1540" max="1540" width="12.83203125" style="393" hidden="1" customWidth="1"/>
    <col min="1541" max="1546" width="12.1640625" style="393" hidden="1" customWidth="1"/>
    <col min="1547" max="1557" width="8.83203125" style="393" hidden="1" customWidth="1"/>
    <col min="1558" max="1792" width="8.83203125" style="393" hidden="1"/>
    <col min="1793" max="1793" width="32.6640625" style="393" hidden="1" customWidth="1"/>
    <col min="1794" max="1795" width="12.1640625" style="393" hidden="1" customWidth="1"/>
    <col min="1796" max="1796" width="12.83203125" style="393" hidden="1" customWidth="1"/>
    <col min="1797" max="1802" width="12.1640625" style="393" hidden="1" customWidth="1"/>
    <col min="1803" max="1813" width="8.83203125" style="393" hidden="1" customWidth="1"/>
    <col min="1814" max="2048" width="8.83203125" style="393" hidden="1"/>
    <col min="2049" max="2049" width="32.6640625" style="393" hidden="1" customWidth="1"/>
    <col min="2050" max="2051" width="12.1640625" style="393" hidden="1" customWidth="1"/>
    <col min="2052" max="2052" width="12.83203125" style="393" hidden="1" customWidth="1"/>
    <col min="2053" max="2058" width="12.1640625" style="393" hidden="1" customWidth="1"/>
    <col min="2059" max="2069" width="8.83203125" style="393" hidden="1" customWidth="1"/>
    <col min="2070" max="2304" width="8.83203125" style="393" hidden="1"/>
    <col min="2305" max="2305" width="32.6640625" style="393" hidden="1" customWidth="1"/>
    <col min="2306" max="2307" width="12.1640625" style="393" hidden="1" customWidth="1"/>
    <col min="2308" max="2308" width="12.83203125" style="393" hidden="1" customWidth="1"/>
    <col min="2309" max="2314" width="12.1640625" style="393" hidden="1" customWidth="1"/>
    <col min="2315" max="2325" width="8.83203125" style="393" hidden="1" customWidth="1"/>
    <col min="2326" max="2560" width="8.83203125" style="393" hidden="1"/>
    <col min="2561" max="2561" width="32.6640625" style="393" hidden="1" customWidth="1"/>
    <col min="2562" max="2563" width="12.1640625" style="393" hidden="1" customWidth="1"/>
    <col min="2564" max="2564" width="12.83203125" style="393" hidden="1" customWidth="1"/>
    <col min="2565" max="2570" width="12.1640625" style="393" hidden="1" customWidth="1"/>
    <col min="2571" max="2581" width="8.83203125" style="393" hidden="1" customWidth="1"/>
    <col min="2582" max="2816" width="8.83203125" style="393" hidden="1"/>
    <col min="2817" max="2817" width="32.6640625" style="393" hidden="1" customWidth="1"/>
    <col min="2818" max="2819" width="12.1640625" style="393" hidden="1" customWidth="1"/>
    <col min="2820" max="2820" width="12.83203125" style="393" hidden="1" customWidth="1"/>
    <col min="2821" max="2826" width="12.1640625" style="393" hidden="1" customWidth="1"/>
    <col min="2827" max="2837" width="8.83203125" style="393" hidden="1" customWidth="1"/>
    <col min="2838" max="3072" width="8.83203125" style="393" hidden="1"/>
    <col min="3073" max="3073" width="32.6640625" style="393" hidden="1" customWidth="1"/>
    <col min="3074" max="3075" width="12.1640625" style="393" hidden="1" customWidth="1"/>
    <col min="3076" max="3076" width="12.83203125" style="393" hidden="1" customWidth="1"/>
    <col min="3077" max="3082" width="12.1640625" style="393" hidden="1" customWidth="1"/>
    <col min="3083" max="3093" width="8.83203125" style="393" hidden="1" customWidth="1"/>
    <col min="3094" max="3328" width="8.83203125" style="393" hidden="1"/>
    <col min="3329" max="3329" width="32.6640625" style="393" hidden="1" customWidth="1"/>
    <col min="3330" max="3331" width="12.1640625" style="393" hidden="1" customWidth="1"/>
    <col min="3332" max="3332" width="12.83203125" style="393" hidden="1" customWidth="1"/>
    <col min="3333" max="3338" width="12.1640625" style="393" hidden="1" customWidth="1"/>
    <col min="3339" max="3349" width="8.83203125" style="393" hidden="1" customWidth="1"/>
    <col min="3350" max="3584" width="8.83203125" style="393" hidden="1"/>
    <col min="3585" max="3585" width="32.6640625" style="393" hidden="1" customWidth="1"/>
    <col min="3586" max="3587" width="12.1640625" style="393" hidden="1" customWidth="1"/>
    <col min="3588" max="3588" width="12.83203125" style="393" hidden="1" customWidth="1"/>
    <col min="3589" max="3594" width="12.1640625" style="393" hidden="1" customWidth="1"/>
    <col min="3595" max="3605" width="8.83203125" style="393" hidden="1" customWidth="1"/>
    <col min="3606" max="3840" width="8.83203125" style="393" hidden="1"/>
    <col min="3841" max="3841" width="32.6640625" style="393" hidden="1" customWidth="1"/>
    <col min="3842" max="3843" width="12.1640625" style="393" hidden="1" customWidth="1"/>
    <col min="3844" max="3844" width="12.83203125" style="393" hidden="1" customWidth="1"/>
    <col min="3845" max="3850" width="12.1640625" style="393" hidden="1" customWidth="1"/>
    <col min="3851" max="3861" width="8.83203125" style="393" hidden="1" customWidth="1"/>
    <col min="3862" max="4096" width="8.83203125" style="393" hidden="1"/>
    <col min="4097" max="4097" width="32.6640625" style="393" hidden="1" customWidth="1"/>
    <col min="4098" max="4099" width="12.1640625" style="393" hidden="1" customWidth="1"/>
    <col min="4100" max="4100" width="12.83203125" style="393" hidden="1" customWidth="1"/>
    <col min="4101" max="4106" width="12.1640625" style="393" hidden="1" customWidth="1"/>
    <col min="4107" max="4117" width="8.83203125" style="393" hidden="1" customWidth="1"/>
    <col min="4118" max="4352" width="8.83203125" style="393" hidden="1"/>
    <col min="4353" max="4353" width="32.6640625" style="393" hidden="1" customWidth="1"/>
    <col min="4354" max="4355" width="12.1640625" style="393" hidden="1" customWidth="1"/>
    <col min="4356" max="4356" width="12.83203125" style="393" hidden="1" customWidth="1"/>
    <col min="4357" max="4362" width="12.1640625" style="393" hidden="1" customWidth="1"/>
    <col min="4363" max="4373" width="8.83203125" style="393" hidden="1" customWidth="1"/>
    <col min="4374" max="4608" width="8.83203125" style="393" hidden="1"/>
    <col min="4609" max="4609" width="32.6640625" style="393" hidden="1" customWidth="1"/>
    <col min="4610" max="4611" width="12.1640625" style="393" hidden="1" customWidth="1"/>
    <col min="4612" max="4612" width="12.83203125" style="393" hidden="1" customWidth="1"/>
    <col min="4613" max="4618" width="12.1640625" style="393" hidden="1" customWidth="1"/>
    <col min="4619" max="4629" width="8.83203125" style="393" hidden="1" customWidth="1"/>
    <col min="4630" max="4864" width="8.83203125" style="393" hidden="1"/>
    <col min="4865" max="4865" width="32.6640625" style="393" hidden="1" customWidth="1"/>
    <col min="4866" max="4867" width="12.1640625" style="393" hidden="1" customWidth="1"/>
    <col min="4868" max="4868" width="12.83203125" style="393" hidden="1" customWidth="1"/>
    <col min="4869" max="4874" width="12.1640625" style="393" hidden="1" customWidth="1"/>
    <col min="4875" max="4885" width="8.83203125" style="393" hidden="1" customWidth="1"/>
    <col min="4886" max="5120" width="8.83203125" style="393" hidden="1"/>
    <col min="5121" max="5121" width="32.6640625" style="393" hidden="1" customWidth="1"/>
    <col min="5122" max="5123" width="12.1640625" style="393" hidden="1" customWidth="1"/>
    <col min="5124" max="5124" width="12.83203125" style="393" hidden="1" customWidth="1"/>
    <col min="5125" max="5130" width="12.1640625" style="393" hidden="1" customWidth="1"/>
    <col min="5131" max="5141" width="8.83203125" style="393" hidden="1" customWidth="1"/>
    <col min="5142" max="5376" width="8.83203125" style="393" hidden="1"/>
    <col min="5377" max="5377" width="32.6640625" style="393" hidden="1" customWidth="1"/>
    <col min="5378" max="5379" width="12.1640625" style="393" hidden="1" customWidth="1"/>
    <col min="5380" max="5380" width="12.83203125" style="393" hidden="1" customWidth="1"/>
    <col min="5381" max="5386" width="12.1640625" style="393" hidden="1" customWidth="1"/>
    <col min="5387" max="5397" width="8.83203125" style="393" hidden="1" customWidth="1"/>
    <col min="5398" max="5632" width="8.83203125" style="393" hidden="1"/>
    <col min="5633" max="5633" width="32.6640625" style="393" hidden="1" customWidth="1"/>
    <col min="5634" max="5635" width="12.1640625" style="393" hidden="1" customWidth="1"/>
    <col min="5636" max="5636" width="12.83203125" style="393" hidden="1" customWidth="1"/>
    <col min="5637" max="5642" width="12.1640625" style="393" hidden="1" customWidth="1"/>
    <col min="5643" max="5653" width="8.83203125" style="393" hidden="1" customWidth="1"/>
    <col min="5654" max="5888" width="8.83203125" style="393" hidden="1"/>
    <col min="5889" max="5889" width="32.6640625" style="393" hidden="1" customWidth="1"/>
    <col min="5890" max="5891" width="12.1640625" style="393" hidden="1" customWidth="1"/>
    <col min="5892" max="5892" width="12.83203125" style="393" hidden="1" customWidth="1"/>
    <col min="5893" max="5898" width="12.1640625" style="393" hidden="1" customWidth="1"/>
    <col min="5899" max="5909" width="8.83203125" style="393" hidden="1" customWidth="1"/>
    <col min="5910" max="6144" width="8.83203125" style="393" hidden="1"/>
    <col min="6145" max="6145" width="32.6640625" style="393" hidden="1" customWidth="1"/>
    <col min="6146" max="6147" width="12.1640625" style="393" hidden="1" customWidth="1"/>
    <col min="6148" max="6148" width="12.83203125" style="393" hidden="1" customWidth="1"/>
    <col min="6149" max="6154" width="12.1640625" style="393" hidden="1" customWidth="1"/>
    <col min="6155" max="6165" width="8.83203125" style="393" hidden="1" customWidth="1"/>
    <col min="6166" max="6400" width="8.83203125" style="393" hidden="1"/>
    <col min="6401" max="6401" width="32.6640625" style="393" hidden="1" customWidth="1"/>
    <col min="6402" max="6403" width="12.1640625" style="393" hidden="1" customWidth="1"/>
    <col min="6404" max="6404" width="12.83203125" style="393" hidden="1" customWidth="1"/>
    <col min="6405" max="6410" width="12.1640625" style="393" hidden="1" customWidth="1"/>
    <col min="6411" max="6421" width="8.83203125" style="393" hidden="1" customWidth="1"/>
    <col min="6422" max="6656" width="8.83203125" style="393" hidden="1"/>
    <col min="6657" max="6657" width="32.6640625" style="393" hidden="1" customWidth="1"/>
    <col min="6658" max="6659" width="12.1640625" style="393" hidden="1" customWidth="1"/>
    <col min="6660" max="6660" width="12.83203125" style="393" hidden="1" customWidth="1"/>
    <col min="6661" max="6666" width="12.1640625" style="393" hidden="1" customWidth="1"/>
    <col min="6667" max="6677" width="8.83203125" style="393" hidden="1" customWidth="1"/>
    <col min="6678" max="6912" width="8.83203125" style="393" hidden="1"/>
    <col min="6913" max="6913" width="32.6640625" style="393" hidden="1" customWidth="1"/>
    <col min="6914" max="6915" width="12.1640625" style="393" hidden="1" customWidth="1"/>
    <col min="6916" max="6916" width="12.83203125" style="393" hidden="1" customWidth="1"/>
    <col min="6917" max="6922" width="12.1640625" style="393" hidden="1" customWidth="1"/>
    <col min="6923" max="6933" width="8.83203125" style="393" hidden="1" customWidth="1"/>
    <col min="6934" max="7168" width="8.83203125" style="393" hidden="1"/>
    <col min="7169" max="7169" width="32.6640625" style="393" hidden="1" customWidth="1"/>
    <col min="7170" max="7171" width="12.1640625" style="393" hidden="1" customWidth="1"/>
    <col min="7172" max="7172" width="12.83203125" style="393" hidden="1" customWidth="1"/>
    <col min="7173" max="7178" width="12.1640625" style="393" hidden="1" customWidth="1"/>
    <col min="7179" max="7189" width="8.83203125" style="393" hidden="1" customWidth="1"/>
    <col min="7190" max="7424" width="8.83203125" style="393" hidden="1"/>
    <col min="7425" max="7425" width="32.6640625" style="393" hidden="1" customWidth="1"/>
    <col min="7426" max="7427" width="12.1640625" style="393" hidden="1" customWidth="1"/>
    <col min="7428" max="7428" width="12.83203125" style="393" hidden="1" customWidth="1"/>
    <col min="7429" max="7434" width="12.1640625" style="393" hidden="1" customWidth="1"/>
    <col min="7435" max="7445" width="8.83203125" style="393" hidden="1" customWidth="1"/>
    <col min="7446" max="7680" width="8.83203125" style="393" hidden="1"/>
    <col min="7681" max="7681" width="32.6640625" style="393" hidden="1" customWidth="1"/>
    <col min="7682" max="7683" width="12.1640625" style="393" hidden="1" customWidth="1"/>
    <col min="7684" max="7684" width="12.83203125" style="393" hidden="1" customWidth="1"/>
    <col min="7685" max="7690" width="12.1640625" style="393" hidden="1" customWidth="1"/>
    <col min="7691" max="7701" width="8.83203125" style="393" hidden="1" customWidth="1"/>
    <col min="7702" max="7936" width="8.83203125" style="393" hidden="1"/>
    <col min="7937" max="7937" width="32.6640625" style="393" hidden="1" customWidth="1"/>
    <col min="7938" max="7939" width="12.1640625" style="393" hidden="1" customWidth="1"/>
    <col min="7940" max="7940" width="12.83203125" style="393" hidden="1" customWidth="1"/>
    <col min="7941" max="7946" width="12.1640625" style="393" hidden="1" customWidth="1"/>
    <col min="7947" max="7957" width="8.83203125" style="393" hidden="1" customWidth="1"/>
    <col min="7958" max="8192" width="8.83203125" style="393" hidden="1"/>
    <col min="8193" max="8193" width="32.6640625" style="393" hidden="1" customWidth="1"/>
    <col min="8194" max="8195" width="12.1640625" style="393" hidden="1" customWidth="1"/>
    <col min="8196" max="8196" width="12.83203125" style="393" hidden="1" customWidth="1"/>
    <col min="8197" max="8202" width="12.1640625" style="393" hidden="1" customWidth="1"/>
    <col min="8203" max="8213" width="8.83203125" style="393" hidden="1" customWidth="1"/>
    <col min="8214" max="8448" width="8.83203125" style="393" hidden="1"/>
    <col min="8449" max="8449" width="32.6640625" style="393" hidden="1" customWidth="1"/>
    <col min="8450" max="8451" width="12.1640625" style="393" hidden="1" customWidth="1"/>
    <col min="8452" max="8452" width="12.83203125" style="393" hidden="1" customWidth="1"/>
    <col min="8453" max="8458" width="12.1640625" style="393" hidden="1" customWidth="1"/>
    <col min="8459" max="8469" width="8.83203125" style="393" hidden="1" customWidth="1"/>
    <col min="8470" max="8704" width="8.83203125" style="393" hidden="1"/>
    <col min="8705" max="8705" width="32.6640625" style="393" hidden="1" customWidth="1"/>
    <col min="8706" max="8707" width="12.1640625" style="393" hidden="1" customWidth="1"/>
    <col min="8708" max="8708" width="12.83203125" style="393" hidden="1" customWidth="1"/>
    <col min="8709" max="8714" width="12.1640625" style="393" hidden="1" customWidth="1"/>
    <col min="8715" max="8725" width="8.83203125" style="393" hidden="1" customWidth="1"/>
    <col min="8726" max="8960" width="8.83203125" style="393" hidden="1"/>
    <col min="8961" max="8961" width="32.6640625" style="393" hidden="1" customWidth="1"/>
    <col min="8962" max="8963" width="12.1640625" style="393" hidden="1" customWidth="1"/>
    <col min="8964" max="8964" width="12.83203125" style="393" hidden="1" customWidth="1"/>
    <col min="8965" max="8970" width="12.1640625" style="393" hidden="1" customWidth="1"/>
    <col min="8971" max="8981" width="8.83203125" style="393" hidden="1" customWidth="1"/>
    <col min="8982" max="9216" width="8.83203125" style="393" hidden="1"/>
    <col min="9217" max="9217" width="32.6640625" style="393" hidden="1" customWidth="1"/>
    <col min="9218" max="9219" width="12.1640625" style="393" hidden="1" customWidth="1"/>
    <col min="9220" max="9220" width="12.83203125" style="393" hidden="1" customWidth="1"/>
    <col min="9221" max="9226" width="12.1640625" style="393" hidden="1" customWidth="1"/>
    <col min="9227" max="9237" width="8.83203125" style="393" hidden="1" customWidth="1"/>
    <col min="9238" max="9472" width="8.83203125" style="393" hidden="1"/>
    <col min="9473" max="9473" width="32.6640625" style="393" hidden="1" customWidth="1"/>
    <col min="9474" max="9475" width="12.1640625" style="393" hidden="1" customWidth="1"/>
    <col min="9476" max="9476" width="12.83203125" style="393" hidden="1" customWidth="1"/>
    <col min="9477" max="9482" width="12.1640625" style="393" hidden="1" customWidth="1"/>
    <col min="9483" max="9493" width="8.83203125" style="393" hidden="1" customWidth="1"/>
    <col min="9494" max="9728" width="8.83203125" style="393" hidden="1"/>
    <col min="9729" max="9729" width="32.6640625" style="393" hidden="1" customWidth="1"/>
    <col min="9730" max="9731" width="12.1640625" style="393" hidden="1" customWidth="1"/>
    <col min="9732" max="9732" width="12.83203125" style="393" hidden="1" customWidth="1"/>
    <col min="9733" max="9738" width="12.1640625" style="393" hidden="1" customWidth="1"/>
    <col min="9739" max="9749" width="8.83203125" style="393" hidden="1" customWidth="1"/>
    <col min="9750" max="9984" width="8.83203125" style="393" hidden="1"/>
    <col min="9985" max="9985" width="32.6640625" style="393" hidden="1" customWidth="1"/>
    <col min="9986" max="9987" width="12.1640625" style="393" hidden="1" customWidth="1"/>
    <col min="9988" max="9988" width="12.83203125" style="393" hidden="1" customWidth="1"/>
    <col min="9989" max="9994" width="12.1640625" style="393" hidden="1" customWidth="1"/>
    <col min="9995" max="10005" width="8.83203125" style="393" hidden="1" customWidth="1"/>
    <col min="10006" max="10240" width="8.83203125" style="393" hidden="1"/>
    <col min="10241" max="10241" width="32.6640625" style="393" hidden="1" customWidth="1"/>
    <col min="10242" max="10243" width="12.1640625" style="393" hidden="1" customWidth="1"/>
    <col min="10244" max="10244" width="12.83203125" style="393" hidden="1" customWidth="1"/>
    <col min="10245" max="10250" width="12.1640625" style="393" hidden="1" customWidth="1"/>
    <col min="10251" max="10261" width="8.83203125" style="393" hidden="1" customWidth="1"/>
    <col min="10262" max="10496" width="8.83203125" style="393" hidden="1"/>
    <col min="10497" max="10497" width="32.6640625" style="393" hidden="1" customWidth="1"/>
    <col min="10498" max="10499" width="12.1640625" style="393" hidden="1" customWidth="1"/>
    <col min="10500" max="10500" width="12.83203125" style="393" hidden="1" customWidth="1"/>
    <col min="10501" max="10506" width="12.1640625" style="393" hidden="1" customWidth="1"/>
    <col min="10507" max="10517" width="8.83203125" style="393" hidden="1" customWidth="1"/>
    <col min="10518" max="10752" width="8.83203125" style="393" hidden="1"/>
    <col min="10753" max="10753" width="32.6640625" style="393" hidden="1" customWidth="1"/>
    <col min="10754" max="10755" width="12.1640625" style="393" hidden="1" customWidth="1"/>
    <col min="10756" max="10756" width="12.83203125" style="393" hidden="1" customWidth="1"/>
    <col min="10757" max="10762" width="12.1640625" style="393" hidden="1" customWidth="1"/>
    <col min="10763" max="10773" width="8.83203125" style="393" hidden="1" customWidth="1"/>
    <col min="10774" max="11008" width="8.83203125" style="393" hidden="1"/>
    <col min="11009" max="11009" width="32.6640625" style="393" hidden="1" customWidth="1"/>
    <col min="11010" max="11011" width="12.1640625" style="393" hidden="1" customWidth="1"/>
    <col min="11012" max="11012" width="12.83203125" style="393" hidden="1" customWidth="1"/>
    <col min="11013" max="11018" width="12.1640625" style="393" hidden="1" customWidth="1"/>
    <col min="11019" max="11029" width="8.83203125" style="393" hidden="1" customWidth="1"/>
    <col min="11030" max="11264" width="8.83203125" style="393" hidden="1"/>
    <col min="11265" max="11265" width="32.6640625" style="393" hidden="1" customWidth="1"/>
    <col min="11266" max="11267" width="12.1640625" style="393" hidden="1" customWidth="1"/>
    <col min="11268" max="11268" width="12.83203125" style="393" hidden="1" customWidth="1"/>
    <col min="11269" max="11274" width="12.1640625" style="393" hidden="1" customWidth="1"/>
    <col min="11275" max="11285" width="8.83203125" style="393" hidden="1" customWidth="1"/>
    <col min="11286" max="11520" width="8.83203125" style="393" hidden="1"/>
    <col min="11521" max="11521" width="32.6640625" style="393" hidden="1" customWidth="1"/>
    <col min="11522" max="11523" width="12.1640625" style="393" hidden="1" customWidth="1"/>
    <col min="11524" max="11524" width="12.83203125" style="393" hidden="1" customWidth="1"/>
    <col min="11525" max="11530" width="12.1640625" style="393" hidden="1" customWidth="1"/>
    <col min="11531" max="11541" width="8.83203125" style="393" hidden="1" customWidth="1"/>
    <col min="11542" max="11776" width="8.83203125" style="393" hidden="1"/>
    <col min="11777" max="11777" width="32.6640625" style="393" hidden="1" customWidth="1"/>
    <col min="11778" max="11779" width="12.1640625" style="393" hidden="1" customWidth="1"/>
    <col min="11780" max="11780" width="12.83203125" style="393" hidden="1" customWidth="1"/>
    <col min="11781" max="11786" width="12.1640625" style="393" hidden="1" customWidth="1"/>
    <col min="11787" max="11797" width="8.83203125" style="393" hidden="1" customWidth="1"/>
    <col min="11798" max="12032" width="8.83203125" style="393" hidden="1"/>
    <col min="12033" max="12033" width="32.6640625" style="393" hidden="1" customWidth="1"/>
    <col min="12034" max="12035" width="12.1640625" style="393" hidden="1" customWidth="1"/>
    <col min="12036" max="12036" width="12.83203125" style="393" hidden="1" customWidth="1"/>
    <col min="12037" max="12042" width="12.1640625" style="393" hidden="1" customWidth="1"/>
    <col min="12043" max="12053" width="8.83203125" style="393" hidden="1" customWidth="1"/>
    <col min="12054" max="12288" width="8.83203125" style="393" hidden="1"/>
    <col min="12289" max="12289" width="32.6640625" style="393" hidden="1" customWidth="1"/>
    <col min="12290" max="12291" width="12.1640625" style="393" hidden="1" customWidth="1"/>
    <col min="12292" max="12292" width="12.83203125" style="393" hidden="1" customWidth="1"/>
    <col min="12293" max="12298" width="12.1640625" style="393" hidden="1" customWidth="1"/>
    <col min="12299" max="12309" width="8.83203125" style="393" hidden="1" customWidth="1"/>
    <col min="12310" max="12544" width="8.83203125" style="393" hidden="1"/>
    <col min="12545" max="12545" width="32.6640625" style="393" hidden="1" customWidth="1"/>
    <col min="12546" max="12547" width="12.1640625" style="393" hidden="1" customWidth="1"/>
    <col min="12548" max="12548" width="12.83203125" style="393" hidden="1" customWidth="1"/>
    <col min="12549" max="12554" width="12.1640625" style="393" hidden="1" customWidth="1"/>
    <col min="12555" max="12565" width="8.83203125" style="393" hidden="1" customWidth="1"/>
    <col min="12566" max="12800" width="8.83203125" style="393" hidden="1"/>
    <col min="12801" max="12801" width="32.6640625" style="393" hidden="1" customWidth="1"/>
    <col min="12802" max="12803" width="12.1640625" style="393" hidden="1" customWidth="1"/>
    <col min="12804" max="12804" width="12.83203125" style="393" hidden="1" customWidth="1"/>
    <col min="12805" max="12810" width="12.1640625" style="393" hidden="1" customWidth="1"/>
    <col min="12811" max="12821" width="8.83203125" style="393" hidden="1" customWidth="1"/>
    <col min="12822" max="13056" width="8.83203125" style="393" hidden="1"/>
    <col min="13057" max="13057" width="32.6640625" style="393" hidden="1" customWidth="1"/>
    <col min="13058" max="13059" width="12.1640625" style="393" hidden="1" customWidth="1"/>
    <col min="13060" max="13060" width="12.83203125" style="393" hidden="1" customWidth="1"/>
    <col min="13061" max="13066" width="12.1640625" style="393" hidden="1" customWidth="1"/>
    <col min="13067" max="13077" width="8.83203125" style="393" hidden="1" customWidth="1"/>
    <col min="13078" max="13312" width="8.83203125" style="393" hidden="1"/>
    <col min="13313" max="13313" width="32.6640625" style="393" hidden="1" customWidth="1"/>
    <col min="13314" max="13315" width="12.1640625" style="393" hidden="1" customWidth="1"/>
    <col min="13316" max="13316" width="12.83203125" style="393" hidden="1" customWidth="1"/>
    <col min="13317" max="13322" width="12.1640625" style="393" hidden="1" customWidth="1"/>
    <col min="13323" max="13333" width="8.83203125" style="393" hidden="1" customWidth="1"/>
    <col min="13334" max="13568" width="8.83203125" style="393" hidden="1"/>
    <col min="13569" max="13569" width="32.6640625" style="393" hidden="1" customWidth="1"/>
    <col min="13570" max="13571" width="12.1640625" style="393" hidden="1" customWidth="1"/>
    <col min="13572" max="13572" width="12.83203125" style="393" hidden="1" customWidth="1"/>
    <col min="13573" max="13578" width="12.1640625" style="393" hidden="1" customWidth="1"/>
    <col min="13579" max="13589" width="8.83203125" style="393" hidden="1" customWidth="1"/>
    <col min="13590" max="13824" width="8.83203125" style="393" hidden="1"/>
    <col min="13825" max="13825" width="32.6640625" style="393" hidden="1" customWidth="1"/>
    <col min="13826" max="13827" width="12.1640625" style="393" hidden="1" customWidth="1"/>
    <col min="13828" max="13828" width="12.83203125" style="393" hidden="1" customWidth="1"/>
    <col min="13829" max="13834" width="12.1640625" style="393" hidden="1" customWidth="1"/>
    <col min="13835" max="13845" width="8.83203125" style="393" hidden="1" customWidth="1"/>
    <col min="13846" max="14080" width="8.83203125" style="393" hidden="1"/>
    <col min="14081" max="14081" width="32.6640625" style="393" hidden="1" customWidth="1"/>
    <col min="14082" max="14083" width="12.1640625" style="393" hidden="1" customWidth="1"/>
    <col min="14084" max="14084" width="12.83203125" style="393" hidden="1" customWidth="1"/>
    <col min="14085" max="14090" width="12.1640625" style="393" hidden="1" customWidth="1"/>
    <col min="14091" max="14101" width="8.83203125" style="393" hidden="1" customWidth="1"/>
    <col min="14102" max="14336" width="8.83203125" style="393" hidden="1"/>
    <col min="14337" max="14337" width="32.6640625" style="393" hidden="1" customWidth="1"/>
    <col min="14338" max="14339" width="12.1640625" style="393" hidden="1" customWidth="1"/>
    <col min="14340" max="14340" width="12.83203125" style="393" hidden="1" customWidth="1"/>
    <col min="14341" max="14346" width="12.1640625" style="393" hidden="1" customWidth="1"/>
    <col min="14347" max="14357" width="8.83203125" style="393" hidden="1" customWidth="1"/>
    <col min="14358" max="14592" width="8.83203125" style="393" hidden="1"/>
    <col min="14593" max="14593" width="32.6640625" style="393" hidden="1" customWidth="1"/>
    <col min="14594" max="14595" width="12.1640625" style="393" hidden="1" customWidth="1"/>
    <col min="14596" max="14596" width="12.83203125" style="393" hidden="1" customWidth="1"/>
    <col min="14597" max="14602" width="12.1640625" style="393" hidden="1" customWidth="1"/>
    <col min="14603" max="14613" width="8.83203125" style="393" hidden="1" customWidth="1"/>
    <col min="14614" max="14848" width="8.83203125" style="393" hidden="1"/>
    <col min="14849" max="14849" width="32.6640625" style="393" hidden="1" customWidth="1"/>
    <col min="14850" max="14851" width="12.1640625" style="393" hidden="1" customWidth="1"/>
    <col min="14852" max="14852" width="12.83203125" style="393" hidden="1" customWidth="1"/>
    <col min="14853" max="14858" width="12.1640625" style="393" hidden="1" customWidth="1"/>
    <col min="14859" max="14869" width="8.83203125" style="393" hidden="1" customWidth="1"/>
    <col min="14870" max="15104" width="8.83203125" style="393" hidden="1"/>
    <col min="15105" max="15105" width="32.6640625" style="393" hidden="1" customWidth="1"/>
    <col min="15106" max="15107" width="12.1640625" style="393" hidden="1" customWidth="1"/>
    <col min="15108" max="15108" width="12.83203125" style="393" hidden="1" customWidth="1"/>
    <col min="15109" max="15114" width="12.1640625" style="393" hidden="1" customWidth="1"/>
    <col min="15115" max="15125" width="8.83203125" style="393" hidden="1" customWidth="1"/>
    <col min="15126" max="15360" width="8.83203125" style="393" hidden="1"/>
    <col min="15361" max="15361" width="32.6640625" style="393" hidden="1" customWidth="1"/>
    <col min="15362" max="15363" width="12.1640625" style="393" hidden="1" customWidth="1"/>
    <col min="15364" max="15364" width="12.83203125" style="393" hidden="1" customWidth="1"/>
    <col min="15365" max="15370" width="12.1640625" style="393" hidden="1" customWidth="1"/>
    <col min="15371" max="15381" width="8.83203125" style="393" hidden="1" customWidth="1"/>
    <col min="15382" max="15616" width="8.83203125" style="393" hidden="1"/>
    <col min="15617" max="15617" width="32.6640625" style="393" hidden="1" customWidth="1"/>
    <col min="15618" max="15619" width="12.1640625" style="393" hidden="1" customWidth="1"/>
    <col min="15620" max="15620" width="12.83203125" style="393" hidden="1" customWidth="1"/>
    <col min="15621" max="15626" width="12.1640625" style="393" hidden="1" customWidth="1"/>
    <col min="15627" max="15637" width="8.83203125" style="393" hidden="1" customWidth="1"/>
    <col min="15638" max="15872" width="8.83203125" style="393" hidden="1"/>
    <col min="15873" max="15873" width="32.6640625" style="393" hidden="1" customWidth="1"/>
    <col min="15874" max="15875" width="12.1640625" style="393" hidden="1" customWidth="1"/>
    <col min="15876" max="15876" width="12.83203125" style="393" hidden="1" customWidth="1"/>
    <col min="15877" max="15882" width="12.1640625" style="393" hidden="1" customWidth="1"/>
    <col min="15883" max="15893" width="8.83203125" style="393" hidden="1" customWidth="1"/>
    <col min="15894" max="16128" width="8.83203125" style="393" hidden="1"/>
    <col min="16129" max="16129" width="32.6640625" style="393" hidden="1" customWidth="1"/>
    <col min="16130" max="16131" width="12.1640625" style="393" hidden="1" customWidth="1"/>
    <col min="16132" max="16132" width="12.83203125" style="393" hidden="1" customWidth="1"/>
    <col min="16133" max="16138" width="12.1640625" style="393" hidden="1" customWidth="1"/>
    <col min="16139" max="16149" width="8.83203125" style="393" hidden="1" customWidth="1"/>
    <col min="16150" max="16384" width="8.83203125" style="393" hidden="1"/>
  </cols>
  <sheetData>
    <row r="1" spans="1:11" s="356" customFormat="1" ht="13">
      <c r="A1" s="1874" t="s">
        <v>1227</v>
      </c>
      <c r="B1" s="1875"/>
      <c r="C1" s="1875"/>
      <c r="D1" s="1875"/>
      <c r="E1" s="1875"/>
      <c r="F1" s="1875"/>
      <c r="G1" s="1875"/>
      <c r="H1" s="1875"/>
      <c r="I1" s="1875"/>
      <c r="J1" s="1876"/>
      <c r="K1" s="355"/>
    </row>
    <row r="2" spans="1:11" s="401" customFormat="1" ht="78">
      <c r="A2" s="398"/>
      <c r="B2" s="399" t="s">
        <v>1027</v>
      </c>
      <c r="C2" s="399" t="s">
        <v>1229</v>
      </c>
      <c r="D2" s="399" t="s">
        <v>1230</v>
      </c>
      <c r="E2" s="399" t="s">
        <v>1158</v>
      </c>
      <c r="F2" s="399" t="s">
        <v>1231</v>
      </c>
      <c r="G2" s="399" t="s">
        <v>1232</v>
      </c>
      <c r="H2" s="399" t="s">
        <v>1028</v>
      </c>
      <c r="I2" s="399" t="s">
        <v>1233</v>
      </c>
      <c r="J2" s="399" t="s">
        <v>1234</v>
      </c>
      <c r="K2" s="400"/>
    </row>
    <row r="3" spans="1:11" s="360" customFormat="1" ht="13">
      <c r="A3" s="357" t="s">
        <v>26</v>
      </c>
      <c r="B3" s="358"/>
      <c r="C3" s="358"/>
      <c r="D3" s="358"/>
      <c r="E3" s="358"/>
      <c r="F3" s="358"/>
      <c r="G3" s="358"/>
      <c r="H3" s="358"/>
      <c r="I3" s="358"/>
      <c r="J3" s="358"/>
      <c r="K3" s="359"/>
    </row>
    <row r="4" spans="1:11" s="360" customFormat="1" ht="13">
      <c r="A4" s="364" t="s">
        <v>27</v>
      </c>
      <c r="B4" s="361">
        <f>'Sources and Uses Budget'!C4</f>
        <v>8800000</v>
      </c>
      <c r="C4" s="362"/>
      <c r="D4" s="362"/>
      <c r="E4" s="363"/>
      <c r="F4" s="363"/>
      <c r="G4" s="363"/>
      <c r="H4" s="363"/>
      <c r="I4" s="363"/>
      <c r="J4" s="363"/>
      <c r="K4" s="359"/>
    </row>
    <row r="5" spans="1:11" s="360" customFormat="1" ht="13">
      <c r="A5" s="364" t="s">
        <v>28</v>
      </c>
      <c r="B5" s="361">
        <f>'Sources and Uses Budget'!C5</f>
        <v>0</v>
      </c>
      <c r="C5" s="362"/>
      <c r="D5" s="362"/>
      <c r="E5" s="363"/>
      <c r="F5" s="363"/>
      <c r="G5" s="363"/>
      <c r="H5" s="363"/>
      <c r="I5" s="363"/>
      <c r="J5" s="363"/>
      <c r="K5" s="359"/>
    </row>
    <row r="6" spans="1:11" s="360" customFormat="1" ht="13">
      <c r="A6" s="364" t="s">
        <v>29</v>
      </c>
      <c r="B6" s="361">
        <f>'Sources and Uses Budget'!C6</f>
        <v>50000</v>
      </c>
      <c r="C6" s="362"/>
      <c r="D6" s="362"/>
      <c r="E6" s="363"/>
      <c r="F6" s="363"/>
      <c r="G6" s="363"/>
      <c r="H6" s="363"/>
      <c r="I6" s="363"/>
      <c r="J6" s="363"/>
      <c r="K6" s="359"/>
    </row>
    <row r="7" spans="1:11" s="360" customFormat="1" ht="13">
      <c r="A7" s="364" t="s">
        <v>97</v>
      </c>
      <c r="B7" s="361">
        <f>'Sources and Uses Budget'!C7</f>
        <v>0</v>
      </c>
      <c r="C7" s="362"/>
      <c r="D7" s="362"/>
      <c r="E7" s="363"/>
      <c r="F7" s="363"/>
      <c r="G7" s="363"/>
      <c r="H7" s="363"/>
      <c r="I7" s="363"/>
      <c r="J7" s="363"/>
      <c r="K7" s="359"/>
    </row>
    <row r="8" spans="1:11" s="360" customFormat="1" ht="13">
      <c r="A8" s="365" t="s">
        <v>593</v>
      </c>
      <c r="B8" s="361">
        <f>'Sources and Uses Budget'!C8</f>
        <v>8850000</v>
      </c>
      <c r="C8" s="361">
        <f>SUM(C4:C7)</f>
        <v>0</v>
      </c>
      <c r="D8" s="361">
        <f>SUM(D4:D7)</f>
        <v>0</v>
      </c>
      <c r="E8" s="363"/>
      <c r="F8" s="363"/>
      <c r="G8" s="363"/>
      <c r="H8" s="363"/>
      <c r="I8" s="363"/>
      <c r="J8" s="363"/>
      <c r="K8" s="359"/>
    </row>
    <row r="9" spans="1:11" s="360" customFormat="1" ht="13">
      <c r="A9" s="364" t="s">
        <v>594</v>
      </c>
      <c r="B9" s="361">
        <f>'Sources and Uses Budget'!C9</f>
        <v>0</v>
      </c>
      <c r="C9" s="362"/>
      <c r="D9" s="362"/>
      <c r="E9" s="363"/>
      <c r="F9" s="363"/>
      <c r="G9" s="363"/>
      <c r="H9" s="361">
        <f>'Sources and Uses Budget'!T9</f>
        <v>0</v>
      </c>
      <c r="I9" s="362"/>
      <c r="J9" s="362"/>
      <c r="K9" s="359"/>
    </row>
    <row r="10" spans="1:11" s="360" customFormat="1" ht="13">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ht="13">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ht="13">
      <c r="A12" s="365" t="s">
        <v>84</v>
      </c>
      <c r="B12" s="361">
        <f>'Sources and Uses Budget'!C12</f>
        <v>8850000</v>
      </c>
      <c r="C12" s="361">
        <f>SUM(C8+C11)</f>
        <v>0</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6">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ht="13">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ht="13">
      <c r="A16" s="357" t="s">
        <v>597</v>
      </c>
      <c r="B16" s="358"/>
      <c r="C16" s="358"/>
      <c r="D16" s="358"/>
      <c r="E16" s="358"/>
      <c r="F16" s="358"/>
      <c r="G16" s="358"/>
      <c r="H16" s="358"/>
      <c r="I16" s="358"/>
      <c r="J16" s="358"/>
      <c r="K16" s="359"/>
    </row>
    <row r="17" spans="1:11" s="360" customFormat="1" ht="13">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ht="13">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ht="13">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ht="13">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3">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3">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3">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3">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ht="13">
      <c r="A25" s="364" t="str">
        <f>'Sources and Uses Budget'!$A25</f>
        <v xml:space="preserve">Other: </v>
      </c>
      <c r="B25" s="361">
        <f>'Sources and Uses Budget'!C25</f>
        <v>0</v>
      </c>
      <c r="C25" s="362"/>
      <c r="D25" s="362"/>
      <c r="E25" s="361">
        <f>'Sources and Uses Budget'!S25</f>
        <v>0</v>
      </c>
      <c r="F25" s="362"/>
      <c r="G25" s="362"/>
      <c r="H25" s="361">
        <f>'Sources and Uses Budget'!T25</f>
        <v>0</v>
      </c>
      <c r="I25" s="362"/>
      <c r="J25" s="362"/>
      <c r="K25" s="359"/>
    </row>
    <row r="26" spans="1:11" s="360" customFormat="1" ht="13">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ht="13">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3">
      <c r="A28" s="357" t="s">
        <v>142</v>
      </c>
      <c r="B28" s="358"/>
      <c r="C28" s="358"/>
      <c r="D28" s="358"/>
      <c r="E28" s="358"/>
      <c r="F28" s="358"/>
      <c r="G28" s="358"/>
      <c r="H28" s="358"/>
      <c r="I28" s="358"/>
      <c r="J28" s="358"/>
      <c r="K28" s="359"/>
    </row>
    <row r="29" spans="1:11" s="360" customFormat="1" ht="13">
      <c r="A29" s="145" t="s">
        <v>598</v>
      </c>
      <c r="B29" s="361">
        <f>'Sources and Uses Budget'!C29</f>
        <v>3471045</v>
      </c>
      <c r="C29" s="362"/>
      <c r="D29" s="362"/>
      <c r="E29" s="361">
        <f>'Sources and Uses Budget'!S29</f>
        <v>3471045</v>
      </c>
      <c r="F29" s="362"/>
      <c r="G29" s="362"/>
      <c r="H29" s="361">
        <f>'Sources and Uses Budget'!T29</f>
        <v>0</v>
      </c>
      <c r="I29" s="362"/>
      <c r="J29" s="362"/>
      <c r="K29" s="359"/>
    </row>
    <row r="30" spans="1:11" s="360" customFormat="1" ht="13">
      <c r="A30" s="145" t="s">
        <v>599</v>
      </c>
      <c r="B30" s="361">
        <f>'Sources and Uses Budget'!C30</f>
        <v>29092508</v>
      </c>
      <c r="C30" s="362"/>
      <c r="D30" s="362"/>
      <c r="E30" s="361">
        <f>'Sources and Uses Budget'!S30</f>
        <v>29092508</v>
      </c>
      <c r="F30" s="362"/>
      <c r="G30" s="362"/>
      <c r="H30" s="361">
        <f>'Sources and Uses Budget'!T30</f>
        <v>0</v>
      </c>
      <c r="I30" s="362"/>
      <c r="J30" s="362"/>
      <c r="K30" s="359"/>
    </row>
    <row r="31" spans="1:11" s="360" customFormat="1" ht="13">
      <c r="A31" s="145" t="s">
        <v>600</v>
      </c>
      <c r="B31" s="361">
        <f>'Sources and Uses Budget'!C31</f>
        <v>1953813</v>
      </c>
      <c r="C31" s="362"/>
      <c r="D31" s="362"/>
      <c r="E31" s="361">
        <f>'Sources and Uses Budget'!S31</f>
        <v>1953813</v>
      </c>
      <c r="F31" s="362"/>
      <c r="G31" s="362"/>
      <c r="H31" s="361">
        <f>'Sources and Uses Budget'!T31</f>
        <v>0</v>
      </c>
      <c r="I31" s="362"/>
      <c r="J31" s="362"/>
      <c r="K31" s="359"/>
    </row>
    <row r="32" spans="1:11" s="360" customFormat="1" ht="13">
      <c r="A32" s="145" t="s">
        <v>137</v>
      </c>
      <c r="B32" s="361">
        <f>'Sources and Uses Budget'!C32</f>
        <v>651271</v>
      </c>
      <c r="C32" s="362"/>
      <c r="D32" s="362"/>
      <c r="E32" s="361">
        <f>'Sources and Uses Budget'!S32</f>
        <v>651271</v>
      </c>
      <c r="F32" s="362"/>
      <c r="G32" s="362"/>
      <c r="H32" s="361">
        <f>'Sources and Uses Budget'!T32</f>
        <v>0</v>
      </c>
      <c r="I32" s="362"/>
      <c r="J32" s="362"/>
      <c r="K32" s="359"/>
    </row>
    <row r="33" spans="1:11" s="360" customFormat="1" ht="13">
      <c r="A33" s="145" t="s">
        <v>138</v>
      </c>
      <c r="B33" s="361">
        <f>'Sources and Uses Budget'!C33</f>
        <v>1611839</v>
      </c>
      <c r="C33" s="362"/>
      <c r="D33" s="362"/>
      <c r="E33" s="361">
        <f>'Sources and Uses Budget'!S33</f>
        <v>1611839</v>
      </c>
      <c r="F33" s="362"/>
      <c r="G33" s="362"/>
      <c r="H33" s="361">
        <f>'Sources and Uses Budget'!T33</f>
        <v>0</v>
      </c>
      <c r="I33" s="362"/>
      <c r="J33" s="362"/>
      <c r="K33" s="359"/>
    </row>
    <row r="34" spans="1:11" s="360" customFormat="1" ht="13">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ht="13">
      <c r="A35" s="145" t="s">
        <v>140</v>
      </c>
      <c r="B35" s="361">
        <f>'Sources and Uses Budget'!C35</f>
        <v>187152</v>
      </c>
      <c r="C35" s="362"/>
      <c r="D35" s="362"/>
      <c r="E35" s="361">
        <f>'Sources and Uses Budget'!S35</f>
        <v>187152</v>
      </c>
      <c r="F35" s="362"/>
      <c r="G35" s="362"/>
      <c r="H35" s="361">
        <f>'Sources and Uses Budget'!T35</f>
        <v>0</v>
      </c>
      <c r="I35" s="362"/>
      <c r="J35" s="362"/>
      <c r="K35" s="359"/>
    </row>
    <row r="36" spans="1:11" s="360" customFormat="1" ht="13">
      <c r="A36" s="508" t="s">
        <v>1640</v>
      </c>
      <c r="B36" s="361">
        <f>'Sources and Uses Budget'!C36</f>
        <v>0</v>
      </c>
      <c r="C36" s="362"/>
      <c r="D36" s="362"/>
      <c r="E36" s="361">
        <f>'Sources and Uses Budget'!S36</f>
        <v>0</v>
      </c>
      <c r="F36" s="362"/>
      <c r="G36" s="362"/>
      <c r="H36" s="361">
        <f>'Sources and Uses Budget'!T36</f>
        <v>0</v>
      </c>
      <c r="I36" s="362"/>
      <c r="J36" s="362"/>
      <c r="K36" s="359"/>
    </row>
    <row r="37" spans="1:11" s="360" customFormat="1" ht="26">
      <c r="A37" s="364" t="str">
        <f>'Sources and Uses Budget'!$A37</f>
        <v>Other: Payment &amp; Performance Bond &amp; builder's risk</v>
      </c>
      <c r="B37" s="361">
        <f>'Sources and Uses Budget'!C37</f>
        <v>1039408</v>
      </c>
      <c r="C37" s="362"/>
      <c r="D37" s="362"/>
      <c r="E37" s="361">
        <f>'Sources and Uses Budget'!S37</f>
        <v>1039408</v>
      </c>
      <c r="F37" s="362"/>
      <c r="G37" s="362"/>
      <c r="H37" s="361">
        <f>'Sources and Uses Budget'!T37</f>
        <v>0</v>
      </c>
      <c r="I37" s="362"/>
      <c r="J37" s="362"/>
      <c r="K37" s="359"/>
    </row>
    <row r="38" spans="1:11" s="360" customFormat="1" ht="13">
      <c r="A38" s="365" t="s">
        <v>143</v>
      </c>
      <c r="B38" s="361">
        <f>'Sources and Uses Budget'!C38</f>
        <v>38007036</v>
      </c>
      <c r="C38" s="361">
        <f>SUM(C29:C37)</f>
        <v>0</v>
      </c>
      <c r="D38" s="361">
        <f>SUM(D29:D37)</f>
        <v>0</v>
      </c>
      <c r="E38" s="361">
        <f>'Sources and Uses Budget'!S38</f>
        <v>38007036</v>
      </c>
      <c r="F38" s="367">
        <f>SUM(F29:F37)</f>
        <v>0</v>
      </c>
      <c r="G38" s="367">
        <f>SUM(G29:G37)</f>
        <v>0</v>
      </c>
      <c r="H38" s="361">
        <f>'Sources and Uses Budget'!T38</f>
        <v>0</v>
      </c>
      <c r="I38" s="367">
        <f>SUM(I29:I37)</f>
        <v>0</v>
      </c>
      <c r="J38" s="367">
        <f>SUM(J29:J37)</f>
        <v>0</v>
      </c>
      <c r="K38" s="359"/>
    </row>
    <row r="39" spans="1:11" s="360" customFormat="1" ht="13">
      <c r="A39" s="357" t="s">
        <v>144</v>
      </c>
      <c r="B39" s="358"/>
      <c r="C39" s="358"/>
      <c r="D39" s="358"/>
      <c r="E39" s="358"/>
      <c r="F39" s="358"/>
      <c r="G39" s="358"/>
      <c r="H39" s="358"/>
      <c r="I39" s="358"/>
      <c r="J39" s="358"/>
      <c r="K39" s="359"/>
    </row>
    <row r="40" spans="1:11" s="360" customFormat="1" ht="13">
      <c r="A40" s="364" t="s">
        <v>145</v>
      </c>
      <c r="B40" s="361">
        <f>'Sources and Uses Budget'!C40</f>
        <v>884631</v>
      </c>
      <c r="C40" s="362"/>
      <c r="D40" s="362"/>
      <c r="E40" s="361">
        <f>'Sources and Uses Budget'!S40</f>
        <v>884631</v>
      </c>
      <c r="F40" s="362"/>
      <c r="G40" s="362"/>
      <c r="H40" s="361">
        <f>'Sources and Uses Budget'!T40</f>
        <v>0</v>
      </c>
      <c r="I40" s="362"/>
      <c r="J40" s="362"/>
      <c r="K40" s="359"/>
    </row>
    <row r="41" spans="1:11" s="360" customFormat="1" ht="13">
      <c r="A41" s="364" t="s">
        <v>146</v>
      </c>
      <c r="B41" s="361">
        <f>'Sources and Uses Budget'!C41</f>
        <v>326296</v>
      </c>
      <c r="C41" s="362"/>
      <c r="D41" s="362"/>
      <c r="E41" s="361">
        <f>'Sources and Uses Budget'!S41</f>
        <v>326296</v>
      </c>
      <c r="F41" s="362"/>
      <c r="G41" s="362"/>
      <c r="H41" s="361">
        <f>'Sources and Uses Budget'!T41</f>
        <v>0</v>
      </c>
      <c r="I41" s="362"/>
      <c r="J41" s="362"/>
      <c r="K41" s="359"/>
    </row>
    <row r="42" spans="1:11" s="360" customFormat="1" ht="13">
      <c r="A42" s="365" t="s">
        <v>147</v>
      </c>
      <c r="B42" s="361">
        <f>'Sources and Uses Budget'!C42</f>
        <v>1210927</v>
      </c>
      <c r="C42" s="361">
        <f>SUM(C39:C41)</f>
        <v>0</v>
      </c>
      <c r="D42" s="361">
        <f>SUM(D39:D41)</f>
        <v>0</v>
      </c>
      <c r="E42" s="361">
        <f>'Sources and Uses Budget'!S42</f>
        <v>1210927</v>
      </c>
      <c r="F42" s="367">
        <f>SUM(F40:F41)</f>
        <v>0</v>
      </c>
      <c r="G42" s="367">
        <f>SUM(G40:G41)</f>
        <v>0</v>
      </c>
      <c r="H42" s="361">
        <f>'Sources and Uses Budget'!T42</f>
        <v>0</v>
      </c>
      <c r="I42" s="367">
        <f>SUM(I40:I41)</f>
        <v>0</v>
      </c>
      <c r="J42" s="367">
        <f>SUM(J40:J41)</f>
        <v>0</v>
      </c>
      <c r="K42" s="359"/>
    </row>
    <row r="43" spans="1:11" s="360" customFormat="1" ht="13">
      <c r="A43" s="365" t="s">
        <v>148</v>
      </c>
      <c r="B43" s="361">
        <f>'Sources and Uses Budget'!C43</f>
        <v>879310</v>
      </c>
      <c r="C43" s="362"/>
      <c r="D43" s="362"/>
      <c r="E43" s="361">
        <f>'Sources and Uses Budget'!S43</f>
        <v>879310</v>
      </c>
      <c r="F43" s="362"/>
      <c r="G43" s="362"/>
      <c r="H43" s="361">
        <f>'Sources and Uses Budget'!T43</f>
        <v>0</v>
      </c>
      <c r="I43" s="362"/>
      <c r="J43" s="362"/>
      <c r="K43" s="359"/>
    </row>
    <row r="44" spans="1:11" s="360" customFormat="1" ht="13">
      <c r="A44" s="357" t="s">
        <v>149</v>
      </c>
      <c r="B44" s="358"/>
      <c r="C44" s="358"/>
      <c r="D44" s="358"/>
      <c r="E44" s="358"/>
      <c r="F44" s="358"/>
      <c r="G44" s="358"/>
      <c r="H44" s="358"/>
      <c r="I44" s="358"/>
      <c r="J44" s="358"/>
      <c r="K44" s="359"/>
    </row>
    <row r="45" spans="1:11" s="360" customFormat="1" ht="13">
      <c r="A45" s="364" t="s">
        <v>150</v>
      </c>
      <c r="B45" s="361">
        <f>'Sources and Uses Budget'!C45</f>
        <v>4530000</v>
      </c>
      <c r="C45" s="362"/>
      <c r="D45" s="362"/>
      <c r="E45" s="361">
        <f>'Sources and Uses Budget'!S45</f>
        <v>2672571</v>
      </c>
      <c r="F45" s="362"/>
      <c r="G45" s="362"/>
      <c r="H45" s="361">
        <f>'Sources and Uses Budget'!T45</f>
        <v>0</v>
      </c>
      <c r="I45" s="362"/>
      <c r="J45" s="362"/>
      <c r="K45" s="359"/>
    </row>
    <row r="46" spans="1:11" s="360" customFormat="1" ht="13">
      <c r="A46" s="364" t="s">
        <v>151</v>
      </c>
      <c r="B46" s="361">
        <f>'Sources and Uses Budget'!C46</f>
        <v>487000</v>
      </c>
      <c r="C46" s="362"/>
      <c r="D46" s="362"/>
      <c r="E46" s="361">
        <f>'Sources and Uses Budget'!S46</f>
        <v>487000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ht="13">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ht="13">
      <c r="A49" s="283" t="s">
        <v>57</v>
      </c>
      <c r="B49" s="361">
        <f>'Sources and Uses Budget'!C49</f>
        <v>0</v>
      </c>
      <c r="C49" s="362"/>
      <c r="D49" s="362"/>
      <c r="E49" s="361">
        <f>'Sources and Uses Budget'!S49</f>
        <v>0</v>
      </c>
      <c r="F49" s="362"/>
      <c r="G49" s="362"/>
      <c r="H49" s="361">
        <f>'Sources and Uses Budget'!T49</f>
        <v>0</v>
      </c>
      <c r="I49" s="362"/>
      <c r="J49" s="362"/>
      <c r="K49" s="359"/>
    </row>
    <row r="50" spans="1:11" s="360" customFormat="1" ht="13">
      <c r="A50" s="364" t="s">
        <v>156</v>
      </c>
      <c r="B50" s="361">
        <f>'Sources and Uses Budget'!C50</f>
        <v>45000</v>
      </c>
      <c r="C50" s="362"/>
      <c r="D50" s="362"/>
      <c r="E50" s="361">
        <f>'Sources and Uses Budget'!S50</f>
        <v>45000</v>
      </c>
      <c r="F50" s="362"/>
      <c r="G50" s="362"/>
      <c r="H50" s="361">
        <f>'Sources and Uses Budget'!T50</f>
        <v>0</v>
      </c>
      <c r="I50" s="362"/>
      <c r="J50" s="362"/>
      <c r="K50" s="359"/>
    </row>
    <row r="51" spans="1:11" s="360" customFormat="1" ht="13">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ht="13">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ht="13">
      <c r="A53" s="364" t="str">
        <f>'Sources and Uses Budget'!$A53</f>
        <v>Other: loan fees, legal, and inspection costs</v>
      </c>
      <c r="B53" s="361">
        <f>'Sources and Uses Budget'!C53</f>
        <v>745647</v>
      </c>
      <c r="C53" s="362"/>
      <c r="D53" s="362"/>
      <c r="E53" s="361">
        <f>'Sources and Uses Budget'!S53</f>
        <v>745647</v>
      </c>
      <c r="F53" s="362"/>
      <c r="G53" s="362"/>
      <c r="H53" s="361">
        <f>'Sources and Uses Budget'!T53</f>
        <v>0</v>
      </c>
      <c r="I53" s="362"/>
      <c r="J53" s="362"/>
      <c r="K53" s="359"/>
    </row>
    <row r="54" spans="1:11" s="369" customFormat="1" ht="13">
      <c r="A54" s="365" t="s">
        <v>157</v>
      </c>
      <c r="B54" s="361">
        <f>'Sources and Uses Budget'!C54</f>
        <v>5807647</v>
      </c>
      <c r="C54" s="367">
        <f>SUM(C45:C53)</f>
        <v>0</v>
      </c>
      <c r="D54" s="367">
        <f>SUM(D45:D53)</f>
        <v>0</v>
      </c>
      <c r="E54" s="361">
        <f>'Sources and Uses Budget'!S54</f>
        <v>3950218</v>
      </c>
      <c r="F54" s="367">
        <f>SUM(F45:F53)</f>
        <v>0</v>
      </c>
      <c r="G54" s="367">
        <f>SUM(G45:G53)</f>
        <v>0</v>
      </c>
      <c r="H54" s="361">
        <f>'Sources and Uses Budget'!T54</f>
        <v>0</v>
      </c>
      <c r="I54" s="367">
        <f>SUM(I45:I53)</f>
        <v>0</v>
      </c>
      <c r="J54" s="367">
        <f>SUM(J45:J53)</f>
        <v>0</v>
      </c>
      <c r="K54" s="368"/>
    </row>
    <row r="55" spans="1:11" s="360" customFormat="1" ht="13">
      <c r="A55" s="357" t="s">
        <v>417</v>
      </c>
      <c r="B55" s="358"/>
      <c r="C55" s="358"/>
      <c r="D55" s="358"/>
      <c r="E55" s="358"/>
      <c r="F55" s="358"/>
      <c r="G55" s="358"/>
      <c r="H55" s="358"/>
      <c r="I55" s="358"/>
      <c r="J55" s="358"/>
      <c r="K55" s="359"/>
    </row>
    <row r="56" spans="1:11" s="360" customFormat="1" ht="13">
      <c r="A56" s="364" t="s">
        <v>158</v>
      </c>
      <c r="B56" s="361">
        <f>'Sources and Uses Budget'!C56</f>
        <v>409485</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ht="13">
      <c r="A58" s="364" t="s">
        <v>156</v>
      </c>
      <c r="B58" s="361">
        <f>'Sources and Uses Budget'!C58</f>
        <v>80000</v>
      </c>
      <c r="C58" s="362"/>
      <c r="D58" s="362"/>
      <c r="E58" s="363"/>
      <c r="F58" s="363"/>
      <c r="G58" s="363"/>
      <c r="H58" s="363"/>
      <c r="I58" s="363"/>
      <c r="J58" s="363"/>
      <c r="K58" s="359"/>
    </row>
    <row r="59" spans="1:11" s="360" customFormat="1" ht="13">
      <c r="A59" s="364" t="s">
        <v>154</v>
      </c>
      <c r="B59" s="361">
        <f>'Sources and Uses Budget'!C59</f>
        <v>0</v>
      </c>
      <c r="C59" s="362"/>
      <c r="D59" s="362"/>
      <c r="E59" s="363"/>
      <c r="F59" s="363"/>
      <c r="G59" s="363"/>
      <c r="H59" s="363"/>
      <c r="I59" s="363"/>
      <c r="J59" s="363"/>
      <c r="K59" s="359"/>
    </row>
    <row r="60" spans="1:11" s="360" customFormat="1" ht="13">
      <c r="A60" s="364" t="s">
        <v>155</v>
      </c>
      <c r="B60" s="361">
        <f>'Sources and Uses Budget'!C60</f>
        <v>0</v>
      </c>
      <c r="C60" s="362"/>
      <c r="D60" s="362"/>
      <c r="E60" s="363"/>
      <c r="F60" s="363"/>
      <c r="G60" s="363"/>
      <c r="H60" s="363"/>
      <c r="I60" s="363"/>
      <c r="J60" s="363"/>
      <c r="K60" s="359"/>
    </row>
    <row r="61" spans="1:11" s="360" customFormat="1" ht="26">
      <c r="A61" s="364" t="str">
        <f>'Sources and Uses Budget'!$A61</f>
        <v>Other: issuance, legal costs and partnership legal</v>
      </c>
      <c r="B61" s="361">
        <f>'Sources and Uses Budget'!C61</f>
        <v>385353</v>
      </c>
      <c r="C61" s="362"/>
      <c r="D61" s="362"/>
      <c r="E61" s="363"/>
      <c r="F61" s="363"/>
      <c r="G61" s="363"/>
      <c r="H61" s="363"/>
      <c r="I61" s="363"/>
      <c r="J61" s="363"/>
      <c r="K61" s="359"/>
    </row>
    <row r="62" spans="1:11" s="360" customFormat="1" ht="13.75" customHeight="1">
      <c r="A62" s="365" t="s">
        <v>300</v>
      </c>
      <c r="B62" s="361">
        <f>'Sources and Uses Budget'!C62</f>
        <v>874838</v>
      </c>
      <c r="C62" s="361">
        <f>SUM(C56:C61)</f>
        <v>0</v>
      </c>
      <c r="D62" s="361">
        <f>SUM(D56:D61)</f>
        <v>0</v>
      </c>
      <c r="E62" s="363"/>
      <c r="F62" s="363"/>
      <c r="G62" s="363"/>
      <c r="H62" s="363"/>
      <c r="I62" s="363"/>
      <c r="J62" s="363"/>
      <c r="K62" s="359"/>
    </row>
    <row r="63" spans="1:11" s="360" customFormat="1" ht="13">
      <c r="A63" s="370" t="s">
        <v>301</v>
      </c>
      <c r="B63" s="361">
        <f>'Sources and Uses Budget'!C63</f>
        <v>55629758</v>
      </c>
      <c r="C63" s="361">
        <f>SUM(C8+C11+C13+C14+C15+C26+C27+C38+C42+C43+C54+C62)</f>
        <v>0</v>
      </c>
      <c r="D63" s="361">
        <f>SUM(D8+D11+D13+D14+D15+D26+D27+D38+D42+D43+D54+D62)</f>
        <v>0</v>
      </c>
      <c r="E63" s="361">
        <f>'Sources and Uses Budget'!S63</f>
        <v>44047491</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6">
      <c r="A64" s="141" t="s">
        <v>1644</v>
      </c>
      <c r="B64" s="358"/>
      <c r="C64" s="358"/>
      <c r="D64" s="358"/>
      <c r="E64" s="358"/>
      <c r="F64" s="358"/>
      <c r="G64" s="358"/>
      <c r="H64" s="358"/>
      <c r="I64" s="358"/>
      <c r="J64" s="358"/>
      <c r="K64" s="359"/>
    </row>
    <row r="65" spans="1:11" s="360" customFormat="1" ht="13">
      <c r="A65" s="145" t="s">
        <v>170</v>
      </c>
      <c r="B65" s="361">
        <f>'Sources and Uses Budget'!C65</f>
        <v>0</v>
      </c>
      <c r="C65" s="362"/>
      <c r="D65" s="362"/>
      <c r="E65" s="361">
        <f>'Sources and Uses Budget'!S65</f>
        <v>0</v>
      </c>
      <c r="F65" s="362"/>
      <c r="G65" s="362"/>
      <c r="H65" s="361">
        <f>'Sources and Uses Budget'!T65</f>
        <v>0</v>
      </c>
      <c r="I65" s="362"/>
      <c r="J65" s="362"/>
      <c r="K65" s="359"/>
    </row>
    <row r="66" spans="1:11" s="360" customFormat="1" ht="26">
      <c r="A66" s="283" t="s">
        <v>1641</v>
      </c>
      <c r="B66" s="361">
        <f>'Sources and Uses Budget'!C66</f>
        <v>0</v>
      </c>
      <c r="C66" s="362"/>
      <c r="D66" s="362"/>
      <c r="E66" s="361">
        <f>'Sources and Uses Budget'!S66</f>
        <v>0</v>
      </c>
      <c r="F66" s="362"/>
      <c r="G66" s="362"/>
      <c r="H66" s="361">
        <f>'Sources and Uses Budget'!T66</f>
        <v>0</v>
      </c>
      <c r="I66" s="362"/>
      <c r="J66" s="362"/>
      <c r="K66" s="359"/>
    </row>
    <row r="67" spans="1:11" s="360" customFormat="1" ht="26">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ht="13">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ht="13">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ht="13">
      <c r="A70" s="365" t="s">
        <v>601</v>
      </c>
      <c r="B70" s="361">
        <f>'Sources and Uses Budget'!C70</f>
        <v>0</v>
      </c>
      <c r="C70" s="361">
        <f>SUM(C64:C69)</f>
        <v>0</v>
      </c>
      <c r="D70" s="361">
        <f>SUM(D64:D69)</f>
        <v>0</v>
      </c>
      <c r="E70" s="361">
        <f>'Sources and Uses Budget'!S70</f>
        <v>0</v>
      </c>
      <c r="F70" s="367">
        <f>SUM(F65:F69)</f>
        <v>0</v>
      </c>
      <c r="G70" s="367">
        <f>SUM(G65:G69)</f>
        <v>0</v>
      </c>
      <c r="H70" s="361">
        <f>'Sources and Uses Budget'!T70</f>
        <v>0</v>
      </c>
      <c r="I70" s="367">
        <f>SUM(I65:I69)</f>
        <v>0</v>
      </c>
      <c r="J70" s="367">
        <f>SUM(J65:J69)</f>
        <v>0</v>
      </c>
      <c r="K70" s="359"/>
    </row>
    <row r="71" spans="1:11" s="360" customFormat="1" ht="13">
      <c r="A71" s="357" t="s">
        <v>602</v>
      </c>
      <c r="B71" s="358"/>
      <c r="C71" s="358"/>
      <c r="D71" s="358"/>
      <c r="E71" s="358"/>
      <c r="F71" s="358"/>
      <c r="G71" s="358"/>
      <c r="H71" s="358"/>
      <c r="I71" s="358"/>
      <c r="J71" s="358"/>
      <c r="K71" s="359"/>
    </row>
    <row r="72" spans="1:11" s="360" customFormat="1" ht="13">
      <c r="A72" s="364" t="s">
        <v>603</v>
      </c>
      <c r="B72" s="361">
        <f>'Sources and Uses Budget'!C72</f>
        <v>0</v>
      </c>
      <c r="C72" s="362"/>
      <c r="D72" s="362"/>
      <c r="E72" s="363"/>
      <c r="F72" s="363"/>
      <c r="G72" s="363"/>
      <c r="H72" s="363"/>
      <c r="I72" s="363"/>
      <c r="J72" s="363"/>
      <c r="K72" s="359"/>
    </row>
    <row r="73" spans="1:11" s="360" customFormat="1" ht="13">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ht="13">
      <c r="A75" s="364" t="s">
        <v>605</v>
      </c>
      <c r="B75" s="361">
        <f>'Sources and Uses Budget'!C75</f>
        <v>1033881</v>
      </c>
      <c r="C75" s="362"/>
      <c r="D75" s="362"/>
      <c r="E75" s="363"/>
      <c r="F75" s="363"/>
      <c r="G75" s="363"/>
      <c r="H75" s="363"/>
      <c r="I75" s="363"/>
      <c r="J75" s="363"/>
      <c r="K75" s="359"/>
    </row>
    <row r="76" spans="1:11" s="360" customFormat="1" ht="13">
      <c r="A76" s="364" t="str">
        <f>'Sources and Uses Budget'!$A76</f>
        <v>Other: lease-up reserve</v>
      </c>
      <c r="B76" s="361">
        <f>'Sources and Uses Budget'!C76</f>
        <v>100000</v>
      </c>
      <c r="C76" s="362"/>
      <c r="D76" s="362"/>
      <c r="E76" s="363"/>
      <c r="F76" s="363"/>
      <c r="G76" s="363"/>
      <c r="H76" s="363"/>
      <c r="I76" s="363"/>
      <c r="J76" s="363"/>
      <c r="K76" s="359"/>
    </row>
    <row r="77" spans="1:11" s="360" customFormat="1" ht="13">
      <c r="A77" s="365" t="s">
        <v>606</v>
      </c>
      <c r="B77" s="361">
        <f>'Sources and Uses Budget'!C77</f>
        <v>1133881</v>
      </c>
      <c r="C77" s="361">
        <f>SUM(C72:C76)</f>
        <v>0</v>
      </c>
      <c r="D77" s="361">
        <f>SUM(D72:D76)</f>
        <v>0</v>
      </c>
      <c r="E77" s="363"/>
      <c r="F77" s="363"/>
      <c r="G77" s="363"/>
      <c r="H77" s="363"/>
      <c r="I77" s="363"/>
      <c r="J77" s="363"/>
      <c r="K77" s="359"/>
    </row>
    <row r="78" spans="1:11" s="360" customFormat="1" ht="13">
      <c r="A78" s="357" t="s">
        <v>1210</v>
      </c>
      <c r="B78" s="358"/>
      <c r="C78" s="358"/>
      <c r="D78" s="358"/>
      <c r="E78" s="358"/>
      <c r="F78" s="358"/>
      <c r="G78" s="358"/>
      <c r="H78" s="358"/>
      <c r="I78" s="358"/>
      <c r="J78" s="358"/>
      <c r="K78" s="359"/>
    </row>
    <row r="79" spans="1:11" s="360" customFormat="1" ht="13">
      <c r="A79" s="364" t="s">
        <v>1212</v>
      </c>
      <c r="B79" s="361">
        <f>'Sources and Uses Budget'!C79</f>
        <v>1861570</v>
      </c>
      <c r="C79" s="362"/>
      <c r="D79" s="362"/>
      <c r="E79" s="361">
        <f>'Sources and Uses Budget'!S79</f>
        <v>1861570</v>
      </c>
      <c r="F79" s="362"/>
      <c r="G79" s="362"/>
      <c r="H79" s="361">
        <f>'Sources and Uses Budget'!T79</f>
        <v>0</v>
      </c>
      <c r="I79" s="362"/>
      <c r="J79" s="362"/>
      <c r="K79" s="359"/>
    </row>
    <row r="80" spans="1:11" s="360" customFormat="1" ht="13">
      <c r="A80" s="364" t="s">
        <v>58</v>
      </c>
      <c r="B80" s="361">
        <f>'Sources and Uses Budget'!C80</f>
        <v>600000</v>
      </c>
      <c r="C80" s="362"/>
      <c r="D80" s="362"/>
      <c r="E80" s="361">
        <f>'Sources and Uses Budget'!S80</f>
        <v>600000</v>
      </c>
      <c r="F80" s="362"/>
      <c r="G80" s="362"/>
      <c r="H80" s="361">
        <f>'Sources and Uses Budget'!T80</f>
        <v>0</v>
      </c>
      <c r="I80" s="362"/>
      <c r="J80" s="362"/>
      <c r="K80" s="359"/>
    </row>
    <row r="81" spans="1:11" s="360" customFormat="1" ht="13">
      <c r="A81" s="365" t="s">
        <v>1209</v>
      </c>
      <c r="B81" s="361">
        <f>'Sources and Uses Budget'!C81</f>
        <v>2461570</v>
      </c>
      <c r="C81" s="361">
        <f>SUM(C79:C80)</f>
        <v>0</v>
      </c>
      <c r="D81" s="361">
        <f>SUM(D79:D80)</f>
        <v>0</v>
      </c>
      <c r="E81" s="361">
        <f>'Sources and Uses Budget'!S81</f>
        <v>2461570</v>
      </c>
      <c r="F81" s="361">
        <f>SUM(F79:F80)</f>
        <v>0</v>
      </c>
      <c r="G81" s="361">
        <f>SUM(G79:G80)</f>
        <v>0</v>
      </c>
      <c r="H81" s="361">
        <f>'Sources and Uses Budget'!T81</f>
        <v>0</v>
      </c>
      <c r="I81" s="361">
        <f>SUM(I79:I80)</f>
        <v>0</v>
      </c>
      <c r="J81" s="361">
        <f>SUM(J79:J80)</f>
        <v>0</v>
      </c>
      <c r="K81" s="359"/>
    </row>
    <row r="82" spans="1:11" s="360" customFormat="1" ht="13">
      <c r="A82" s="357" t="s">
        <v>765</v>
      </c>
      <c r="B82" s="358"/>
      <c r="C82" s="358"/>
      <c r="D82" s="358"/>
      <c r="E82" s="358"/>
      <c r="F82" s="358"/>
      <c r="G82" s="358"/>
      <c r="H82" s="358"/>
      <c r="I82" s="358"/>
      <c r="J82" s="358"/>
      <c r="K82" s="359"/>
    </row>
    <row r="83" spans="1:11" s="360" customFormat="1" ht="13.75" customHeight="1">
      <c r="A83" s="145" t="s">
        <v>2094</v>
      </c>
      <c r="B83" s="361">
        <f>'Sources and Uses Budget'!C83</f>
        <v>160255</v>
      </c>
      <c r="C83" s="362"/>
      <c r="D83" s="362"/>
      <c r="E83" s="363"/>
      <c r="F83" s="363"/>
      <c r="G83" s="363"/>
      <c r="H83" s="363"/>
      <c r="I83" s="363"/>
      <c r="J83" s="363"/>
      <c r="K83" s="359"/>
    </row>
    <row r="84" spans="1:11" s="360" customFormat="1" ht="13">
      <c r="A84" s="145" t="s">
        <v>767</v>
      </c>
      <c r="B84" s="361">
        <f>'Sources and Uses Budget'!C84</f>
        <v>0</v>
      </c>
      <c r="C84" s="362"/>
      <c r="D84" s="362"/>
      <c r="E84" s="361">
        <f>'Sources and Uses Budget'!S84</f>
        <v>0</v>
      </c>
      <c r="F84" s="362"/>
      <c r="G84" s="362"/>
      <c r="H84" s="361">
        <f>'Sources and Uses Budget'!T84</f>
        <v>0</v>
      </c>
      <c r="I84" s="362"/>
      <c r="J84" s="362"/>
      <c r="K84" s="359"/>
    </row>
    <row r="85" spans="1:11" s="360" customFormat="1" ht="13">
      <c r="A85" s="145" t="s">
        <v>768</v>
      </c>
      <c r="B85" s="361">
        <f>'Sources and Uses Budget'!C85</f>
        <v>2109915</v>
      </c>
      <c r="C85" s="362"/>
      <c r="D85" s="362"/>
      <c r="E85" s="361">
        <f>'Sources and Uses Budget'!S85</f>
        <v>2109915</v>
      </c>
      <c r="F85" s="362"/>
      <c r="G85" s="362"/>
      <c r="H85" s="361">
        <f>'Sources and Uses Budget'!T85</f>
        <v>0</v>
      </c>
      <c r="I85" s="362"/>
      <c r="J85" s="362"/>
      <c r="K85" s="359"/>
    </row>
    <row r="86" spans="1:11" s="360" customFormat="1" ht="13">
      <c r="A86" s="145" t="s">
        <v>769</v>
      </c>
      <c r="B86" s="361">
        <f>'Sources and Uses Budget'!C86</f>
        <v>25000</v>
      </c>
      <c r="C86" s="362"/>
      <c r="D86" s="362"/>
      <c r="E86" s="361">
        <f>'Sources and Uses Budget'!S86</f>
        <v>25000</v>
      </c>
      <c r="F86" s="362"/>
      <c r="G86" s="362"/>
      <c r="H86" s="361">
        <f>'Sources and Uses Budget'!T86</f>
        <v>0</v>
      </c>
      <c r="I86" s="362"/>
      <c r="J86" s="362"/>
      <c r="K86" s="359"/>
    </row>
    <row r="87" spans="1:11" s="360" customFormat="1" ht="13">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ht="13">
      <c r="A88" s="145" t="s">
        <v>771</v>
      </c>
      <c r="B88" s="361">
        <f>'Sources and Uses Budget'!C88</f>
        <v>0</v>
      </c>
      <c r="C88" s="362"/>
      <c r="D88" s="362"/>
      <c r="E88" s="363"/>
      <c r="F88" s="363"/>
      <c r="G88" s="363"/>
      <c r="H88" s="363"/>
      <c r="I88" s="363"/>
      <c r="J88" s="363"/>
      <c r="K88" s="359"/>
    </row>
    <row r="89" spans="1:11" s="360" customFormat="1" ht="13">
      <c r="A89" s="145" t="s">
        <v>772</v>
      </c>
      <c r="B89" s="361">
        <f>'Sources and Uses Budget'!C89</f>
        <v>300000</v>
      </c>
      <c r="C89" s="362"/>
      <c r="D89" s="362"/>
      <c r="E89" s="361">
        <f>'Sources and Uses Budget'!S89</f>
        <v>300000</v>
      </c>
      <c r="F89" s="362"/>
      <c r="G89" s="362"/>
      <c r="H89" s="361">
        <f>'Sources and Uses Budget'!T89</f>
        <v>0</v>
      </c>
      <c r="I89" s="362"/>
      <c r="J89" s="362"/>
      <c r="K89" s="359"/>
    </row>
    <row r="90" spans="1:11" s="360" customFormat="1" ht="13">
      <c r="A90" s="145" t="s">
        <v>773</v>
      </c>
      <c r="B90" s="361">
        <f>'Sources and Uses Budget'!C90</f>
        <v>0</v>
      </c>
      <c r="C90" s="362"/>
      <c r="D90" s="362"/>
      <c r="E90" s="361">
        <f>'Sources and Uses Budget'!S90</f>
        <v>0</v>
      </c>
      <c r="F90" s="362"/>
      <c r="G90" s="362"/>
      <c r="H90" s="361">
        <f>'Sources and Uses Budget'!T90</f>
        <v>0</v>
      </c>
      <c r="I90" s="362"/>
      <c r="J90" s="362"/>
      <c r="K90" s="359"/>
    </row>
    <row r="91" spans="1:11" s="360" customFormat="1" ht="13">
      <c r="A91" s="155" t="s">
        <v>371</v>
      </c>
      <c r="B91" s="361">
        <f>'Sources and Uses Budget'!C91</f>
        <v>60000</v>
      </c>
      <c r="C91" s="362"/>
      <c r="D91" s="362"/>
      <c r="E91" s="361">
        <f>'Sources and Uses Budget'!S91</f>
        <v>60000</v>
      </c>
      <c r="F91" s="362"/>
      <c r="G91" s="362"/>
      <c r="H91" s="361">
        <f>'Sources and Uses Budget'!T91</f>
        <v>0</v>
      </c>
      <c r="I91" s="362"/>
      <c r="J91" s="362"/>
      <c r="K91" s="359"/>
    </row>
    <row r="92" spans="1:11" s="360" customFormat="1" ht="13">
      <c r="A92" s="508" t="s">
        <v>1211</v>
      </c>
      <c r="B92" s="361">
        <f>'Sources and Uses Budget'!C92</f>
        <v>20000</v>
      </c>
      <c r="C92" s="362"/>
      <c r="D92" s="362"/>
      <c r="E92" s="361">
        <f>'Sources and Uses Budget'!S92</f>
        <v>20000</v>
      </c>
      <c r="F92" s="362"/>
      <c r="G92" s="362"/>
      <c r="H92" s="361">
        <f>'Sources and Uses Budget'!T92</f>
        <v>0</v>
      </c>
      <c r="I92" s="362"/>
      <c r="J92" s="362"/>
      <c r="K92" s="359"/>
    </row>
    <row r="93" spans="1:11" s="360" customFormat="1" ht="13">
      <c r="A93" s="364" t="str">
        <f>'Sources and Uses Budget'!$A93</f>
        <v>Other: Enviornmental &amp; Geotechnical</v>
      </c>
      <c r="B93" s="361">
        <f>'Sources and Uses Budget'!C93</f>
        <v>635700</v>
      </c>
      <c r="C93" s="362"/>
      <c r="D93" s="362"/>
      <c r="E93" s="361">
        <f>'Sources and Uses Budget'!S93</f>
        <v>635700</v>
      </c>
      <c r="F93" s="362"/>
      <c r="G93" s="362"/>
      <c r="H93" s="361">
        <f>'Sources and Uses Budget'!T93</f>
        <v>0</v>
      </c>
      <c r="I93" s="362"/>
      <c r="J93" s="362"/>
      <c r="K93" s="359"/>
    </row>
    <row r="94" spans="1:11" s="360" customFormat="1" ht="26">
      <c r="A94" s="364" t="str">
        <f>'Sources and Uses Budget'!$A94</f>
        <v>Other: third party reports, and third party management construction</v>
      </c>
      <c r="B94" s="361">
        <f>'Sources and Uses Budget'!C94</f>
        <v>694301</v>
      </c>
      <c r="C94" s="362"/>
      <c r="D94" s="362"/>
      <c r="E94" s="361">
        <f>'Sources and Uses Budget'!S94</f>
        <v>694301</v>
      </c>
      <c r="F94" s="362"/>
      <c r="G94" s="362"/>
      <c r="H94" s="361">
        <f>'Sources and Uses Budget'!T94</f>
        <v>0</v>
      </c>
      <c r="I94" s="362"/>
      <c r="J94" s="362"/>
      <c r="K94" s="359"/>
    </row>
    <row r="95" spans="1:11" s="360" customFormat="1" ht="13">
      <c r="A95" s="364" t="str">
        <f>'Sources and Uses Budget'!$A95</f>
        <v>Other: Real estate legal and taxes</v>
      </c>
      <c r="B95" s="361">
        <f>'Sources and Uses Budget'!C95</f>
        <v>340000</v>
      </c>
      <c r="C95" s="362"/>
      <c r="D95" s="362"/>
      <c r="E95" s="361">
        <f>'Sources and Uses Budget'!S95</f>
        <v>240000</v>
      </c>
      <c r="F95" s="362"/>
      <c r="G95" s="362"/>
      <c r="H95" s="361">
        <f>'Sources and Uses Budget'!T95</f>
        <v>0</v>
      </c>
      <c r="I95" s="362"/>
      <c r="J95" s="362"/>
      <c r="K95" s="359"/>
    </row>
    <row r="96" spans="1:11" s="360" customFormat="1" ht="13">
      <c r="A96" s="365" t="s">
        <v>774</v>
      </c>
      <c r="B96" s="361">
        <f>'Sources and Uses Budget'!C96</f>
        <v>4345171</v>
      </c>
      <c r="C96" s="361">
        <f>SUM(C83:C95)</f>
        <v>0</v>
      </c>
      <c r="D96" s="361">
        <f>SUM(D83:D95)</f>
        <v>0</v>
      </c>
      <c r="E96" s="361">
        <f>'Sources and Uses Budget'!S96</f>
        <v>4084916</v>
      </c>
      <c r="F96" s="367">
        <f>SUM(F84:F87,F89:F95)</f>
        <v>0</v>
      </c>
      <c r="G96" s="367">
        <f>SUM(G84:G87,G89:G95)</f>
        <v>0</v>
      </c>
      <c r="H96" s="361">
        <f>'Sources and Uses Budget'!T96</f>
        <v>0</v>
      </c>
      <c r="I96" s="361">
        <f>SUM(I84:I87,I89:I95)</f>
        <v>0</v>
      </c>
      <c r="J96" s="361">
        <f>SUM(J84:J87,J89:J95)</f>
        <v>0</v>
      </c>
      <c r="K96" s="359"/>
    </row>
    <row r="97" spans="1:11" s="360" customFormat="1" ht="13">
      <c r="A97" s="365" t="s">
        <v>1029</v>
      </c>
      <c r="B97" s="361">
        <f>'Sources and Uses Budget'!C97</f>
        <v>63570380</v>
      </c>
      <c r="C97" s="361">
        <f>SUM(C63+C70+C77+C81+C96)</f>
        <v>0</v>
      </c>
      <c r="D97" s="361">
        <f>SUM(D63+D70+D77+D81+D96)</f>
        <v>0</v>
      </c>
      <c r="E97" s="361">
        <f>'Sources and Uses Budget'!S97</f>
        <v>50593977</v>
      </c>
      <c r="F97" s="367">
        <f>SUM(+F63+F70+F81+F96)</f>
        <v>0</v>
      </c>
      <c r="G97" s="367">
        <f>SUM(+G63+G70+G81+G96)</f>
        <v>0</v>
      </c>
      <c r="H97" s="361">
        <f>'Sources and Uses Budget'!T97</f>
        <v>0</v>
      </c>
      <c r="I97" s="367">
        <f>SUM(I63+I70+I81+I96)</f>
        <v>0</v>
      </c>
      <c r="J97" s="367">
        <f>SUM(J63+J70+J81+J96)</f>
        <v>0</v>
      </c>
      <c r="K97" s="359"/>
    </row>
    <row r="98" spans="1:11" s="360" customFormat="1" ht="13">
      <c r="A98" s="357" t="s">
        <v>776</v>
      </c>
      <c r="B98" s="358"/>
      <c r="C98" s="358"/>
      <c r="D98" s="358"/>
      <c r="E98" s="358"/>
      <c r="F98" s="358"/>
      <c r="G98" s="358"/>
      <c r="H98" s="358"/>
      <c r="I98" s="358"/>
      <c r="J98" s="358"/>
      <c r="K98" s="359"/>
    </row>
    <row r="99" spans="1:11" s="360" customFormat="1" ht="13">
      <c r="A99" s="145" t="s">
        <v>777</v>
      </c>
      <c r="B99" s="361">
        <f>'Sources and Uses Budget'!C99</f>
        <v>7589096</v>
      </c>
      <c r="C99" s="362"/>
      <c r="D99" s="362"/>
      <c r="E99" s="361">
        <f>'Sources and Uses Budget'!S99</f>
        <v>7589096</v>
      </c>
      <c r="F99" s="362"/>
      <c r="G99" s="362"/>
      <c r="H99" s="361">
        <f>'Sources and Uses Budget'!T99</f>
        <v>0</v>
      </c>
      <c r="I99" s="362"/>
      <c r="J99" s="362"/>
      <c r="K99" s="359"/>
    </row>
    <row r="100" spans="1:11" s="360" customFormat="1" ht="13">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3">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3">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ht="13">
      <c r="A104" s="365" t="s">
        <v>779</v>
      </c>
      <c r="B104" s="361">
        <f>'Sources and Uses Budget'!C104</f>
        <v>7589096</v>
      </c>
      <c r="C104" s="361">
        <f>SUM(C99:C103)</f>
        <v>0</v>
      </c>
      <c r="D104" s="361">
        <f>SUM(D99:D103)</f>
        <v>0</v>
      </c>
      <c r="E104" s="361">
        <f>'Sources and Uses Budget'!S104</f>
        <v>7589096</v>
      </c>
      <c r="F104" s="367">
        <f>SUM(F99:F103)</f>
        <v>0</v>
      </c>
      <c r="G104" s="367">
        <f>SUM(G99:G103)</f>
        <v>0</v>
      </c>
      <c r="H104" s="361">
        <f>'Sources and Uses Budget'!T104</f>
        <v>0</v>
      </c>
      <c r="I104" s="367">
        <f>SUM(I99:I103)</f>
        <v>0</v>
      </c>
      <c r="J104" s="367">
        <f>SUM(J99:J103)</f>
        <v>0</v>
      </c>
      <c r="K104" s="359"/>
    </row>
    <row r="105" spans="1:11" s="360" customFormat="1" ht="13">
      <c r="A105" s="365" t="s">
        <v>1030</v>
      </c>
      <c r="B105" s="361">
        <f>'Sources and Uses Budget'!C105</f>
        <v>71159476</v>
      </c>
      <c r="C105" s="367">
        <f>SUM(C97+C104)</f>
        <v>0</v>
      </c>
      <c r="D105" s="367">
        <f>SUM(D97+D104)</f>
        <v>0</v>
      </c>
      <c r="E105" s="361">
        <f>'Sources and Uses Budget'!S105</f>
        <v>58183073</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58183073</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6">
      <c r="A122" s="379"/>
      <c r="J122" s="381"/>
      <c r="K122" s="382"/>
    </row>
    <row r="123" spans="1:11" s="360" customFormat="1">
      <c r="A123" s="383"/>
      <c r="J123" s="376"/>
      <c r="K123" s="359"/>
    </row>
    <row r="124" spans="1:11" s="360" customFormat="1">
      <c r="B124" s="384"/>
      <c r="D124" s="1872"/>
      <c r="E124" s="1316"/>
      <c r="F124" s="1316"/>
      <c r="G124" s="1316"/>
      <c r="H124" s="1316"/>
      <c r="I124" s="1316"/>
      <c r="J124" s="376"/>
      <c r="K124" s="359"/>
    </row>
    <row r="125" spans="1:11" s="360" customFormat="1" ht="13">
      <c r="A125" s="385"/>
      <c r="B125" s="384"/>
      <c r="C125" s="385"/>
      <c r="D125" s="1316"/>
      <c r="E125" s="1316"/>
      <c r="F125" s="1316"/>
      <c r="G125" s="1316"/>
      <c r="H125" s="1316"/>
      <c r="I125" s="1316"/>
      <c r="J125" s="376"/>
      <c r="K125" s="359"/>
    </row>
    <row r="126" spans="1:11" s="360" customFormat="1" ht="13">
      <c r="A126" s="385"/>
      <c r="B126" s="384"/>
      <c r="C126" s="385"/>
      <c r="D126" s="1316"/>
      <c r="E126" s="1316"/>
      <c r="F126" s="1316"/>
      <c r="G126" s="1316"/>
      <c r="H126" s="1316"/>
      <c r="I126" s="1316"/>
      <c r="J126" s="376"/>
      <c r="K126" s="359"/>
    </row>
    <row r="127" spans="1:11" s="360" customFormat="1" ht="13">
      <c r="A127" s="385"/>
      <c r="B127" s="384"/>
      <c r="C127" s="385"/>
      <c r="D127" s="386"/>
      <c r="E127" s="385"/>
      <c r="F127" s="385"/>
      <c r="G127" s="385"/>
      <c r="J127" s="376"/>
      <c r="K127" s="359"/>
    </row>
    <row r="128" spans="1:11" s="360" customFormat="1" ht="13">
      <c r="A128" s="385"/>
      <c r="B128" s="384"/>
      <c r="C128" s="385"/>
      <c r="D128" s="386"/>
      <c r="E128" s="385"/>
      <c r="F128" s="385"/>
      <c r="G128" s="385"/>
      <c r="J128" s="376"/>
      <c r="K128" s="359"/>
    </row>
    <row r="129" spans="1:11" s="360" customFormat="1" ht="13">
      <c r="A129" s="385"/>
      <c r="B129" s="384"/>
      <c r="C129" s="385"/>
      <c r="D129" s="385"/>
      <c r="E129" s="385"/>
      <c r="F129" s="385"/>
      <c r="G129" s="385"/>
      <c r="J129" s="376"/>
      <c r="K129" s="359"/>
    </row>
    <row r="130" spans="1:11" s="360" customFormat="1" ht="13">
      <c r="A130" s="385"/>
      <c r="B130" s="384"/>
      <c r="C130" s="385"/>
      <c r="D130" s="385"/>
      <c r="E130" s="385"/>
      <c r="F130" s="385"/>
      <c r="G130" s="385"/>
      <c r="J130" s="376"/>
      <c r="K130" s="359"/>
    </row>
    <row r="131" spans="1:11" s="360" customFormat="1" ht="13">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3">
      <c r="A133" s="391"/>
      <c r="B133" s="385"/>
      <c r="C133" s="385"/>
      <c r="D133" s="385"/>
      <c r="E133" s="385"/>
      <c r="F133" s="385"/>
      <c r="G133" s="385"/>
      <c r="J133" s="376"/>
      <c r="K133" s="359"/>
    </row>
    <row r="134" spans="1:11" s="360" customFormat="1" ht="13">
      <c r="A134" s="391"/>
      <c r="B134" s="385"/>
      <c r="C134" s="385"/>
      <c r="D134" s="385"/>
      <c r="E134" s="385"/>
      <c r="F134" s="385"/>
      <c r="G134" s="385"/>
      <c r="J134" s="376"/>
      <c r="K134" s="359"/>
    </row>
    <row r="135" spans="1:11" s="360" customFormat="1" ht="13">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3">
      <c r="A137" s="391"/>
      <c r="B137" s="385"/>
      <c r="C137" s="385"/>
      <c r="D137" s="385"/>
      <c r="E137" s="385"/>
      <c r="F137" s="385"/>
      <c r="G137" s="385"/>
    </row>
    <row r="138" spans="1:11" ht="12" customHeight="1">
      <c r="A138" s="391"/>
      <c r="B138" s="385"/>
      <c r="C138" s="385"/>
      <c r="D138" s="385"/>
      <c r="E138" s="385"/>
      <c r="F138" s="385"/>
      <c r="G138" s="385"/>
    </row>
    <row r="139" spans="1:11" ht="12" customHeight="1">
      <c r="A139" s="1873"/>
      <c r="B139" s="1316"/>
      <c r="C139" s="1316"/>
      <c r="D139" s="356"/>
      <c r="E139" s="385"/>
      <c r="F139" s="385"/>
      <c r="G139" s="385"/>
    </row>
    <row r="140" spans="1:11" ht="12" customHeight="1">
      <c r="A140" s="1287"/>
      <c r="B140" s="1287"/>
      <c r="C140" s="1287"/>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219" workbookViewId="0">
      <selection activeCell="AM253" sqref="AM253"/>
    </sheetView>
  </sheetViews>
  <sheetFormatPr baseColWidth="10" defaultColWidth="2.6640625" defaultRowHeight="15.75" customHeight="1"/>
  <cols>
    <col min="1" max="8" width="2.6640625" style="1187"/>
    <col min="9" max="9" width="7.6640625" style="1187" customWidth="1"/>
    <col min="10" max="13" width="2.6640625" style="1187"/>
    <col min="14" max="14" width="4.6640625" style="1187" customWidth="1"/>
    <col min="15" max="19" width="2.6640625" style="1187"/>
    <col min="20" max="20" width="3.6640625" style="1187" customWidth="1"/>
    <col min="21" max="37" width="2.6640625" style="1187"/>
    <col min="38" max="38" width="3" style="1187" customWidth="1"/>
    <col min="39" max="45" width="2.6640625" style="1187"/>
    <col min="46" max="46" width="4.6640625" style="1187" customWidth="1"/>
    <col min="47" max="64" width="2.6640625" style="1187"/>
    <col min="65" max="65" width="10.5" style="1187" hidden="1" customWidth="1"/>
    <col min="66" max="66" width="5.5" style="1256" bestFit="1" customWidth="1"/>
    <col min="67" max="68" width="5.5" style="1256" customWidth="1"/>
    <col min="69" max="69" width="8" style="1256" customWidth="1"/>
    <col min="70" max="70" width="6" style="1256" customWidth="1"/>
    <col min="71" max="71" width="6.1640625" style="1256" customWidth="1"/>
    <col min="72" max="76" width="5.5" style="1256" customWidth="1"/>
    <col min="77" max="77" width="6.1640625" style="1256" bestFit="1" customWidth="1"/>
    <col min="78" max="78" width="5.5" style="1187" bestFit="1" customWidth="1"/>
    <col min="79" max="16384" width="2.6640625" style="1187"/>
  </cols>
  <sheetData>
    <row r="1" spans="1:65" ht="15.75" customHeight="1">
      <c r="A1" s="1885" t="s">
        <v>2452</v>
      </c>
      <c r="B1" s="1886"/>
      <c r="C1" s="1886"/>
      <c r="D1" s="1886"/>
      <c r="E1" s="1886"/>
      <c r="F1" s="1886"/>
      <c r="G1" s="1886"/>
      <c r="H1" s="1886"/>
      <c r="I1" s="1886"/>
      <c r="J1" s="1886"/>
      <c r="K1" s="1886"/>
      <c r="L1" s="1886"/>
      <c r="M1" s="1886"/>
      <c r="N1" s="1886"/>
      <c r="O1" s="1886"/>
      <c r="P1" s="1886"/>
      <c r="Q1" s="1886"/>
      <c r="R1" s="1886"/>
      <c r="S1" s="1886"/>
      <c r="T1" s="1886"/>
      <c r="U1" s="1886"/>
      <c r="V1" s="1886"/>
      <c r="W1" s="1886"/>
      <c r="X1" s="1886"/>
      <c r="Y1" s="1886"/>
      <c r="Z1" s="1886"/>
      <c r="AA1" s="1886"/>
      <c r="AB1" s="1886"/>
      <c r="AC1" s="1886"/>
      <c r="AD1" s="1886"/>
      <c r="AE1" s="1886"/>
      <c r="AF1" s="1886"/>
      <c r="AG1" s="1886"/>
      <c r="AH1" s="1886"/>
      <c r="AI1" s="1886"/>
      <c r="AJ1" s="1886"/>
      <c r="AK1" s="1886"/>
      <c r="AL1" s="1886"/>
      <c r="AM1" s="1886"/>
      <c r="AN1" s="1886"/>
      <c r="AO1" s="1886"/>
      <c r="AP1" s="1886"/>
      <c r="AQ1" s="1886"/>
      <c r="AR1" s="1886"/>
      <c r="AS1" s="1886"/>
      <c r="AT1" s="1886"/>
      <c r="AU1" s="1886"/>
      <c r="AV1" s="1886"/>
      <c r="AW1" s="1886"/>
      <c r="AX1" s="1886"/>
      <c r="AY1" s="1886"/>
      <c r="AZ1" s="1886"/>
      <c r="BA1" s="1886"/>
      <c r="BB1" s="1886"/>
      <c r="BC1" s="1886"/>
      <c r="BD1" s="1886"/>
      <c r="BE1" s="1887"/>
    </row>
    <row r="2" spans="1:65" ht="15.75" customHeight="1">
      <c r="A2" s="1888" t="s">
        <v>2451</v>
      </c>
      <c r="B2" s="1889"/>
      <c r="C2" s="1889"/>
      <c r="D2" s="1889"/>
      <c r="E2" s="1889"/>
      <c r="F2" s="1889"/>
      <c r="G2" s="1889"/>
      <c r="H2" s="1889"/>
      <c r="I2" s="1889"/>
      <c r="J2" s="1889"/>
      <c r="K2" s="1889"/>
      <c r="L2" s="1889"/>
      <c r="M2" s="1889"/>
      <c r="N2" s="1889"/>
      <c r="O2" s="1889"/>
      <c r="P2" s="1889"/>
      <c r="Q2" s="1889"/>
      <c r="R2" s="1889"/>
      <c r="S2" s="1889"/>
      <c r="T2" s="1889"/>
      <c r="U2" s="1889"/>
      <c r="V2" s="1889"/>
      <c r="W2" s="1889"/>
      <c r="X2" s="1889"/>
      <c r="Y2" s="1889"/>
      <c r="Z2" s="1889"/>
      <c r="AA2" s="1889"/>
      <c r="AB2" s="1889"/>
      <c r="AC2" s="1889"/>
      <c r="AD2" s="1889"/>
      <c r="AE2" s="1889"/>
      <c r="AF2" s="1889"/>
      <c r="AG2" s="1889"/>
      <c r="AH2" s="1889"/>
      <c r="AI2" s="1889"/>
      <c r="AJ2" s="1889"/>
      <c r="AK2" s="1889"/>
      <c r="AL2" s="1889"/>
      <c r="AM2" s="1889"/>
      <c r="AN2" s="1889"/>
      <c r="AO2" s="1889"/>
      <c r="AP2" s="1889"/>
      <c r="AQ2" s="1889"/>
      <c r="AR2" s="1889"/>
      <c r="AS2" s="1889"/>
      <c r="AT2" s="1889"/>
      <c r="AU2" s="1889"/>
      <c r="AV2" s="1889"/>
      <c r="AW2" s="1889"/>
      <c r="AX2" s="1889"/>
      <c r="AY2" s="1889"/>
      <c r="AZ2" s="1889"/>
      <c r="BA2" s="1889"/>
      <c r="BB2" s="1889"/>
      <c r="BC2" s="1889"/>
      <c r="BD2" s="1889"/>
      <c r="BE2" s="1890"/>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1877" t="str">
        <f>IF(Application!H18="","",Application!H18)</f>
        <v>Marinwood Plaza</v>
      </c>
      <c r="M4" s="1878"/>
      <c r="N4" s="1878"/>
      <c r="O4" s="1878"/>
      <c r="P4" s="1878"/>
      <c r="Q4" s="1878"/>
      <c r="R4" s="1878"/>
      <c r="S4" s="1878"/>
      <c r="T4" s="1878"/>
      <c r="U4" s="1878"/>
      <c r="V4" s="1878"/>
      <c r="W4" s="1878"/>
      <c r="X4" s="1878"/>
      <c r="Y4" s="1878"/>
      <c r="Z4" s="1878"/>
      <c r="AA4" s="1878"/>
      <c r="AB4" s="1878"/>
      <c r="AC4" s="1879"/>
      <c r="AD4" s="1190"/>
      <c r="AE4" s="1190"/>
      <c r="AF4" s="1891" t="s">
        <v>2450</v>
      </c>
      <c r="AG4" s="1891"/>
      <c r="AH4" s="1891"/>
      <c r="AI4" s="1891"/>
      <c r="AJ4" s="1891"/>
      <c r="AK4" s="1891"/>
      <c r="AL4" s="1891"/>
      <c r="AM4" s="1891"/>
      <c r="AN4" s="1891"/>
      <c r="AO4" s="1891"/>
      <c r="AP4" s="1892">
        <v>45811</v>
      </c>
      <c r="AQ4" s="1893"/>
      <c r="AR4" s="1893"/>
      <c r="AS4" s="1893"/>
      <c r="AT4" s="1893"/>
      <c r="AU4" s="1893"/>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91" t="s">
        <v>2449</v>
      </c>
      <c r="AG5" s="1891"/>
      <c r="AH5" s="1891"/>
      <c r="AI5" s="1891"/>
      <c r="AJ5" s="1891"/>
      <c r="AK5" s="1891"/>
      <c r="AL5" s="1891"/>
      <c r="AM5" s="1891"/>
      <c r="AN5" s="1891"/>
      <c r="AO5" s="1891"/>
      <c r="AP5" s="1892">
        <v>45823</v>
      </c>
      <c r="AQ5" s="1893"/>
      <c r="AR5" s="1893"/>
      <c r="AS5" s="1893"/>
      <c r="AT5" s="1893"/>
      <c r="AU5" s="1893"/>
      <c r="AV5" s="1190"/>
      <c r="AW5" s="1190"/>
      <c r="AX5" s="1190"/>
      <c r="AY5" s="1190"/>
      <c r="AZ5" s="1190"/>
      <c r="BA5" s="1190"/>
      <c r="BB5" s="1190"/>
      <c r="BC5" s="1190"/>
      <c r="BD5" s="1190"/>
      <c r="BE5" s="1191"/>
    </row>
    <row r="6" spans="1:65" ht="15.75" customHeight="1" thickBot="1">
      <c r="A6" s="1189"/>
      <c r="B6" s="1192" t="s">
        <v>2448</v>
      </c>
      <c r="C6" s="1190"/>
      <c r="D6" s="1190"/>
      <c r="E6" s="1190"/>
      <c r="F6" s="1190"/>
      <c r="G6" s="1190"/>
      <c r="H6" s="1190"/>
      <c r="I6" s="1190"/>
      <c r="J6" s="1190"/>
      <c r="K6" s="1190"/>
      <c r="L6" s="1877" t="str">
        <f>IF(Application!H16="","",Application!H16)</f>
        <v>Marinwood Propco, L.P.</v>
      </c>
      <c r="M6" s="1878"/>
      <c r="N6" s="1878"/>
      <c r="O6" s="1878"/>
      <c r="P6" s="1878"/>
      <c r="Q6" s="1878"/>
      <c r="R6" s="1878"/>
      <c r="S6" s="1878"/>
      <c r="T6" s="1878"/>
      <c r="U6" s="1878"/>
      <c r="V6" s="1878"/>
      <c r="W6" s="1878"/>
      <c r="X6" s="1878"/>
      <c r="Y6" s="1878"/>
      <c r="Z6" s="1878"/>
      <c r="AA6" s="1878"/>
      <c r="AB6" s="1878"/>
      <c r="AC6" s="1879"/>
      <c r="AD6" s="1190"/>
      <c r="AE6" s="1190"/>
      <c r="AF6" s="1880" t="s">
        <v>2447</v>
      </c>
      <c r="AG6" s="1880"/>
      <c r="AH6" s="1880"/>
      <c r="AI6" s="1880"/>
      <c r="AJ6" s="1880"/>
      <c r="AK6" s="1880"/>
      <c r="AL6" s="1880"/>
      <c r="AM6" s="1880"/>
      <c r="AN6" s="1880"/>
      <c r="AO6" s="1880"/>
      <c r="AP6" s="1881">
        <v>3</v>
      </c>
      <c r="AQ6" s="1881"/>
      <c r="AR6" s="1881"/>
      <c r="AS6" s="1881"/>
      <c r="AT6" s="1881"/>
      <c r="AU6" s="1881"/>
      <c r="AV6" s="1190"/>
      <c r="AW6" s="1190"/>
      <c r="AX6" s="1190"/>
      <c r="AY6" s="1190"/>
      <c r="AZ6" s="1190"/>
      <c r="BA6" s="1190"/>
      <c r="BB6" s="1190"/>
      <c r="BC6" s="1190"/>
      <c r="BD6" s="1190"/>
      <c r="BE6" s="1191"/>
    </row>
    <row r="7" spans="1:65" ht="16"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80" t="s">
        <v>2446</v>
      </c>
      <c r="AG7" s="1880"/>
      <c r="AH7" s="1880"/>
      <c r="AI7" s="1880"/>
      <c r="AJ7" s="1880"/>
      <c r="AK7" s="1880"/>
      <c r="AL7" s="1880"/>
      <c r="AM7" s="1880"/>
      <c r="AN7" s="1880"/>
      <c r="AO7" s="1880"/>
      <c r="AP7" s="1881">
        <v>0</v>
      </c>
      <c r="AQ7" s="1881"/>
      <c r="AR7" s="1881"/>
      <c r="AS7" s="1881"/>
      <c r="AT7" s="1881"/>
      <c r="AU7" s="1881"/>
      <c r="AV7" s="1190"/>
      <c r="AW7" s="1190"/>
      <c r="AX7" s="1190"/>
      <c r="AY7" s="1190"/>
      <c r="AZ7" s="1190"/>
      <c r="BA7" s="1190"/>
      <c r="BB7" s="1190"/>
      <c r="BC7" s="1190"/>
      <c r="BD7" s="1190"/>
      <c r="BE7" s="1191"/>
    </row>
    <row r="8" spans="1:65" ht="16" thickBot="1">
      <c r="A8" s="1189"/>
      <c r="B8" s="1192" t="s">
        <v>2445</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2" t="str">
        <f>Application!T197</f>
        <v>No</v>
      </c>
      <c r="AC8" s="1883"/>
      <c r="AD8" s="1884"/>
      <c r="AE8" s="1190"/>
      <c r="AF8" s="1880" t="s">
        <v>2444</v>
      </c>
      <c r="AG8" s="1880"/>
      <c r="AH8" s="1880"/>
      <c r="AI8" s="1880"/>
      <c r="AJ8" s="1880"/>
      <c r="AK8" s="1880"/>
      <c r="AL8" s="1880"/>
      <c r="AM8" s="1880"/>
      <c r="AN8" s="1880"/>
      <c r="AO8" s="1880"/>
      <c r="AP8" s="1881" t="s">
        <v>2098</v>
      </c>
      <c r="AQ8" s="1881"/>
      <c r="AR8" s="1881"/>
      <c r="AS8" s="1881"/>
      <c r="AT8" s="1881"/>
      <c r="AU8" s="1881"/>
      <c r="AV8" s="1190"/>
      <c r="AW8" s="1190"/>
      <c r="AX8" s="1190"/>
      <c r="AY8" s="1190"/>
      <c r="AZ8" s="1190"/>
      <c r="BA8" s="1190"/>
      <c r="BB8" s="1190"/>
      <c r="BC8" s="1190"/>
      <c r="BD8" s="1190"/>
      <c r="BE8" s="1191"/>
      <c r="BM8" s="1187" t="s">
        <v>1983</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91" t="s">
        <v>2443</v>
      </c>
      <c r="AG9" s="1891"/>
      <c r="AH9" s="1891"/>
      <c r="AI9" s="1891"/>
      <c r="AJ9" s="1891"/>
      <c r="AK9" s="1891"/>
      <c r="AL9" s="1891"/>
      <c r="AM9" s="1891"/>
      <c r="AN9" s="1891"/>
      <c r="AO9" s="1891"/>
      <c r="AP9" s="1892">
        <v>46753</v>
      </c>
      <c r="AQ9" s="1893"/>
      <c r="AR9" s="1893"/>
      <c r="AS9" s="1893"/>
      <c r="AT9" s="1893"/>
      <c r="AU9" s="1893"/>
      <c r="AV9" s="1190"/>
      <c r="AW9" s="1190"/>
      <c r="AX9" s="1190"/>
      <c r="AY9" s="1190"/>
      <c r="AZ9" s="1190"/>
      <c r="BA9" s="1190"/>
      <c r="BB9" s="1190"/>
      <c r="BC9" s="1190"/>
      <c r="BD9" s="1190"/>
      <c r="BE9" s="1191"/>
      <c r="BM9" s="1187" t="s">
        <v>2442</v>
      </c>
    </row>
    <row r="10" spans="1:65" ht="15">
      <c r="A10" s="1189"/>
      <c r="B10" s="1192" t="s">
        <v>2441</v>
      </c>
      <c r="C10" s="1192"/>
      <c r="D10" s="1192"/>
      <c r="E10" s="1192"/>
      <c r="F10" s="1192"/>
      <c r="G10" s="1192"/>
      <c r="H10" s="1192"/>
      <c r="I10" s="1192"/>
      <c r="J10" s="1192"/>
      <c r="K10" s="1192"/>
      <c r="L10" s="1192"/>
      <c r="M10" s="1190"/>
      <c r="N10" s="1906">
        <f>Application!AO627</f>
        <v>18141000</v>
      </c>
      <c r="O10" s="1906"/>
      <c r="P10" s="1906"/>
      <c r="Q10" s="1906"/>
      <c r="R10" s="1906"/>
      <c r="S10" s="1906"/>
      <c r="T10" s="1906"/>
      <c r="U10" s="1190"/>
      <c r="V10" s="1190"/>
      <c r="W10" s="1190"/>
      <c r="X10" s="1193"/>
      <c r="Y10" s="1193"/>
      <c r="Z10" s="1193"/>
      <c r="AA10" s="1193"/>
      <c r="AB10" s="1193"/>
      <c r="AC10" s="1193"/>
      <c r="AD10" s="1193"/>
      <c r="AE10" s="1193"/>
      <c r="AF10" s="1891" t="s">
        <v>2440</v>
      </c>
      <c r="AG10" s="1891"/>
      <c r="AH10" s="1891"/>
      <c r="AI10" s="1891"/>
      <c r="AJ10" s="1891"/>
      <c r="AK10" s="1891"/>
      <c r="AL10" s="1891"/>
      <c r="AM10" s="1891"/>
      <c r="AN10" s="1891"/>
      <c r="AO10" s="1891"/>
      <c r="AP10" s="1892">
        <v>46784</v>
      </c>
      <c r="AQ10" s="1893"/>
      <c r="AR10" s="1893"/>
      <c r="AS10" s="1893"/>
      <c r="AT10" s="1893"/>
      <c r="AU10" s="1893"/>
      <c r="AV10" s="1193"/>
      <c r="AW10" s="1193"/>
      <c r="AX10" s="1190"/>
      <c r="AY10" s="1190"/>
      <c r="AZ10" s="1190"/>
      <c r="BA10" s="1190"/>
      <c r="BB10" s="1190"/>
      <c r="BC10" s="1190"/>
      <c r="BD10" s="1190"/>
      <c r="BE10" s="1191"/>
      <c r="BM10" s="1187" t="s">
        <v>2439</v>
      </c>
    </row>
    <row r="11" spans="1:65" ht="15">
      <c r="A11" s="1189"/>
      <c r="B11" s="1192" t="s">
        <v>2438</v>
      </c>
      <c r="C11" s="1192"/>
      <c r="D11" s="1192"/>
      <c r="E11" s="1192"/>
      <c r="F11" s="1192"/>
      <c r="G11" s="1192"/>
      <c r="H11" s="1192"/>
      <c r="I11" s="1192"/>
      <c r="J11" s="1192"/>
      <c r="K11" s="1192"/>
      <c r="L11" s="1192"/>
      <c r="M11" s="1190"/>
      <c r="N11" s="1906">
        <f>Application!AA934</f>
        <v>4000000</v>
      </c>
      <c r="O11" s="1906"/>
      <c r="P11" s="1906"/>
      <c r="Q11" s="1906"/>
      <c r="R11" s="1906"/>
      <c r="S11" s="1906"/>
      <c r="T11" s="1906"/>
      <c r="U11" s="1190"/>
      <c r="V11" s="1190"/>
      <c r="W11" s="1190"/>
      <c r="X11" s="1193"/>
      <c r="Y11" s="1193"/>
      <c r="Z11" s="1193"/>
      <c r="AA11" s="1193"/>
      <c r="AB11" s="1193"/>
      <c r="AC11" s="1193"/>
      <c r="AD11" s="1193"/>
      <c r="AE11" s="1193"/>
      <c r="AF11" s="1891" t="s">
        <v>2437</v>
      </c>
      <c r="AG11" s="1891"/>
      <c r="AH11" s="1891"/>
      <c r="AI11" s="1891"/>
      <c r="AJ11" s="1891"/>
      <c r="AK11" s="1891"/>
      <c r="AL11" s="1891"/>
      <c r="AM11" s="1891"/>
      <c r="AN11" s="1891"/>
      <c r="AO11" s="1891"/>
      <c r="AP11" s="1892">
        <v>46935</v>
      </c>
      <c r="AQ11" s="1893"/>
      <c r="AR11" s="1893"/>
      <c r="AS11" s="1893"/>
      <c r="AT11" s="1893"/>
      <c r="AU11" s="1893"/>
      <c r="AV11" s="1193"/>
      <c r="AW11" s="1193"/>
      <c r="AX11" s="1190"/>
      <c r="AY11" s="1190"/>
      <c r="AZ11" s="1190"/>
      <c r="BA11" s="1190"/>
      <c r="BB11" s="1190"/>
      <c r="BC11" s="1190"/>
      <c r="BD11" s="1190"/>
      <c r="BE11" s="1191"/>
      <c r="BM11" s="1187" t="s">
        <v>2098</v>
      </c>
    </row>
    <row r="12" spans="1:65" ht="16"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2436</v>
      </c>
    </row>
    <row r="13" spans="1:65" ht="16" thickBot="1">
      <c r="A13" s="1190"/>
      <c r="B13" s="1894" t="s">
        <v>2435</v>
      </c>
      <c r="C13" s="1895"/>
      <c r="D13" s="1895"/>
      <c r="E13" s="1895"/>
      <c r="F13" s="1895"/>
      <c r="G13" s="1895"/>
      <c r="H13" s="1895"/>
      <c r="I13" s="1895"/>
      <c r="J13" s="1895"/>
      <c r="K13" s="1895"/>
      <c r="L13" s="1895"/>
      <c r="M13" s="1895"/>
      <c r="N13" s="1895"/>
      <c r="O13" s="1895"/>
      <c r="P13" s="1896"/>
      <c r="Q13" s="1897" t="s">
        <v>669</v>
      </c>
      <c r="R13" s="1898"/>
      <c r="S13" s="1898"/>
      <c r="T13" s="1899"/>
      <c r="U13" s="1193"/>
      <c r="V13" s="1190"/>
      <c r="W13" s="1190"/>
      <c r="X13" s="1190"/>
      <c r="Y13" s="1190"/>
      <c r="Z13" s="1190"/>
      <c r="AA13" s="1900" t="s">
        <v>2434</v>
      </c>
      <c r="AB13" s="1900"/>
      <c r="AC13" s="1900"/>
      <c r="AD13" s="1900"/>
      <c r="AE13" s="1900"/>
      <c r="AF13" s="1900"/>
      <c r="AG13" s="1900"/>
      <c r="AH13" s="1900"/>
      <c r="AI13" s="1900"/>
      <c r="AJ13" s="1900"/>
      <c r="AK13" s="1900"/>
      <c r="AL13" s="1900"/>
      <c r="AM13" s="1900"/>
      <c r="AN13" s="1900"/>
      <c r="AO13" s="1901">
        <f>Application!W473</f>
        <v>19</v>
      </c>
      <c r="AP13" s="1902"/>
      <c r="AQ13" s="1902"/>
      <c r="AR13" s="1902"/>
      <c r="AS13" s="1902"/>
      <c r="AT13" s="1193"/>
      <c r="AU13" s="1193"/>
      <c r="AV13" s="1193"/>
      <c r="AW13" s="1193"/>
      <c r="AX13" s="1193"/>
      <c r="AY13" s="1193"/>
      <c r="AZ13" s="1193"/>
      <c r="BA13" s="1193"/>
      <c r="BB13" s="1193"/>
      <c r="BC13" s="1193"/>
      <c r="BD13" s="1193"/>
      <c r="BE13" s="1194"/>
      <c r="BM13" s="1187" t="s">
        <v>2433</v>
      </c>
    </row>
    <row r="14" spans="1:65" ht="16"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3" t="s">
        <v>2432</v>
      </c>
      <c r="AB14" s="1903"/>
      <c r="AC14" s="1903"/>
      <c r="AD14" s="1903"/>
      <c r="AE14" s="1903"/>
      <c r="AF14" s="1903"/>
      <c r="AG14" s="1903"/>
      <c r="AH14" s="1903"/>
      <c r="AI14" s="1903"/>
      <c r="AJ14" s="1903"/>
      <c r="AK14" s="1903"/>
      <c r="AL14" s="1903"/>
      <c r="AM14" s="1903"/>
      <c r="AN14" s="1903"/>
      <c r="AO14" s="1904">
        <v>45726</v>
      </c>
      <c r="AP14" s="1905"/>
      <c r="AQ14" s="1905"/>
      <c r="AR14" s="1905"/>
      <c r="AS14" s="1905"/>
      <c r="AT14" s="1193"/>
      <c r="AU14" s="1193"/>
      <c r="AV14" s="1193"/>
      <c r="AW14" s="1193"/>
      <c r="AX14" s="1193"/>
      <c r="AY14" s="1193"/>
      <c r="AZ14" s="1193"/>
      <c r="BA14" s="1193"/>
      <c r="BB14" s="1193"/>
      <c r="BC14" s="1193"/>
      <c r="BD14" s="1193"/>
      <c r="BE14" s="1194"/>
    </row>
    <row r="15" spans="1:65" ht="16" thickBot="1">
      <c r="A15" s="1190"/>
      <c r="B15" s="1907" t="s">
        <v>2431</v>
      </c>
      <c r="C15" s="1908"/>
      <c r="D15" s="1908"/>
      <c r="E15" s="1908"/>
      <c r="F15" s="1908"/>
      <c r="G15" s="1908"/>
      <c r="H15" s="1908"/>
      <c r="I15" s="1908"/>
      <c r="J15" s="1908"/>
      <c r="K15" s="1908"/>
      <c r="L15" s="1908"/>
      <c r="M15" s="1908"/>
      <c r="N15" s="1908"/>
      <c r="O15" s="1908"/>
      <c r="P15" s="1908"/>
      <c r="Q15" s="1908"/>
      <c r="R15" s="1909"/>
      <c r="S15" s="1910" t="str">
        <f>IF(Application!AB214="","",Application!AB214)</f>
        <v/>
      </c>
      <c r="T15" s="1910"/>
      <c r="U15" s="1910"/>
      <c r="V15" s="1910"/>
      <c r="W15" s="1911"/>
      <c r="X15" s="1193"/>
      <c r="Y15" s="1190"/>
      <c r="Z15" s="1190"/>
      <c r="AA15" s="1900" t="s">
        <v>2430</v>
      </c>
      <c r="AB15" s="1900"/>
      <c r="AC15" s="1900"/>
      <c r="AD15" s="1900"/>
      <c r="AE15" s="1900"/>
      <c r="AF15" s="1900"/>
      <c r="AG15" s="1900"/>
      <c r="AH15" s="1900"/>
      <c r="AI15" s="1900"/>
      <c r="AJ15" s="1900"/>
      <c r="AK15" s="1900"/>
      <c r="AL15" s="1900"/>
      <c r="AM15" s="1900"/>
      <c r="AN15" s="1900"/>
      <c r="AO15" s="1904">
        <v>45909</v>
      </c>
      <c r="AP15" s="1905"/>
      <c r="AQ15" s="1905"/>
      <c r="AR15" s="1905"/>
      <c r="AS15" s="1905"/>
      <c r="AT15" s="1193"/>
      <c r="AU15" s="1193"/>
      <c r="AV15" s="1193"/>
      <c r="AW15" s="1193"/>
      <c r="AX15" s="1193"/>
      <c r="AY15" s="1193"/>
      <c r="AZ15" s="1193"/>
      <c r="BA15" s="1193"/>
      <c r="BB15" s="1193"/>
      <c r="BC15" s="1193"/>
      <c r="BD15" s="1193"/>
      <c r="BE15" s="1194"/>
    </row>
    <row r="16" spans="1:65" ht="16"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12" t="s">
        <v>2429</v>
      </c>
      <c r="C17" s="1913"/>
      <c r="D17" s="1913"/>
      <c r="E17" s="1913"/>
      <c r="F17" s="1913"/>
      <c r="G17" s="1913"/>
      <c r="H17" s="1913"/>
      <c r="I17" s="1913"/>
      <c r="J17" s="1913"/>
      <c r="K17" s="1913"/>
      <c r="L17" s="1913"/>
      <c r="M17" s="1913"/>
      <c r="N17" s="1913"/>
      <c r="O17" s="1913"/>
      <c r="P17" s="1913"/>
      <c r="Q17" s="1913"/>
      <c r="R17" s="1913"/>
      <c r="S17" s="1913"/>
      <c r="T17" s="1913"/>
      <c r="U17" s="1913"/>
      <c r="V17" s="1913"/>
      <c r="W17" s="1913"/>
      <c r="X17" s="1913"/>
      <c r="Y17" s="1913"/>
      <c r="Z17" s="1913"/>
      <c r="AA17" s="1913"/>
      <c r="AB17" s="1913"/>
      <c r="AC17" s="1913"/>
      <c r="AD17" s="1913"/>
      <c r="AE17" s="1913"/>
      <c r="AF17" s="1913"/>
      <c r="AG17" s="1913"/>
      <c r="AH17" s="1913"/>
      <c r="AI17" s="1913"/>
      <c r="AJ17" s="1913"/>
      <c r="AK17" s="1913"/>
      <c r="AL17" s="1913"/>
      <c r="AM17" s="1913"/>
      <c r="AN17" s="1913"/>
      <c r="AO17" s="1913"/>
      <c r="AP17" s="1913"/>
      <c r="AQ17" s="1913"/>
      <c r="AR17" s="1913"/>
      <c r="AS17" s="1913"/>
      <c r="AT17" s="1913"/>
      <c r="AU17" s="1913"/>
      <c r="AV17" s="1913"/>
      <c r="AW17" s="1913"/>
      <c r="AX17" s="1913"/>
      <c r="AY17" s="1914"/>
      <c r="AZ17" s="1190"/>
      <c r="BA17" s="1190"/>
      <c r="BB17" s="1190"/>
      <c r="BC17" s="1190"/>
      <c r="BD17" s="1190"/>
      <c r="BE17" s="1194"/>
      <c r="BF17" s="1188"/>
    </row>
    <row r="18" spans="1:58" ht="15.75" customHeight="1">
      <c r="A18" s="1190"/>
      <c r="B18" s="1915" t="s">
        <v>2428</v>
      </c>
      <c r="C18" s="1916"/>
      <c r="D18" s="1916"/>
      <c r="E18" s="1916"/>
      <c r="F18" s="1916"/>
      <c r="G18" s="1916"/>
      <c r="H18" s="1916"/>
      <c r="I18" s="1917"/>
      <c r="J18" s="1918" t="s">
        <v>1586</v>
      </c>
      <c r="K18" s="1919"/>
      <c r="L18" s="1919"/>
      <c r="M18" s="1919"/>
      <c r="N18" s="1919"/>
      <c r="O18" s="1920"/>
      <c r="P18" s="1918" t="s">
        <v>323</v>
      </c>
      <c r="Q18" s="1919"/>
      <c r="R18" s="1919"/>
      <c r="S18" s="1919"/>
      <c r="T18" s="1919"/>
      <c r="U18" s="1920"/>
      <c r="V18" s="1918" t="s">
        <v>324</v>
      </c>
      <c r="W18" s="1919"/>
      <c r="X18" s="1919"/>
      <c r="Y18" s="1919"/>
      <c r="Z18" s="1919"/>
      <c r="AA18" s="1920"/>
      <c r="AB18" s="1918" t="s">
        <v>163</v>
      </c>
      <c r="AC18" s="1919"/>
      <c r="AD18" s="1919"/>
      <c r="AE18" s="1919"/>
      <c r="AF18" s="1919"/>
      <c r="AG18" s="1920"/>
      <c r="AH18" s="1918" t="s">
        <v>164</v>
      </c>
      <c r="AI18" s="1919"/>
      <c r="AJ18" s="1919"/>
      <c r="AK18" s="1919"/>
      <c r="AL18" s="1919"/>
      <c r="AM18" s="1920"/>
      <c r="AN18" s="1918" t="s">
        <v>165</v>
      </c>
      <c r="AO18" s="1919"/>
      <c r="AP18" s="1919"/>
      <c r="AQ18" s="1919"/>
      <c r="AR18" s="1919"/>
      <c r="AS18" s="1920"/>
      <c r="AT18" s="1918" t="s">
        <v>2427</v>
      </c>
      <c r="AU18" s="1919"/>
      <c r="AV18" s="1919"/>
      <c r="AW18" s="1919"/>
      <c r="AX18" s="1919"/>
      <c r="AY18" s="1921"/>
      <c r="AZ18" s="1190"/>
      <c r="BA18" s="1190"/>
      <c r="BB18" s="1190"/>
      <c r="BC18" s="1190"/>
      <c r="BD18" s="1190"/>
      <c r="BE18" s="1194"/>
    </row>
    <row r="19" spans="1:58" ht="15">
      <c r="A19" s="1190"/>
      <c r="B19" s="1922">
        <v>0.3</v>
      </c>
      <c r="C19" s="1923"/>
      <c r="D19" s="1923"/>
      <c r="E19" s="1923"/>
      <c r="F19" s="1923"/>
      <c r="G19" s="1923"/>
      <c r="H19" s="1923"/>
      <c r="I19" s="1924"/>
      <c r="J19" s="1925">
        <f t="shared" ref="J19:J24" si="0">SUM(P19:AS19)</f>
        <v>14</v>
      </c>
      <c r="K19" s="1926"/>
      <c r="L19" s="1926"/>
      <c r="M19" s="1926"/>
      <c r="N19" s="1926"/>
      <c r="O19" s="1927"/>
      <c r="P19" s="1925" cm="1">
        <f t="array" ref="P19">SUMPRODUCT((Application!$B$718:$B$752 = 'CalHFA Addendum'!P$18)*(Application!$AC$718:$AC$752 = 'CalHFA Addendum'!$B19),Application!$G$718:$G$752)</f>
        <v>0</v>
      </c>
      <c r="Q19" s="1926"/>
      <c r="R19" s="1926"/>
      <c r="S19" s="1926"/>
      <c r="T19" s="1926"/>
      <c r="U19" s="1927"/>
      <c r="V19" s="1925" cm="1">
        <f t="array" ref="V19">SUMPRODUCT((Application!$B$714:$B$738 = 'CalHFA Addendum'!V$18)*(Application!$AC$714:$AC$738 = 'CalHFA Addendum'!$B19),Application!$G$714:$G$738)</f>
        <v>5</v>
      </c>
      <c r="W19" s="1926"/>
      <c r="X19" s="1926"/>
      <c r="Y19" s="1926"/>
      <c r="Z19" s="1926"/>
      <c r="AA19" s="1927"/>
      <c r="AB19" s="1925" cm="1">
        <f t="array" ref="AB19">SUMPRODUCT((Application!$B$714:$B$738 = 'CalHFA Addendum'!AB$18)*(Application!$AC$714:$AC$738 = 'CalHFA Addendum'!$B19),Application!$G$714:$G$738)</f>
        <v>6</v>
      </c>
      <c r="AC19" s="1926"/>
      <c r="AD19" s="1926"/>
      <c r="AE19" s="1926"/>
      <c r="AF19" s="1926"/>
      <c r="AG19" s="1927"/>
      <c r="AH19" s="1925" cm="1">
        <f t="array" ref="AH19">SUMPRODUCT((Application!$B$714:$B$738 = 'CalHFA Addendum'!AH$18)*(Application!$AC$714:$AC$738 = 'CalHFA Addendum'!$B19),Application!$G$714:$G$738)</f>
        <v>3</v>
      </c>
      <c r="AI19" s="1926"/>
      <c r="AJ19" s="1926"/>
      <c r="AK19" s="1926"/>
      <c r="AL19" s="1926"/>
      <c r="AM19" s="1927"/>
      <c r="AN19" s="1925" cm="1">
        <f t="array" ref="AN19">SUMPRODUCT((Application!$B$714:$B$738 = 'CalHFA Addendum'!AN$18)*(Application!$AC$714:$AC$738 = 'CalHFA Addendum'!$B19),Application!$G$714:$G$738)</f>
        <v>0</v>
      </c>
      <c r="AO19" s="1926"/>
      <c r="AP19" s="1926"/>
      <c r="AQ19" s="1926"/>
      <c r="AR19" s="1926"/>
      <c r="AS19" s="1927"/>
      <c r="AT19" s="1928">
        <f t="shared" ref="AT19:AT29" si="1">J19/$J$29</f>
        <v>0.112</v>
      </c>
      <c r="AU19" s="1929"/>
      <c r="AV19" s="1929"/>
      <c r="AW19" s="1929"/>
      <c r="AX19" s="1929"/>
      <c r="AY19" s="1930"/>
      <c r="AZ19" s="1195"/>
      <c r="BA19" s="1190"/>
      <c r="BB19" s="1190"/>
      <c r="BC19" s="1190"/>
      <c r="BD19" s="1190"/>
      <c r="BE19" s="1194"/>
    </row>
    <row r="20" spans="1:58" ht="15" customHeight="1">
      <c r="A20" s="1190"/>
      <c r="B20" s="1922">
        <v>0.4</v>
      </c>
      <c r="C20" s="1923"/>
      <c r="D20" s="1923"/>
      <c r="E20" s="1923"/>
      <c r="F20" s="1923"/>
      <c r="G20" s="1923"/>
      <c r="H20" s="1923"/>
      <c r="I20" s="1924"/>
      <c r="J20" s="1925">
        <f t="shared" si="0"/>
        <v>0</v>
      </c>
      <c r="K20" s="1926"/>
      <c r="L20" s="1926"/>
      <c r="M20" s="1926"/>
      <c r="N20" s="1926"/>
      <c r="O20" s="1927"/>
      <c r="P20" s="1925" cm="1">
        <f t="array" ref="P20">SUMPRODUCT((Application!$B$718:$B$752 = 'CalHFA Addendum'!P$18)*(Application!$AC$718:$AC$752 = 'CalHFA Addendum'!$B20),Application!$G$718:$G$752)</f>
        <v>0</v>
      </c>
      <c r="Q20" s="1926"/>
      <c r="R20" s="1926"/>
      <c r="S20" s="1926"/>
      <c r="T20" s="1926"/>
      <c r="U20" s="1927"/>
      <c r="V20" s="1925" cm="1">
        <f t="array" ref="V20">SUMPRODUCT((Application!$B$714:$B$738 = 'CalHFA Addendum'!V$18)*(Application!$AC$714:$AC$738 = 'CalHFA Addendum'!$B20),Application!$G$714:$G$738)</f>
        <v>0</v>
      </c>
      <c r="W20" s="1926"/>
      <c r="X20" s="1926"/>
      <c r="Y20" s="1926"/>
      <c r="Z20" s="1926"/>
      <c r="AA20" s="1927"/>
      <c r="AB20" s="1925" cm="1">
        <f t="array" ref="AB20">SUMPRODUCT((Application!$B$714:$B$738 = 'CalHFA Addendum'!AB$18)*(Application!$AC$714:$AC$738 = 'CalHFA Addendum'!$B20),Application!$G$714:$G$738)</f>
        <v>0</v>
      </c>
      <c r="AC20" s="1926"/>
      <c r="AD20" s="1926"/>
      <c r="AE20" s="1926"/>
      <c r="AF20" s="1926"/>
      <c r="AG20" s="1927"/>
      <c r="AH20" s="1925" cm="1">
        <f t="array" ref="AH20">SUMPRODUCT((Application!$B$714:$B$738 = 'CalHFA Addendum'!AH$18)*(Application!$AC$714:$AC$738 = 'CalHFA Addendum'!$B20),Application!$G$714:$G$738)</f>
        <v>0</v>
      </c>
      <c r="AI20" s="1926"/>
      <c r="AJ20" s="1926"/>
      <c r="AK20" s="1926"/>
      <c r="AL20" s="1926"/>
      <c r="AM20" s="1927"/>
      <c r="AN20" s="1925" cm="1">
        <f t="array" ref="AN20">SUMPRODUCT((Application!$B$714:$B$738 = 'CalHFA Addendum'!AN$18)*(Application!$AC$714:$AC$738 = 'CalHFA Addendum'!$B20),Application!$G$714:$G$738)</f>
        <v>0</v>
      </c>
      <c r="AO20" s="1926"/>
      <c r="AP20" s="1926"/>
      <c r="AQ20" s="1926"/>
      <c r="AR20" s="1926"/>
      <c r="AS20" s="1927"/>
      <c r="AT20" s="1928">
        <f t="shared" si="1"/>
        <v>0</v>
      </c>
      <c r="AU20" s="1929"/>
      <c r="AV20" s="1929"/>
      <c r="AW20" s="1929"/>
      <c r="AX20" s="1929"/>
      <c r="AY20" s="1930"/>
      <c r="AZ20" s="1190"/>
      <c r="BA20" s="1190"/>
      <c r="BB20" s="1190"/>
      <c r="BC20" s="1190"/>
      <c r="BD20" s="1190"/>
      <c r="BE20" s="1194"/>
    </row>
    <row r="21" spans="1:58" ht="15">
      <c r="A21" s="1190"/>
      <c r="B21" s="1922">
        <v>0.5</v>
      </c>
      <c r="C21" s="1923"/>
      <c r="D21" s="1923"/>
      <c r="E21" s="1923"/>
      <c r="F21" s="1923"/>
      <c r="G21" s="1923"/>
      <c r="H21" s="1923"/>
      <c r="I21" s="1924"/>
      <c r="J21" s="1925">
        <f t="shared" si="0"/>
        <v>49</v>
      </c>
      <c r="K21" s="1926"/>
      <c r="L21" s="1926"/>
      <c r="M21" s="1926"/>
      <c r="N21" s="1926"/>
      <c r="O21" s="1927"/>
      <c r="P21" s="1925" cm="1">
        <f t="array" ref="P21">SUMPRODUCT((Application!$B$714:$B$738 = 'CalHFA Addendum'!P$18)*(Application!$AC$714:$AC$738 = 'CalHFA Addendum'!$B21),Application!$G$714:$G$738)</f>
        <v>0</v>
      </c>
      <c r="Q21" s="1926"/>
      <c r="R21" s="1926"/>
      <c r="S21" s="1926"/>
      <c r="T21" s="1926"/>
      <c r="U21" s="1927"/>
      <c r="V21" s="1925" cm="1">
        <f t="array" ref="V21">SUMPRODUCT((Application!$B$714:$B$738 = 'CalHFA Addendum'!V$18)*(Application!$AC$714:$AC$738 = 'CalHFA Addendum'!$B21),Application!$G$714:$G$738)</f>
        <v>19</v>
      </c>
      <c r="W21" s="1926"/>
      <c r="X21" s="1926"/>
      <c r="Y21" s="1926"/>
      <c r="Z21" s="1926"/>
      <c r="AA21" s="1927"/>
      <c r="AB21" s="1925" cm="1">
        <f t="array" ref="AB21">SUMPRODUCT((Application!$B$714:$B$738 = 'CalHFA Addendum'!AB$18)*(Application!$AC$714:$AC$738 = 'CalHFA Addendum'!$B21),Application!$G$714:$G$738)</f>
        <v>19</v>
      </c>
      <c r="AC21" s="1926"/>
      <c r="AD21" s="1926"/>
      <c r="AE21" s="1926"/>
      <c r="AF21" s="1926"/>
      <c r="AG21" s="1927"/>
      <c r="AH21" s="1925" cm="1">
        <f t="array" ref="AH21">SUMPRODUCT((Application!$B$714:$B$738 = 'CalHFA Addendum'!AH$18)*(Application!$AC$714:$AC$738 = 'CalHFA Addendum'!$B21),Application!$G$714:$G$738)</f>
        <v>11</v>
      </c>
      <c r="AI21" s="1926"/>
      <c r="AJ21" s="1926"/>
      <c r="AK21" s="1926"/>
      <c r="AL21" s="1926"/>
      <c r="AM21" s="1927"/>
      <c r="AN21" s="1925" cm="1">
        <f t="array" ref="AN21">SUMPRODUCT((Application!$B$714:$B$738 = 'CalHFA Addendum'!AN$18)*(Application!$AC$714:$AC$738 = 'CalHFA Addendum'!$B21),Application!$G$714:$G$738)</f>
        <v>0</v>
      </c>
      <c r="AO21" s="1926"/>
      <c r="AP21" s="1926"/>
      <c r="AQ21" s="1926"/>
      <c r="AR21" s="1926"/>
      <c r="AS21" s="1927"/>
      <c r="AT21" s="1928">
        <f t="shared" si="1"/>
        <v>0.39200000000000002</v>
      </c>
      <c r="AU21" s="1929"/>
      <c r="AV21" s="1929"/>
      <c r="AW21" s="1929"/>
      <c r="AX21" s="1929"/>
      <c r="AY21" s="1930"/>
      <c r="AZ21" s="1190"/>
      <c r="BA21" s="1190"/>
      <c r="BB21" s="1190"/>
      <c r="BC21" s="1190"/>
      <c r="BD21" s="1190"/>
      <c r="BE21" s="1194"/>
    </row>
    <row r="22" spans="1:58" ht="15">
      <c r="A22" s="1190"/>
      <c r="B22" s="1922">
        <v>0.6</v>
      </c>
      <c r="C22" s="1923"/>
      <c r="D22" s="1923"/>
      <c r="E22" s="1923"/>
      <c r="F22" s="1923"/>
      <c r="G22" s="1923"/>
      <c r="H22" s="1923"/>
      <c r="I22" s="1924"/>
      <c r="J22" s="1925">
        <f t="shared" si="0"/>
        <v>0</v>
      </c>
      <c r="K22" s="1926"/>
      <c r="L22" s="1926"/>
      <c r="M22" s="1926"/>
      <c r="N22" s="1926"/>
      <c r="O22" s="1927"/>
      <c r="P22" s="1925" cm="1">
        <f t="array" ref="P22">SUMPRODUCT((Application!$B$714:$B$738 = 'CalHFA Addendum'!P$18)*(Application!$AC$714:$AC$738 = 'CalHFA Addendum'!$B22),Application!$G$714:$G$738)</f>
        <v>0</v>
      </c>
      <c r="Q22" s="1926"/>
      <c r="R22" s="1926"/>
      <c r="S22" s="1926"/>
      <c r="T22" s="1926"/>
      <c r="U22" s="1927"/>
      <c r="V22" s="1925" cm="1">
        <f t="array" ref="V22">SUMPRODUCT((Application!$B$714:$B$738 = 'CalHFA Addendum'!V$18)*(Application!$AC$714:$AC$738 = 'CalHFA Addendum'!$B22),Application!$G$714:$G$738)</f>
        <v>0</v>
      </c>
      <c r="W22" s="1926"/>
      <c r="X22" s="1926"/>
      <c r="Y22" s="1926"/>
      <c r="Z22" s="1926"/>
      <c r="AA22" s="1927"/>
      <c r="AB22" s="1925" cm="1">
        <f t="array" ref="AB22">SUMPRODUCT((Application!$B$714:$B$738 = 'CalHFA Addendum'!AB$18)*(Application!$AC$714:$AC$738 = 'CalHFA Addendum'!$B22),Application!$G$714:$G$738)</f>
        <v>0</v>
      </c>
      <c r="AC22" s="1926"/>
      <c r="AD22" s="1926"/>
      <c r="AE22" s="1926"/>
      <c r="AF22" s="1926"/>
      <c r="AG22" s="1927"/>
      <c r="AH22" s="1925" cm="1">
        <f t="array" ref="AH22">SUMPRODUCT((Application!$B$714:$B$738 = 'CalHFA Addendum'!AH$18)*(Application!$AC$714:$AC$738 = 'CalHFA Addendum'!$B22),Application!$G$714:$G$738)</f>
        <v>0</v>
      </c>
      <c r="AI22" s="1926"/>
      <c r="AJ22" s="1926"/>
      <c r="AK22" s="1926"/>
      <c r="AL22" s="1926"/>
      <c r="AM22" s="1927"/>
      <c r="AN22" s="1925" cm="1">
        <f t="array" ref="AN22">SUMPRODUCT((Application!$B$714:$B$738 = 'CalHFA Addendum'!AN$18)*(Application!$AC$714:$AC$738 = 'CalHFA Addendum'!$B22),Application!$G$714:$G$738)</f>
        <v>0</v>
      </c>
      <c r="AO22" s="1926"/>
      <c r="AP22" s="1926"/>
      <c r="AQ22" s="1926"/>
      <c r="AR22" s="1926"/>
      <c r="AS22" s="1927"/>
      <c r="AT22" s="1928">
        <f t="shared" si="1"/>
        <v>0</v>
      </c>
      <c r="AU22" s="1929"/>
      <c r="AV22" s="1929"/>
      <c r="AW22" s="1929"/>
      <c r="AX22" s="1929"/>
      <c r="AY22" s="1930"/>
      <c r="AZ22" s="1190"/>
      <c r="BA22" s="1190"/>
      <c r="BB22" s="1190"/>
      <c r="BC22" s="1190"/>
      <c r="BD22" s="1190"/>
      <c r="BE22" s="1194"/>
    </row>
    <row r="23" spans="1:58" ht="15">
      <c r="A23" s="1190"/>
      <c r="B23" s="1922">
        <v>0.7</v>
      </c>
      <c r="C23" s="1923"/>
      <c r="D23" s="1923"/>
      <c r="E23" s="1923"/>
      <c r="F23" s="1923"/>
      <c r="G23" s="1923"/>
      <c r="H23" s="1923"/>
      <c r="I23" s="1924"/>
      <c r="J23" s="1925">
        <f t="shared" si="0"/>
        <v>61</v>
      </c>
      <c r="K23" s="1926"/>
      <c r="L23" s="1926"/>
      <c r="M23" s="1926"/>
      <c r="N23" s="1926"/>
      <c r="O23" s="1927"/>
      <c r="P23" s="1925" cm="1">
        <f t="array" ref="P23">SUMPRODUCT((Application!$B$714:$B$738 = 'CalHFA Addendum'!P$18)*(Application!$AC$714:$AC$738 = 'CalHFA Addendum'!$B23),Application!$G$714:$G$738)</f>
        <v>0</v>
      </c>
      <c r="Q23" s="1926"/>
      <c r="R23" s="1926"/>
      <c r="S23" s="1926"/>
      <c r="T23" s="1926"/>
      <c r="U23" s="1927"/>
      <c r="V23" s="1925" cm="1">
        <f t="array" ref="V23">SUMPRODUCT((Application!$B$714:$B$738 = 'CalHFA Addendum'!V$18)*(Application!$AC$714:$AC$738 = 'CalHFA Addendum'!$B23),Application!$G$714:$G$738)</f>
        <v>21</v>
      </c>
      <c r="W23" s="1926"/>
      <c r="X23" s="1926"/>
      <c r="Y23" s="1926"/>
      <c r="Z23" s="1926"/>
      <c r="AA23" s="1927"/>
      <c r="AB23" s="1925" cm="1">
        <f t="array" ref="AB23">SUMPRODUCT((Application!$B$714:$B$738 = 'CalHFA Addendum'!AB$18)*(Application!$AC$714:$AC$738 = 'CalHFA Addendum'!$B23),Application!$G$714:$G$738)</f>
        <v>22</v>
      </c>
      <c r="AC23" s="1926"/>
      <c r="AD23" s="1926"/>
      <c r="AE23" s="1926"/>
      <c r="AF23" s="1926"/>
      <c r="AG23" s="1927"/>
      <c r="AH23" s="1925" cm="1">
        <f t="array" ref="AH23">SUMPRODUCT((Application!$B$714:$B$738 = 'CalHFA Addendum'!AH$18)*(Application!$AC$714:$AC$738 = 'CalHFA Addendum'!$B23),Application!$G$714:$G$738)</f>
        <v>18</v>
      </c>
      <c r="AI23" s="1926"/>
      <c r="AJ23" s="1926"/>
      <c r="AK23" s="1926"/>
      <c r="AL23" s="1926"/>
      <c r="AM23" s="1927"/>
      <c r="AN23" s="1925" cm="1">
        <f t="array" ref="AN23">SUMPRODUCT((Application!$B$714:$B$738 = 'CalHFA Addendum'!AN$18)*(Application!$AC$714:$AC$738 = 'CalHFA Addendum'!$B23),Application!$G$714:$G$738)</f>
        <v>0</v>
      </c>
      <c r="AO23" s="1926"/>
      <c r="AP23" s="1926"/>
      <c r="AQ23" s="1926"/>
      <c r="AR23" s="1926"/>
      <c r="AS23" s="1927"/>
      <c r="AT23" s="1928">
        <f t="shared" si="1"/>
        <v>0.48799999999999999</v>
      </c>
      <c r="AU23" s="1929"/>
      <c r="AV23" s="1929"/>
      <c r="AW23" s="1929"/>
      <c r="AX23" s="1929"/>
      <c r="AY23" s="1930"/>
      <c r="AZ23" s="1190"/>
      <c r="BA23" s="1190"/>
      <c r="BB23" s="1190"/>
      <c r="BC23" s="1190"/>
      <c r="BD23" s="1190"/>
      <c r="BE23" s="1194"/>
    </row>
    <row r="24" spans="1:58" ht="15">
      <c r="A24" s="1190"/>
      <c r="B24" s="1922">
        <v>0.8</v>
      </c>
      <c r="C24" s="1923"/>
      <c r="D24" s="1923"/>
      <c r="E24" s="1923"/>
      <c r="F24" s="1923"/>
      <c r="G24" s="1923"/>
      <c r="H24" s="1923"/>
      <c r="I24" s="1924"/>
      <c r="J24" s="1925">
        <f t="shared" si="0"/>
        <v>0</v>
      </c>
      <c r="K24" s="1926"/>
      <c r="L24" s="1926"/>
      <c r="M24" s="1926"/>
      <c r="N24" s="1926"/>
      <c r="O24" s="1927"/>
      <c r="P24" s="1925" cm="1">
        <f t="array" ref="P24">SUMPRODUCT((Application!$B$714:$B$738 = 'CalHFA Addendum'!P$18)*(Application!$AC$714:$AC$738 = 'CalHFA Addendum'!$B24),Application!$G$714:$G$738)</f>
        <v>0</v>
      </c>
      <c r="Q24" s="1926"/>
      <c r="R24" s="1926"/>
      <c r="S24" s="1926"/>
      <c r="T24" s="1926"/>
      <c r="U24" s="1927"/>
      <c r="V24" s="1925" cm="1">
        <f t="array" ref="V24">SUMPRODUCT((Application!$B$714:$B$738 = 'CalHFA Addendum'!V$18)*(Application!$AC$714:$AC$738 = 'CalHFA Addendum'!$B24),Application!$G$714:$G$738)</f>
        <v>0</v>
      </c>
      <c r="W24" s="1926"/>
      <c r="X24" s="1926"/>
      <c r="Y24" s="1926"/>
      <c r="Z24" s="1926"/>
      <c r="AA24" s="1927"/>
      <c r="AB24" s="1925" cm="1">
        <f t="array" ref="AB24">SUMPRODUCT((Application!$B$714:$B$738 = 'CalHFA Addendum'!AB$18)*(Application!$AC$714:$AC$738 = 'CalHFA Addendum'!$B24),Application!$G$714:$G$738)</f>
        <v>0</v>
      </c>
      <c r="AC24" s="1926"/>
      <c r="AD24" s="1926"/>
      <c r="AE24" s="1926"/>
      <c r="AF24" s="1926"/>
      <c r="AG24" s="1927"/>
      <c r="AH24" s="1925" cm="1">
        <f t="array" ref="AH24">SUMPRODUCT((Application!$B$714:$B$738 = 'CalHFA Addendum'!AH$18)*(Application!$AC$714:$AC$738 = 'CalHFA Addendum'!$B24),Application!$G$714:$G$738)</f>
        <v>0</v>
      </c>
      <c r="AI24" s="1926"/>
      <c r="AJ24" s="1926"/>
      <c r="AK24" s="1926"/>
      <c r="AL24" s="1926"/>
      <c r="AM24" s="1927"/>
      <c r="AN24" s="1925" cm="1">
        <f t="array" ref="AN24">SUMPRODUCT((Application!$B$714:$B$738 = 'CalHFA Addendum'!AN$18)*(Application!$AC$714:$AC$738 = 'CalHFA Addendum'!$B24),Application!$G$714:$G$738)</f>
        <v>0</v>
      </c>
      <c r="AO24" s="1926"/>
      <c r="AP24" s="1926"/>
      <c r="AQ24" s="1926"/>
      <c r="AR24" s="1926"/>
      <c r="AS24" s="1927"/>
      <c r="AT24" s="1928">
        <f t="shared" si="1"/>
        <v>0</v>
      </c>
      <c r="AU24" s="1929"/>
      <c r="AV24" s="1929"/>
      <c r="AW24" s="1929"/>
      <c r="AX24" s="1929"/>
      <c r="AY24" s="1930"/>
      <c r="AZ24" s="1190"/>
      <c r="BA24" s="1190"/>
      <c r="BB24" s="1190"/>
      <c r="BC24" s="1190"/>
      <c r="BD24" s="1190"/>
      <c r="BE24" s="1194"/>
    </row>
    <row r="25" spans="1:58" ht="15">
      <c r="A25" s="1190"/>
      <c r="B25" s="1922">
        <v>0.9</v>
      </c>
      <c r="C25" s="1923"/>
      <c r="D25" s="1923"/>
      <c r="E25" s="1923"/>
      <c r="F25" s="1923"/>
      <c r="G25" s="1923"/>
      <c r="H25" s="1923"/>
      <c r="I25" s="1924"/>
      <c r="J25" s="1931"/>
      <c r="K25" s="1932"/>
      <c r="L25" s="1932"/>
      <c r="M25" s="1932"/>
      <c r="N25" s="1932"/>
      <c r="O25" s="1933"/>
      <c r="P25" s="1931"/>
      <c r="Q25" s="1932"/>
      <c r="R25" s="1932"/>
      <c r="S25" s="1932"/>
      <c r="T25" s="1932"/>
      <c r="U25" s="1933"/>
      <c r="V25" s="1931"/>
      <c r="W25" s="1932"/>
      <c r="X25" s="1932"/>
      <c r="Y25" s="1932"/>
      <c r="Z25" s="1932"/>
      <c r="AA25" s="1933"/>
      <c r="AB25" s="1931"/>
      <c r="AC25" s="1932"/>
      <c r="AD25" s="1932"/>
      <c r="AE25" s="1932"/>
      <c r="AF25" s="1932"/>
      <c r="AG25" s="1933"/>
      <c r="AH25" s="1931"/>
      <c r="AI25" s="1932"/>
      <c r="AJ25" s="1932"/>
      <c r="AK25" s="1932"/>
      <c r="AL25" s="1932"/>
      <c r="AM25" s="1933"/>
      <c r="AN25" s="1931"/>
      <c r="AO25" s="1932"/>
      <c r="AP25" s="1932"/>
      <c r="AQ25" s="1932"/>
      <c r="AR25" s="1932"/>
      <c r="AS25" s="1933"/>
      <c r="AT25" s="1928">
        <f t="shared" si="1"/>
        <v>0</v>
      </c>
      <c r="AU25" s="1929"/>
      <c r="AV25" s="1929"/>
      <c r="AW25" s="1929"/>
      <c r="AX25" s="1929"/>
      <c r="AY25" s="1930"/>
      <c r="AZ25" s="1190"/>
      <c r="BA25" s="1190"/>
      <c r="BB25" s="1190"/>
      <c r="BC25" s="1190"/>
      <c r="BD25" s="1190"/>
      <c r="BE25" s="1194"/>
    </row>
    <row r="26" spans="1:58" ht="15">
      <c r="A26" s="1190"/>
      <c r="B26" s="1922">
        <v>1</v>
      </c>
      <c r="C26" s="1923"/>
      <c r="D26" s="1923"/>
      <c r="E26" s="1923"/>
      <c r="F26" s="1923"/>
      <c r="G26" s="1923"/>
      <c r="H26" s="1923"/>
      <c r="I26" s="1924"/>
      <c r="J26" s="1931"/>
      <c r="K26" s="1932"/>
      <c r="L26" s="1932"/>
      <c r="M26" s="1932"/>
      <c r="N26" s="1932"/>
      <c r="O26" s="1933"/>
      <c r="P26" s="1931"/>
      <c r="Q26" s="1932"/>
      <c r="R26" s="1932"/>
      <c r="S26" s="1932"/>
      <c r="T26" s="1932"/>
      <c r="U26" s="1933"/>
      <c r="V26" s="1931"/>
      <c r="W26" s="1932"/>
      <c r="X26" s="1932"/>
      <c r="Y26" s="1932"/>
      <c r="Z26" s="1932"/>
      <c r="AA26" s="1933"/>
      <c r="AB26" s="1931"/>
      <c r="AC26" s="1932"/>
      <c r="AD26" s="1932"/>
      <c r="AE26" s="1932"/>
      <c r="AF26" s="1932"/>
      <c r="AG26" s="1933"/>
      <c r="AH26" s="1931"/>
      <c r="AI26" s="1932"/>
      <c r="AJ26" s="1932"/>
      <c r="AK26" s="1932"/>
      <c r="AL26" s="1932"/>
      <c r="AM26" s="1933"/>
      <c r="AN26" s="1931"/>
      <c r="AO26" s="1932"/>
      <c r="AP26" s="1932"/>
      <c r="AQ26" s="1932"/>
      <c r="AR26" s="1932"/>
      <c r="AS26" s="1933"/>
      <c r="AT26" s="1928">
        <f t="shared" si="1"/>
        <v>0</v>
      </c>
      <c r="AU26" s="1929"/>
      <c r="AV26" s="1929"/>
      <c r="AW26" s="1929"/>
      <c r="AX26" s="1929"/>
      <c r="AY26" s="1930"/>
      <c r="AZ26" s="1190"/>
      <c r="BA26" s="1190"/>
      <c r="BB26" s="1190"/>
      <c r="BC26" s="1190"/>
      <c r="BD26" s="1190"/>
      <c r="BE26" s="1194"/>
    </row>
    <row r="27" spans="1:58" ht="15">
      <c r="A27" s="1190"/>
      <c r="B27" s="1922">
        <v>1.2</v>
      </c>
      <c r="C27" s="1923"/>
      <c r="D27" s="1923"/>
      <c r="E27" s="1923"/>
      <c r="F27" s="1923"/>
      <c r="G27" s="1923"/>
      <c r="H27" s="1923"/>
      <c r="I27" s="1924"/>
      <c r="J27" s="1931"/>
      <c r="K27" s="1932"/>
      <c r="L27" s="1932"/>
      <c r="M27" s="1932"/>
      <c r="N27" s="1932"/>
      <c r="O27" s="1933"/>
      <c r="P27" s="1931"/>
      <c r="Q27" s="1932"/>
      <c r="R27" s="1932"/>
      <c r="S27" s="1932"/>
      <c r="T27" s="1932"/>
      <c r="U27" s="1933"/>
      <c r="V27" s="1931"/>
      <c r="W27" s="1932"/>
      <c r="X27" s="1932"/>
      <c r="Y27" s="1932"/>
      <c r="Z27" s="1932"/>
      <c r="AA27" s="1933"/>
      <c r="AB27" s="1931"/>
      <c r="AC27" s="1932"/>
      <c r="AD27" s="1932"/>
      <c r="AE27" s="1932"/>
      <c r="AF27" s="1932"/>
      <c r="AG27" s="1933"/>
      <c r="AH27" s="1931"/>
      <c r="AI27" s="1932"/>
      <c r="AJ27" s="1932"/>
      <c r="AK27" s="1932"/>
      <c r="AL27" s="1932"/>
      <c r="AM27" s="1933"/>
      <c r="AN27" s="1931"/>
      <c r="AO27" s="1932"/>
      <c r="AP27" s="1932"/>
      <c r="AQ27" s="1932"/>
      <c r="AR27" s="1932"/>
      <c r="AS27" s="1933"/>
      <c r="AT27" s="1928">
        <f t="shared" si="1"/>
        <v>0</v>
      </c>
      <c r="AU27" s="1929"/>
      <c r="AV27" s="1929"/>
      <c r="AW27" s="1929"/>
      <c r="AX27" s="1929"/>
      <c r="AY27" s="1930"/>
      <c r="AZ27" s="1190"/>
      <c r="BA27" s="1190"/>
      <c r="BB27" s="1190"/>
      <c r="BC27" s="1190"/>
      <c r="BD27" s="1190"/>
      <c r="BE27" s="1194"/>
    </row>
    <row r="28" spans="1:58" ht="16" thickBot="1">
      <c r="A28" s="1190"/>
      <c r="B28" s="1934" t="s">
        <v>2426</v>
      </c>
      <c r="C28" s="1935"/>
      <c r="D28" s="1935"/>
      <c r="E28" s="1935"/>
      <c r="F28" s="1935"/>
      <c r="G28" s="1935"/>
      <c r="H28" s="1935"/>
      <c r="I28" s="1936"/>
      <c r="J28" s="1937">
        <f>SUM(P28:AS28)</f>
        <v>1</v>
      </c>
      <c r="K28" s="1938"/>
      <c r="L28" s="1938"/>
      <c r="M28" s="1938"/>
      <c r="N28" s="1938"/>
      <c r="O28" s="1939"/>
      <c r="P28" s="1937">
        <f>_xlfn.IFNA(VLOOKUP(P$18,Application!$J$773:$S$776,6,FALSE), 0)</f>
        <v>0</v>
      </c>
      <c r="Q28" s="1938"/>
      <c r="R28" s="1938"/>
      <c r="S28" s="1938"/>
      <c r="T28" s="1938"/>
      <c r="U28" s="1939"/>
      <c r="V28" s="1937">
        <f>_xlfn.IFNA(VLOOKUP(V$18,Application!$J$773:$S$776,6,FALSE), 0)</f>
        <v>0</v>
      </c>
      <c r="W28" s="1938"/>
      <c r="X28" s="1938"/>
      <c r="Y28" s="1938"/>
      <c r="Z28" s="1938"/>
      <c r="AA28" s="1939"/>
      <c r="AB28" s="1937">
        <f>_xlfn.IFNA(VLOOKUP(AB$18,Application!$J$773:$S$776,6,FALSE), 0)</f>
        <v>1</v>
      </c>
      <c r="AC28" s="1938"/>
      <c r="AD28" s="1938"/>
      <c r="AE28" s="1938"/>
      <c r="AF28" s="1938"/>
      <c r="AG28" s="1939"/>
      <c r="AH28" s="1937">
        <f>_xlfn.IFNA(VLOOKUP(AH$18,Application!$J$773:$S$776,6,FALSE), 0)</f>
        <v>0</v>
      </c>
      <c r="AI28" s="1938"/>
      <c r="AJ28" s="1938"/>
      <c r="AK28" s="1938"/>
      <c r="AL28" s="1938"/>
      <c r="AM28" s="1939"/>
      <c r="AN28" s="1937">
        <f>_xlfn.IFNA(VLOOKUP(AN$18,Application!$J$773:$S$776,6,FALSE), 0)</f>
        <v>0</v>
      </c>
      <c r="AO28" s="1938"/>
      <c r="AP28" s="1938"/>
      <c r="AQ28" s="1938"/>
      <c r="AR28" s="1938"/>
      <c r="AS28" s="1939"/>
      <c r="AT28" s="1940">
        <f t="shared" si="1"/>
        <v>8.0000000000000002E-3</v>
      </c>
      <c r="AU28" s="1941"/>
      <c r="AV28" s="1941"/>
      <c r="AW28" s="1941"/>
      <c r="AX28" s="1941"/>
      <c r="AY28" s="1942"/>
      <c r="AZ28" s="1190"/>
      <c r="BA28" s="1190"/>
      <c r="BB28" s="1190"/>
      <c r="BC28" s="1190"/>
      <c r="BD28" s="1190"/>
      <c r="BE28" s="1194"/>
    </row>
    <row r="29" spans="1:58" ht="16" thickBot="1">
      <c r="A29" s="1190"/>
      <c r="B29" s="1971" t="s">
        <v>1586</v>
      </c>
      <c r="C29" s="1944"/>
      <c r="D29" s="1944"/>
      <c r="E29" s="1944"/>
      <c r="F29" s="1944"/>
      <c r="G29" s="1944"/>
      <c r="H29" s="1944"/>
      <c r="I29" s="1945"/>
      <c r="J29" s="1943">
        <f>SUM(J19:O28)</f>
        <v>125</v>
      </c>
      <c r="K29" s="1944"/>
      <c r="L29" s="1944"/>
      <c r="M29" s="1944"/>
      <c r="N29" s="1944"/>
      <c r="O29" s="1945"/>
      <c r="P29" s="1943">
        <f>SUM(P19:U28)</f>
        <v>0</v>
      </c>
      <c r="Q29" s="1944"/>
      <c r="R29" s="1944"/>
      <c r="S29" s="1944"/>
      <c r="T29" s="1944"/>
      <c r="U29" s="1945"/>
      <c r="V29" s="1943">
        <f>SUM(V19:AA28)</f>
        <v>45</v>
      </c>
      <c r="W29" s="1944"/>
      <c r="X29" s="1944"/>
      <c r="Y29" s="1944"/>
      <c r="Z29" s="1944"/>
      <c r="AA29" s="1945"/>
      <c r="AB29" s="1943">
        <f>SUM(AB19:AG28)</f>
        <v>48</v>
      </c>
      <c r="AC29" s="1944"/>
      <c r="AD29" s="1944"/>
      <c r="AE29" s="1944"/>
      <c r="AF29" s="1944"/>
      <c r="AG29" s="1945"/>
      <c r="AH29" s="1943">
        <f>SUM(AH19:AM28)</f>
        <v>32</v>
      </c>
      <c r="AI29" s="1944"/>
      <c r="AJ29" s="1944"/>
      <c r="AK29" s="1944"/>
      <c r="AL29" s="1944"/>
      <c r="AM29" s="1945"/>
      <c r="AN29" s="1943">
        <f>SUM(AN19:AS28)</f>
        <v>0</v>
      </c>
      <c r="AO29" s="1944"/>
      <c r="AP29" s="1944"/>
      <c r="AQ29" s="1944"/>
      <c r="AR29" s="1944"/>
      <c r="AS29" s="1945"/>
      <c r="AT29" s="1946">
        <f t="shared" si="1"/>
        <v>1</v>
      </c>
      <c r="AU29" s="1947"/>
      <c r="AV29" s="1947"/>
      <c r="AW29" s="1947"/>
      <c r="AX29" s="1947"/>
      <c r="AY29" s="1948"/>
      <c r="AZ29" s="1190"/>
      <c r="BA29" s="1190"/>
      <c r="BB29" s="1190"/>
      <c r="BC29" s="1190"/>
      <c r="BD29" s="1190"/>
      <c r="BE29" s="1194"/>
    </row>
    <row r="30" spans="1:58" ht="16"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6" thickBot="1">
      <c r="A31" s="1190"/>
      <c r="B31" s="1949" t="s">
        <v>2425</v>
      </c>
      <c r="C31" s="1950"/>
      <c r="D31" s="1950"/>
      <c r="E31" s="1950"/>
      <c r="F31" s="1950"/>
      <c r="G31" s="1950"/>
      <c r="H31" s="1950"/>
      <c r="I31" s="1950"/>
      <c r="J31" s="1950"/>
      <c r="K31" s="1950"/>
      <c r="L31" s="1950"/>
      <c r="M31" s="1950"/>
      <c r="N31" s="1950"/>
      <c r="O31" s="1950"/>
      <c r="P31" s="1950"/>
      <c r="Q31" s="1950"/>
      <c r="R31" s="1950"/>
      <c r="S31" s="1950"/>
      <c r="T31" s="1950"/>
      <c r="U31" s="1950"/>
      <c r="V31" s="1950"/>
      <c r="W31" s="1950"/>
      <c r="X31" s="1950"/>
      <c r="Y31" s="1950"/>
      <c r="Z31" s="1950"/>
      <c r="AA31" s="1950"/>
      <c r="AB31" s="1950"/>
      <c r="AC31" s="1950"/>
      <c r="AD31" s="1950"/>
      <c r="AE31" s="1950"/>
      <c r="AF31" s="1950"/>
      <c r="AG31" s="1950"/>
      <c r="AH31" s="1950"/>
      <c r="AI31" s="1950"/>
      <c r="AJ31" s="1950"/>
      <c r="AK31" s="1950"/>
      <c r="AL31" s="1950"/>
      <c r="AM31" s="1950"/>
      <c r="AN31" s="1950"/>
      <c r="AO31" s="1950"/>
      <c r="AP31" s="1950"/>
      <c r="AQ31" s="1950"/>
      <c r="AR31" s="1950"/>
      <c r="AS31" s="1950"/>
      <c r="AT31" s="1950"/>
      <c r="AU31" s="1950"/>
      <c r="AV31" s="1950"/>
      <c r="AW31" s="1950"/>
      <c r="AX31" s="1950"/>
      <c r="AY31" s="1950"/>
      <c r="AZ31" s="1950"/>
      <c r="BA31" s="1950"/>
      <c r="BB31" s="1950"/>
      <c r="BC31" s="1950"/>
      <c r="BD31" s="1951"/>
      <c r="BE31" s="1194"/>
    </row>
    <row r="32" spans="1:58" ht="16" thickBot="1">
      <c r="A32" s="1190"/>
      <c r="B32" s="1952" t="s">
        <v>2424</v>
      </c>
      <c r="C32" s="1953"/>
      <c r="D32" s="1953"/>
      <c r="E32" s="1953"/>
      <c r="F32" s="1953"/>
      <c r="G32" s="1953"/>
      <c r="H32" s="1953"/>
      <c r="I32" s="1953"/>
      <c r="J32" s="1956" t="s">
        <v>2423</v>
      </c>
      <c r="K32" s="1957"/>
      <c r="L32" s="1957"/>
      <c r="M32" s="1957"/>
      <c r="N32" s="1956" t="s">
        <v>2422</v>
      </c>
      <c r="O32" s="1957"/>
      <c r="P32" s="1957"/>
      <c r="Q32" s="1959"/>
      <c r="R32" s="1961" t="s">
        <v>2421</v>
      </c>
      <c r="S32" s="1962"/>
      <c r="T32" s="1962"/>
      <c r="U32" s="1962"/>
      <c r="V32" s="1962"/>
      <c r="W32" s="1962"/>
      <c r="X32" s="1962"/>
      <c r="Y32" s="1962"/>
      <c r="Z32" s="1962"/>
      <c r="AA32" s="1962"/>
      <c r="AB32" s="1962"/>
      <c r="AC32" s="1962"/>
      <c r="AD32" s="1962"/>
      <c r="AE32" s="1962"/>
      <c r="AF32" s="1962"/>
      <c r="AG32" s="1962"/>
      <c r="AH32" s="1962"/>
      <c r="AI32" s="1962"/>
      <c r="AJ32" s="1962"/>
      <c r="AK32" s="1962"/>
      <c r="AL32" s="1962"/>
      <c r="AM32" s="1962"/>
      <c r="AN32" s="1962"/>
      <c r="AO32" s="1962"/>
      <c r="AP32" s="1962"/>
      <c r="AQ32" s="1962"/>
      <c r="AR32" s="1962"/>
      <c r="AS32" s="1962"/>
      <c r="AT32" s="1962"/>
      <c r="AU32" s="1962"/>
      <c r="AV32" s="1962"/>
      <c r="AW32" s="1962"/>
      <c r="AX32" s="1962"/>
      <c r="AY32" s="1962"/>
      <c r="AZ32" s="1962"/>
      <c r="BA32" s="1962"/>
      <c r="BB32" s="1962"/>
      <c r="BC32" s="1962"/>
      <c r="BD32" s="1963"/>
      <c r="BE32" s="1194"/>
    </row>
    <row r="33" spans="1:58" ht="15" customHeight="1">
      <c r="A33" s="1190"/>
      <c r="B33" s="1954"/>
      <c r="C33" s="1955"/>
      <c r="D33" s="1955"/>
      <c r="E33" s="1955"/>
      <c r="F33" s="1955"/>
      <c r="G33" s="1955"/>
      <c r="H33" s="1955"/>
      <c r="I33" s="1955"/>
      <c r="J33" s="1958"/>
      <c r="K33" s="1958"/>
      <c r="L33" s="1958"/>
      <c r="M33" s="1958"/>
      <c r="N33" s="1958"/>
      <c r="O33" s="1958"/>
      <c r="P33" s="1958"/>
      <c r="Q33" s="1960"/>
      <c r="R33" s="1964" t="s">
        <v>2420</v>
      </c>
      <c r="S33" s="1965"/>
      <c r="T33" s="1965"/>
      <c r="U33" s="1965"/>
      <c r="V33" s="1965"/>
      <c r="W33" s="1965"/>
      <c r="X33" s="1965"/>
      <c r="Y33" s="1965"/>
      <c r="Z33" s="1965"/>
      <c r="AA33" s="1965"/>
      <c r="AB33" s="1965"/>
      <c r="AC33" s="1965"/>
      <c r="AD33" s="1965"/>
      <c r="AE33" s="1965"/>
      <c r="AF33" s="1965"/>
      <c r="AG33" s="1965"/>
      <c r="AH33" s="1965"/>
      <c r="AI33" s="1965"/>
      <c r="AJ33" s="1965"/>
      <c r="AK33" s="1965"/>
      <c r="AL33" s="1965"/>
      <c r="AM33" s="1965"/>
      <c r="AN33" s="1965"/>
      <c r="AO33" s="1965"/>
      <c r="AP33" s="1965"/>
      <c r="AQ33" s="1965"/>
      <c r="AR33" s="1965"/>
      <c r="AS33" s="1965"/>
      <c r="AT33" s="1965"/>
      <c r="AU33" s="1965"/>
      <c r="AV33" s="1965"/>
      <c r="AW33" s="1965"/>
      <c r="AX33" s="1965"/>
      <c r="AY33" s="1965"/>
      <c r="AZ33" s="1965"/>
      <c r="BA33" s="1965"/>
      <c r="BB33" s="1965"/>
      <c r="BC33" s="1965"/>
      <c r="BD33" s="1966"/>
      <c r="BE33" s="1194"/>
    </row>
    <row r="34" spans="1:58" ht="15.75" customHeight="1" thickBot="1">
      <c r="A34" s="1190"/>
      <c r="B34" s="1954"/>
      <c r="C34" s="1955"/>
      <c r="D34" s="1955"/>
      <c r="E34" s="1955"/>
      <c r="F34" s="1955"/>
      <c r="G34" s="1955"/>
      <c r="H34" s="1955"/>
      <c r="I34" s="1955"/>
      <c r="J34" s="1958"/>
      <c r="K34" s="1958"/>
      <c r="L34" s="1958"/>
      <c r="M34" s="1958"/>
      <c r="N34" s="1958"/>
      <c r="O34" s="1958"/>
      <c r="P34" s="1958"/>
      <c r="Q34" s="1960"/>
      <c r="R34" s="1967"/>
      <c r="S34" s="1968"/>
      <c r="T34" s="1968"/>
      <c r="U34" s="1968"/>
      <c r="V34" s="1968"/>
      <c r="W34" s="1968"/>
      <c r="X34" s="1968"/>
      <c r="Y34" s="1968"/>
      <c r="Z34" s="1968"/>
      <c r="AA34" s="1968"/>
      <c r="AB34" s="1968"/>
      <c r="AC34" s="1968"/>
      <c r="AD34" s="1968"/>
      <c r="AE34" s="1968"/>
      <c r="AF34" s="1968"/>
      <c r="AG34" s="1968"/>
      <c r="AH34" s="1968"/>
      <c r="AI34" s="1968"/>
      <c r="AJ34" s="1968"/>
      <c r="AK34" s="1968"/>
      <c r="AL34" s="1968"/>
      <c r="AM34" s="1968"/>
      <c r="AN34" s="1968"/>
      <c r="AO34" s="1968"/>
      <c r="AP34" s="1968"/>
      <c r="AQ34" s="1968"/>
      <c r="AR34" s="1968"/>
      <c r="AS34" s="1968"/>
      <c r="AT34" s="1968"/>
      <c r="AU34" s="1968"/>
      <c r="AV34" s="1968"/>
      <c r="AW34" s="1968"/>
      <c r="AX34" s="1968"/>
      <c r="AY34" s="1968"/>
      <c r="AZ34" s="1968"/>
      <c r="BA34" s="1968"/>
      <c r="BB34" s="1968"/>
      <c r="BC34" s="1968"/>
      <c r="BD34" s="1969"/>
      <c r="BE34" s="1194"/>
    </row>
    <row r="35" spans="1:58" ht="15.75" customHeight="1">
      <c r="A35" s="1190"/>
      <c r="B35" s="1954"/>
      <c r="C35" s="1955"/>
      <c r="D35" s="1955"/>
      <c r="E35" s="1955"/>
      <c r="F35" s="1955"/>
      <c r="G35" s="1955"/>
      <c r="H35" s="1955"/>
      <c r="I35" s="1955"/>
      <c r="J35" s="1958"/>
      <c r="K35" s="1958"/>
      <c r="L35" s="1958"/>
      <c r="M35" s="1958"/>
      <c r="N35" s="1958"/>
      <c r="O35" s="1958"/>
      <c r="P35" s="1958"/>
      <c r="Q35" s="1958"/>
      <c r="R35" s="1970">
        <v>0.3</v>
      </c>
      <c r="S35" s="1970"/>
      <c r="T35" s="1970"/>
      <c r="U35" s="1970"/>
      <c r="V35" s="1970">
        <v>0.4</v>
      </c>
      <c r="W35" s="1970"/>
      <c r="X35" s="1970"/>
      <c r="Y35" s="1970"/>
      <c r="Z35" s="1970">
        <v>0.5</v>
      </c>
      <c r="AA35" s="1970"/>
      <c r="AB35" s="1970"/>
      <c r="AC35" s="1970"/>
      <c r="AD35" s="1970">
        <v>0.6</v>
      </c>
      <c r="AE35" s="1970"/>
      <c r="AF35" s="1970"/>
      <c r="AG35" s="1970"/>
      <c r="AH35" s="1970">
        <v>0.7</v>
      </c>
      <c r="AI35" s="1970"/>
      <c r="AJ35" s="1970"/>
      <c r="AK35" s="1970"/>
      <c r="AL35" s="1975">
        <v>0.8</v>
      </c>
      <c r="AM35" s="1976"/>
      <c r="AN35" s="1976"/>
      <c r="AO35" s="1977"/>
      <c r="AP35" s="1978">
        <v>1.2</v>
      </c>
      <c r="AQ35" s="1979"/>
      <c r="AR35" s="1980"/>
      <c r="AS35" s="1972" t="s">
        <v>2419</v>
      </c>
      <c r="AT35" s="1973"/>
      <c r="AU35" s="1973"/>
      <c r="AV35" s="1973"/>
      <c r="AW35" s="1973"/>
      <c r="AX35" s="1981"/>
      <c r="AY35" s="1972" t="s">
        <v>2418</v>
      </c>
      <c r="AZ35" s="1973"/>
      <c r="BA35" s="1973"/>
      <c r="BB35" s="1973"/>
      <c r="BC35" s="1973"/>
      <c r="BD35" s="1974"/>
      <c r="BE35" s="1194"/>
    </row>
    <row r="36" spans="1:58" ht="15.75" customHeight="1">
      <c r="A36" s="1190"/>
      <c r="B36" s="1991" t="s">
        <v>2417</v>
      </c>
      <c r="C36" s="1992"/>
      <c r="D36" s="1992"/>
      <c r="E36" s="1992"/>
      <c r="F36" s="1992"/>
      <c r="G36" s="1992"/>
      <c r="H36" s="1992"/>
      <c r="I36" s="1992"/>
      <c r="J36" s="1993" t="s">
        <v>2416</v>
      </c>
      <c r="K36" s="1993"/>
      <c r="L36" s="1993"/>
      <c r="M36" s="1993"/>
      <c r="N36" s="1993">
        <v>55</v>
      </c>
      <c r="O36" s="1993"/>
      <c r="P36" s="1993"/>
      <c r="Q36" s="1993"/>
      <c r="R36" s="1994">
        <v>14</v>
      </c>
      <c r="S36" s="1994"/>
      <c r="T36" s="1994"/>
      <c r="U36" s="1994"/>
      <c r="V36" s="1994"/>
      <c r="W36" s="1994"/>
      <c r="X36" s="1994"/>
      <c r="Y36" s="1994"/>
      <c r="Z36" s="1994">
        <v>49</v>
      </c>
      <c r="AA36" s="1994"/>
      <c r="AB36" s="1994"/>
      <c r="AC36" s="1994"/>
      <c r="AD36" s="1994"/>
      <c r="AE36" s="1994"/>
      <c r="AF36" s="1994"/>
      <c r="AG36" s="1994"/>
      <c r="AH36" s="1994"/>
      <c r="AI36" s="1994"/>
      <c r="AJ36" s="1994"/>
      <c r="AK36" s="1994"/>
      <c r="AL36" s="1982"/>
      <c r="AM36" s="1983"/>
      <c r="AN36" s="1983"/>
      <c r="AO36" s="1984"/>
      <c r="AP36" s="1982"/>
      <c r="AQ36" s="1983"/>
      <c r="AR36" s="1984"/>
      <c r="AS36" s="1985">
        <f t="shared" ref="AS36:AS47" si="2">SUM(R36:AR36)</f>
        <v>63</v>
      </c>
      <c r="AT36" s="1986"/>
      <c r="AU36" s="1986"/>
      <c r="AV36" s="1986"/>
      <c r="AW36" s="1986"/>
      <c r="AX36" s="1987"/>
      <c r="AY36" s="1988">
        <f t="shared" ref="AY36:AY47" si="3">AS36/$J$29</f>
        <v>0.504</v>
      </c>
      <c r="AZ36" s="1989"/>
      <c r="BA36" s="1989"/>
      <c r="BB36" s="1989"/>
      <c r="BC36" s="1989"/>
      <c r="BD36" s="1990"/>
      <c r="BE36" s="1194"/>
    </row>
    <row r="37" spans="1:58" ht="15.75" customHeight="1">
      <c r="A37" s="1190"/>
      <c r="B37" s="1991" t="s">
        <v>2415</v>
      </c>
      <c r="C37" s="1992"/>
      <c r="D37" s="1992"/>
      <c r="E37" s="1992"/>
      <c r="F37" s="1992"/>
      <c r="G37" s="1992"/>
      <c r="H37" s="1992"/>
      <c r="I37" s="1992"/>
      <c r="J37" s="1993" t="s">
        <v>2414</v>
      </c>
      <c r="K37" s="1993"/>
      <c r="L37" s="1993"/>
      <c r="M37" s="1993"/>
      <c r="N37" s="1993">
        <v>55</v>
      </c>
      <c r="O37" s="1993"/>
      <c r="P37" s="1993"/>
      <c r="Q37" s="1993"/>
      <c r="R37" s="1994">
        <v>14</v>
      </c>
      <c r="S37" s="1994"/>
      <c r="T37" s="1994"/>
      <c r="U37" s="1994"/>
      <c r="V37" s="1994"/>
      <c r="W37" s="1994"/>
      <c r="X37" s="1994"/>
      <c r="Y37" s="1994"/>
      <c r="Z37" s="1994">
        <v>49</v>
      </c>
      <c r="AA37" s="1994"/>
      <c r="AB37" s="1994"/>
      <c r="AC37" s="1994"/>
      <c r="AD37" s="1994"/>
      <c r="AE37" s="1994"/>
      <c r="AF37" s="1994"/>
      <c r="AG37" s="1994"/>
      <c r="AH37" s="1994">
        <v>61</v>
      </c>
      <c r="AI37" s="1994"/>
      <c r="AJ37" s="1994"/>
      <c r="AK37" s="1994"/>
      <c r="AL37" s="1982"/>
      <c r="AM37" s="1983"/>
      <c r="AN37" s="1983"/>
      <c r="AO37" s="1984"/>
      <c r="AP37" s="1982"/>
      <c r="AQ37" s="1983"/>
      <c r="AR37" s="1984"/>
      <c r="AS37" s="1985">
        <f t="shared" si="2"/>
        <v>124</v>
      </c>
      <c r="AT37" s="1986"/>
      <c r="AU37" s="1986"/>
      <c r="AV37" s="1986"/>
      <c r="AW37" s="1986"/>
      <c r="AX37" s="1987"/>
      <c r="AY37" s="1988">
        <f t="shared" si="3"/>
        <v>0.99199999999999999</v>
      </c>
      <c r="AZ37" s="1989"/>
      <c r="BA37" s="1989"/>
      <c r="BB37" s="1989"/>
      <c r="BC37" s="1989"/>
      <c r="BD37" s="1990"/>
      <c r="BE37" s="1194"/>
    </row>
    <row r="38" spans="1:58" ht="15.75" customHeight="1">
      <c r="A38" s="1190"/>
      <c r="B38" s="1991" t="s">
        <v>2413</v>
      </c>
      <c r="C38" s="1992"/>
      <c r="D38" s="1992"/>
      <c r="E38" s="1992"/>
      <c r="F38" s="1992"/>
      <c r="G38" s="1992"/>
      <c r="H38" s="1992"/>
      <c r="I38" s="1992"/>
      <c r="J38" s="1993" t="s">
        <v>2412</v>
      </c>
      <c r="K38" s="1993"/>
      <c r="L38" s="1993"/>
      <c r="M38" s="1993"/>
      <c r="N38" s="1993">
        <v>55</v>
      </c>
      <c r="O38" s="1993"/>
      <c r="P38" s="1993"/>
      <c r="Q38" s="1993"/>
      <c r="R38" s="1994">
        <v>14</v>
      </c>
      <c r="S38" s="1994"/>
      <c r="T38" s="1994"/>
      <c r="U38" s="1994"/>
      <c r="V38" s="1994"/>
      <c r="W38" s="1994"/>
      <c r="X38" s="1994"/>
      <c r="Y38" s="1994"/>
      <c r="Z38" s="1994">
        <v>49</v>
      </c>
      <c r="AA38" s="1994"/>
      <c r="AB38" s="1994"/>
      <c r="AC38" s="1994"/>
      <c r="AD38" s="1994"/>
      <c r="AE38" s="1994"/>
      <c r="AF38" s="1994"/>
      <c r="AG38" s="1994"/>
      <c r="AH38" s="1994">
        <v>61</v>
      </c>
      <c r="AI38" s="1994"/>
      <c r="AJ38" s="1994"/>
      <c r="AK38" s="1994"/>
      <c r="AL38" s="1982"/>
      <c r="AM38" s="1983"/>
      <c r="AN38" s="1983"/>
      <c r="AO38" s="1984"/>
      <c r="AP38" s="1982"/>
      <c r="AQ38" s="1983"/>
      <c r="AR38" s="1984"/>
      <c r="AS38" s="1985">
        <f t="shared" si="2"/>
        <v>124</v>
      </c>
      <c r="AT38" s="1986"/>
      <c r="AU38" s="1986"/>
      <c r="AV38" s="1986"/>
      <c r="AW38" s="1986"/>
      <c r="AX38" s="1987"/>
      <c r="AY38" s="1988">
        <f t="shared" si="3"/>
        <v>0.99199999999999999</v>
      </c>
      <c r="AZ38" s="1989"/>
      <c r="BA38" s="1989"/>
      <c r="BB38" s="1989"/>
      <c r="BC38" s="1989"/>
      <c r="BD38" s="1990"/>
      <c r="BE38" s="1194"/>
    </row>
    <row r="39" spans="1:58" ht="15.75" customHeight="1">
      <c r="A39" s="1190"/>
      <c r="B39" s="1991" t="s">
        <v>2411</v>
      </c>
      <c r="C39" s="1992"/>
      <c r="D39" s="1992"/>
      <c r="E39" s="1992"/>
      <c r="F39" s="1992"/>
      <c r="G39" s="1992"/>
      <c r="H39" s="1992"/>
      <c r="I39" s="1992"/>
      <c r="J39" s="1993"/>
      <c r="K39" s="1993"/>
      <c r="L39" s="1993"/>
      <c r="M39" s="1993"/>
      <c r="N39" s="1993"/>
      <c r="O39" s="1993"/>
      <c r="P39" s="1993"/>
      <c r="Q39" s="1993"/>
      <c r="R39" s="1994"/>
      <c r="S39" s="1994"/>
      <c r="T39" s="1994"/>
      <c r="U39" s="1994"/>
      <c r="V39" s="1994"/>
      <c r="W39" s="1994"/>
      <c r="X39" s="1994"/>
      <c r="Y39" s="1994"/>
      <c r="Z39" s="1994"/>
      <c r="AA39" s="1994"/>
      <c r="AB39" s="1994"/>
      <c r="AC39" s="1994"/>
      <c r="AD39" s="1994"/>
      <c r="AE39" s="1994"/>
      <c r="AF39" s="1994"/>
      <c r="AG39" s="1994"/>
      <c r="AH39" s="1994"/>
      <c r="AI39" s="1994"/>
      <c r="AJ39" s="1994"/>
      <c r="AK39" s="1994"/>
      <c r="AL39" s="1982"/>
      <c r="AM39" s="1983"/>
      <c r="AN39" s="1983"/>
      <c r="AO39" s="1984"/>
      <c r="AP39" s="1982"/>
      <c r="AQ39" s="1983"/>
      <c r="AR39" s="1984"/>
      <c r="AS39" s="1985">
        <f t="shared" si="2"/>
        <v>0</v>
      </c>
      <c r="AT39" s="1986"/>
      <c r="AU39" s="1986"/>
      <c r="AV39" s="1986"/>
      <c r="AW39" s="1986"/>
      <c r="AX39" s="1987"/>
      <c r="AY39" s="1988">
        <f t="shared" si="3"/>
        <v>0</v>
      </c>
      <c r="AZ39" s="1989"/>
      <c r="BA39" s="1989"/>
      <c r="BB39" s="1989"/>
      <c r="BC39" s="1989"/>
      <c r="BD39" s="1990"/>
      <c r="BE39" s="1194"/>
    </row>
    <row r="40" spans="1:58" ht="15.75" customHeight="1">
      <c r="A40" s="1190"/>
      <c r="B40" s="1991" t="s">
        <v>2411</v>
      </c>
      <c r="C40" s="1992"/>
      <c r="D40" s="1992"/>
      <c r="E40" s="1992"/>
      <c r="F40" s="1992"/>
      <c r="G40" s="1992"/>
      <c r="H40" s="1992"/>
      <c r="I40" s="1992"/>
      <c r="J40" s="1993"/>
      <c r="K40" s="1993"/>
      <c r="L40" s="1993"/>
      <c r="M40" s="1993"/>
      <c r="N40" s="1993"/>
      <c r="O40" s="1993"/>
      <c r="P40" s="1993"/>
      <c r="Q40" s="1993"/>
      <c r="R40" s="1994"/>
      <c r="S40" s="1994"/>
      <c r="T40" s="1994"/>
      <c r="U40" s="1994"/>
      <c r="V40" s="1994"/>
      <c r="W40" s="1994"/>
      <c r="X40" s="1994"/>
      <c r="Y40" s="1994"/>
      <c r="Z40" s="1994"/>
      <c r="AA40" s="1994"/>
      <c r="AB40" s="1994"/>
      <c r="AC40" s="1994"/>
      <c r="AD40" s="1994"/>
      <c r="AE40" s="1994"/>
      <c r="AF40" s="1994"/>
      <c r="AG40" s="1994"/>
      <c r="AH40" s="1994"/>
      <c r="AI40" s="1994"/>
      <c r="AJ40" s="1994"/>
      <c r="AK40" s="1994"/>
      <c r="AL40" s="1982"/>
      <c r="AM40" s="1983"/>
      <c r="AN40" s="1983"/>
      <c r="AO40" s="1984"/>
      <c r="AP40" s="1982"/>
      <c r="AQ40" s="1983"/>
      <c r="AR40" s="1984"/>
      <c r="AS40" s="1985">
        <f t="shared" si="2"/>
        <v>0</v>
      </c>
      <c r="AT40" s="1986"/>
      <c r="AU40" s="1986"/>
      <c r="AV40" s="1986"/>
      <c r="AW40" s="1986"/>
      <c r="AX40" s="1987"/>
      <c r="AY40" s="1988">
        <f t="shared" si="3"/>
        <v>0</v>
      </c>
      <c r="AZ40" s="1989"/>
      <c r="BA40" s="1989"/>
      <c r="BB40" s="1989"/>
      <c r="BC40" s="1989"/>
      <c r="BD40" s="1990"/>
      <c r="BE40" s="1194"/>
    </row>
    <row r="41" spans="1:58" ht="15.75" customHeight="1">
      <c r="A41" s="1190"/>
      <c r="B41" s="1991" t="s">
        <v>2410</v>
      </c>
      <c r="C41" s="1992"/>
      <c r="D41" s="1992"/>
      <c r="E41" s="1992"/>
      <c r="F41" s="1992"/>
      <c r="G41" s="1992"/>
      <c r="H41" s="1992"/>
      <c r="I41" s="1992"/>
      <c r="J41" s="1993" t="s">
        <v>2412</v>
      </c>
      <c r="K41" s="1993"/>
      <c r="L41" s="1993"/>
      <c r="M41" s="1993"/>
      <c r="N41" s="1993">
        <v>55</v>
      </c>
      <c r="O41" s="1993"/>
      <c r="P41" s="1993"/>
      <c r="Q41" s="1993"/>
      <c r="R41" s="1994">
        <v>14</v>
      </c>
      <c r="S41" s="1994"/>
      <c r="T41" s="1994"/>
      <c r="U41" s="1994"/>
      <c r="V41" s="1994"/>
      <c r="W41" s="1994"/>
      <c r="X41" s="1994"/>
      <c r="Y41" s="1994"/>
      <c r="Z41" s="1994">
        <v>49</v>
      </c>
      <c r="AA41" s="1994"/>
      <c r="AB41" s="1994"/>
      <c r="AC41" s="1994"/>
      <c r="AD41" s="1994"/>
      <c r="AE41" s="1994"/>
      <c r="AF41" s="1994"/>
      <c r="AG41" s="1994"/>
      <c r="AH41" s="1994">
        <v>61</v>
      </c>
      <c r="AI41" s="1994"/>
      <c r="AJ41" s="1994"/>
      <c r="AK41" s="1994"/>
      <c r="AL41" s="1982"/>
      <c r="AM41" s="1983"/>
      <c r="AN41" s="1983"/>
      <c r="AO41" s="1984"/>
      <c r="AP41" s="1982"/>
      <c r="AQ41" s="1983"/>
      <c r="AR41" s="1984"/>
      <c r="AS41" s="1985">
        <f t="shared" si="2"/>
        <v>124</v>
      </c>
      <c r="AT41" s="1986"/>
      <c r="AU41" s="1986"/>
      <c r="AV41" s="1986"/>
      <c r="AW41" s="1986"/>
      <c r="AX41" s="1987"/>
      <c r="AY41" s="1988">
        <f t="shared" si="3"/>
        <v>0.99199999999999999</v>
      </c>
      <c r="AZ41" s="1989"/>
      <c r="BA41" s="1989"/>
      <c r="BB41" s="1989"/>
      <c r="BC41" s="1989"/>
      <c r="BD41" s="1990"/>
      <c r="BE41" s="1194"/>
    </row>
    <row r="42" spans="1:58" ht="15.75" customHeight="1">
      <c r="A42" s="1190"/>
      <c r="B42" s="1991" t="s">
        <v>2410</v>
      </c>
      <c r="C42" s="1992"/>
      <c r="D42" s="1992"/>
      <c r="E42" s="1992"/>
      <c r="F42" s="1992"/>
      <c r="G42" s="1992"/>
      <c r="H42" s="1992"/>
      <c r="I42" s="1992"/>
      <c r="J42" s="1993"/>
      <c r="K42" s="1993"/>
      <c r="L42" s="1993"/>
      <c r="M42" s="1993"/>
      <c r="N42" s="1993"/>
      <c r="O42" s="1993"/>
      <c r="P42" s="1993"/>
      <c r="Q42" s="1993"/>
      <c r="R42" s="1994"/>
      <c r="S42" s="1994"/>
      <c r="T42" s="1994"/>
      <c r="U42" s="1994"/>
      <c r="V42" s="1994"/>
      <c r="W42" s="1994"/>
      <c r="X42" s="1994"/>
      <c r="Y42" s="1994"/>
      <c r="Z42" s="1994"/>
      <c r="AA42" s="1994"/>
      <c r="AB42" s="1994"/>
      <c r="AC42" s="1994"/>
      <c r="AD42" s="1994"/>
      <c r="AE42" s="1994"/>
      <c r="AF42" s="1994"/>
      <c r="AG42" s="1994"/>
      <c r="AH42" s="1994"/>
      <c r="AI42" s="1994"/>
      <c r="AJ42" s="1994"/>
      <c r="AK42" s="1994"/>
      <c r="AL42" s="1982"/>
      <c r="AM42" s="1983"/>
      <c r="AN42" s="1983"/>
      <c r="AO42" s="1984"/>
      <c r="AP42" s="1982"/>
      <c r="AQ42" s="1983"/>
      <c r="AR42" s="1984"/>
      <c r="AS42" s="1985">
        <f t="shared" si="2"/>
        <v>0</v>
      </c>
      <c r="AT42" s="1986"/>
      <c r="AU42" s="1986"/>
      <c r="AV42" s="1986"/>
      <c r="AW42" s="1986"/>
      <c r="AX42" s="1987"/>
      <c r="AY42" s="1988">
        <f t="shared" si="3"/>
        <v>0</v>
      </c>
      <c r="AZ42" s="1989"/>
      <c r="BA42" s="1989"/>
      <c r="BB42" s="1989"/>
      <c r="BC42" s="1989"/>
      <c r="BD42" s="1990"/>
      <c r="BE42" s="1194"/>
    </row>
    <row r="43" spans="1:58" ht="15.75" customHeight="1">
      <c r="A43" s="1190"/>
      <c r="B43" s="1995" t="s">
        <v>2409</v>
      </c>
      <c r="C43" s="1996"/>
      <c r="D43" s="1996"/>
      <c r="E43" s="1996"/>
      <c r="F43" s="1996"/>
      <c r="G43" s="1996"/>
      <c r="H43" s="1996"/>
      <c r="I43" s="1996"/>
      <c r="J43" s="1993"/>
      <c r="K43" s="1993"/>
      <c r="L43" s="1993"/>
      <c r="M43" s="1993"/>
      <c r="N43" s="1993"/>
      <c r="O43" s="1993"/>
      <c r="P43" s="1993"/>
      <c r="Q43" s="1993"/>
      <c r="R43" s="1994"/>
      <c r="S43" s="1994"/>
      <c r="T43" s="1994"/>
      <c r="U43" s="1994"/>
      <c r="V43" s="1994"/>
      <c r="W43" s="1994"/>
      <c r="X43" s="1994"/>
      <c r="Y43" s="1994"/>
      <c r="Z43" s="1994"/>
      <c r="AA43" s="1994"/>
      <c r="AB43" s="1994"/>
      <c r="AC43" s="1994"/>
      <c r="AD43" s="1994"/>
      <c r="AE43" s="1994"/>
      <c r="AF43" s="1994"/>
      <c r="AG43" s="1994"/>
      <c r="AH43" s="1994"/>
      <c r="AI43" s="1994"/>
      <c r="AJ43" s="1994"/>
      <c r="AK43" s="1994"/>
      <c r="AL43" s="1982"/>
      <c r="AM43" s="1983"/>
      <c r="AN43" s="1983"/>
      <c r="AO43" s="1984"/>
      <c r="AP43" s="1982"/>
      <c r="AQ43" s="1983"/>
      <c r="AR43" s="1984"/>
      <c r="AS43" s="1985">
        <f t="shared" si="2"/>
        <v>0</v>
      </c>
      <c r="AT43" s="1986"/>
      <c r="AU43" s="1986"/>
      <c r="AV43" s="1986"/>
      <c r="AW43" s="1986"/>
      <c r="AX43" s="1987"/>
      <c r="AY43" s="1988">
        <f t="shared" si="3"/>
        <v>0</v>
      </c>
      <c r="AZ43" s="1989"/>
      <c r="BA43" s="1989"/>
      <c r="BB43" s="1989"/>
      <c r="BC43" s="1989"/>
      <c r="BD43" s="1990"/>
      <c r="BE43" s="1194"/>
    </row>
    <row r="44" spans="1:58" ht="15.75" customHeight="1">
      <c r="A44" s="1190"/>
      <c r="B44" s="1995" t="s">
        <v>2408</v>
      </c>
      <c r="C44" s="1996"/>
      <c r="D44" s="1996"/>
      <c r="E44" s="1996"/>
      <c r="F44" s="1996"/>
      <c r="G44" s="1996"/>
      <c r="H44" s="1996"/>
      <c r="I44" s="1996"/>
      <c r="J44" s="1993"/>
      <c r="K44" s="1993"/>
      <c r="L44" s="1993"/>
      <c r="M44" s="1993"/>
      <c r="N44" s="1993"/>
      <c r="O44" s="1993"/>
      <c r="P44" s="1993"/>
      <c r="Q44" s="1993"/>
      <c r="R44" s="1994"/>
      <c r="S44" s="1994"/>
      <c r="T44" s="1994"/>
      <c r="U44" s="1994"/>
      <c r="V44" s="1994"/>
      <c r="W44" s="1994"/>
      <c r="X44" s="1994"/>
      <c r="Y44" s="1994"/>
      <c r="Z44" s="1994"/>
      <c r="AA44" s="1994"/>
      <c r="AB44" s="1994"/>
      <c r="AC44" s="1994"/>
      <c r="AD44" s="1994"/>
      <c r="AE44" s="1994"/>
      <c r="AF44" s="1994"/>
      <c r="AG44" s="1994"/>
      <c r="AH44" s="1994"/>
      <c r="AI44" s="1994"/>
      <c r="AJ44" s="1994"/>
      <c r="AK44" s="1994"/>
      <c r="AL44" s="1982"/>
      <c r="AM44" s="1983"/>
      <c r="AN44" s="1983"/>
      <c r="AO44" s="1984"/>
      <c r="AP44" s="1982"/>
      <c r="AQ44" s="1983"/>
      <c r="AR44" s="1984"/>
      <c r="AS44" s="1985">
        <f t="shared" si="2"/>
        <v>0</v>
      </c>
      <c r="AT44" s="1986"/>
      <c r="AU44" s="1986"/>
      <c r="AV44" s="1986"/>
      <c r="AW44" s="1986"/>
      <c r="AX44" s="1987"/>
      <c r="AY44" s="1988">
        <f t="shared" si="3"/>
        <v>0</v>
      </c>
      <c r="AZ44" s="1989"/>
      <c r="BA44" s="1989"/>
      <c r="BB44" s="1989"/>
      <c r="BC44" s="1989"/>
      <c r="BD44" s="1990"/>
      <c r="BE44" s="1194"/>
    </row>
    <row r="45" spans="1:58" ht="15.75" customHeight="1">
      <c r="A45" s="1190"/>
      <c r="B45" s="1995" t="s">
        <v>2407</v>
      </c>
      <c r="C45" s="1996"/>
      <c r="D45" s="1996"/>
      <c r="E45" s="1996"/>
      <c r="F45" s="1996"/>
      <c r="G45" s="1996"/>
      <c r="H45" s="1996"/>
      <c r="I45" s="1996"/>
      <c r="J45" s="1993"/>
      <c r="K45" s="1993"/>
      <c r="L45" s="1993"/>
      <c r="M45" s="1993"/>
      <c r="N45" s="1993"/>
      <c r="O45" s="1993"/>
      <c r="P45" s="1993"/>
      <c r="Q45" s="1993"/>
      <c r="R45" s="1994"/>
      <c r="S45" s="1994"/>
      <c r="T45" s="1994"/>
      <c r="U45" s="1994"/>
      <c r="V45" s="1994"/>
      <c r="W45" s="1994"/>
      <c r="X45" s="1994"/>
      <c r="Y45" s="1994"/>
      <c r="Z45" s="1994"/>
      <c r="AA45" s="1994"/>
      <c r="AB45" s="1994"/>
      <c r="AC45" s="1994"/>
      <c r="AD45" s="1994"/>
      <c r="AE45" s="1994"/>
      <c r="AF45" s="1994"/>
      <c r="AG45" s="1994"/>
      <c r="AH45" s="1994"/>
      <c r="AI45" s="1994"/>
      <c r="AJ45" s="1994"/>
      <c r="AK45" s="1994"/>
      <c r="AL45" s="1982"/>
      <c r="AM45" s="1983"/>
      <c r="AN45" s="1983"/>
      <c r="AO45" s="1984"/>
      <c r="AP45" s="1982"/>
      <c r="AQ45" s="1983"/>
      <c r="AR45" s="1984"/>
      <c r="AS45" s="1985">
        <f t="shared" si="2"/>
        <v>0</v>
      </c>
      <c r="AT45" s="1986"/>
      <c r="AU45" s="1986"/>
      <c r="AV45" s="1986"/>
      <c r="AW45" s="1986"/>
      <c r="AX45" s="1987"/>
      <c r="AY45" s="1988">
        <f t="shared" si="3"/>
        <v>0</v>
      </c>
      <c r="AZ45" s="1989"/>
      <c r="BA45" s="1989"/>
      <c r="BB45" s="1989"/>
      <c r="BC45" s="1989"/>
      <c r="BD45" s="1990"/>
      <c r="BE45" s="1194"/>
    </row>
    <row r="46" spans="1:58" ht="15.75" customHeight="1">
      <c r="A46" s="1190"/>
      <c r="B46" s="1995" t="s">
        <v>2335</v>
      </c>
      <c r="C46" s="1996"/>
      <c r="D46" s="1996"/>
      <c r="E46" s="1996"/>
      <c r="F46" s="1996"/>
      <c r="G46" s="1996"/>
      <c r="H46" s="1996"/>
      <c r="I46" s="1996"/>
      <c r="J46" s="1993"/>
      <c r="K46" s="1993"/>
      <c r="L46" s="1993"/>
      <c r="M46" s="1993"/>
      <c r="N46" s="1993"/>
      <c r="O46" s="1993"/>
      <c r="P46" s="1993"/>
      <c r="Q46" s="1993"/>
      <c r="R46" s="1994"/>
      <c r="S46" s="1994"/>
      <c r="T46" s="1994"/>
      <c r="U46" s="1994"/>
      <c r="V46" s="1994"/>
      <c r="W46" s="1994"/>
      <c r="X46" s="1994"/>
      <c r="Y46" s="1994"/>
      <c r="Z46" s="1994"/>
      <c r="AA46" s="1994"/>
      <c r="AB46" s="1994"/>
      <c r="AC46" s="1994"/>
      <c r="AD46" s="1994"/>
      <c r="AE46" s="1994"/>
      <c r="AF46" s="1994"/>
      <c r="AG46" s="1994"/>
      <c r="AH46" s="1994"/>
      <c r="AI46" s="1994"/>
      <c r="AJ46" s="1994"/>
      <c r="AK46" s="1994"/>
      <c r="AL46" s="1982"/>
      <c r="AM46" s="1983"/>
      <c r="AN46" s="1983"/>
      <c r="AO46" s="1984"/>
      <c r="AP46" s="1982"/>
      <c r="AQ46" s="1983"/>
      <c r="AR46" s="1984"/>
      <c r="AS46" s="1985">
        <f t="shared" si="2"/>
        <v>0</v>
      </c>
      <c r="AT46" s="1986"/>
      <c r="AU46" s="1986"/>
      <c r="AV46" s="1986"/>
      <c r="AW46" s="1986"/>
      <c r="AX46" s="1987"/>
      <c r="AY46" s="1988">
        <f t="shared" si="3"/>
        <v>0</v>
      </c>
      <c r="AZ46" s="1989"/>
      <c r="BA46" s="1989"/>
      <c r="BB46" s="1989"/>
      <c r="BC46" s="1989"/>
      <c r="BD46" s="1990"/>
      <c r="BE46" s="1194"/>
    </row>
    <row r="47" spans="1:58" ht="15.75" customHeight="1" thickBot="1">
      <c r="A47" s="1190"/>
      <c r="B47" s="1997" t="s">
        <v>299</v>
      </c>
      <c r="C47" s="1998"/>
      <c r="D47" s="1998"/>
      <c r="E47" s="1998"/>
      <c r="F47" s="1998"/>
      <c r="G47" s="1998"/>
      <c r="H47" s="1998"/>
      <c r="I47" s="1998"/>
      <c r="J47" s="1999"/>
      <c r="K47" s="1999"/>
      <c r="L47" s="1999"/>
      <c r="M47" s="1999"/>
      <c r="N47" s="1999"/>
      <c r="O47" s="1999"/>
      <c r="P47" s="1999"/>
      <c r="Q47" s="1999"/>
      <c r="R47" s="2000"/>
      <c r="S47" s="2000"/>
      <c r="T47" s="2000"/>
      <c r="U47" s="2000"/>
      <c r="V47" s="2000"/>
      <c r="W47" s="2000"/>
      <c r="X47" s="2000"/>
      <c r="Y47" s="2000"/>
      <c r="Z47" s="2000"/>
      <c r="AA47" s="2000"/>
      <c r="AB47" s="2000"/>
      <c r="AC47" s="2000"/>
      <c r="AD47" s="2000"/>
      <c r="AE47" s="2000"/>
      <c r="AF47" s="2000"/>
      <c r="AG47" s="2000"/>
      <c r="AH47" s="2000"/>
      <c r="AI47" s="2000"/>
      <c r="AJ47" s="2000"/>
      <c r="AK47" s="2000"/>
      <c r="AL47" s="2004"/>
      <c r="AM47" s="2005"/>
      <c r="AN47" s="2005"/>
      <c r="AO47" s="2006"/>
      <c r="AP47" s="2004"/>
      <c r="AQ47" s="2005"/>
      <c r="AR47" s="2006"/>
      <c r="AS47" s="1985">
        <f t="shared" si="2"/>
        <v>0</v>
      </c>
      <c r="AT47" s="1986"/>
      <c r="AU47" s="1986"/>
      <c r="AV47" s="1986"/>
      <c r="AW47" s="1986"/>
      <c r="AX47" s="1987"/>
      <c r="AY47" s="2001">
        <f t="shared" si="3"/>
        <v>0</v>
      </c>
      <c r="AZ47" s="2002"/>
      <c r="BA47" s="2002"/>
      <c r="BB47" s="2002"/>
      <c r="BC47" s="2002"/>
      <c r="BD47" s="2003"/>
      <c r="BE47" s="1194"/>
    </row>
    <row r="48" spans="1:58" ht="15.75" customHeight="1">
      <c r="A48" s="1190"/>
      <c r="B48" s="1196" t="s">
        <v>2406</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2405</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7" t="s">
        <v>2404</v>
      </c>
      <c r="C50" s="2008"/>
      <c r="D50" s="2008"/>
      <c r="E50" s="2008"/>
      <c r="F50" s="2008"/>
      <c r="G50" s="2008"/>
      <c r="H50" s="2008"/>
      <c r="I50" s="2008"/>
      <c r="J50" s="2008"/>
      <c r="K50" s="2008"/>
      <c r="L50" s="2008"/>
      <c r="M50" s="2008"/>
      <c r="N50" s="2008"/>
      <c r="O50" s="2008"/>
      <c r="P50" s="2008"/>
      <c r="Q50" s="2008"/>
      <c r="R50" s="2008"/>
      <c r="S50" s="2008"/>
      <c r="T50" s="2008"/>
      <c r="U50" s="2008"/>
      <c r="V50" s="2008"/>
      <c r="W50" s="2008"/>
      <c r="X50" s="2008"/>
      <c r="Y50" s="2008"/>
      <c r="Z50" s="2008"/>
      <c r="AA50" s="2008"/>
      <c r="AB50" s="2008"/>
      <c r="AC50" s="2008"/>
      <c r="AD50" s="2008"/>
      <c r="AE50" s="2008"/>
      <c r="AF50" s="2008"/>
      <c r="AG50" s="2008"/>
      <c r="AH50" s="2008"/>
      <c r="AI50" s="2008"/>
      <c r="AJ50" s="2008"/>
      <c r="AK50" s="2008"/>
      <c r="AL50" s="2008"/>
      <c r="AM50" s="2008"/>
      <c r="AN50" s="2008"/>
      <c r="AO50" s="2009"/>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10" t="s">
        <v>2399</v>
      </c>
      <c r="C51" s="2011"/>
      <c r="D51" s="2011"/>
      <c r="E51" s="2011"/>
      <c r="F51" s="2011"/>
      <c r="G51" s="2011"/>
      <c r="H51" s="2011"/>
      <c r="I51" s="2011"/>
      <c r="J51" s="2011" t="s">
        <v>2403</v>
      </c>
      <c r="K51" s="2011"/>
      <c r="L51" s="2011"/>
      <c r="M51" s="2011"/>
      <c r="N51" s="2011"/>
      <c r="O51" s="2011"/>
      <c r="P51" s="2011"/>
      <c r="Q51" s="2011"/>
      <c r="R51" s="2012" t="s">
        <v>2402</v>
      </c>
      <c r="S51" s="2012"/>
      <c r="T51" s="2012"/>
      <c r="U51" s="2012"/>
      <c r="V51" s="2012"/>
      <c r="W51" s="2012"/>
      <c r="X51" s="2012"/>
      <c r="Y51" s="2012"/>
      <c r="Z51" s="2012" t="s">
        <v>2401</v>
      </c>
      <c r="AA51" s="2012"/>
      <c r="AB51" s="2012"/>
      <c r="AC51" s="2012"/>
      <c r="AD51" s="2012"/>
      <c r="AE51" s="2012"/>
      <c r="AF51" s="2012"/>
      <c r="AG51" s="2012"/>
      <c r="AH51" s="2012" t="s">
        <v>2400</v>
      </c>
      <c r="AI51" s="2012"/>
      <c r="AJ51" s="2012"/>
      <c r="AK51" s="2012"/>
      <c r="AL51" s="2012"/>
      <c r="AM51" s="2012"/>
      <c r="AN51" s="2012"/>
      <c r="AO51" s="2013"/>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5" t="s">
        <v>2640</v>
      </c>
      <c r="C52" s="1996"/>
      <c r="D52" s="1996"/>
      <c r="E52" s="1996"/>
      <c r="F52" s="1996"/>
      <c r="G52" s="1996"/>
      <c r="H52" s="1996"/>
      <c r="I52" s="1996"/>
      <c r="J52" s="2014">
        <v>15</v>
      </c>
      <c r="K52" s="2014"/>
      <c r="L52" s="2014"/>
      <c r="M52" s="2014"/>
      <c r="N52" s="2014"/>
      <c r="O52" s="2014"/>
      <c r="P52" s="2014"/>
      <c r="Q52" s="2014"/>
      <c r="R52" s="2015">
        <v>30000</v>
      </c>
      <c r="S52" s="2015"/>
      <c r="T52" s="2015"/>
      <c r="U52" s="2015"/>
      <c r="V52" s="2015"/>
      <c r="W52" s="2015"/>
      <c r="X52" s="2015"/>
      <c r="Y52" s="2015"/>
      <c r="Z52" s="2016">
        <v>15</v>
      </c>
      <c r="AA52" s="2016"/>
      <c r="AB52" s="2016"/>
      <c r="AC52" s="2016"/>
      <c r="AD52" s="2016"/>
      <c r="AE52" s="2016"/>
      <c r="AF52" s="2016"/>
      <c r="AG52" s="2016"/>
      <c r="AH52" s="2017" t="s">
        <v>2762</v>
      </c>
      <c r="AI52" s="2017"/>
      <c r="AJ52" s="2017"/>
      <c r="AK52" s="2017"/>
      <c r="AL52" s="2017"/>
      <c r="AM52" s="2017"/>
      <c r="AN52" s="2017"/>
      <c r="AO52" s="2018"/>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5"/>
      <c r="C53" s="1996"/>
      <c r="D53" s="1996"/>
      <c r="E53" s="1996"/>
      <c r="F53" s="1996"/>
      <c r="G53" s="1996"/>
      <c r="H53" s="1996"/>
      <c r="I53" s="1996"/>
      <c r="J53" s="2014"/>
      <c r="K53" s="2014"/>
      <c r="L53" s="2014"/>
      <c r="M53" s="2014"/>
      <c r="N53" s="2014"/>
      <c r="O53" s="2014"/>
      <c r="P53" s="2014"/>
      <c r="Q53" s="2014"/>
      <c r="R53" s="2015"/>
      <c r="S53" s="2015"/>
      <c r="T53" s="2015"/>
      <c r="U53" s="2015"/>
      <c r="V53" s="2015"/>
      <c r="W53" s="2015"/>
      <c r="X53" s="2015"/>
      <c r="Y53" s="2015"/>
      <c r="Z53" s="2016"/>
      <c r="AA53" s="2016"/>
      <c r="AB53" s="2016"/>
      <c r="AC53" s="2016"/>
      <c r="AD53" s="2016"/>
      <c r="AE53" s="2016"/>
      <c r="AF53" s="2016"/>
      <c r="AG53" s="2016"/>
      <c r="AH53" s="2017"/>
      <c r="AI53" s="2017"/>
      <c r="AJ53" s="2017"/>
      <c r="AK53" s="2017"/>
      <c r="AL53" s="2017"/>
      <c r="AM53" s="2017"/>
      <c r="AN53" s="2017"/>
      <c r="AO53" s="2018"/>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5"/>
      <c r="C54" s="1996"/>
      <c r="D54" s="1996"/>
      <c r="E54" s="1996"/>
      <c r="F54" s="1996"/>
      <c r="G54" s="1996"/>
      <c r="H54" s="1996"/>
      <c r="I54" s="1996"/>
      <c r="J54" s="2014"/>
      <c r="K54" s="2014"/>
      <c r="L54" s="2014"/>
      <c r="M54" s="2014"/>
      <c r="N54" s="2014"/>
      <c r="O54" s="2014"/>
      <c r="P54" s="2014"/>
      <c r="Q54" s="2014"/>
      <c r="R54" s="2015"/>
      <c r="S54" s="2015"/>
      <c r="T54" s="2015"/>
      <c r="U54" s="2015"/>
      <c r="V54" s="2015"/>
      <c r="W54" s="2015"/>
      <c r="X54" s="2015"/>
      <c r="Y54" s="2015"/>
      <c r="Z54" s="2016"/>
      <c r="AA54" s="2016"/>
      <c r="AB54" s="2016"/>
      <c r="AC54" s="2016"/>
      <c r="AD54" s="2016"/>
      <c r="AE54" s="2016"/>
      <c r="AF54" s="2016"/>
      <c r="AG54" s="2016"/>
      <c r="AH54" s="2017"/>
      <c r="AI54" s="2017"/>
      <c r="AJ54" s="2017"/>
      <c r="AK54" s="2017"/>
      <c r="AL54" s="2017"/>
      <c r="AM54" s="2017"/>
      <c r="AN54" s="2017"/>
      <c r="AO54" s="2018"/>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5"/>
      <c r="C55" s="1996"/>
      <c r="D55" s="1996"/>
      <c r="E55" s="1996"/>
      <c r="F55" s="1996"/>
      <c r="G55" s="1996"/>
      <c r="H55" s="1996"/>
      <c r="I55" s="1996"/>
      <c r="J55" s="2014"/>
      <c r="K55" s="2014"/>
      <c r="L55" s="2014"/>
      <c r="M55" s="2014"/>
      <c r="N55" s="2014"/>
      <c r="O55" s="2014"/>
      <c r="P55" s="2014"/>
      <c r="Q55" s="2014"/>
      <c r="R55" s="2015"/>
      <c r="S55" s="2015"/>
      <c r="T55" s="2015"/>
      <c r="U55" s="2015"/>
      <c r="V55" s="2015"/>
      <c r="W55" s="2015"/>
      <c r="X55" s="2015"/>
      <c r="Y55" s="2015"/>
      <c r="Z55" s="2016"/>
      <c r="AA55" s="2016"/>
      <c r="AB55" s="2016"/>
      <c r="AC55" s="2016"/>
      <c r="AD55" s="2016"/>
      <c r="AE55" s="2016"/>
      <c r="AF55" s="2016"/>
      <c r="AG55" s="2016"/>
      <c r="AH55" s="2017"/>
      <c r="AI55" s="2017"/>
      <c r="AJ55" s="2017"/>
      <c r="AK55" s="2017"/>
      <c r="AL55" s="2017"/>
      <c r="AM55" s="2017"/>
      <c r="AN55" s="2017"/>
      <c r="AO55" s="2018"/>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1995"/>
      <c r="C56" s="1996"/>
      <c r="D56" s="1996"/>
      <c r="E56" s="1996"/>
      <c r="F56" s="1996"/>
      <c r="G56" s="1996"/>
      <c r="H56" s="1996"/>
      <c r="I56" s="1996"/>
      <c r="J56" s="2014"/>
      <c r="K56" s="2014"/>
      <c r="L56" s="2014"/>
      <c r="M56" s="2014"/>
      <c r="N56" s="2014"/>
      <c r="O56" s="2014"/>
      <c r="P56" s="2014"/>
      <c r="Q56" s="2014"/>
      <c r="R56" s="2015"/>
      <c r="S56" s="2015"/>
      <c r="T56" s="2015"/>
      <c r="U56" s="2015"/>
      <c r="V56" s="2015"/>
      <c r="W56" s="2015"/>
      <c r="X56" s="2015"/>
      <c r="Y56" s="2015"/>
      <c r="Z56" s="2016"/>
      <c r="AA56" s="2016"/>
      <c r="AB56" s="2016"/>
      <c r="AC56" s="2016"/>
      <c r="AD56" s="2016"/>
      <c r="AE56" s="2016"/>
      <c r="AF56" s="2016"/>
      <c r="AG56" s="2016"/>
      <c r="AH56" s="2017"/>
      <c r="AI56" s="2017"/>
      <c r="AJ56" s="2017"/>
      <c r="AK56" s="2017"/>
      <c r="AL56" s="2017"/>
      <c r="AM56" s="2017"/>
      <c r="AN56" s="2017"/>
      <c r="AO56" s="2018"/>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28" t="s">
        <v>1586</v>
      </c>
      <c r="C57" s="2029"/>
      <c r="D57" s="2029"/>
      <c r="E57" s="2029"/>
      <c r="F57" s="2029"/>
      <c r="G57" s="2029"/>
      <c r="H57" s="2029"/>
      <c r="I57" s="2029"/>
      <c r="J57" s="2029"/>
      <c r="K57" s="2029"/>
      <c r="L57" s="2029"/>
      <c r="M57" s="2029"/>
      <c r="N57" s="2029"/>
      <c r="O57" s="2029"/>
      <c r="P57" s="2029"/>
      <c r="Q57" s="2029"/>
      <c r="R57" s="2030">
        <f>SUM(R52:Y56)</f>
        <v>30000</v>
      </c>
      <c r="S57" s="2030"/>
      <c r="T57" s="2030"/>
      <c r="U57" s="2030"/>
      <c r="V57" s="2030"/>
      <c r="W57" s="2030"/>
      <c r="X57" s="2030"/>
      <c r="Y57" s="2030"/>
      <c r="Z57" s="2031">
        <f>SUM(Z52:AG56)</f>
        <v>15</v>
      </c>
      <c r="AA57" s="2031"/>
      <c r="AB57" s="2031"/>
      <c r="AC57" s="2031"/>
      <c r="AD57" s="2031"/>
      <c r="AE57" s="2031"/>
      <c r="AF57" s="2031"/>
      <c r="AG57" s="2031"/>
      <c r="AH57" s="2032"/>
      <c r="AI57" s="2032"/>
      <c r="AJ57" s="2032"/>
      <c r="AK57" s="2032"/>
      <c r="AL57" s="2032"/>
      <c r="AM57" s="2032"/>
      <c r="AN57" s="2032"/>
      <c r="AO57" s="2033"/>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19" t="s">
        <v>2399</v>
      </c>
      <c r="C59" s="2020"/>
      <c r="D59" s="2020"/>
      <c r="E59" s="2020"/>
      <c r="F59" s="2020"/>
      <c r="G59" s="2020"/>
      <c r="H59" s="2020"/>
      <c r="I59" s="2021"/>
      <c r="J59" s="1913" t="s">
        <v>2398</v>
      </c>
      <c r="K59" s="1913"/>
      <c r="L59" s="1913"/>
      <c r="M59" s="1913"/>
      <c r="N59" s="1913"/>
      <c r="O59" s="1913"/>
      <c r="P59" s="1913"/>
      <c r="Q59" s="1913"/>
      <c r="R59" s="1913"/>
      <c r="S59" s="1913"/>
      <c r="T59" s="1913"/>
      <c r="U59" s="1913"/>
      <c r="V59" s="1913"/>
      <c r="W59" s="1913"/>
      <c r="X59" s="1913"/>
      <c r="Y59" s="1913"/>
      <c r="Z59" s="1913"/>
      <c r="AA59" s="1913"/>
      <c r="AB59" s="1913"/>
      <c r="AC59" s="1913"/>
      <c r="AD59" s="1913"/>
      <c r="AE59" s="1913"/>
      <c r="AF59" s="1913"/>
      <c r="AG59" s="1913"/>
      <c r="AH59" s="1913"/>
      <c r="AI59" s="1913"/>
      <c r="AJ59" s="1913"/>
      <c r="AK59" s="1913"/>
      <c r="AL59" s="1913"/>
      <c r="AM59" s="1913"/>
      <c r="AN59" s="1913"/>
      <c r="AO59" s="1913"/>
      <c r="AP59" s="1913"/>
      <c r="AQ59" s="1913"/>
      <c r="AR59" s="1913"/>
      <c r="AS59" s="1913"/>
      <c r="AT59" s="1913"/>
      <c r="AU59" s="1913"/>
      <c r="AV59" s="1913"/>
      <c r="AW59" s="1914"/>
      <c r="AX59" s="1190"/>
      <c r="AY59" s="1190"/>
      <c r="AZ59" s="1190"/>
      <c r="BA59" s="1190"/>
      <c r="BB59" s="1190"/>
      <c r="BC59" s="1190"/>
      <c r="BD59" s="1190"/>
      <c r="BE59" s="1194"/>
    </row>
    <row r="60" spans="1:77" ht="15.75" customHeight="1">
      <c r="A60" s="1190"/>
      <c r="B60" s="2022" t="str">
        <f>IF(B52="", "", B52)</f>
        <v>Pacific Housing, Inc.</v>
      </c>
      <c r="C60" s="2023"/>
      <c r="D60" s="2023"/>
      <c r="E60" s="2023"/>
      <c r="F60" s="2023"/>
      <c r="G60" s="2023"/>
      <c r="H60" s="2023"/>
      <c r="I60" s="2024"/>
      <c r="J60" s="2025" t="s">
        <v>2763</v>
      </c>
      <c r="K60" s="2026"/>
      <c r="L60" s="2026"/>
      <c r="M60" s="2026"/>
      <c r="N60" s="2026"/>
      <c r="O60" s="2026"/>
      <c r="P60" s="2026"/>
      <c r="Q60" s="2026"/>
      <c r="R60" s="2026"/>
      <c r="S60" s="2026"/>
      <c r="T60" s="2026"/>
      <c r="U60" s="2026"/>
      <c r="V60" s="2026"/>
      <c r="W60" s="2026"/>
      <c r="X60" s="2026"/>
      <c r="Y60" s="2026"/>
      <c r="Z60" s="2026"/>
      <c r="AA60" s="2026"/>
      <c r="AB60" s="2026"/>
      <c r="AC60" s="2026"/>
      <c r="AD60" s="2026"/>
      <c r="AE60" s="2026"/>
      <c r="AF60" s="2026"/>
      <c r="AG60" s="2026"/>
      <c r="AH60" s="2026"/>
      <c r="AI60" s="2026"/>
      <c r="AJ60" s="2026"/>
      <c r="AK60" s="2026"/>
      <c r="AL60" s="2026"/>
      <c r="AM60" s="2026"/>
      <c r="AN60" s="2026"/>
      <c r="AO60" s="2026"/>
      <c r="AP60" s="2026"/>
      <c r="AQ60" s="2026"/>
      <c r="AR60" s="2026"/>
      <c r="AS60" s="2026"/>
      <c r="AT60" s="2026"/>
      <c r="AU60" s="2026"/>
      <c r="AV60" s="2026"/>
      <c r="AW60" s="2027"/>
      <c r="AX60" s="1190"/>
      <c r="AY60" s="1190"/>
      <c r="AZ60" s="1190"/>
      <c r="BA60" s="1190"/>
      <c r="BB60" s="1190"/>
      <c r="BC60" s="1190"/>
      <c r="BD60" s="1190"/>
      <c r="BE60" s="1194"/>
    </row>
    <row r="61" spans="1:77" ht="15.75" customHeight="1">
      <c r="A61" s="1190"/>
      <c r="B61" s="2022" t="str">
        <f>IF(B53="", "", B53)</f>
        <v/>
      </c>
      <c r="C61" s="2023"/>
      <c r="D61" s="2023"/>
      <c r="E61" s="2023"/>
      <c r="F61" s="2023"/>
      <c r="G61" s="2023"/>
      <c r="H61" s="2023"/>
      <c r="I61" s="2024"/>
      <c r="J61" s="2025" t="s">
        <v>2764</v>
      </c>
      <c r="K61" s="2026"/>
      <c r="L61" s="2026"/>
      <c r="M61" s="2026"/>
      <c r="N61" s="2026"/>
      <c r="O61" s="2026"/>
      <c r="P61" s="2026"/>
      <c r="Q61" s="2026"/>
      <c r="R61" s="2026"/>
      <c r="S61" s="2026"/>
      <c r="T61" s="2026"/>
      <c r="U61" s="2026"/>
      <c r="V61" s="2026"/>
      <c r="W61" s="2026"/>
      <c r="X61" s="2026"/>
      <c r="Y61" s="2026"/>
      <c r="Z61" s="2026"/>
      <c r="AA61" s="2026"/>
      <c r="AB61" s="2026"/>
      <c r="AC61" s="2026"/>
      <c r="AD61" s="2026"/>
      <c r="AE61" s="2026"/>
      <c r="AF61" s="2026"/>
      <c r="AG61" s="2026"/>
      <c r="AH61" s="2026"/>
      <c r="AI61" s="2026"/>
      <c r="AJ61" s="2026"/>
      <c r="AK61" s="2026"/>
      <c r="AL61" s="2026"/>
      <c r="AM61" s="2026"/>
      <c r="AN61" s="2026"/>
      <c r="AO61" s="2026"/>
      <c r="AP61" s="2026"/>
      <c r="AQ61" s="2026"/>
      <c r="AR61" s="2026"/>
      <c r="AS61" s="2026"/>
      <c r="AT61" s="2026"/>
      <c r="AU61" s="2026"/>
      <c r="AV61" s="2026"/>
      <c r="AW61" s="2027"/>
      <c r="AX61" s="1190"/>
      <c r="AY61" s="1190"/>
      <c r="AZ61" s="1190"/>
      <c r="BA61" s="1190"/>
      <c r="BB61" s="1190"/>
      <c r="BC61" s="1190"/>
      <c r="BD61" s="1190"/>
      <c r="BE61" s="1194"/>
    </row>
    <row r="62" spans="1:77" ht="15.75" customHeight="1">
      <c r="A62" s="1190"/>
      <c r="B62" s="2022" t="str">
        <f>IF(B54="", "", B54)</f>
        <v/>
      </c>
      <c r="C62" s="2023"/>
      <c r="D62" s="2023"/>
      <c r="E62" s="2023"/>
      <c r="F62" s="2023"/>
      <c r="G62" s="2023"/>
      <c r="H62" s="2023"/>
      <c r="I62" s="2024"/>
      <c r="J62" s="2025" t="s">
        <v>2765</v>
      </c>
      <c r="K62" s="2026"/>
      <c r="L62" s="2026"/>
      <c r="M62" s="2026"/>
      <c r="N62" s="2026"/>
      <c r="O62" s="2026"/>
      <c r="P62" s="2026"/>
      <c r="Q62" s="2026"/>
      <c r="R62" s="2026"/>
      <c r="S62" s="2026"/>
      <c r="T62" s="2026"/>
      <c r="U62" s="2026"/>
      <c r="V62" s="2026"/>
      <c r="W62" s="2026"/>
      <c r="X62" s="2026"/>
      <c r="Y62" s="2026"/>
      <c r="Z62" s="2026"/>
      <c r="AA62" s="2026"/>
      <c r="AB62" s="2026"/>
      <c r="AC62" s="2026"/>
      <c r="AD62" s="2026"/>
      <c r="AE62" s="2026"/>
      <c r="AF62" s="2026"/>
      <c r="AG62" s="2026"/>
      <c r="AH62" s="2026"/>
      <c r="AI62" s="2026"/>
      <c r="AJ62" s="2026"/>
      <c r="AK62" s="2026"/>
      <c r="AL62" s="2026"/>
      <c r="AM62" s="2026"/>
      <c r="AN62" s="2026"/>
      <c r="AO62" s="2026"/>
      <c r="AP62" s="2026"/>
      <c r="AQ62" s="2026"/>
      <c r="AR62" s="2026"/>
      <c r="AS62" s="2026"/>
      <c r="AT62" s="2026"/>
      <c r="AU62" s="2026"/>
      <c r="AV62" s="2026"/>
      <c r="AW62" s="2027"/>
      <c r="AX62" s="1190"/>
      <c r="AY62" s="1190"/>
      <c r="AZ62" s="1190"/>
      <c r="BA62" s="1190"/>
      <c r="BB62" s="1190"/>
      <c r="BC62" s="1190"/>
      <c r="BD62" s="1190"/>
      <c r="BE62" s="1194"/>
    </row>
    <row r="63" spans="1:77" ht="15.75" customHeight="1">
      <c r="A63" s="1190"/>
      <c r="B63" s="2022" t="str">
        <f>IF(B55="", "", B55)</f>
        <v/>
      </c>
      <c r="C63" s="2023"/>
      <c r="D63" s="2023"/>
      <c r="E63" s="2023"/>
      <c r="F63" s="2023"/>
      <c r="G63" s="2023"/>
      <c r="H63" s="2023"/>
      <c r="I63" s="2024"/>
      <c r="J63" s="2025"/>
      <c r="K63" s="2026"/>
      <c r="L63" s="2026"/>
      <c r="M63" s="2026"/>
      <c r="N63" s="2026"/>
      <c r="O63" s="2026"/>
      <c r="P63" s="2026"/>
      <c r="Q63" s="2026"/>
      <c r="R63" s="2026"/>
      <c r="S63" s="2026"/>
      <c r="T63" s="2026"/>
      <c r="U63" s="2026"/>
      <c r="V63" s="2026"/>
      <c r="W63" s="2026"/>
      <c r="X63" s="2026"/>
      <c r="Y63" s="2026"/>
      <c r="Z63" s="2026"/>
      <c r="AA63" s="2026"/>
      <c r="AB63" s="2026"/>
      <c r="AC63" s="2026"/>
      <c r="AD63" s="2026"/>
      <c r="AE63" s="2026"/>
      <c r="AF63" s="2026"/>
      <c r="AG63" s="2026"/>
      <c r="AH63" s="2026"/>
      <c r="AI63" s="2026"/>
      <c r="AJ63" s="2026"/>
      <c r="AK63" s="2026"/>
      <c r="AL63" s="2026"/>
      <c r="AM63" s="2026"/>
      <c r="AN63" s="2026"/>
      <c r="AO63" s="2026"/>
      <c r="AP63" s="2026"/>
      <c r="AQ63" s="2026"/>
      <c r="AR63" s="2026"/>
      <c r="AS63" s="2026"/>
      <c r="AT63" s="2026"/>
      <c r="AU63" s="2026"/>
      <c r="AV63" s="2026"/>
      <c r="AW63" s="2027"/>
      <c r="AX63" s="1190"/>
      <c r="AY63" s="1190"/>
      <c r="AZ63" s="1190"/>
      <c r="BA63" s="1190"/>
      <c r="BB63" s="1190"/>
      <c r="BC63" s="1190"/>
      <c r="BD63" s="1190"/>
      <c r="BE63" s="1194"/>
    </row>
    <row r="64" spans="1:77" ht="15.75" customHeight="1" thickBot="1">
      <c r="A64" s="1190"/>
      <c r="B64" s="2044" t="str">
        <f>IF(B56="", "", B56)</f>
        <v/>
      </c>
      <c r="C64" s="2045"/>
      <c r="D64" s="2045"/>
      <c r="E64" s="2045"/>
      <c r="F64" s="2045"/>
      <c r="G64" s="2045"/>
      <c r="H64" s="2045"/>
      <c r="I64" s="2046"/>
      <c r="J64" s="2047"/>
      <c r="K64" s="2048"/>
      <c r="L64" s="2048"/>
      <c r="M64" s="2048"/>
      <c r="N64" s="2048"/>
      <c r="O64" s="2048"/>
      <c r="P64" s="2048"/>
      <c r="Q64" s="2048"/>
      <c r="R64" s="2048"/>
      <c r="S64" s="2048"/>
      <c r="T64" s="2048"/>
      <c r="U64" s="2048"/>
      <c r="V64" s="2048"/>
      <c r="W64" s="2048"/>
      <c r="X64" s="2048"/>
      <c r="Y64" s="2048"/>
      <c r="Z64" s="2048"/>
      <c r="AA64" s="2048"/>
      <c r="AB64" s="2048"/>
      <c r="AC64" s="2048"/>
      <c r="AD64" s="2048"/>
      <c r="AE64" s="2048"/>
      <c r="AF64" s="2048"/>
      <c r="AG64" s="2048"/>
      <c r="AH64" s="2048"/>
      <c r="AI64" s="2048"/>
      <c r="AJ64" s="2048"/>
      <c r="AK64" s="2048"/>
      <c r="AL64" s="2048"/>
      <c r="AM64" s="2048"/>
      <c r="AN64" s="2048"/>
      <c r="AO64" s="2048"/>
      <c r="AP64" s="2048"/>
      <c r="AQ64" s="2048"/>
      <c r="AR64" s="2048"/>
      <c r="AS64" s="2048"/>
      <c r="AT64" s="2048"/>
      <c r="AU64" s="2048"/>
      <c r="AV64" s="2048"/>
      <c r="AW64" s="2049"/>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2397</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2" t="s">
        <v>2396</v>
      </c>
      <c r="C68" s="1913"/>
      <c r="D68" s="1913"/>
      <c r="E68" s="1913"/>
      <c r="F68" s="1913"/>
      <c r="G68" s="1913"/>
      <c r="H68" s="1913"/>
      <c r="I68" s="1913"/>
      <c r="J68" s="1913"/>
      <c r="K68" s="1913"/>
      <c r="L68" s="1913"/>
      <c r="M68" s="1913"/>
      <c r="N68" s="1913"/>
      <c r="O68" s="1913"/>
      <c r="P68" s="1913"/>
      <c r="Q68" s="1913"/>
      <c r="R68" s="1913"/>
      <c r="S68" s="1913"/>
      <c r="T68" s="1913"/>
      <c r="U68" s="1913"/>
      <c r="V68" s="1913"/>
      <c r="W68" s="1913"/>
      <c r="X68" s="1913"/>
      <c r="Y68" s="1913"/>
      <c r="Z68" s="1913"/>
      <c r="AA68" s="1914"/>
      <c r="AB68" s="1190"/>
      <c r="AC68" s="2056" t="s">
        <v>2395</v>
      </c>
      <c r="AD68" s="2057"/>
      <c r="AE68" s="2057"/>
      <c r="AF68" s="2057"/>
      <c r="AG68" s="2057"/>
      <c r="AH68" s="2057"/>
      <c r="AI68" s="2057"/>
      <c r="AJ68" s="2057"/>
      <c r="AK68" s="2057"/>
      <c r="AL68" s="2057"/>
      <c r="AM68" s="2057"/>
      <c r="AN68" s="2057"/>
      <c r="AO68" s="2057"/>
      <c r="AP68" s="2057"/>
      <c r="AQ68" s="2057"/>
      <c r="AR68" s="2057"/>
      <c r="AS68" s="2057"/>
      <c r="AT68" s="2057"/>
      <c r="AU68" s="2057"/>
      <c r="AV68" s="2034" t="s">
        <v>669</v>
      </c>
      <c r="AW68" s="2035"/>
      <c r="AX68" s="2035"/>
      <c r="AY68" s="2035"/>
      <c r="AZ68" s="2035"/>
      <c r="BA68" s="2035"/>
      <c r="BB68" s="2035"/>
      <c r="BC68" s="2036"/>
      <c r="BD68" s="1190"/>
      <c r="BE68" s="1194"/>
      <c r="BM68" s="1199" t="s">
        <v>2394</v>
      </c>
    </row>
    <row r="69" spans="1:94" ht="15.75" customHeight="1" thickTop="1" thickBot="1">
      <c r="A69" s="1190"/>
      <c r="B69" s="2037" t="s">
        <v>2393</v>
      </c>
      <c r="C69" s="2038"/>
      <c r="D69" s="2038"/>
      <c r="E69" s="2038"/>
      <c r="F69" s="2038"/>
      <c r="G69" s="2038"/>
      <c r="H69" s="2038"/>
      <c r="I69" s="2038"/>
      <c r="J69" s="2038"/>
      <c r="K69" s="2038"/>
      <c r="L69" s="2038"/>
      <c r="M69" s="2038"/>
      <c r="N69" s="2038"/>
      <c r="O69" s="2039" t="s">
        <v>2392</v>
      </c>
      <c r="P69" s="2040"/>
      <c r="Q69" s="2040"/>
      <c r="R69" s="2040"/>
      <c r="S69" s="2040"/>
      <c r="T69" s="2040"/>
      <c r="U69" s="2040"/>
      <c r="V69" s="2040"/>
      <c r="W69" s="2040"/>
      <c r="X69" s="2040"/>
      <c r="Y69" s="2040"/>
      <c r="Z69" s="2040"/>
      <c r="AA69" s="2041"/>
      <c r="AB69" s="1190"/>
      <c r="AC69" s="2042" t="s">
        <v>2391</v>
      </c>
      <c r="AD69" s="2043"/>
      <c r="AE69" s="2043"/>
      <c r="AF69" s="2043"/>
      <c r="AG69" s="2043"/>
      <c r="AH69" s="2043"/>
      <c r="AI69" s="2043"/>
      <c r="AJ69" s="2043"/>
      <c r="AK69" s="2043"/>
      <c r="AL69" s="2043"/>
      <c r="AM69" s="2043"/>
      <c r="AN69" s="2043"/>
      <c r="AO69" s="2043"/>
      <c r="AP69" s="2043"/>
      <c r="AQ69" s="2043"/>
      <c r="AR69" s="2043"/>
      <c r="AS69" s="2043"/>
      <c r="AT69" s="2043"/>
      <c r="AU69" s="2043"/>
      <c r="AV69" s="2034" t="s">
        <v>669</v>
      </c>
      <c r="AW69" s="2035"/>
      <c r="AX69" s="2035"/>
      <c r="AY69" s="2035"/>
      <c r="AZ69" s="2035"/>
      <c r="BA69" s="2035"/>
      <c r="BB69" s="2035"/>
      <c r="BC69" s="2036"/>
      <c r="BD69" s="1190"/>
      <c r="BE69" s="1194"/>
      <c r="BM69" s="1200" t="s">
        <v>545</v>
      </c>
    </row>
    <row r="70" spans="1:94" ht="15.75" customHeight="1">
      <c r="A70" s="1190"/>
      <c r="B70" s="1991" t="s">
        <v>2390</v>
      </c>
      <c r="C70" s="1992"/>
      <c r="D70" s="1992"/>
      <c r="E70" s="1992"/>
      <c r="F70" s="1992"/>
      <c r="G70" s="1992"/>
      <c r="H70" s="1992"/>
      <c r="I70" s="1992"/>
      <c r="J70" s="1992"/>
      <c r="K70" s="1992"/>
      <c r="L70" s="1992"/>
      <c r="M70" s="1992"/>
      <c r="N70" s="1992"/>
      <c r="O70" s="2050">
        <v>0</v>
      </c>
      <c r="P70" s="2050"/>
      <c r="Q70" s="2050"/>
      <c r="R70" s="2050"/>
      <c r="S70" s="2050"/>
      <c r="T70" s="2050"/>
      <c r="U70" s="2050"/>
      <c r="V70" s="2050"/>
      <c r="W70" s="2050"/>
      <c r="X70" s="2050"/>
      <c r="Y70" s="2050"/>
      <c r="Z70" s="2050"/>
      <c r="AA70" s="2051"/>
      <c r="AB70" s="1190"/>
      <c r="AC70" s="2007" t="s">
        <v>2389</v>
      </c>
      <c r="AD70" s="2008"/>
      <c r="AE70" s="2008"/>
      <c r="AF70" s="2052"/>
      <c r="AG70" s="2052"/>
      <c r="AH70" s="2052"/>
      <c r="AI70" s="2052"/>
      <c r="AJ70" s="2052"/>
      <c r="AK70" s="2052"/>
      <c r="AL70" s="2052"/>
      <c r="AM70" s="2052"/>
      <c r="AN70" s="2052"/>
      <c r="AO70" s="2052"/>
      <c r="AP70" s="2052"/>
      <c r="AQ70" s="2052"/>
      <c r="AR70" s="2052"/>
      <c r="AS70" s="2052"/>
      <c r="AT70" s="2052"/>
      <c r="AU70" s="2053"/>
      <c r="AV70" s="1190"/>
      <c r="AW70" s="1190"/>
      <c r="AX70" s="1190"/>
      <c r="AY70" s="1190"/>
      <c r="AZ70" s="1190"/>
      <c r="BA70" s="1190"/>
      <c r="BB70" s="1190"/>
      <c r="BC70" s="1190"/>
      <c r="BD70" s="1190"/>
      <c r="BE70" s="1194"/>
      <c r="BM70" s="1201" t="s">
        <v>669</v>
      </c>
    </row>
    <row r="71" spans="1:94" ht="15.75" customHeight="1" thickBot="1">
      <c r="A71" s="1190"/>
      <c r="B71" s="1991" t="s">
        <v>2388</v>
      </c>
      <c r="C71" s="1992"/>
      <c r="D71" s="1992"/>
      <c r="E71" s="1992"/>
      <c r="F71" s="1992"/>
      <c r="G71" s="1992"/>
      <c r="H71" s="1992"/>
      <c r="I71" s="1992"/>
      <c r="J71" s="1992"/>
      <c r="K71" s="1992"/>
      <c r="L71" s="1992"/>
      <c r="M71" s="1992"/>
      <c r="N71" s="1992"/>
      <c r="O71" s="2050">
        <v>0</v>
      </c>
      <c r="P71" s="2050"/>
      <c r="Q71" s="2050"/>
      <c r="R71" s="2050"/>
      <c r="S71" s="2050"/>
      <c r="T71" s="2050"/>
      <c r="U71" s="2050"/>
      <c r="V71" s="2050"/>
      <c r="W71" s="2050"/>
      <c r="X71" s="2050"/>
      <c r="Y71" s="2050"/>
      <c r="Z71" s="2050"/>
      <c r="AA71" s="2051"/>
      <c r="AB71" s="1190"/>
      <c r="AC71" s="2054" t="s">
        <v>2387</v>
      </c>
      <c r="AD71" s="2055"/>
      <c r="AE71" s="2055"/>
      <c r="AF71" s="2048"/>
      <c r="AG71" s="2048"/>
      <c r="AH71" s="2048"/>
      <c r="AI71" s="2048"/>
      <c r="AJ71" s="2048"/>
      <c r="AK71" s="2048"/>
      <c r="AL71" s="2048"/>
      <c r="AM71" s="2048"/>
      <c r="AN71" s="2048"/>
      <c r="AO71" s="2048"/>
      <c r="AP71" s="2048"/>
      <c r="AQ71" s="2048"/>
      <c r="AR71" s="2048"/>
      <c r="AS71" s="2048"/>
      <c r="AT71" s="2048"/>
      <c r="AU71" s="2049"/>
      <c r="AV71" s="1190"/>
      <c r="AW71" s="1190"/>
      <c r="AX71" s="1190"/>
      <c r="AY71" s="1190"/>
      <c r="AZ71" s="1190"/>
      <c r="BA71" s="1190"/>
      <c r="BB71" s="1190"/>
      <c r="BC71" s="1190"/>
      <c r="BD71" s="1190"/>
      <c r="BE71" s="1194"/>
      <c r="BM71" s="1187" t="s">
        <v>2386</v>
      </c>
    </row>
    <row r="72" spans="1:94" ht="15.75" customHeight="1">
      <c r="A72" s="1190"/>
      <c r="B72" s="1991" t="s">
        <v>2385</v>
      </c>
      <c r="C72" s="1992"/>
      <c r="D72" s="1992"/>
      <c r="E72" s="1992"/>
      <c r="F72" s="1992"/>
      <c r="G72" s="1992"/>
      <c r="H72" s="1992"/>
      <c r="I72" s="1992"/>
      <c r="J72" s="1992"/>
      <c r="K72" s="1992"/>
      <c r="L72" s="1992"/>
      <c r="M72" s="1992"/>
      <c r="N72" s="1992"/>
      <c r="O72" s="2050">
        <v>0</v>
      </c>
      <c r="P72" s="2050"/>
      <c r="Q72" s="2050"/>
      <c r="R72" s="2050"/>
      <c r="S72" s="2050"/>
      <c r="T72" s="2050"/>
      <c r="U72" s="2050"/>
      <c r="V72" s="2050"/>
      <c r="W72" s="2050"/>
      <c r="X72" s="2050"/>
      <c r="Y72" s="2050"/>
      <c r="Z72" s="2050"/>
      <c r="AA72" s="2051"/>
      <c r="AB72" s="1190"/>
      <c r="AC72" s="2074" t="s">
        <v>2384</v>
      </c>
      <c r="AD72" s="2075"/>
      <c r="AE72" s="2075"/>
      <c r="AF72" s="2075"/>
      <c r="AG72" s="2075"/>
      <c r="AH72" s="2075"/>
      <c r="AI72" s="2075"/>
      <c r="AJ72" s="2075"/>
      <c r="AK72" s="2075"/>
      <c r="AL72" s="2075"/>
      <c r="AM72" s="2075"/>
      <c r="AN72" s="2075"/>
      <c r="AO72" s="2075"/>
      <c r="AP72" s="2075"/>
      <c r="AQ72" s="2075"/>
      <c r="AR72" s="2075"/>
      <c r="AS72" s="2075"/>
      <c r="AT72" s="2075"/>
      <c r="AU72" s="2075"/>
      <c r="AV72" s="2008"/>
      <c r="AW72" s="2008"/>
      <c r="AX72" s="2008"/>
      <c r="AY72" s="2008"/>
      <c r="AZ72" s="2008"/>
      <c r="BA72" s="2008"/>
      <c r="BB72" s="2008"/>
      <c r="BC72" s="2009"/>
      <c r="BD72" s="1190"/>
      <c r="BE72" s="1194"/>
    </row>
    <row r="73" spans="1:94" ht="15.75" customHeight="1">
      <c r="A73" s="1190"/>
      <c r="B73" s="1995" t="s">
        <v>2383</v>
      </c>
      <c r="C73" s="1996"/>
      <c r="D73" s="1996"/>
      <c r="E73" s="1996"/>
      <c r="F73" s="1996"/>
      <c r="G73" s="1996"/>
      <c r="H73" s="1996"/>
      <c r="I73" s="1996"/>
      <c r="J73" s="1996"/>
      <c r="K73" s="1996"/>
      <c r="L73" s="1996"/>
      <c r="M73" s="1996"/>
      <c r="N73" s="1996"/>
      <c r="O73" s="2050">
        <v>0</v>
      </c>
      <c r="P73" s="2050"/>
      <c r="Q73" s="2050"/>
      <c r="R73" s="2050"/>
      <c r="S73" s="2050"/>
      <c r="T73" s="2050"/>
      <c r="U73" s="2050"/>
      <c r="V73" s="2050"/>
      <c r="W73" s="2050"/>
      <c r="X73" s="2050"/>
      <c r="Y73" s="2050"/>
      <c r="Z73" s="2050"/>
      <c r="AA73" s="2051"/>
      <c r="AB73" s="1190"/>
      <c r="AC73" s="2076" t="s">
        <v>2330</v>
      </c>
      <c r="AD73" s="2077"/>
      <c r="AE73" s="2077"/>
      <c r="AF73" s="2077"/>
      <c r="AG73" s="2077"/>
      <c r="AH73" s="2077"/>
      <c r="AI73" s="2077"/>
      <c r="AJ73" s="2077"/>
      <c r="AK73" s="2077"/>
      <c r="AL73" s="2077"/>
      <c r="AM73" s="2077"/>
      <c r="AN73" s="2077"/>
      <c r="AO73" s="2077"/>
      <c r="AP73" s="2077"/>
      <c r="AQ73" s="2077"/>
      <c r="AR73" s="2077"/>
      <c r="AS73" s="2077"/>
      <c r="AT73" s="2077"/>
      <c r="AU73" s="2077"/>
      <c r="AV73" s="2077"/>
      <c r="AW73" s="2077"/>
      <c r="AX73" s="2077"/>
      <c r="AY73" s="2077"/>
      <c r="AZ73" s="2077"/>
      <c r="BA73" s="2077"/>
      <c r="BB73" s="2077"/>
      <c r="BC73" s="2078"/>
      <c r="BD73" s="1190"/>
      <c r="BE73" s="1194"/>
      <c r="CK73" s="1188"/>
      <c r="CL73" s="1188"/>
      <c r="CM73" s="1188"/>
      <c r="CN73" s="1188"/>
      <c r="CO73" s="1188"/>
      <c r="CP73" s="1188"/>
    </row>
    <row r="74" spans="1:94" ht="15.75" customHeight="1">
      <c r="A74" s="1190"/>
      <c r="B74" s="2082"/>
      <c r="C74" s="2014"/>
      <c r="D74" s="2014"/>
      <c r="E74" s="2014"/>
      <c r="F74" s="2014"/>
      <c r="G74" s="2014"/>
      <c r="H74" s="2014"/>
      <c r="I74" s="2014"/>
      <c r="J74" s="2014"/>
      <c r="K74" s="2014"/>
      <c r="L74" s="2014"/>
      <c r="M74" s="2014"/>
      <c r="N74" s="2014"/>
      <c r="O74" s="2050"/>
      <c r="P74" s="2050"/>
      <c r="Q74" s="2050"/>
      <c r="R74" s="2050"/>
      <c r="S74" s="2050"/>
      <c r="T74" s="2050"/>
      <c r="U74" s="2050"/>
      <c r="V74" s="2050"/>
      <c r="W74" s="2050"/>
      <c r="X74" s="2050"/>
      <c r="Y74" s="2050"/>
      <c r="Z74" s="2050"/>
      <c r="AA74" s="2051"/>
      <c r="AB74" s="1190"/>
      <c r="AC74" s="2076"/>
      <c r="AD74" s="2077"/>
      <c r="AE74" s="2077"/>
      <c r="AF74" s="2077"/>
      <c r="AG74" s="2077"/>
      <c r="AH74" s="2077"/>
      <c r="AI74" s="2077"/>
      <c r="AJ74" s="2077"/>
      <c r="AK74" s="2077"/>
      <c r="AL74" s="2077"/>
      <c r="AM74" s="2077"/>
      <c r="AN74" s="2077"/>
      <c r="AO74" s="2077"/>
      <c r="AP74" s="2077"/>
      <c r="AQ74" s="2077"/>
      <c r="AR74" s="2077"/>
      <c r="AS74" s="2077"/>
      <c r="AT74" s="2077"/>
      <c r="AU74" s="2077"/>
      <c r="AV74" s="2077"/>
      <c r="AW74" s="2077"/>
      <c r="AX74" s="2077"/>
      <c r="AY74" s="2077"/>
      <c r="AZ74" s="2077"/>
      <c r="BA74" s="2077"/>
      <c r="BB74" s="2077"/>
      <c r="BC74" s="2078"/>
      <c r="BD74" s="1190"/>
      <c r="BE74" s="1194"/>
      <c r="CK74" s="1188"/>
      <c r="CL74" s="1188"/>
      <c r="CM74" s="1188"/>
      <c r="CN74" s="1188"/>
      <c r="CO74" s="1188"/>
      <c r="CP74" s="1188"/>
    </row>
    <row r="75" spans="1:94" ht="15.75" customHeight="1" thickBot="1">
      <c r="A75" s="1190"/>
      <c r="B75" s="2083" t="s">
        <v>124</v>
      </c>
      <c r="C75" s="2084"/>
      <c r="D75" s="2084"/>
      <c r="E75" s="2084"/>
      <c r="F75" s="2084"/>
      <c r="G75" s="2084"/>
      <c r="H75" s="2084"/>
      <c r="I75" s="2084"/>
      <c r="J75" s="2084"/>
      <c r="K75" s="2084"/>
      <c r="L75" s="2084"/>
      <c r="M75" s="2084"/>
      <c r="N75" s="2084"/>
      <c r="O75" s="2085">
        <f>SUM(O70:AA74)</f>
        <v>0</v>
      </c>
      <c r="P75" s="2085"/>
      <c r="Q75" s="2085"/>
      <c r="R75" s="2085"/>
      <c r="S75" s="2085"/>
      <c r="T75" s="2085"/>
      <c r="U75" s="2085"/>
      <c r="V75" s="2085"/>
      <c r="W75" s="2085"/>
      <c r="X75" s="2085"/>
      <c r="Y75" s="2085"/>
      <c r="Z75" s="2085"/>
      <c r="AA75" s="2086"/>
      <c r="AB75" s="1190"/>
      <c r="AC75" s="2076"/>
      <c r="AD75" s="2077"/>
      <c r="AE75" s="2077"/>
      <c r="AF75" s="2077"/>
      <c r="AG75" s="2077"/>
      <c r="AH75" s="2077"/>
      <c r="AI75" s="2077"/>
      <c r="AJ75" s="2077"/>
      <c r="AK75" s="2077"/>
      <c r="AL75" s="2077"/>
      <c r="AM75" s="2077"/>
      <c r="AN75" s="2077"/>
      <c r="AO75" s="2077"/>
      <c r="AP75" s="2077"/>
      <c r="AQ75" s="2077"/>
      <c r="AR75" s="2077"/>
      <c r="AS75" s="2077"/>
      <c r="AT75" s="2077"/>
      <c r="AU75" s="2077"/>
      <c r="AV75" s="2077"/>
      <c r="AW75" s="2077"/>
      <c r="AX75" s="2077"/>
      <c r="AY75" s="2077"/>
      <c r="AZ75" s="2077"/>
      <c r="BA75" s="2077"/>
      <c r="BB75" s="2077"/>
      <c r="BC75" s="2078"/>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6"/>
      <c r="AD76" s="2077"/>
      <c r="AE76" s="2077"/>
      <c r="AF76" s="2077"/>
      <c r="AG76" s="2077"/>
      <c r="AH76" s="2077"/>
      <c r="AI76" s="2077"/>
      <c r="AJ76" s="2077"/>
      <c r="AK76" s="2077"/>
      <c r="AL76" s="2077"/>
      <c r="AM76" s="2077"/>
      <c r="AN76" s="2077"/>
      <c r="AO76" s="2077"/>
      <c r="AP76" s="2077"/>
      <c r="AQ76" s="2077"/>
      <c r="AR76" s="2077"/>
      <c r="AS76" s="2077"/>
      <c r="AT76" s="2077"/>
      <c r="AU76" s="2077"/>
      <c r="AV76" s="2077"/>
      <c r="AW76" s="2077"/>
      <c r="AX76" s="2077"/>
      <c r="AY76" s="2077"/>
      <c r="AZ76" s="2077"/>
      <c r="BA76" s="2077"/>
      <c r="BB76" s="2077"/>
      <c r="BC76" s="2078"/>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79"/>
      <c r="AD77" s="2080"/>
      <c r="AE77" s="2080"/>
      <c r="AF77" s="2080"/>
      <c r="AG77" s="2080"/>
      <c r="AH77" s="2080"/>
      <c r="AI77" s="2080"/>
      <c r="AJ77" s="2080"/>
      <c r="AK77" s="2080"/>
      <c r="AL77" s="2080"/>
      <c r="AM77" s="2080"/>
      <c r="AN77" s="2080"/>
      <c r="AO77" s="2080"/>
      <c r="AP77" s="2080"/>
      <c r="AQ77" s="2080"/>
      <c r="AR77" s="2080"/>
      <c r="AS77" s="2080"/>
      <c r="AT77" s="2080"/>
      <c r="AU77" s="2080"/>
      <c r="AV77" s="2080"/>
      <c r="AW77" s="2080"/>
      <c r="AX77" s="2080"/>
      <c r="AY77" s="2080"/>
      <c r="AZ77" s="2080"/>
      <c r="BA77" s="2080"/>
      <c r="BB77" s="2080"/>
      <c r="BC77" s="2081"/>
      <c r="BD77" s="1190"/>
      <c r="BE77" s="1194"/>
      <c r="CK77" s="1188"/>
      <c r="CL77" s="1188"/>
      <c r="CM77" s="1188"/>
      <c r="CN77" s="1188"/>
      <c r="CO77" s="1188"/>
      <c r="CP77" s="1188"/>
    </row>
    <row r="78" spans="1:94" ht="15.75" customHeight="1" thickBot="1">
      <c r="A78" s="1190"/>
      <c r="B78" s="1202" t="s">
        <v>2382</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2283</v>
      </c>
      <c r="C79" s="1206"/>
      <c r="D79" s="1206"/>
      <c r="E79" s="1207"/>
      <c r="F79" s="2058" t="s">
        <v>2766</v>
      </c>
      <c r="G79" s="2059"/>
      <c r="H79" s="2059"/>
      <c r="I79" s="2059"/>
      <c r="J79" s="2059"/>
      <c r="K79" s="2059"/>
      <c r="L79" s="2059"/>
      <c r="M79" s="2059"/>
      <c r="N79" s="2059"/>
      <c r="O79" s="2059"/>
      <c r="P79" s="2059"/>
      <c r="Q79" s="2059"/>
      <c r="R79" s="2059"/>
      <c r="S79" s="2059"/>
      <c r="T79" s="2060"/>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61" t="s">
        <v>2381</v>
      </c>
      <c r="C80" s="2062"/>
      <c r="D80" s="2062"/>
      <c r="E80" s="2062"/>
      <c r="F80" s="2062"/>
      <c r="G80" s="2062"/>
      <c r="H80" s="2062"/>
      <c r="I80" s="2062"/>
      <c r="J80" s="2062"/>
      <c r="K80" s="2062"/>
      <c r="L80" s="2062"/>
      <c r="M80" s="2062"/>
      <c r="N80" s="2062"/>
      <c r="O80" s="2062"/>
      <c r="P80" s="2062"/>
      <c r="Q80" s="2062"/>
      <c r="R80" s="2063">
        <f>IFERROR(INDEX(BR96:BR98,MATCH(F79,$BQ$96:$BQ$98,0))/SUM($BR$96:$BR$98),"")</f>
        <v>0.89999999999999991</v>
      </c>
      <c r="S80" s="2064"/>
      <c r="T80" s="2065"/>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6" t="s">
        <v>2380</v>
      </c>
      <c r="C81" s="2067"/>
      <c r="D81" s="2067"/>
      <c r="E81" s="2067"/>
      <c r="F81" s="2067"/>
      <c r="G81" s="2067"/>
      <c r="H81" s="2067"/>
      <c r="I81" s="2067"/>
      <c r="J81" s="2067"/>
      <c r="K81" s="2067"/>
      <c r="L81" s="2067"/>
      <c r="M81" s="2067"/>
      <c r="N81" s="2067"/>
      <c r="O81" s="2067"/>
      <c r="P81" s="2067"/>
      <c r="Q81" s="2067"/>
      <c r="R81" s="2068">
        <v>1</v>
      </c>
      <c r="S81" s="2069"/>
      <c r="T81" s="2070"/>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71" t="s">
        <v>2379</v>
      </c>
      <c r="C83" s="2072"/>
      <c r="D83" s="2072"/>
      <c r="E83" s="2072"/>
      <c r="F83" s="2072"/>
      <c r="G83" s="2072"/>
      <c r="H83" s="2072"/>
      <c r="I83" s="2072"/>
      <c r="J83" s="2072"/>
      <c r="K83" s="2072"/>
      <c r="L83" s="2072"/>
      <c r="M83" s="2072"/>
      <c r="N83" s="2072"/>
      <c r="O83" s="2072"/>
      <c r="P83" s="2072"/>
      <c r="Q83" s="2072"/>
      <c r="R83" s="2072"/>
      <c r="S83" s="2072"/>
      <c r="T83" s="2072"/>
      <c r="U83" s="2072"/>
      <c r="V83" s="2072"/>
      <c r="W83" s="2072"/>
      <c r="X83" s="2072"/>
      <c r="Y83" s="2072"/>
      <c r="Z83" s="2072"/>
      <c r="AA83" s="2072"/>
      <c r="AB83" s="2072"/>
      <c r="AC83" s="2072"/>
      <c r="AD83" s="2072"/>
      <c r="AE83" s="2072"/>
      <c r="AF83" s="2072"/>
      <c r="AG83" s="2072"/>
      <c r="AH83" s="2073"/>
      <c r="AI83" s="1190"/>
      <c r="AJ83" s="2089" t="s">
        <v>2378</v>
      </c>
      <c r="AK83" s="2090"/>
      <c r="AL83" s="2090"/>
      <c r="AM83" s="2090"/>
      <c r="AN83" s="2090"/>
      <c r="AO83" s="2090"/>
      <c r="AP83" s="2090"/>
      <c r="AQ83" s="2090"/>
      <c r="AR83" s="2090"/>
      <c r="AS83" s="2090"/>
      <c r="AT83" s="2090"/>
      <c r="AU83" s="2090"/>
      <c r="AV83" s="2090"/>
      <c r="AW83" s="2090"/>
      <c r="AX83" s="2090"/>
      <c r="AY83" s="2093" t="s">
        <v>669</v>
      </c>
      <c r="AZ83" s="2093"/>
      <c r="BA83" s="2093"/>
      <c r="BB83" s="2094"/>
      <c r="BC83" s="1190"/>
      <c r="BD83" s="1190"/>
      <c r="BE83" s="1194"/>
      <c r="CK83" s="1188"/>
      <c r="CL83" s="1188"/>
      <c r="CM83" s="1188"/>
      <c r="CN83" s="1188"/>
      <c r="CO83" s="1188"/>
      <c r="CP83" s="1188"/>
    </row>
    <row r="84" spans="1:94" ht="15.75" customHeight="1">
      <c r="A84" s="1190"/>
      <c r="B84" s="2010"/>
      <c r="C84" s="2011"/>
      <c r="D84" s="2011"/>
      <c r="E84" s="2011"/>
      <c r="F84" s="2011"/>
      <c r="G84" s="2011"/>
      <c r="H84" s="2011"/>
      <c r="I84" s="2011" t="s">
        <v>2368</v>
      </c>
      <c r="J84" s="2011"/>
      <c r="K84" s="2011"/>
      <c r="L84" s="2011"/>
      <c r="M84" s="2011"/>
      <c r="N84" s="2011"/>
      <c r="O84" s="2011" t="s">
        <v>2346</v>
      </c>
      <c r="P84" s="2011"/>
      <c r="Q84" s="2011"/>
      <c r="R84" s="2011"/>
      <c r="S84" s="2011"/>
      <c r="T84" s="2011"/>
      <c r="U84" s="2011"/>
      <c r="V84" s="2097" t="s">
        <v>2345</v>
      </c>
      <c r="W84" s="2097"/>
      <c r="X84" s="2097"/>
      <c r="Y84" s="2097"/>
      <c r="Z84" s="2097"/>
      <c r="AA84" s="2097"/>
      <c r="AB84" s="2098" t="s">
        <v>2367</v>
      </c>
      <c r="AC84" s="2098"/>
      <c r="AD84" s="2098"/>
      <c r="AE84" s="2098"/>
      <c r="AF84" s="2098"/>
      <c r="AG84" s="2098"/>
      <c r="AH84" s="2099"/>
      <c r="AI84" s="1190"/>
      <c r="AJ84" s="2091"/>
      <c r="AK84" s="2092"/>
      <c r="AL84" s="2092"/>
      <c r="AM84" s="2092"/>
      <c r="AN84" s="2092"/>
      <c r="AO84" s="2092"/>
      <c r="AP84" s="2092"/>
      <c r="AQ84" s="2092"/>
      <c r="AR84" s="2092"/>
      <c r="AS84" s="2092"/>
      <c r="AT84" s="2092"/>
      <c r="AU84" s="2092"/>
      <c r="AV84" s="2092"/>
      <c r="AW84" s="2092"/>
      <c r="AX84" s="2092"/>
      <c r="AY84" s="2095"/>
      <c r="AZ84" s="2095"/>
      <c r="BA84" s="2095"/>
      <c r="BB84" s="2096"/>
      <c r="BC84" s="1190"/>
      <c r="BD84" s="1190"/>
      <c r="BE84" s="1194"/>
      <c r="CK84" s="1188"/>
      <c r="CL84" s="1188"/>
      <c r="CM84" s="1188"/>
      <c r="CN84" s="1188"/>
      <c r="CO84" s="1188"/>
      <c r="CP84" s="1188"/>
    </row>
    <row r="85" spans="1:94" ht="15.75" customHeight="1">
      <c r="A85" s="1190"/>
      <c r="B85" s="2010"/>
      <c r="C85" s="2011"/>
      <c r="D85" s="2011"/>
      <c r="E85" s="2011"/>
      <c r="F85" s="2011"/>
      <c r="G85" s="2011"/>
      <c r="H85" s="2011"/>
      <c r="I85" s="2011"/>
      <c r="J85" s="2011"/>
      <c r="K85" s="2011"/>
      <c r="L85" s="2011"/>
      <c r="M85" s="2011"/>
      <c r="N85" s="2011"/>
      <c r="O85" s="2011"/>
      <c r="P85" s="2011"/>
      <c r="Q85" s="2011"/>
      <c r="R85" s="2011"/>
      <c r="S85" s="2011"/>
      <c r="T85" s="2011"/>
      <c r="U85" s="2011"/>
      <c r="V85" s="2097"/>
      <c r="W85" s="2097"/>
      <c r="X85" s="2097"/>
      <c r="Y85" s="2097"/>
      <c r="Z85" s="2097"/>
      <c r="AA85" s="2097"/>
      <c r="AB85" s="2098"/>
      <c r="AC85" s="2098"/>
      <c r="AD85" s="2098"/>
      <c r="AE85" s="2098"/>
      <c r="AF85" s="2098"/>
      <c r="AG85" s="2098"/>
      <c r="AH85" s="2099"/>
      <c r="AI85" s="1190"/>
      <c r="AJ85" s="2091"/>
      <c r="AK85" s="2092"/>
      <c r="AL85" s="2092"/>
      <c r="AM85" s="2092"/>
      <c r="AN85" s="2092"/>
      <c r="AO85" s="2092"/>
      <c r="AP85" s="2092"/>
      <c r="AQ85" s="2092"/>
      <c r="AR85" s="2092"/>
      <c r="AS85" s="2092"/>
      <c r="AT85" s="2092"/>
      <c r="AU85" s="2092"/>
      <c r="AV85" s="2092"/>
      <c r="AW85" s="2092"/>
      <c r="AX85" s="2092"/>
      <c r="AY85" s="2095"/>
      <c r="AZ85" s="2095"/>
      <c r="BA85" s="2095"/>
      <c r="BB85" s="2096"/>
      <c r="BC85" s="1190"/>
      <c r="BD85" s="1190"/>
      <c r="BE85" s="1194"/>
      <c r="CK85" s="1188"/>
      <c r="CL85" s="1188"/>
      <c r="CM85" s="1188"/>
      <c r="CN85" s="1188"/>
      <c r="CO85" s="1188"/>
      <c r="CP85" s="1188"/>
    </row>
    <row r="86" spans="1:94" ht="15.75" customHeight="1">
      <c r="A86" s="1190"/>
      <c r="B86" s="2010" t="s">
        <v>2366</v>
      </c>
      <c r="C86" s="2011"/>
      <c r="D86" s="2011"/>
      <c r="E86" s="2011"/>
      <c r="F86" s="2011"/>
      <c r="G86" s="2011"/>
      <c r="H86" s="2011"/>
      <c r="I86" s="2087">
        <v>1031</v>
      </c>
      <c r="J86" s="2087"/>
      <c r="K86" s="2087"/>
      <c r="L86" s="2087"/>
      <c r="M86" s="2087"/>
      <c r="N86" s="2087"/>
      <c r="O86" s="2087">
        <v>0</v>
      </c>
      <c r="P86" s="2087"/>
      <c r="Q86" s="2087"/>
      <c r="R86" s="2087"/>
      <c r="S86" s="2087"/>
      <c r="T86" s="2087"/>
      <c r="U86" s="2087"/>
      <c r="V86" s="2087">
        <v>0</v>
      </c>
      <c r="W86" s="2087"/>
      <c r="X86" s="2087"/>
      <c r="Y86" s="2087"/>
      <c r="Z86" s="2087"/>
      <c r="AA86" s="2087"/>
      <c r="AB86" s="2087">
        <v>0</v>
      </c>
      <c r="AC86" s="2087"/>
      <c r="AD86" s="2087"/>
      <c r="AE86" s="2087"/>
      <c r="AF86" s="2087"/>
      <c r="AG86" s="2087"/>
      <c r="AH86" s="2088"/>
      <c r="AI86" s="1190"/>
      <c r="AJ86" s="2091"/>
      <c r="AK86" s="2092"/>
      <c r="AL86" s="2092"/>
      <c r="AM86" s="2092"/>
      <c r="AN86" s="2092"/>
      <c r="AO86" s="2092"/>
      <c r="AP86" s="2092"/>
      <c r="AQ86" s="2092"/>
      <c r="AR86" s="2092"/>
      <c r="AS86" s="2092"/>
      <c r="AT86" s="2092"/>
      <c r="AU86" s="2092"/>
      <c r="AV86" s="2092"/>
      <c r="AW86" s="2092"/>
      <c r="AX86" s="2092"/>
      <c r="AY86" s="2095"/>
      <c r="AZ86" s="2095"/>
      <c r="BA86" s="2095"/>
      <c r="BB86" s="2096"/>
      <c r="BC86" s="1190"/>
      <c r="BD86" s="1190"/>
      <c r="BE86" s="1194"/>
      <c r="CK86" s="1188"/>
      <c r="CL86" s="1188"/>
      <c r="CM86" s="1188"/>
      <c r="CN86" s="1188"/>
      <c r="CO86" s="1188"/>
      <c r="CP86" s="1188"/>
    </row>
    <row r="87" spans="1:94" ht="15.75" customHeight="1">
      <c r="A87" s="1190"/>
      <c r="B87" s="2010" t="s">
        <v>2365</v>
      </c>
      <c r="C87" s="2011"/>
      <c r="D87" s="2011"/>
      <c r="E87" s="2011"/>
      <c r="F87" s="2011"/>
      <c r="G87" s="2011"/>
      <c r="H87" s="2011"/>
      <c r="I87" s="2087">
        <v>0</v>
      </c>
      <c r="J87" s="2087"/>
      <c r="K87" s="2087"/>
      <c r="L87" s="2087"/>
      <c r="M87" s="2087"/>
      <c r="N87" s="2087"/>
      <c r="O87" s="2087">
        <v>0</v>
      </c>
      <c r="P87" s="2087"/>
      <c r="Q87" s="2087"/>
      <c r="R87" s="2087"/>
      <c r="S87" s="2087"/>
      <c r="T87" s="2087"/>
      <c r="U87" s="2087"/>
      <c r="V87" s="2087">
        <v>0</v>
      </c>
      <c r="W87" s="2087"/>
      <c r="X87" s="2087"/>
      <c r="Y87" s="2087"/>
      <c r="Z87" s="2087"/>
      <c r="AA87" s="2087"/>
      <c r="AB87" s="2087">
        <v>0</v>
      </c>
      <c r="AC87" s="2087"/>
      <c r="AD87" s="2087"/>
      <c r="AE87" s="2087"/>
      <c r="AF87" s="2087"/>
      <c r="AG87" s="2087"/>
      <c r="AH87" s="2088"/>
      <c r="AI87" s="1190"/>
      <c r="AJ87" s="2076" t="s">
        <v>2767</v>
      </c>
      <c r="AK87" s="2077"/>
      <c r="AL87" s="2077"/>
      <c r="AM87" s="2077"/>
      <c r="AN87" s="2077"/>
      <c r="AO87" s="2077"/>
      <c r="AP87" s="2077"/>
      <c r="AQ87" s="2077"/>
      <c r="AR87" s="2077"/>
      <c r="AS87" s="2077"/>
      <c r="AT87" s="2077"/>
      <c r="AU87" s="2077"/>
      <c r="AV87" s="2077"/>
      <c r="AW87" s="2077"/>
      <c r="AX87" s="2077"/>
      <c r="AY87" s="2077"/>
      <c r="AZ87" s="2077"/>
      <c r="BA87" s="2077"/>
      <c r="BB87" s="2078"/>
      <c r="BC87" s="1190"/>
      <c r="BD87" s="1190"/>
      <c r="BE87" s="1194"/>
      <c r="CK87" s="1188"/>
      <c r="CL87" s="1188"/>
      <c r="CM87" s="1188"/>
      <c r="CN87" s="1188"/>
      <c r="CO87" s="1188"/>
      <c r="CP87" s="1188"/>
    </row>
    <row r="88" spans="1:94" ht="15.75" customHeight="1" thickBot="1">
      <c r="A88" s="1190"/>
      <c r="B88" s="2028" t="s">
        <v>2364</v>
      </c>
      <c r="C88" s="2029"/>
      <c r="D88" s="2029"/>
      <c r="E88" s="2029"/>
      <c r="F88" s="2029"/>
      <c r="G88" s="2029"/>
      <c r="H88" s="2029"/>
      <c r="I88" s="2102">
        <v>1031</v>
      </c>
      <c r="J88" s="2102"/>
      <c r="K88" s="2102"/>
      <c r="L88" s="2102"/>
      <c r="M88" s="2102"/>
      <c r="N88" s="2102"/>
      <c r="O88" s="2102">
        <v>0</v>
      </c>
      <c r="P88" s="2102"/>
      <c r="Q88" s="2102"/>
      <c r="R88" s="2102"/>
      <c r="S88" s="2102"/>
      <c r="T88" s="2102"/>
      <c r="U88" s="2102"/>
      <c r="V88" s="2102">
        <v>0</v>
      </c>
      <c r="W88" s="2102"/>
      <c r="X88" s="2102"/>
      <c r="Y88" s="2102"/>
      <c r="Z88" s="2102"/>
      <c r="AA88" s="2102"/>
      <c r="AB88" s="2102">
        <v>0</v>
      </c>
      <c r="AC88" s="2102"/>
      <c r="AD88" s="2102"/>
      <c r="AE88" s="2102"/>
      <c r="AF88" s="2102"/>
      <c r="AG88" s="2102"/>
      <c r="AH88" s="2103"/>
      <c r="AI88" s="1190"/>
      <c r="AJ88" s="2079"/>
      <c r="AK88" s="2080"/>
      <c r="AL88" s="2080"/>
      <c r="AM88" s="2080"/>
      <c r="AN88" s="2080"/>
      <c r="AO88" s="2080"/>
      <c r="AP88" s="2080"/>
      <c r="AQ88" s="2080"/>
      <c r="AR88" s="2080"/>
      <c r="AS88" s="2080"/>
      <c r="AT88" s="2080"/>
      <c r="AU88" s="2080"/>
      <c r="AV88" s="2080"/>
      <c r="AW88" s="2080"/>
      <c r="AX88" s="2080"/>
      <c r="AY88" s="2080"/>
      <c r="AZ88" s="2080"/>
      <c r="BA88" s="2080"/>
      <c r="BB88" s="2081"/>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2377</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2283</v>
      </c>
      <c r="C92" s="1212"/>
      <c r="D92" s="1213"/>
      <c r="E92" s="1214"/>
      <c r="F92" s="2058" t="s">
        <v>2768</v>
      </c>
      <c r="G92" s="2059"/>
      <c r="H92" s="2059"/>
      <c r="I92" s="2059"/>
      <c r="J92" s="2059"/>
      <c r="K92" s="2059"/>
      <c r="L92" s="2059"/>
      <c r="M92" s="2059"/>
      <c r="N92" s="2059"/>
      <c r="O92" s="2059"/>
      <c r="P92" s="2059"/>
      <c r="Q92" s="2059"/>
      <c r="R92" s="2059"/>
      <c r="S92" s="2059"/>
      <c r="T92" s="2060"/>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61" t="s">
        <v>2376</v>
      </c>
      <c r="C93" s="2062"/>
      <c r="D93" s="2062"/>
      <c r="E93" s="2062"/>
      <c r="F93" s="2062"/>
      <c r="G93" s="2062"/>
      <c r="H93" s="2062"/>
      <c r="I93" s="2062"/>
      <c r="J93" s="2062"/>
      <c r="K93" s="2062"/>
      <c r="L93" s="2062"/>
      <c r="M93" s="2062"/>
      <c r="N93" s="2062"/>
      <c r="O93" s="2062"/>
      <c r="P93" s="2062"/>
      <c r="Q93" s="2100"/>
      <c r="R93" s="2063">
        <f>IFERROR(INDEX(BR96:BR98,MATCH(F92,$BQ$96:$BQ$98,0))/SUM($BR$96:$BR$98),"")</f>
        <v>0.1</v>
      </c>
      <c r="S93" s="2064"/>
      <c r="T93" s="2065"/>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6" t="s">
        <v>2375</v>
      </c>
      <c r="C94" s="2067"/>
      <c r="D94" s="2067"/>
      <c r="E94" s="2067"/>
      <c r="F94" s="2067"/>
      <c r="G94" s="2067"/>
      <c r="H94" s="2067"/>
      <c r="I94" s="2067"/>
      <c r="J94" s="2067"/>
      <c r="K94" s="2067"/>
      <c r="L94" s="2067"/>
      <c r="M94" s="2067"/>
      <c r="N94" s="2067"/>
      <c r="O94" s="2067"/>
      <c r="P94" s="2067"/>
      <c r="Q94" s="2101"/>
      <c r="R94" s="2068" t="s">
        <v>2188</v>
      </c>
      <c r="S94" s="2069"/>
      <c r="T94" s="2070"/>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71" t="s">
        <v>2374</v>
      </c>
      <c r="C96" s="2072"/>
      <c r="D96" s="2072"/>
      <c r="E96" s="2072"/>
      <c r="F96" s="2072"/>
      <c r="G96" s="2072"/>
      <c r="H96" s="2072"/>
      <c r="I96" s="2072"/>
      <c r="J96" s="2072"/>
      <c r="K96" s="2072"/>
      <c r="L96" s="2072"/>
      <c r="M96" s="2072"/>
      <c r="N96" s="2072"/>
      <c r="O96" s="2072"/>
      <c r="P96" s="2072"/>
      <c r="Q96" s="2072"/>
      <c r="R96" s="2072"/>
      <c r="S96" s="2072"/>
      <c r="T96" s="2072"/>
      <c r="U96" s="2072"/>
      <c r="V96" s="2072"/>
      <c r="W96" s="2072"/>
      <c r="X96" s="2072"/>
      <c r="Y96" s="2072"/>
      <c r="Z96" s="2072"/>
      <c r="AA96" s="2072"/>
      <c r="AB96" s="2072"/>
      <c r="AC96" s="2072"/>
      <c r="AD96" s="2072"/>
      <c r="AE96" s="2072"/>
      <c r="AF96" s="2072"/>
      <c r="AG96" s="2072"/>
      <c r="AH96" s="2073"/>
      <c r="AI96" s="1190"/>
      <c r="AJ96" s="2089" t="s">
        <v>2373</v>
      </c>
      <c r="AK96" s="2090"/>
      <c r="AL96" s="2090"/>
      <c r="AM96" s="2090"/>
      <c r="AN96" s="2090"/>
      <c r="AO96" s="2090"/>
      <c r="AP96" s="2090"/>
      <c r="AQ96" s="2090"/>
      <c r="AR96" s="2090"/>
      <c r="AS96" s="2090"/>
      <c r="AT96" s="2090"/>
      <c r="AU96" s="2090"/>
      <c r="AV96" s="2090"/>
      <c r="AW96" s="2090"/>
      <c r="AX96" s="2090"/>
      <c r="AY96" s="2093" t="s">
        <v>545</v>
      </c>
      <c r="AZ96" s="2093"/>
      <c r="BA96" s="2093"/>
      <c r="BB96" s="2094"/>
      <c r="BC96" s="1190"/>
      <c r="BD96" s="1190"/>
      <c r="BE96" s="1194"/>
      <c r="BQ96" s="1256" t="str">
        <f>Application!M243&amp;IF(TRIM(Application!AA249)&lt;&gt;""," ("&amp;Application!AA249&amp;")","")</f>
        <v>Marinwood GP, L.L.C. (Impact Residential Development, LLC)</v>
      </c>
      <c r="BR96" s="1259">
        <f>Application!AH246</f>
        <v>1.8E-3</v>
      </c>
      <c r="CM96" s="1188"/>
      <c r="CN96" s="1188"/>
      <c r="CO96" s="1188"/>
      <c r="CP96" s="1188"/>
    </row>
    <row r="97" spans="1:94" ht="15.75" customHeight="1">
      <c r="A97" s="1190"/>
      <c r="B97" s="2010"/>
      <c r="C97" s="2011"/>
      <c r="D97" s="2011"/>
      <c r="E97" s="2011"/>
      <c r="F97" s="2011"/>
      <c r="G97" s="2011"/>
      <c r="H97" s="2011"/>
      <c r="I97" s="2011" t="s">
        <v>2368</v>
      </c>
      <c r="J97" s="2011"/>
      <c r="K97" s="2011"/>
      <c r="L97" s="2011"/>
      <c r="M97" s="2011"/>
      <c r="N97" s="2011"/>
      <c r="O97" s="2011" t="s">
        <v>2346</v>
      </c>
      <c r="P97" s="2011"/>
      <c r="Q97" s="2011"/>
      <c r="R97" s="2011"/>
      <c r="S97" s="2011"/>
      <c r="T97" s="2011"/>
      <c r="U97" s="2011"/>
      <c r="V97" s="2097" t="s">
        <v>2345</v>
      </c>
      <c r="W97" s="2097"/>
      <c r="X97" s="2097"/>
      <c r="Y97" s="2097"/>
      <c r="Z97" s="2097"/>
      <c r="AA97" s="2097"/>
      <c r="AB97" s="2098" t="s">
        <v>2367</v>
      </c>
      <c r="AC97" s="2098"/>
      <c r="AD97" s="2098"/>
      <c r="AE97" s="2098"/>
      <c r="AF97" s="2098"/>
      <c r="AG97" s="2098"/>
      <c r="AH97" s="2099"/>
      <c r="AI97" s="1190"/>
      <c r="AJ97" s="2091"/>
      <c r="AK97" s="2092"/>
      <c r="AL97" s="2092"/>
      <c r="AM97" s="2092"/>
      <c r="AN97" s="2092"/>
      <c r="AO97" s="2092"/>
      <c r="AP97" s="2092"/>
      <c r="AQ97" s="2092"/>
      <c r="AR97" s="2092"/>
      <c r="AS97" s="2092"/>
      <c r="AT97" s="2092"/>
      <c r="AU97" s="2092"/>
      <c r="AV97" s="2092"/>
      <c r="AW97" s="2092"/>
      <c r="AX97" s="2092"/>
      <c r="AY97" s="2095"/>
      <c r="AZ97" s="2095"/>
      <c r="BA97" s="2095"/>
      <c r="BB97" s="2096"/>
      <c r="BC97" s="1190"/>
      <c r="BD97" s="1190"/>
      <c r="BE97" s="1194"/>
      <c r="BQ97" s="1256" t="str">
        <f>Application!M251&amp;IF(TRIM(Application!AA257)&lt;&gt;""," ("&amp;Application!AA257&amp;")","")</f>
        <v>PACH San Jose Holding LLC (Pacific Housing, Inc.)</v>
      </c>
      <c r="BR97" s="1259">
        <f>Application!AH254</f>
        <v>2.0000000000000001E-4</v>
      </c>
      <c r="CM97" s="1188"/>
      <c r="CN97" s="1188"/>
      <c r="CO97" s="1188"/>
      <c r="CP97" s="1188"/>
    </row>
    <row r="98" spans="1:94" ht="15.75" customHeight="1">
      <c r="A98" s="1190"/>
      <c r="B98" s="2010"/>
      <c r="C98" s="2011"/>
      <c r="D98" s="2011"/>
      <c r="E98" s="2011"/>
      <c r="F98" s="2011"/>
      <c r="G98" s="2011"/>
      <c r="H98" s="2011"/>
      <c r="I98" s="2011"/>
      <c r="J98" s="2011"/>
      <c r="K98" s="2011"/>
      <c r="L98" s="2011"/>
      <c r="M98" s="2011"/>
      <c r="N98" s="2011"/>
      <c r="O98" s="2011"/>
      <c r="P98" s="2011"/>
      <c r="Q98" s="2011"/>
      <c r="R98" s="2011"/>
      <c r="S98" s="2011"/>
      <c r="T98" s="2011"/>
      <c r="U98" s="2011"/>
      <c r="V98" s="2097"/>
      <c r="W98" s="2097"/>
      <c r="X98" s="2097"/>
      <c r="Y98" s="2097"/>
      <c r="Z98" s="2097"/>
      <c r="AA98" s="2097"/>
      <c r="AB98" s="2098"/>
      <c r="AC98" s="2098"/>
      <c r="AD98" s="2098"/>
      <c r="AE98" s="2098"/>
      <c r="AF98" s="2098"/>
      <c r="AG98" s="2098"/>
      <c r="AH98" s="2099"/>
      <c r="AI98" s="1190"/>
      <c r="AJ98" s="2091"/>
      <c r="AK98" s="2092"/>
      <c r="AL98" s="2092"/>
      <c r="AM98" s="2092"/>
      <c r="AN98" s="2092"/>
      <c r="AO98" s="2092"/>
      <c r="AP98" s="2092"/>
      <c r="AQ98" s="2092"/>
      <c r="AR98" s="2092"/>
      <c r="AS98" s="2092"/>
      <c r="AT98" s="2092"/>
      <c r="AU98" s="2092"/>
      <c r="AV98" s="2092"/>
      <c r="AW98" s="2092"/>
      <c r="AX98" s="2092"/>
      <c r="AY98" s="2095"/>
      <c r="AZ98" s="2095"/>
      <c r="BA98" s="2095"/>
      <c r="BB98" s="2096"/>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10" t="s">
        <v>2366</v>
      </c>
      <c r="C99" s="2011"/>
      <c r="D99" s="2011"/>
      <c r="E99" s="2011"/>
      <c r="F99" s="2011"/>
      <c r="G99" s="2011"/>
      <c r="H99" s="2011"/>
      <c r="I99" s="2087">
        <v>2000</v>
      </c>
      <c r="J99" s="2087"/>
      <c r="K99" s="2087"/>
      <c r="L99" s="2087"/>
      <c r="M99" s="2087"/>
      <c r="N99" s="2087"/>
      <c r="O99" s="2087">
        <v>1187</v>
      </c>
      <c r="P99" s="2087"/>
      <c r="Q99" s="2087"/>
      <c r="R99" s="2087"/>
      <c r="S99" s="2087"/>
      <c r="T99" s="2087"/>
      <c r="U99" s="2087"/>
      <c r="V99" s="2087">
        <v>845</v>
      </c>
      <c r="W99" s="2087"/>
      <c r="X99" s="2087"/>
      <c r="Y99" s="2087"/>
      <c r="Z99" s="2087"/>
      <c r="AA99" s="2087"/>
      <c r="AB99" s="2087">
        <v>1072</v>
      </c>
      <c r="AC99" s="2087"/>
      <c r="AD99" s="2087"/>
      <c r="AE99" s="2087"/>
      <c r="AF99" s="2087"/>
      <c r="AG99" s="2087"/>
      <c r="AH99" s="2088"/>
      <c r="AI99" s="1190"/>
      <c r="AJ99" s="2091"/>
      <c r="AK99" s="2092"/>
      <c r="AL99" s="2092"/>
      <c r="AM99" s="2092"/>
      <c r="AN99" s="2092"/>
      <c r="AO99" s="2092"/>
      <c r="AP99" s="2092"/>
      <c r="AQ99" s="2092"/>
      <c r="AR99" s="2092"/>
      <c r="AS99" s="2092"/>
      <c r="AT99" s="2092"/>
      <c r="AU99" s="2092"/>
      <c r="AV99" s="2092"/>
      <c r="AW99" s="2092"/>
      <c r="AX99" s="2092"/>
      <c r="AY99" s="2095"/>
      <c r="AZ99" s="2095"/>
      <c r="BA99" s="2095"/>
      <c r="BB99" s="2096"/>
      <c r="BC99" s="1190"/>
      <c r="BD99" s="1190"/>
      <c r="BE99" s="1194"/>
      <c r="CM99" s="1188"/>
      <c r="CN99" s="1188"/>
      <c r="CO99" s="1188"/>
      <c r="CP99" s="1188"/>
    </row>
    <row r="100" spans="1:94" ht="15.75" customHeight="1">
      <c r="A100" s="1190"/>
      <c r="B100" s="2010" t="s">
        <v>2365</v>
      </c>
      <c r="C100" s="2011"/>
      <c r="D100" s="2011"/>
      <c r="E100" s="2011"/>
      <c r="F100" s="2011"/>
      <c r="G100" s="2011"/>
      <c r="H100" s="2011"/>
      <c r="I100" s="2087">
        <v>0</v>
      </c>
      <c r="J100" s="2087"/>
      <c r="K100" s="2087"/>
      <c r="L100" s="2087"/>
      <c r="M100" s="2087"/>
      <c r="N100" s="2087"/>
      <c r="O100" s="2087">
        <v>0</v>
      </c>
      <c r="P100" s="2087"/>
      <c r="Q100" s="2087"/>
      <c r="R100" s="2087"/>
      <c r="S100" s="2087"/>
      <c r="T100" s="2087"/>
      <c r="U100" s="2087"/>
      <c r="V100" s="2087">
        <v>0</v>
      </c>
      <c r="W100" s="2087"/>
      <c r="X100" s="2087"/>
      <c r="Y100" s="2087"/>
      <c r="Z100" s="2087"/>
      <c r="AA100" s="2087"/>
      <c r="AB100" s="2087">
        <v>0</v>
      </c>
      <c r="AC100" s="2087"/>
      <c r="AD100" s="2087"/>
      <c r="AE100" s="2087"/>
      <c r="AF100" s="2087"/>
      <c r="AG100" s="2087"/>
      <c r="AH100" s="2088"/>
      <c r="AI100" s="1190"/>
      <c r="AJ100" s="2076" t="s">
        <v>2372</v>
      </c>
      <c r="AK100" s="2077"/>
      <c r="AL100" s="2077"/>
      <c r="AM100" s="2077"/>
      <c r="AN100" s="2077"/>
      <c r="AO100" s="2077"/>
      <c r="AP100" s="2077"/>
      <c r="AQ100" s="2077"/>
      <c r="AR100" s="2077"/>
      <c r="AS100" s="2077"/>
      <c r="AT100" s="2077"/>
      <c r="AU100" s="2077"/>
      <c r="AV100" s="2077"/>
      <c r="AW100" s="2077"/>
      <c r="AX100" s="2077"/>
      <c r="AY100" s="2077"/>
      <c r="AZ100" s="2077"/>
      <c r="BA100" s="2077"/>
      <c r="BB100" s="2078"/>
      <c r="BC100" s="1190"/>
      <c r="BD100" s="1190"/>
      <c r="BE100" s="1194"/>
      <c r="CM100" s="1188"/>
      <c r="CN100" s="1188"/>
      <c r="CO100" s="1188"/>
      <c r="CP100" s="1188"/>
    </row>
    <row r="101" spans="1:94" ht="15.75" customHeight="1" thickBot="1">
      <c r="A101" s="1190"/>
      <c r="B101" s="2028" t="s">
        <v>2364</v>
      </c>
      <c r="C101" s="2029"/>
      <c r="D101" s="2029"/>
      <c r="E101" s="2029"/>
      <c r="F101" s="2029"/>
      <c r="G101" s="2029"/>
      <c r="H101" s="2029"/>
      <c r="I101" s="2102">
        <v>2000</v>
      </c>
      <c r="J101" s="2102"/>
      <c r="K101" s="2102"/>
      <c r="L101" s="2102"/>
      <c r="M101" s="2102"/>
      <c r="N101" s="2102"/>
      <c r="O101" s="2102">
        <v>1187</v>
      </c>
      <c r="P101" s="2102"/>
      <c r="Q101" s="2102"/>
      <c r="R101" s="2102"/>
      <c r="S101" s="2102"/>
      <c r="T101" s="2102"/>
      <c r="U101" s="2102"/>
      <c r="V101" s="2102">
        <v>845</v>
      </c>
      <c r="W101" s="2102"/>
      <c r="X101" s="2102"/>
      <c r="Y101" s="2102"/>
      <c r="Z101" s="2102"/>
      <c r="AA101" s="2102"/>
      <c r="AB101" s="2102">
        <v>1072</v>
      </c>
      <c r="AC101" s="2102"/>
      <c r="AD101" s="2102"/>
      <c r="AE101" s="2102"/>
      <c r="AF101" s="2102"/>
      <c r="AG101" s="2102"/>
      <c r="AH101" s="2103"/>
      <c r="AI101" s="1190"/>
      <c r="AJ101" s="2079"/>
      <c r="AK101" s="2080"/>
      <c r="AL101" s="2080"/>
      <c r="AM101" s="2080"/>
      <c r="AN101" s="2080"/>
      <c r="AO101" s="2080"/>
      <c r="AP101" s="2080"/>
      <c r="AQ101" s="2080"/>
      <c r="AR101" s="2080"/>
      <c r="AS101" s="2080"/>
      <c r="AT101" s="2080"/>
      <c r="AU101" s="2080"/>
      <c r="AV101" s="2080"/>
      <c r="AW101" s="2080"/>
      <c r="AX101" s="2080"/>
      <c r="AY101" s="2080"/>
      <c r="AZ101" s="2080"/>
      <c r="BA101" s="2080"/>
      <c r="BB101" s="2081"/>
      <c r="BC101" s="1190"/>
      <c r="BD101" s="1190"/>
      <c r="BE101" s="1194"/>
      <c r="BQ101" s="1256" t="str">
        <f>Application!AA335</f>
        <v xml:space="preserve">Aperto Property Management, Inc.										</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2371</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2283</v>
      </c>
      <c r="C104" s="1212"/>
      <c r="D104" s="1217"/>
      <c r="E104" s="1218"/>
      <c r="F104" s="2104"/>
      <c r="G104" s="2105"/>
      <c r="H104" s="2105"/>
      <c r="I104" s="2105"/>
      <c r="J104" s="2105"/>
      <c r="K104" s="2105"/>
      <c r="L104" s="2105"/>
      <c r="M104" s="2105"/>
      <c r="N104" s="2105"/>
      <c r="O104" s="2105"/>
      <c r="P104" s="2105"/>
      <c r="Q104" s="2105"/>
      <c r="R104" s="2106"/>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2370</v>
      </c>
      <c r="C105" s="1220"/>
      <c r="D105" s="1221"/>
      <c r="E105" s="1221"/>
      <c r="F105" s="1221"/>
      <c r="G105" s="1221"/>
      <c r="H105" s="1221"/>
      <c r="I105" s="1221"/>
      <c r="J105" s="1221"/>
      <c r="K105" s="1221"/>
      <c r="L105" s="1222"/>
      <c r="M105" s="1221"/>
      <c r="N105" s="1222"/>
      <c r="O105" s="2068" t="str">
        <f>IFERROR(INDEX(BR96:BR98,MATCH(F104,$BQ$96:$BQ$98,0))/SUM($BR$96:$BR$98),"")</f>
        <v/>
      </c>
      <c r="P105" s="2069"/>
      <c r="Q105" s="2069"/>
      <c r="R105" s="2070"/>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6" t="s">
        <v>2369</v>
      </c>
      <c r="C107" s="2057"/>
      <c r="D107" s="2057"/>
      <c r="E107" s="2057"/>
      <c r="F107" s="2057"/>
      <c r="G107" s="2057"/>
      <c r="H107" s="2057"/>
      <c r="I107" s="2057"/>
      <c r="J107" s="2057"/>
      <c r="K107" s="2057"/>
      <c r="L107" s="2057"/>
      <c r="M107" s="2057"/>
      <c r="N107" s="2057"/>
      <c r="O107" s="2057"/>
      <c r="P107" s="2057"/>
      <c r="Q107" s="2057"/>
      <c r="R107" s="2057"/>
      <c r="S107" s="2057"/>
      <c r="T107" s="2057"/>
      <c r="U107" s="2057"/>
      <c r="V107" s="2057"/>
      <c r="W107" s="2057"/>
      <c r="X107" s="2057"/>
      <c r="Y107" s="2057"/>
      <c r="Z107" s="2057"/>
      <c r="AA107" s="2057"/>
      <c r="AB107" s="2057"/>
      <c r="AC107" s="2057"/>
      <c r="AD107" s="2057"/>
      <c r="AE107" s="2057"/>
      <c r="AF107" s="2057"/>
      <c r="AG107" s="2057"/>
      <c r="AH107" s="2107"/>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10"/>
      <c r="C108" s="2011"/>
      <c r="D108" s="2011"/>
      <c r="E108" s="2011"/>
      <c r="F108" s="2011"/>
      <c r="G108" s="2011"/>
      <c r="H108" s="2011"/>
      <c r="I108" s="2011" t="s">
        <v>2368</v>
      </c>
      <c r="J108" s="2011"/>
      <c r="K108" s="2011"/>
      <c r="L108" s="2011"/>
      <c r="M108" s="2011"/>
      <c r="N108" s="2011"/>
      <c r="O108" s="2011" t="s">
        <v>2346</v>
      </c>
      <c r="P108" s="2011"/>
      <c r="Q108" s="2011"/>
      <c r="R108" s="2011"/>
      <c r="S108" s="2011"/>
      <c r="T108" s="2011"/>
      <c r="U108" s="2011"/>
      <c r="V108" s="2097" t="s">
        <v>2345</v>
      </c>
      <c r="W108" s="2097"/>
      <c r="X108" s="2097"/>
      <c r="Y108" s="2097"/>
      <c r="Z108" s="2097"/>
      <c r="AA108" s="2097"/>
      <c r="AB108" s="2098" t="s">
        <v>2367</v>
      </c>
      <c r="AC108" s="2098"/>
      <c r="AD108" s="2098"/>
      <c r="AE108" s="2098"/>
      <c r="AF108" s="2098"/>
      <c r="AG108" s="2098"/>
      <c r="AH108" s="2099"/>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10"/>
      <c r="C109" s="2011"/>
      <c r="D109" s="2011"/>
      <c r="E109" s="2011"/>
      <c r="F109" s="2011"/>
      <c r="G109" s="2011"/>
      <c r="H109" s="2011"/>
      <c r="I109" s="2011"/>
      <c r="J109" s="2011"/>
      <c r="K109" s="2011"/>
      <c r="L109" s="2011"/>
      <c r="M109" s="2011"/>
      <c r="N109" s="2011"/>
      <c r="O109" s="2011"/>
      <c r="P109" s="2011"/>
      <c r="Q109" s="2011"/>
      <c r="R109" s="2011"/>
      <c r="S109" s="2011"/>
      <c r="T109" s="2011"/>
      <c r="U109" s="2011"/>
      <c r="V109" s="2097"/>
      <c r="W109" s="2097"/>
      <c r="X109" s="2097"/>
      <c r="Y109" s="2097"/>
      <c r="Z109" s="2097"/>
      <c r="AA109" s="2097"/>
      <c r="AB109" s="2098"/>
      <c r="AC109" s="2098"/>
      <c r="AD109" s="2098"/>
      <c r="AE109" s="2098"/>
      <c r="AF109" s="2098"/>
      <c r="AG109" s="2098"/>
      <c r="AH109" s="2099"/>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10" t="s">
        <v>2366</v>
      </c>
      <c r="C110" s="2011"/>
      <c r="D110" s="2011"/>
      <c r="E110" s="2011"/>
      <c r="F110" s="2011"/>
      <c r="G110" s="2011"/>
      <c r="H110" s="2011"/>
      <c r="I110" s="2087">
        <v>0</v>
      </c>
      <c r="J110" s="2087"/>
      <c r="K110" s="2087"/>
      <c r="L110" s="2087"/>
      <c r="M110" s="2087"/>
      <c r="N110" s="2087"/>
      <c r="O110" s="2087">
        <v>0</v>
      </c>
      <c r="P110" s="2087"/>
      <c r="Q110" s="2087"/>
      <c r="R110" s="2087"/>
      <c r="S110" s="2087"/>
      <c r="T110" s="2087"/>
      <c r="U110" s="2087"/>
      <c r="V110" s="2087">
        <v>0</v>
      </c>
      <c r="W110" s="2087"/>
      <c r="X110" s="2087"/>
      <c r="Y110" s="2087"/>
      <c r="Z110" s="2087"/>
      <c r="AA110" s="2087"/>
      <c r="AB110" s="2087">
        <v>0</v>
      </c>
      <c r="AC110" s="2087"/>
      <c r="AD110" s="2087"/>
      <c r="AE110" s="2087"/>
      <c r="AF110" s="2087"/>
      <c r="AG110" s="2087"/>
      <c r="AH110" s="2088"/>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10" t="s">
        <v>2365</v>
      </c>
      <c r="C111" s="2011"/>
      <c r="D111" s="2011"/>
      <c r="E111" s="2011"/>
      <c r="F111" s="2011"/>
      <c r="G111" s="2011"/>
      <c r="H111" s="2011"/>
      <c r="I111" s="2087">
        <v>0</v>
      </c>
      <c r="J111" s="2087"/>
      <c r="K111" s="2087"/>
      <c r="L111" s="2087"/>
      <c r="M111" s="2087"/>
      <c r="N111" s="2087"/>
      <c r="O111" s="2087">
        <v>0</v>
      </c>
      <c r="P111" s="2087"/>
      <c r="Q111" s="2087"/>
      <c r="R111" s="2087"/>
      <c r="S111" s="2087"/>
      <c r="T111" s="2087"/>
      <c r="U111" s="2087"/>
      <c r="V111" s="2087">
        <v>0</v>
      </c>
      <c r="W111" s="2087"/>
      <c r="X111" s="2087"/>
      <c r="Y111" s="2087"/>
      <c r="Z111" s="2087"/>
      <c r="AA111" s="2087"/>
      <c r="AB111" s="2087">
        <v>0</v>
      </c>
      <c r="AC111" s="2087"/>
      <c r="AD111" s="2087"/>
      <c r="AE111" s="2087"/>
      <c r="AF111" s="2087"/>
      <c r="AG111" s="2087"/>
      <c r="AH111" s="2088"/>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28" t="s">
        <v>2364</v>
      </c>
      <c r="C112" s="2029"/>
      <c r="D112" s="2029"/>
      <c r="E112" s="2029"/>
      <c r="F112" s="2029"/>
      <c r="G112" s="2029"/>
      <c r="H112" s="2029"/>
      <c r="I112" s="2102">
        <v>0</v>
      </c>
      <c r="J112" s="2102"/>
      <c r="K112" s="2102"/>
      <c r="L112" s="2102"/>
      <c r="M112" s="2102"/>
      <c r="N112" s="2102"/>
      <c r="O112" s="2102">
        <v>0</v>
      </c>
      <c r="P112" s="2102"/>
      <c r="Q112" s="2102"/>
      <c r="R112" s="2102"/>
      <c r="S112" s="2102"/>
      <c r="T112" s="2102"/>
      <c r="U112" s="2102"/>
      <c r="V112" s="2102">
        <v>0</v>
      </c>
      <c r="W112" s="2102"/>
      <c r="X112" s="2102"/>
      <c r="Y112" s="2102"/>
      <c r="Z112" s="2102"/>
      <c r="AA112" s="2102"/>
      <c r="AB112" s="2102">
        <v>0</v>
      </c>
      <c r="AC112" s="2102"/>
      <c r="AD112" s="2102"/>
      <c r="AE112" s="2102"/>
      <c r="AF112" s="2102"/>
      <c r="AG112" s="2102"/>
      <c r="AH112" s="2103"/>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2363</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2283</v>
      </c>
      <c r="C115" s="1212"/>
      <c r="D115" s="1217"/>
      <c r="E115" s="1218"/>
      <c r="F115" s="2104" t="str">
        <f>[1]Application!AA335</f>
        <v xml:space="preserve">Aperto Property Management, Inc.										</v>
      </c>
      <c r="G115" s="2105"/>
      <c r="H115" s="2105"/>
      <c r="I115" s="2105"/>
      <c r="J115" s="2105"/>
      <c r="K115" s="2105"/>
      <c r="L115" s="2105"/>
      <c r="M115" s="2105"/>
      <c r="N115" s="2105"/>
      <c r="O115" s="2105"/>
      <c r="P115" s="2105"/>
      <c r="Q115" s="2105"/>
      <c r="R115" s="2106"/>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6" t="s">
        <v>2362</v>
      </c>
      <c r="C117" s="2117"/>
      <c r="D117" s="2117"/>
      <c r="E117" s="2117"/>
      <c r="F117" s="2117"/>
      <c r="G117" s="2117"/>
      <c r="H117" s="2117"/>
      <c r="I117" s="2117"/>
      <c r="J117" s="2117"/>
      <c r="K117" s="2117"/>
      <c r="L117" s="2117"/>
      <c r="M117" s="2117"/>
      <c r="N117" s="2117"/>
      <c r="O117" s="2117"/>
      <c r="P117" s="2117"/>
      <c r="Q117" s="2117"/>
      <c r="R117" s="2117"/>
      <c r="S117" s="2117"/>
      <c r="T117" s="2117"/>
      <c r="U117" s="2120" t="s">
        <v>545</v>
      </c>
      <c r="V117" s="2120"/>
      <c r="W117" s="2120"/>
      <c r="X117" s="2121"/>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8"/>
      <c r="C118" s="2119"/>
      <c r="D118" s="2119"/>
      <c r="E118" s="2119"/>
      <c r="F118" s="2119"/>
      <c r="G118" s="2119"/>
      <c r="H118" s="2119"/>
      <c r="I118" s="2119"/>
      <c r="J118" s="2119"/>
      <c r="K118" s="2119"/>
      <c r="L118" s="2119"/>
      <c r="M118" s="2119"/>
      <c r="N118" s="2119"/>
      <c r="O118" s="2119"/>
      <c r="P118" s="2119"/>
      <c r="Q118" s="2119"/>
      <c r="R118" s="2119"/>
      <c r="S118" s="2119"/>
      <c r="T118" s="2119"/>
      <c r="U118" s="2122"/>
      <c r="V118" s="2122"/>
      <c r="W118" s="2122"/>
      <c r="X118" s="2123"/>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8"/>
      <c r="C119" s="2119"/>
      <c r="D119" s="2119"/>
      <c r="E119" s="2119"/>
      <c r="F119" s="2119"/>
      <c r="G119" s="2119"/>
      <c r="H119" s="2119"/>
      <c r="I119" s="2119"/>
      <c r="J119" s="2119"/>
      <c r="K119" s="2119"/>
      <c r="L119" s="2119"/>
      <c r="M119" s="2119"/>
      <c r="N119" s="2119"/>
      <c r="O119" s="2119"/>
      <c r="P119" s="2119"/>
      <c r="Q119" s="2119"/>
      <c r="R119" s="2119"/>
      <c r="S119" s="2119"/>
      <c r="T119" s="2119"/>
      <c r="U119" s="2122"/>
      <c r="V119" s="2122"/>
      <c r="W119" s="2122"/>
      <c r="X119" s="2123"/>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8"/>
      <c r="C120" s="2119"/>
      <c r="D120" s="2119"/>
      <c r="E120" s="2119"/>
      <c r="F120" s="2119"/>
      <c r="G120" s="2119"/>
      <c r="H120" s="2119"/>
      <c r="I120" s="2119"/>
      <c r="J120" s="2119"/>
      <c r="K120" s="2119"/>
      <c r="L120" s="2119"/>
      <c r="M120" s="2119"/>
      <c r="N120" s="2119"/>
      <c r="O120" s="2119"/>
      <c r="P120" s="2119"/>
      <c r="Q120" s="2119"/>
      <c r="R120" s="2119"/>
      <c r="S120" s="2119"/>
      <c r="T120" s="2119"/>
      <c r="U120" s="2122"/>
      <c r="V120" s="2122"/>
      <c r="W120" s="2122"/>
      <c r="X120" s="2123"/>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4" t="s">
        <v>2362</v>
      </c>
      <c r="C121" s="2125"/>
      <c r="D121" s="2125"/>
      <c r="E121" s="2125"/>
      <c r="F121" s="2125"/>
      <c r="G121" s="2125"/>
      <c r="H121" s="2125"/>
      <c r="I121" s="2125"/>
      <c r="J121" s="2125"/>
      <c r="K121" s="2125"/>
      <c r="L121" s="2125"/>
      <c r="M121" s="2125"/>
      <c r="N121" s="2125"/>
      <c r="O121" s="2125"/>
      <c r="P121" s="2125"/>
      <c r="Q121" s="2125"/>
      <c r="R121" s="2125"/>
      <c r="S121" s="2125"/>
      <c r="T121" s="2125"/>
      <c r="U121" s="2128" t="s">
        <v>545</v>
      </c>
      <c r="V121" s="2128"/>
      <c r="W121" s="2128"/>
      <c r="X121" s="2129"/>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6"/>
      <c r="C122" s="2127"/>
      <c r="D122" s="2127"/>
      <c r="E122" s="2127"/>
      <c r="F122" s="2127"/>
      <c r="G122" s="2127"/>
      <c r="H122" s="2127"/>
      <c r="I122" s="2127"/>
      <c r="J122" s="2127"/>
      <c r="K122" s="2127"/>
      <c r="L122" s="2127"/>
      <c r="M122" s="2127"/>
      <c r="N122" s="2127"/>
      <c r="O122" s="2127"/>
      <c r="P122" s="2127"/>
      <c r="Q122" s="2127"/>
      <c r="R122" s="2127"/>
      <c r="S122" s="2127"/>
      <c r="T122" s="2127"/>
      <c r="U122" s="2130"/>
      <c r="V122" s="2130"/>
      <c r="W122" s="2130"/>
      <c r="X122" s="2131"/>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2361</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89" t="s">
        <v>2360</v>
      </c>
      <c r="Y125" s="2090"/>
      <c r="Z125" s="2090"/>
      <c r="AA125" s="2090"/>
      <c r="AB125" s="2090"/>
      <c r="AC125" s="2090"/>
      <c r="AD125" s="2090"/>
      <c r="AE125" s="2090"/>
      <c r="AF125" s="2090"/>
      <c r="AG125" s="2090"/>
      <c r="AH125" s="2090"/>
      <c r="AI125" s="2090"/>
      <c r="AJ125" s="2090"/>
      <c r="AK125" s="2090"/>
      <c r="AL125" s="2090"/>
      <c r="AM125" s="2090"/>
      <c r="AN125" s="2090"/>
      <c r="AO125" s="2090"/>
      <c r="AP125" s="2090"/>
      <c r="AQ125" s="2090"/>
      <c r="AR125" s="2090"/>
      <c r="AS125" s="2090"/>
      <c r="AT125" s="2090"/>
      <c r="AU125" s="2090"/>
      <c r="AV125" s="2090"/>
      <c r="AW125" s="2090"/>
      <c r="AX125" s="2090"/>
      <c r="AY125" s="2090"/>
      <c r="AZ125" s="2090"/>
      <c r="BA125" s="2090"/>
      <c r="BB125" s="2090"/>
      <c r="BC125" s="2090"/>
      <c r="BD125" s="2132"/>
      <c r="BE125" s="1194"/>
    </row>
    <row r="126" spans="1:57" ht="15.75" customHeight="1">
      <c r="A126" s="1190"/>
      <c r="B126" s="2134" t="s">
        <v>1576</v>
      </c>
      <c r="C126" s="2135"/>
      <c r="D126" s="2135"/>
      <c r="E126" s="2135"/>
      <c r="F126" s="2135"/>
      <c r="G126" s="2135"/>
      <c r="H126" s="2135"/>
      <c r="I126" s="2135"/>
      <c r="J126" s="2135"/>
      <c r="K126" s="2135"/>
      <c r="L126" s="2135"/>
      <c r="M126" s="2135"/>
      <c r="N126" s="2135"/>
      <c r="O126" s="2135"/>
      <c r="P126" s="2135"/>
      <c r="Q126" s="2135"/>
      <c r="R126" s="2135"/>
      <c r="S126" s="2135"/>
      <c r="T126" s="2135"/>
      <c r="U126" s="2136"/>
      <c r="V126" s="1190"/>
      <c r="W126" s="1190"/>
      <c r="X126" s="2091"/>
      <c r="Y126" s="2092"/>
      <c r="Z126" s="2092"/>
      <c r="AA126" s="2092"/>
      <c r="AB126" s="2092"/>
      <c r="AC126" s="2092"/>
      <c r="AD126" s="2092"/>
      <c r="AE126" s="2092"/>
      <c r="AF126" s="2092"/>
      <c r="AG126" s="2092"/>
      <c r="AH126" s="2092"/>
      <c r="AI126" s="2092"/>
      <c r="AJ126" s="2092"/>
      <c r="AK126" s="2092"/>
      <c r="AL126" s="2092"/>
      <c r="AM126" s="2092"/>
      <c r="AN126" s="2092"/>
      <c r="AO126" s="2092"/>
      <c r="AP126" s="2092"/>
      <c r="AQ126" s="2092"/>
      <c r="AR126" s="2092"/>
      <c r="AS126" s="2092"/>
      <c r="AT126" s="2092"/>
      <c r="AU126" s="2092"/>
      <c r="AV126" s="2092"/>
      <c r="AW126" s="2092"/>
      <c r="AX126" s="2092"/>
      <c r="AY126" s="2092"/>
      <c r="AZ126" s="2092"/>
      <c r="BA126" s="2092"/>
      <c r="BB126" s="2092"/>
      <c r="BC126" s="2092"/>
      <c r="BD126" s="2133"/>
      <c r="BE126" s="1194"/>
    </row>
    <row r="127" spans="1:57" ht="15.75" customHeight="1">
      <c r="A127" s="1190"/>
      <c r="B127" s="2153"/>
      <c r="C127" s="2154"/>
      <c r="D127" s="2154"/>
      <c r="E127" s="2154"/>
      <c r="F127" s="2154"/>
      <c r="G127" s="2154"/>
      <c r="H127" s="2154"/>
      <c r="I127" s="2011" t="s">
        <v>2359</v>
      </c>
      <c r="J127" s="2011"/>
      <c r="K127" s="2011"/>
      <c r="L127" s="2011"/>
      <c r="M127" s="2011"/>
      <c r="N127" s="2011"/>
      <c r="O127" s="2108" t="s">
        <v>2358</v>
      </c>
      <c r="P127" s="2108"/>
      <c r="Q127" s="2108"/>
      <c r="R127" s="2108"/>
      <c r="S127" s="2108"/>
      <c r="T127" s="2108"/>
      <c r="U127" s="2109"/>
      <c r="V127" s="1190"/>
      <c r="W127" s="1190"/>
      <c r="X127" s="2124" t="s">
        <v>2769</v>
      </c>
      <c r="Y127" s="2077"/>
      <c r="Z127" s="2077"/>
      <c r="AA127" s="2077"/>
      <c r="AB127" s="2077"/>
      <c r="AC127" s="2077"/>
      <c r="AD127" s="2077"/>
      <c r="AE127" s="2077"/>
      <c r="AF127" s="2077"/>
      <c r="AG127" s="2077"/>
      <c r="AH127" s="2077"/>
      <c r="AI127" s="2077"/>
      <c r="AJ127" s="2077"/>
      <c r="AK127" s="2077"/>
      <c r="AL127" s="2077"/>
      <c r="AM127" s="2077"/>
      <c r="AN127" s="2077"/>
      <c r="AO127" s="2077"/>
      <c r="AP127" s="2077"/>
      <c r="AQ127" s="2077"/>
      <c r="AR127" s="2077"/>
      <c r="AS127" s="2077"/>
      <c r="AT127" s="2077"/>
      <c r="AU127" s="2077"/>
      <c r="AV127" s="2077"/>
      <c r="AW127" s="2077"/>
      <c r="AX127" s="2077"/>
      <c r="AY127" s="2077"/>
      <c r="AZ127" s="2077"/>
      <c r="BA127" s="2077"/>
      <c r="BB127" s="2077"/>
      <c r="BC127" s="2077"/>
      <c r="BD127" s="2078"/>
      <c r="BE127" s="1194"/>
    </row>
    <row r="128" spans="1:57" ht="15.75" customHeight="1">
      <c r="A128" s="1190"/>
      <c r="B128" s="2110" t="s">
        <v>2344</v>
      </c>
      <c r="C128" s="2111"/>
      <c r="D128" s="2111"/>
      <c r="E128" s="2111"/>
      <c r="F128" s="2111"/>
      <c r="G128" s="2111"/>
      <c r="H128" s="2111"/>
      <c r="I128" s="2087">
        <v>125</v>
      </c>
      <c r="J128" s="2087"/>
      <c r="K128" s="2087"/>
      <c r="L128" s="2087"/>
      <c r="M128" s="2087"/>
      <c r="N128" s="2087"/>
      <c r="O128" s="2087">
        <v>6</v>
      </c>
      <c r="P128" s="2087"/>
      <c r="Q128" s="2087"/>
      <c r="R128" s="2087"/>
      <c r="S128" s="2087"/>
      <c r="T128" s="2087"/>
      <c r="U128" s="2088"/>
      <c r="V128" s="1190"/>
      <c r="W128" s="1190"/>
      <c r="X128" s="2076"/>
      <c r="Y128" s="2077"/>
      <c r="Z128" s="2077"/>
      <c r="AA128" s="2077"/>
      <c r="AB128" s="2077"/>
      <c r="AC128" s="2077"/>
      <c r="AD128" s="2077"/>
      <c r="AE128" s="2077"/>
      <c r="AF128" s="2077"/>
      <c r="AG128" s="2077"/>
      <c r="AH128" s="2077"/>
      <c r="AI128" s="2077"/>
      <c r="AJ128" s="2077"/>
      <c r="AK128" s="2077"/>
      <c r="AL128" s="2077"/>
      <c r="AM128" s="2077"/>
      <c r="AN128" s="2077"/>
      <c r="AO128" s="2077"/>
      <c r="AP128" s="2077"/>
      <c r="AQ128" s="2077"/>
      <c r="AR128" s="2077"/>
      <c r="AS128" s="2077"/>
      <c r="AT128" s="2077"/>
      <c r="AU128" s="2077"/>
      <c r="AV128" s="2077"/>
      <c r="AW128" s="2077"/>
      <c r="AX128" s="2077"/>
      <c r="AY128" s="2077"/>
      <c r="AZ128" s="2077"/>
      <c r="BA128" s="2077"/>
      <c r="BB128" s="2077"/>
      <c r="BC128" s="2077"/>
      <c r="BD128" s="2078"/>
      <c r="BE128" s="1194"/>
    </row>
    <row r="129" spans="1:57" ht="15.75" customHeight="1" thickBot="1">
      <c r="A129" s="1190"/>
      <c r="B129" s="2112" t="s">
        <v>2343</v>
      </c>
      <c r="C129" s="2113"/>
      <c r="D129" s="2113"/>
      <c r="E129" s="2113"/>
      <c r="F129" s="2113"/>
      <c r="G129" s="2113"/>
      <c r="H129" s="2113"/>
      <c r="I129" s="2102">
        <v>25</v>
      </c>
      <c r="J129" s="2102"/>
      <c r="K129" s="2102"/>
      <c r="L129" s="2102"/>
      <c r="M129" s="2102"/>
      <c r="N129" s="2102"/>
      <c r="O129" s="2114"/>
      <c r="P129" s="2114"/>
      <c r="Q129" s="2114"/>
      <c r="R129" s="2114"/>
      <c r="S129" s="2114"/>
      <c r="T129" s="2114"/>
      <c r="U129" s="2115"/>
      <c r="V129" s="1190"/>
      <c r="W129" s="1190"/>
      <c r="X129" s="2076"/>
      <c r="Y129" s="2077"/>
      <c r="Z129" s="2077"/>
      <c r="AA129" s="2077"/>
      <c r="AB129" s="2077"/>
      <c r="AC129" s="2077"/>
      <c r="AD129" s="2077"/>
      <c r="AE129" s="2077"/>
      <c r="AF129" s="2077"/>
      <c r="AG129" s="2077"/>
      <c r="AH129" s="2077"/>
      <c r="AI129" s="2077"/>
      <c r="AJ129" s="2077"/>
      <c r="AK129" s="2077"/>
      <c r="AL129" s="2077"/>
      <c r="AM129" s="2077"/>
      <c r="AN129" s="2077"/>
      <c r="AO129" s="2077"/>
      <c r="AP129" s="2077"/>
      <c r="AQ129" s="2077"/>
      <c r="AR129" s="2077"/>
      <c r="AS129" s="2077"/>
      <c r="AT129" s="2077"/>
      <c r="AU129" s="2077"/>
      <c r="AV129" s="2077"/>
      <c r="AW129" s="2077"/>
      <c r="AX129" s="2077"/>
      <c r="AY129" s="2077"/>
      <c r="AZ129" s="2077"/>
      <c r="BA129" s="2077"/>
      <c r="BB129" s="2077"/>
      <c r="BC129" s="2077"/>
      <c r="BD129" s="2078"/>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6"/>
      <c r="Y130" s="2077"/>
      <c r="Z130" s="2077"/>
      <c r="AA130" s="2077"/>
      <c r="AB130" s="2077"/>
      <c r="AC130" s="2077"/>
      <c r="AD130" s="2077"/>
      <c r="AE130" s="2077"/>
      <c r="AF130" s="2077"/>
      <c r="AG130" s="2077"/>
      <c r="AH130" s="2077"/>
      <c r="AI130" s="2077"/>
      <c r="AJ130" s="2077"/>
      <c r="AK130" s="2077"/>
      <c r="AL130" s="2077"/>
      <c r="AM130" s="2077"/>
      <c r="AN130" s="2077"/>
      <c r="AO130" s="2077"/>
      <c r="AP130" s="2077"/>
      <c r="AQ130" s="2077"/>
      <c r="AR130" s="2077"/>
      <c r="AS130" s="2077"/>
      <c r="AT130" s="2077"/>
      <c r="AU130" s="2077"/>
      <c r="AV130" s="2077"/>
      <c r="AW130" s="2077"/>
      <c r="AX130" s="2077"/>
      <c r="AY130" s="2077"/>
      <c r="AZ130" s="2077"/>
      <c r="BA130" s="2077"/>
      <c r="BB130" s="2077"/>
      <c r="BC130" s="2077"/>
      <c r="BD130" s="2078"/>
      <c r="BE130" s="1194"/>
    </row>
    <row r="131" spans="1:57" ht="15.75" customHeight="1" thickBot="1">
      <c r="A131" s="1190"/>
      <c r="B131" s="1209" t="s">
        <v>2357</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76"/>
      <c r="Y131" s="2077"/>
      <c r="Z131" s="2077"/>
      <c r="AA131" s="2077"/>
      <c r="AB131" s="2077"/>
      <c r="AC131" s="2077"/>
      <c r="AD131" s="2077"/>
      <c r="AE131" s="2077"/>
      <c r="AF131" s="2077"/>
      <c r="AG131" s="2077"/>
      <c r="AH131" s="2077"/>
      <c r="AI131" s="2077"/>
      <c r="AJ131" s="2077"/>
      <c r="AK131" s="2077"/>
      <c r="AL131" s="2077"/>
      <c r="AM131" s="2077"/>
      <c r="AN131" s="2077"/>
      <c r="AO131" s="2077"/>
      <c r="AP131" s="2077"/>
      <c r="AQ131" s="2077"/>
      <c r="AR131" s="2077"/>
      <c r="AS131" s="2077"/>
      <c r="AT131" s="2077"/>
      <c r="AU131" s="2077"/>
      <c r="AV131" s="2077"/>
      <c r="AW131" s="2077"/>
      <c r="AX131" s="2077"/>
      <c r="AY131" s="2077"/>
      <c r="AZ131" s="2077"/>
      <c r="BA131" s="2077"/>
      <c r="BB131" s="2077"/>
      <c r="BC131" s="2077"/>
      <c r="BD131" s="2078"/>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6"/>
      <c r="Y132" s="2077"/>
      <c r="Z132" s="2077"/>
      <c r="AA132" s="2077"/>
      <c r="AB132" s="2077"/>
      <c r="AC132" s="2077"/>
      <c r="AD132" s="2077"/>
      <c r="AE132" s="2077"/>
      <c r="AF132" s="2077"/>
      <c r="AG132" s="2077"/>
      <c r="AH132" s="2077"/>
      <c r="AI132" s="2077"/>
      <c r="AJ132" s="2077"/>
      <c r="AK132" s="2077"/>
      <c r="AL132" s="2077"/>
      <c r="AM132" s="2077"/>
      <c r="AN132" s="2077"/>
      <c r="AO132" s="2077"/>
      <c r="AP132" s="2077"/>
      <c r="AQ132" s="2077"/>
      <c r="AR132" s="2077"/>
      <c r="AS132" s="2077"/>
      <c r="AT132" s="2077"/>
      <c r="AU132" s="2077"/>
      <c r="AV132" s="2077"/>
      <c r="AW132" s="2077"/>
      <c r="AX132" s="2077"/>
      <c r="AY132" s="2077"/>
      <c r="AZ132" s="2077"/>
      <c r="BA132" s="2077"/>
      <c r="BB132" s="2077"/>
      <c r="BC132" s="2077"/>
      <c r="BD132" s="2078"/>
      <c r="BE132" s="1194"/>
    </row>
    <row r="133" spans="1:57" ht="15.75" customHeight="1">
      <c r="A133" s="1190"/>
      <c r="B133" s="1912" t="s">
        <v>2356</v>
      </c>
      <c r="C133" s="1913"/>
      <c r="D133" s="1913"/>
      <c r="E133" s="1913"/>
      <c r="F133" s="1913"/>
      <c r="G133" s="1913"/>
      <c r="H133" s="1913"/>
      <c r="I133" s="1913"/>
      <c r="J133" s="1913"/>
      <c r="K133" s="1913"/>
      <c r="L133" s="1913"/>
      <c r="M133" s="1913"/>
      <c r="N133" s="1913"/>
      <c r="O133" s="1913"/>
      <c r="P133" s="1913"/>
      <c r="Q133" s="1913"/>
      <c r="R133" s="1913"/>
      <c r="S133" s="1913"/>
      <c r="T133" s="1913"/>
      <c r="U133" s="1914"/>
      <c r="V133" s="1190"/>
      <c r="W133" s="1190"/>
      <c r="X133" s="2076"/>
      <c r="Y133" s="2077"/>
      <c r="Z133" s="2077"/>
      <c r="AA133" s="2077"/>
      <c r="AB133" s="2077"/>
      <c r="AC133" s="2077"/>
      <c r="AD133" s="2077"/>
      <c r="AE133" s="2077"/>
      <c r="AF133" s="2077"/>
      <c r="AG133" s="2077"/>
      <c r="AH133" s="2077"/>
      <c r="AI133" s="2077"/>
      <c r="AJ133" s="2077"/>
      <c r="AK133" s="2077"/>
      <c r="AL133" s="2077"/>
      <c r="AM133" s="2077"/>
      <c r="AN133" s="2077"/>
      <c r="AO133" s="2077"/>
      <c r="AP133" s="2077"/>
      <c r="AQ133" s="2077"/>
      <c r="AR133" s="2077"/>
      <c r="AS133" s="2077"/>
      <c r="AT133" s="2077"/>
      <c r="AU133" s="2077"/>
      <c r="AV133" s="2077"/>
      <c r="AW133" s="2077"/>
      <c r="AX133" s="2077"/>
      <c r="AY133" s="2077"/>
      <c r="AZ133" s="2077"/>
      <c r="BA133" s="2077"/>
      <c r="BB133" s="2077"/>
      <c r="BC133" s="2077"/>
      <c r="BD133" s="2078"/>
      <c r="BE133" s="1194"/>
    </row>
    <row r="134" spans="1:57" ht="15.75" customHeight="1">
      <c r="A134" s="1190"/>
      <c r="B134" s="2153"/>
      <c r="C134" s="2154"/>
      <c r="D134" s="2154"/>
      <c r="E134" s="2154"/>
      <c r="F134" s="2154"/>
      <c r="G134" s="2154"/>
      <c r="H134" s="2154"/>
      <c r="I134" s="2155" t="s">
        <v>2346</v>
      </c>
      <c r="J134" s="2155"/>
      <c r="K134" s="2155"/>
      <c r="L134" s="2155"/>
      <c r="M134" s="2155"/>
      <c r="N134" s="2155"/>
      <c r="O134" s="2155"/>
      <c r="P134" s="2155" t="s">
        <v>2345</v>
      </c>
      <c r="Q134" s="2155"/>
      <c r="R134" s="2155"/>
      <c r="S134" s="2155"/>
      <c r="T134" s="2155"/>
      <c r="U134" s="2156"/>
      <c r="V134" s="1190"/>
      <c r="W134" s="1190"/>
      <c r="X134" s="2076"/>
      <c r="Y134" s="2077"/>
      <c r="Z134" s="2077"/>
      <c r="AA134" s="2077"/>
      <c r="AB134" s="2077"/>
      <c r="AC134" s="2077"/>
      <c r="AD134" s="2077"/>
      <c r="AE134" s="2077"/>
      <c r="AF134" s="2077"/>
      <c r="AG134" s="2077"/>
      <c r="AH134" s="2077"/>
      <c r="AI134" s="2077"/>
      <c r="AJ134" s="2077"/>
      <c r="AK134" s="2077"/>
      <c r="AL134" s="2077"/>
      <c r="AM134" s="2077"/>
      <c r="AN134" s="2077"/>
      <c r="AO134" s="2077"/>
      <c r="AP134" s="2077"/>
      <c r="AQ134" s="2077"/>
      <c r="AR134" s="2077"/>
      <c r="AS134" s="2077"/>
      <c r="AT134" s="2077"/>
      <c r="AU134" s="2077"/>
      <c r="AV134" s="2077"/>
      <c r="AW134" s="2077"/>
      <c r="AX134" s="2077"/>
      <c r="AY134" s="2077"/>
      <c r="AZ134" s="2077"/>
      <c r="BA134" s="2077"/>
      <c r="BB134" s="2077"/>
      <c r="BC134" s="2077"/>
      <c r="BD134" s="2078"/>
      <c r="BE134" s="1194"/>
    </row>
    <row r="135" spans="1:57" ht="15.75" customHeight="1">
      <c r="A135" s="1190"/>
      <c r="B135" s="2153"/>
      <c r="C135" s="2154"/>
      <c r="D135" s="2154"/>
      <c r="E135" s="2154"/>
      <c r="F135" s="2154"/>
      <c r="G135" s="2154"/>
      <c r="H135" s="2154"/>
      <c r="I135" s="2155"/>
      <c r="J135" s="2155"/>
      <c r="K135" s="2155"/>
      <c r="L135" s="2155"/>
      <c r="M135" s="2155"/>
      <c r="N135" s="2155"/>
      <c r="O135" s="2155"/>
      <c r="P135" s="2155"/>
      <c r="Q135" s="2155"/>
      <c r="R135" s="2155"/>
      <c r="S135" s="2155"/>
      <c r="T135" s="2155"/>
      <c r="U135" s="2156"/>
      <c r="V135" s="1190"/>
      <c r="W135" s="1190"/>
      <c r="X135" s="2076"/>
      <c r="Y135" s="2077"/>
      <c r="Z135" s="2077"/>
      <c r="AA135" s="2077"/>
      <c r="AB135" s="2077"/>
      <c r="AC135" s="2077"/>
      <c r="AD135" s="2077"/>
      <c r="AE135" s="2077"/>
      <c r="AF135" s="2077"/>
      <c r="AG135" s="2077"/>
      <c r="AH135" s="2077"/>
      <c r="AI135" s="2077"/>
      <c r="AJ135" s="2077"/>
      <c r="AK135" s="2077"/>
      <c r="AL135" s="2077"/>
      <c r="AM135" s="2077"/>
      <c r="AN135" s="2077"/>
      <c r="AO135" s="2077"/>
      <c r="AP135" s="2077"/>
      <c r="AQ135" s="2077"/>
      <c r="AR135" s="2077"/>
      <c r="AS135" s="2077"/>
      <c r="AT135" s="2077"/>
      <c r="AU135" s="2077"/>
      <c r="AV135" s="2077"/>
      <c r="AW135" s="2077"/>
      <c r="AX135" s="2077"/>
      <c r="AY135" s="2077"/>
      <c r="AZ135" s="2077"/>
      <c r="BA135" s="2077"/>
      <c r="BB135" s="2077"/>
      <c r="BC135" s="2077"/>
      <c r="BD135" s="2078"/>
      <c r="BE135" s="1194"/>
    </row>
    <row r="136" spans="1:57" ht="15.75" customHeight="1">
      <c r="A136" s="1190"/>
      <c r="B136" s="2110" t="s">
        <v>2344</v>
      </c>
      <c r="C136" s="2111"/>
      <c r="D136" s="2111"/>
      <c r="E136" s="2111"/>
      <c r="F136" s="2111"/>
      <c r="G136" s="2111"/>
      <c r="H136" s="2111"/>
      <c r="I136" s="2087">
        <v>1</v>
      </c>
      <c r="J136" s="2087"/>
      <c r="K136" s="2087"/>
      <c r="L136" s="2087"/>
      <c r="M136" s="2087"/>
      <c r="N136" s="2087"/>
      <c r="O136" s="2087"/>
      <c r="P136" s="2087">
        <v>5</v>
      </c>
      <c r="Q136" s="2087"/>
      <c r="R136" s="2087"/>
      <c r="S136" s="2087"/>
      <c r="T136" s="2087"/>
      <c r="U136" s="2088"/>
      <c r="V136" s="1190"/>
      <c r="W136" s="1190"/>
      <c r="X136" s="2076"/>
      <c r="Y136" s="2077"/>
      <c r="Z136" s="2077"/>
      <c r="AA136" s="2077"/>
      <c r="AB136" s="2077"/>
      <c r="AC136" s="2077"/>
      <c r="AD136" s="2077"/>
      <c r="AE136" s="2077"/>
      <c r="AF136" s="2077"/>
      <c r="AG136" s="2077"/>
      <c r="AH136" s="2077"/>
      <c r="AI136" s="2077"/>
      <c r="AJ136" s="2077"/>
      <c r="AK136" s="2077"/>
      <c r="AL136" s="2077"/>
      <c r="AM136" s="2077"/>
      <c r="AN136" s="2077"/>
      <c r="AO136" s="2077"/>
      <c r="AP136" s="2077"/>
      <c r="AQ136" s="2077"/>
      <c r="AR136" s="2077"/>
      <c r="AS136" s="2077"/>
      <c r="AT136" s="2077"/>
      <c r="AU136" s="2077"/>
      <c r="AV136" s="2077"/>
      <c r="AW136" s="2077"/>
      <c r="AX136" s="2077"/>
      <c r="AY136" s="2077"/>
      <c r="AZ136" s="2077"/>
      <c r="BA136" s="2077"/>
      <c r="BB136" s="2077"/>
      <c r="BC136" s="2077"/>
      <c r="BD136" s="2078"/>
      <c r="BE136" s="1194"/>
    </row>
    <row r="137" spans="1:57" ht="15.75" customHeight="1" thickBot="1">
      <c r="A137" s="1190"/>
      <c r="B137" s="2112" t="s">
        <v>2343</v>
      </c>
      <c r="C137" s="2113"/>
      <c r="D137" s="2113"/>
      <c r="E137" s="2113"/>
      <c r="F137" s="2113"/>
      <c r="G137" s="2113"/>
      <c r="H137" s="2113"/>
      <c r="I137" s="2102">
        <v>0</v>
      </c>
      <c r="J137" s="2102"/>
      <c r="K137" s="2102"/>
      <c r="L137" s="2102"/>
      <c r="M137" s="2102"/>
      <c r="N137" s="2102"/>
      <c r="O137" s="2102"/>
      <c r="P137" s="2102">
        <v>0</v>
      </c>
      <c r="Q137" s="2102"/>
      <c r="R137" s="2102"/>
      <c r="S137" s="2102"/>
      <c r="T137" s="2102"/>
      <c r="U137" s="2103"/>
      <c r="V137" s="1190"/>
      <c r="W137" s="1190"/>
      <c r="X137" s="2079"/>
      <c r="Y137" s="2080"/>
      <c r="Z137" s="2080"/>
      <c r="AA137" s="2080"/>
      <c r="AB137" s="2080"/>
      <c r="AC137" s="2080"/>
      <c r="AD137" s="2080"/>
      <c r="AE137" s="2080"/>
      <c r="AF137" s="2080"/>
      <c r="AG137" s="2080"/>
      <c r="AH137" s="2080"/>
      <c r="AI137" s="2080"/>
      <c r="AJ137" s="2080"/>
      <c r="AK137" s="2080"/>
      <c r="AL137" s="2080"/>
      <c r="AM137" s="2080"/>
      <c r="AN137" s="2080"/>
      <c r="AO137" s="2080"/>
      <c r="AP137" s="2080"/>
      <c r="AQ137" s="2080"/>
      <c r="AR137" s="2080"/>
      <c r="AS137" s="2080"/>
      <c r="AT137" s="2080"/>
      <c r="AU137" s="2080"/>
      <c r="AV137" s="2080"/>
      <c r="AW137" s="2080"/>
      <c r="AX137" s="2080"/>
      <c r="AY137" s="2080"/>
      <c r="AZ137" s="2080"/>
      <c r="BA137" s="2080"/>
      <c r="BB137" s="2080"/>
      <c r="BC137" s="2080"/>
      <c r="BD137" s="2081"/>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51" t="s">
        <v>2355</v>
      </c>
      <c r="C139" s="2152"/>
      <c r="D139" s="2152"/>
      <c r="E139" s="2152"/>
      <c r="F139" s="2152"/>
      <c r="G139" s="2152"/>
      <c r="H139" s="2152"/>
      <c r="I139" s="2152"/>
      <c r="J139" s="2152"/>
      <c r="K139" s="2152"/>
      <c r="L139" s="2152"/>
      <c r="M139" s="2152"/>
      <c r="N139" s="2152"/>
      <c r="O139" s="2152"/>
      <c r="P139" s="2152"/>
      <c r="Q139" s="2152"/>
      <c r="R139" s="2152"/>
      <c r="S139" s="2152"/>
      <c r="T139" s="2152"/>
      <c r="U139" s="2152"/>
      <c r="V139" s="2152"/>
      <c r="W139" s="2152"/>
      <c r="X139" s="2152"/>
      <c r="Y139" s="2152"/>
      <c r="Z139" s="2152"/>
      <c r="AA139" s="2152"/>
      <c r="AB139" s="2152"/>
      <c r="AC139" s="2152"/>
      <c r="AD139" s="2152"/>
      <c r="AE139" s="2152"/>
      <c r="AF139" s="2152"/>
      <c r="AG139" s="2152"/>
      <c r="AH139" s="2035" t="s">
        <v>545</v>
      </c>
      <c r="AI139" s="2035"/>
      <c r="AJ139" s="2035"/>
      <c r="AK139" s="2035"/>
      <c r="AL139" s="2035"/>
      <c r="AM139" s="2035"/>
      <c r="AN139" s="2035"/>
      <c r="AO139" s="2035"/>
      <c r="AP139" s="2035"/>
      <c r="AQ139" s="2035"/>
      <c r="AR139" s="2035"/>
      <c r="AS139" s="2035"/>
      <c r="AT139" s="2035"/>
      <c r="AU139" s="2035"/>
      <c r="AV139" s="2035"/>
      <c r="AW139" s="2035"/>
      <c r="AX139" s="2036"/>
      <c r="AY139" s="1190"/>
      <c r="AZ139" s="1190"/>
      <c r="BA139" s="1190"/>
      <c r="BB139" s="1190"/>
      <c r="BC139" s="1190"/>
      <c r="BD139" s="1190"/>
      <c r="BE139" s="1194"/>
    </row>
    <row r="140" spans="1:57" ht="15.75" customHeight="1" thickBot="1">
      <c r="A140" s="1190"/>
      <c r="B140" s="2137" t="s">
        <v>2354</v>
      </c>
      <c r="C140" s="2138"/>
      <c r="D140" s="2138"/>
      <c r="E140" s="2138"/>
      <c r="F140" s="2138"/>
      <c r="G140" s="2138"/>
      <c r="H140" s="2138"/>
      <c r="I140" s="2138"/>
      <c r="J140" s="2138"/>
      <c r="K140" s="2138"/>
      <c r="L140" s="2138"/>
      <c r="M140" s="2138"/>
      <c r="N140" s="2138"/>
      <c r="O140" s="2138"/>
      <c r="P140" s="2138"/>
      <c r="Q140" s="2138"/>
      <c r="R140" s="2138"/>
      <c r="S140" s="2138"/>
      <c r="T140" s="2138"/>
      <c r="U140" s="2138"/>
      <c r="V140" s="2138"/>
      <c r="W140" s="2138"/>
      <c r="X140" s="2138"/>
      <c r="Y140" s="2138"/>
      <c r="Z140" s="2138"/>
      <c r="AA140" s="2138"/>
      <c r="AB140" s="2138"/>
      <c r="AC140" s="2138"/>
      <c r="AD140" s="2138"/>
      <c r="AE140" s="2138"/>
      <c r="AF140" s="2138"/>
      <c r="AG140" s="2139"/>
      <c r="AH140" s="2104" t="s">
        <v>2770</v>
      </c>
      <c r="AI140" s="2105"/>
      <c r="AJ140" s="2105"/>
      <c r="AK140" s="2105"/>
      <c r="AL140" s="2105"/>
      <c r="AM140" s="2105"/>
      <c r="AN140" s="2105"/>
      <c r="AO140" s="2105"/>
      <c r="AP140" s="2105"/>
      <c r="AQ140" s="2105"/>
      <c r="AR140" s="2105"/>
      <c r="AS140" s="2105"/>
      <c r="AT140" s="2105"/>
      <c r="AU140" s="2105"/>
      <c r="AV140" s="2105"/>
      <c r="AW140" s="2105"/>
      <c r="AX140" s="2106"/>
      <c r="AY140" s="1190"/>
      <c r="AZ140" s="1190"/>
      <c r="BA140" s="1190"/>
      <c r="BB140" s="1190"/>
      <c r="BC140" s="1190"/>
      <c r="BD140" s="1190"/>
      <c r="BE140" s="1194"/>
    </row>
    <row r="141" spans="1:57" ht="15.75" customHeight="1">
      <c r="A141" s="1190"/>
      <c r="B141" s="2137" t="s">
        <v>2353</v>
      </c>
      <c r="C141" s="2138"/>
      <c r="D141" s="2138"/>
      <c r="E141" s="2138"/>
      <c r="F141" s="2138"/>
      <c r="G141" s="2138"/>
      <c r="H141" s="2138"/>
      <c r="I141" s="2138"/>
      <c r="J141" s="2138"/>
      <c r="K141" s="2138"/>
      <c r="L141" s="2138"/>
      <c r="M141" s="2138"/>
      <c r="N141" s="2138"/>
      <c r="O141" s="2138"/>
      <c r="P141" s="2138"/>
      <c r="Q141" s="2138"/>
      <c r="R141" s="2138"/>
      <c r="S141" s="2138"/>
      <c r="T141" s="2138"/>
      <c r="U141" s="2138"/>
      <c r="V141" s="2138"/>
      <c r="W141" s="2138"/>
      <c r="X141" s="2138"/>
      <c r="Y141" s="2138"/>
      <c r="Z141" s="2138"/>
      <c r="AA141" s="2138"/>
      <c r="AB141" s="2138"/>
      <c r="AC141" s="2138"/>
      <c r="AD141" s="2138"/>
      <c r="AE141" s="2138"/>
      <c r="AF141" s="2138"/>
      <c r="AG141" s="2139"/>
      <c r="AH141" s="2035" t="s">
        <v>669</v>
      </c>
      <c r="AI141" s="2035"/>
      <c r="AJ141" s="2035"/>
      <c r="AK141" s="2035"/>
      <c r="AL141" s="2035"/>
      <c r="AM141" s="2035"/>
      <c r="AN141" s="2035"/>
      <c r="AO141" s="2035"/>
      <c r="AP141" s="2035"/>
      <c r="AQ141" s="2035"/>
      <c r="AR141" s="2035"/>
      <c r="AS141" s="2035"/>
      <c r="AT141" s="2035"/>
      <c r="AU141" s="2035"/>
      <c r="AV141" s="2035"/>
      <c r="AW141" s="2035"/>
      <c r="AX141" s="2036"/>
      <c r="AY141" s="1190"/>
      <c r="AZ141" s="1190"/>
      <c r="BA141" s="1190"/>
      <c r="BB141" s="1190"/>
      <c r="BC141" s="1190"/>
      <c r="BD141" s="1190"/>
      <c r="BE141" s="1194"/>
    </row>
    <row r="142" spans="1:57" ht="15.75" customHeight="1">
      <c r="A142" s="1190"/>
      <c r="B142" s="2140" t="s">
        <v>2352</v>
      </c>
      <c r="C142" s="2141"/>
      <c r="D142" s="2141"/>
      <c r="E142" s="2141"/>
      <c r="F142" s="2141"/>
      <c r="G142" s="2141"/>
      <c r="H142" s="2141"/>
      <c r="I142" s="2141"/>
      <c r="J142" s="2141"/>
      <c r="K142" s="2141"/>
      <c r="L142" s="2141"/>
      <c r="M142" s="2141"/>
      <c r="N142" s="2141"/>
      <c r="O142" s="2141"/>
      <c r="P142" s="2141"/>
      <c r="Q142" s="2141"/>
      <c r="R142" s="2142" t="s">
        <v>2771</v>
      </c>
      <c r="S142" s="2142"/>
      <c r="T142" s="2142"/>
      <c r="U142" s="2142"/>
      <c r="V142" s="2142"/>
      <c r="W142" s="2142"/>
      <c r="X142" s="2142"/>
      <c r="Y142" s="2142"/>
      <c r="Z142" s="2142"/>
      <c r="AA142" s="2142"/>
      <c r="AB142" s="2142"/>
      <c r="AC142" s="2142"/>
      <c r="AD142" s="2142"/>
      <c r="AE142" s="2142"/>
      <c r="AF142" s="2142"/>
      <c r="AG142" s="2142"/>
      <c r="AH142" s="2142"/>
      <c r="AI142" s="2142"/>
      <c r="AJ142" s="2142"/>
      <c r="AK142" s="2142"/>
      <c r="AL142" s="2142"/>
      <c r="AM142" s="2142"/>
      <c r="AN142" s="2142"/>
      <c r="AO142" s="2142"/>
      <c r="AP142" s="2142"/>
      <c r="AQ142" s="2142"/>
      <c r="AR142" s="2142"/>
      <c r="AS142" s="2142"/>
      <c r="AT142" s="2142"/>
      <c r="AU142" s="2142"/>
      <c r="AV142" s="2142"/>
      <c r="AW142" s="2142"/>
      <c r="AX142" s="2143"/>
      <c r="AY142" s="1190"/>
      <c r="AZ142" s="1190"/>
      <c r="BA142" s="1190"/>
      <c r="BB142" s="1190"/>
      <c r="BC142" s="1190" t="s">
        <v>249</v>
      </c>
      <c r="BD142" s="1190"/>
      <c r="BE142" s="1194"/>
    </row>
    <row r="143" spans="1:57" ht="15.75" customHeight="1">
      <c r="A143" s="1190"/>
      <c r="B143" s="2144" t="s">
        <v>2772</v>
      </c>
      <c r="C143" s="2145"/>
      <c r="D143" s="2145"/>
      <c r="E143" s="2145"/>
      <c r="F143" s="2145"/>
      <c r="G143" s="2145"/>
      <c r="H143" s="2145"/>
      <c r="I143" s="2145"/>
      <c r="J143" s="2145"/>
      <c r="K143" s="2145"/>
      <c r="L143" s="2145"/>
      <c r="M143" s="2145"/>
      <c r="N143" s="2145"/>
      <c r="O143" s="2145"/>
      <c r="P143" s="2145"/>
      <c r="Q143" s="2145"/>
      <c r="R143" s="2145"/>
      <c r="S143" s="2145"/>
      <c r="T143" s="2145"/>
      <c r="U143" s="2145"/>
      <c r="V143" s="2145"/>
      <c r="W143" s="2145"/>
      <c r="X143" s="2145"/>
      <c r="Y143" s="2145"/>
      <c r="Z143" s="2145"/>
      <c r="AA143" s="2145"/>
      <c r="AB143" s="2145"/>
      <c r="AC143" s="2145"/>
      <c r="AD143" s="2145"/>
      <c r="AE143" s="2145"/>
      <c r="AF143" s="2145"/>
      <c r="AG143" s="2145"/>
      <c r="AH143" s="2145"/>
      <c r="AI143" s="2145"/>
      <c r="AJ143" s="2145"/>
      <c r="AK143" s="2145"/>
      <c r="AL143" s="2145"/>
      <c r="AM143" s="2145"/>
      <c r="AN143" s="2145"/>
      <c r="AO143" s="2145"/>
      <c r="AP143" s="2145"/>
      <c r="AQ143" s="2145"/>
      <c r="AR143" s="2145"/>
      <c r="AS143" s="2145"/>
      <c r="AT143" s="2145"/>
      <c r="AU143" s="2145"/>
      <c r="AV143" s="2145"/>
      <c r="AW143" s="2145"/>
      <c r="AX143" s="2146"/>
      <c r="AY143" s="1190"/>
      <c r="AZ143" s="1190"/>
      <c r="BA143" s="1190"/>
      <c r="BB143" s="1190"/>
      <c r="BC143" s="1190"/>
      <c r="BD143" s="1190"/>
      <c r="BE143" s="1194"/>
    </row>
    <row r="144" spans="1:57" ht="15.75" customHeight="1">
      <c r="A144" s="1190"/>
      <c r="B144" s="2147"/>
      <c r="C144" s="2145"/>
      <c r="D144" s="2145"/>
      <c r="E144" s="2145"/>
      <c r="F144" s="2145"/>
      <c r="G144" s="2145"/>
      <c r="H144" s="2145"/>
      <c r="I144" s="2145"/>
      <c r="J144" s="2145"/>
      <c r="K144" s="2145"/>
      <c r="L144" s="2145"/>
      <c r="M144" s="2145"/>
      <c r="N144" s="2145"/>
      <c r="O144" s="2145"/>
      <c r="P144" s="2145"/>
      <c r="Q144" s="2145"/>
      <c r="R144" s="2145"/>
      <c r="S144" s="2145"/>
      <c r="T144" s="2145"/>
      <c r="U144" s="2145"/>
      <c r="V144" s="2145"/>
      <c r="W144" s="2145"/>
      <c r="X144" s="2145"/>
      <c r="Y144" s="2145"/>
      <c r="Z144" s="2145"/>
      <c r="AA144" s="2145"/>
      <c r="AB144" s="2145"/>
      <c r="AC144" s="2145"/>
      <c r="AD144" s="2145"/>
      <c r="AE144" s="2145"/>
      <c r="AF144" s="2145"/>
      <c r="AG144" s="2145"/>
      <c r="AH144" s="2145"/>
      <c r="AI144" s="2145"/>
      <c r="AJ144" s="2145"/>
      <c r="AK144" s="2145"/>
      <c r="AL144" s="2145"/>
      <c r="AM144" s="2145"/>
      <c r="AN144" s="2145"/>
      <c r="AO144" s="2145"/>
      <c r="AP144" s="2145"/>
      <c r="AQ144" s="2145"/>
      <c r="AR144" s="2145"/>
      <c r="AS144" s="2145"/>
      <c r="AT144" s="2145"/>
      <c r="AU144" s="2145"/>
      <c r="AV144" s="2145"/>
      <c r="AW144" s="2145"/>
      <c r="AX144" s="2146"/>
      <c r="AY144" s="1190"/>
      <c r="AZ144" s="1190"/>
      <c r="BA144" s="1190"/>
      <c r="BB144" s="1190"/>
      <c r="BC144" s="1190"/>
      <c r="BD144" s="1190"/>
      <c r="BE144" s="1194"/>
    </row>
    <row r="145" spans="1:57" ht="15.75" customHeight="1">
      <c r="A145" s="1190"/>
      <c r="B145" s="2147"/>
      <c r="C145" s="2145"/>
      <c r="D145" s="2145"/>
      <c r="E145" s="2145"/>
      <c r="F145" s="2145"/>
      <c r="G145" s="2145"/>
      <c r="H145" s="2145"/>
      <c r="I145" s="2145"/>
      <c r="J145" s="2145"/>
      <c r="K145" s="2145"/>
      <c r="L145" s="2145"/>
      <c r="M145" s="2145"/>
      <c r="N145" s="2145"/>
      <c r="O145" s="2145"/>
      <c r="P145" s="2145"/>
      <c r="Q145" s="2145"/>
      <c r="R145" s="2145"/>
      <c r="S145" s="2145"/>
      <c r="T145" s="2145"/>
      <c r="U145" s="2145"/>
      <c r="V145" s="2145"/>
      <c r="W145" s="2145"/>
      <c r="X145" s="2145"/>
      <c r="Y145" s="2145"/>
      <c r="Z145" s="2145"/>
      <c r="AA145" s="2145"/>
      <c r="AB145" s="2145"/>
      <c r="AC145" s="2145"/>
      <c r="AD145" s="2145"/>
      <c r="AE145" s="2145"/>
      <c r="AF145" s="2145"/>
      <c r="AG145" s="2145"/>
      <c r="AH145" s="2145"/>
      <c r="AI145" s="2145"/>
      <c r="AJ145" s="2145"/>
      <c r="AK145" s="2145"/>
      <c r="AL145" s="2145"/>
      <c r="AM145" s="2145"/>
      <c r="AN145" s="2145"/>
      <c r="AO145" s="2145"/>
      <c r="AP145" s="2145"/>
      <c r="AQ145" s="2145"/>
      <c r="AR145" s="2145"/>
      <c r="AS145" s="2145"/>
      <c r="AT145" s="2145"/>
      <c r="AU145" s="2145"/>
      <c r="AV145" s="2145"/>
      <c r="AW145" s="2145"/>
      <c r="AX145" s="2146"/>
      <c r="AY145" s="1190"/>
      <c r="AZ145" s="1190"/>
      <c r="BA145" s="1190"/>
      <c r="BB145" s="1190"/>
      <c r="BC145" s="1190"/>
      <c r="BD145" s="1190"/>
      <c r="BE145" s="1194"/>
    </row>
    <row r="146" spans="1:57" ht="15.75" customHeight="1">
      <c r="A146" s="1190"/>
      <c r="B146" s="2147"/>
      <c r="C146" s="2145"/>
      <c r="D146" s="2145"/>
      <c r="E146" s="2145"/>
      <c r="F146" s="2145"/>
      <c r="G146" s="2145"/>
      <c r="H146" s="2145"/>
      <c r="I146" s="2145"/>
      <c r="J146" s="2145"/>
      <c r="K146" s="2145"/>
      <c r="L146" s="2145"/>
      <c r="M146" s="2145"/>
      <c r="N146" s="2145"/>
      <c r="O146" s="2145"/>
      <c r="P146" s="2145"/>
      <c r="Q146" s="2145"/>
      <c r="R146" s="2145"/>
      <c r="S146" s="2145"/>
      <c r="T146" s="2145"/>
      <c r="U146" s="2145"/>
      <c r="V146" s="2145"/>
      <c r="W146" s="2145"/>
      <c r="X146" s="2145"/>
      <c r="Y146" s="2145"/>
      <c r="Z146" s="2145"/>
      <c r="AA146" s="2145"/>
      <c r="AB146" s="2145"/>
      <c r="AC146" s="2145"/>
      <c r="AD146" s="2145"/>
      <c r="AE146" s="2145"/>
      <c r="AF146" s="2145"/>
      <c r="AG146" s="2145"/>
      <c r="AH146" s="2145"/>
      <c r="AI146" s="2145"/>
      <c r="AJ146" s="2145"/>
      <c r="AK146" s="2145"/>
      <c r="AL146" s="2145"/>
      <c r="AM146" s="2145"/>
      <c r="AN146" s="2145"/>
      <c r="AO146" s="2145"/>
      <c r="AP146" s="2145"/>
      <c r="AQ146" s="2145"/>
      <c r="AR146" s="2145"/>
      <c r="AS146" s="2145"/>
      <c r="AT146" s="2145"/>
      <c r="AU146" s="2145"/>
      <c r="AV146" s="2145"/>
      <c r="AW146" s="2145"/>
      <c r="AX146" s="2146"/>
      <c r="AY146" s="1190"/>
      <c r="AZ146" s="1190"/>
      <c r="BA146" s="1190"/>
      <c r="BB146" s="1190"/>
      <c r="BC146" s="1190"/>
      <c r="BD146" s="1190"/>
      <c r="BE146" s="1194"/>
    </row>
    <row r="147" spans="1:57" ht="15.75" customHeight="1">
      <c r="A147" s="1190"/>
      <c r="B147" s="2147"/>
      <c r="C147" s="2145"/>
      <c r="D147" s="2145"/>
      <c r="E147" s="2145"/>
      <c r="F147" s="2145"/>
      <c r="G147" s="2145"/>
      <c r="H147" s="2145"/>
      <c r="I147" s="2145"/>
      <c r="J147" s="2145"/>
      <c r="K147" s="2145"/>
      <c r="L147" s="2145"/>
      <c r="M147" s="2145"/>
      <c r="N147" s="2145"/>
      <c r="O147" s="2145"/>
      <c r="P147" s="2145"/>
      <c r="Q147" s="2145"/>
      <c r="R147" s="2145"/>
      <c r="S147" s="2145"/>
      <c r="T147" s="2145"/>
      <c r="U147" s="2145"/>
      <c r="V147" s="2145"/>
      <c r="W147" s="2145"/>
      <c r="X147" s="2145"/>
      <c r="Y147" s="2145"/>
      <c r="Z147" s="2145"/>
      <c r="AA147" s="2145"/>
      <c r="AB147" s="2145"/>
      <c r="AC147" s="2145"/>
      <c r="AD147" s="2145"/>
      <c r="AE147" s="2145"/>
      <c r="AF147" s="2145"/>
      <c r="AG147" s="2145"/>
      <c r="AH147" s="2145"/>
      <c r="AI147" s="2145"/>
      <c r="AJ147" s="2145"/>
      <c r="AK147" s="2145"/>
      <c r="AL147" s="2145"/>
      <c r="AM147" s="2145"/>
      <c r="AN147" s="2145"/>
      <c r="AO147" s="2145"/>
      <c r="AP147" s="2145"/>
      <c r="AQ147" s="2145"/>
      <c r="AR147" s="2145"/>
      <c r="AS147" s="2145"/>
      <c r="AT147" s="2145"/>
      <c r="AU147" s="2145"/>
      <c r="AV147" s="2145"/>
      <c r="AW147" s="2145"/>
      <c r="AX147" s="2146"/>
      <c r="AY147" s="1190"/>
      <c r="AZ147" s="1190"/>
      <c r="BA147" s="1190"/>
      <c r="BB147" s="1190"/>
      <c r="BC147" s="1190"/>
      <c r="BD147" s="1190"/>
      <c r="BE147" s="1194"/>
    </row>
    <row r="148" spans="1:57" ht="15.75" customHeight="1">
      <c r="A148" s="1190"/>
      <c r="B148" s="2147"/>
      <c r="C148" s="2145"/>
      <c r="D148" s="2145"/>
      <c r="E148" s="2145"/>
      <c r="F148" s="2145"/>
      <c r="G148" s="2145"/>
      <c r="H148" s="2145"/>
      <c r="I148" s="2145"/>
      <c r="J148" s="2145"/>
      <c r="K148" s="2145"/>
      <c r="L148" s="2145"/>
      <c r="M148" s="2145"/>
      <c r="N148" s="2145"/>
      <c r="O148" s="2145"/>
      <c r="P148" s="2145"/>
      <c r="Q148" s="2145"/>
      <c r="R148" s="2145"/>
      <c r="S148" s="2145"/>
      <c r="T148" s="2145"/>
      <c r="U148" s="2145"/>
      <c r="V148" s="2145"/>
      <c r="W148" s="2145"/>
      <c r="X148" s="2145"/>
      <c r="Y148" s="2145"/>
      <c r="Z148" s="2145"/>
      <c r="AA148" s="2145"/>
      <c r="AB148" s="2145"/>
      <c r="AC148" s="2145"/>
      <c r="AD148" s="2145"/>
      <c r="AE148" s="2145"/>
      <c r="AF148" s="2145"/>
      <c r="AG148" s="2145"/>
      <c r="AH148" s="2145"/>
      <c r="AI148" s="2145"/>
      <c r="AJ148" s="2145"/>
      <c r="AK148" s="2145"/>
      <c r="AL148" s="2145"/>
      <c r="AM148" s="2145"/>
      <c r="AN148" s="2145"/>
      <c r="AO148" s="2145"/>
      <c r="AP148" s="2145"/>
      <c r="AQ148" s="2145"/>
      <c r="AR148" s="2145"/>
      <c r="AS148" s="2145"/>
      <c r="AT148" s="2145"/>
      <c r="AU148" s="2145"/>
      <c r="AV148" s="2145"/>
      <c r="AW148" s="2145"/>
      <c r="AX148" s="2146"/>
      <c r="AY148" s="1190"/>
      <c r="AZ148" s="1190"/>
      <c r="BA148" s="1190"/>
      <c r="BB148" s="1190"/>
      <c r="BC148" s="1190"/>
      <c r="BD148" s="1190"/>
      <c r="BE148" s="1194"/>
    </row>
    <row r="149" spans="1:57" ht="15.75" customHeight="1">
      <c r="A149" s="1190"/>
      <c r="B149" s="2147"/>
      <c r="C149" s="2145"/>
      <c r="D149" s="2145"/>
      <c r="E149" s="2145"/>
      <c r="F149" s="2145"/>
      <c r="G149" s="2145"/>
      <c r="H149" s="2145"/>
      <c r="I149" s="2145"/>
      <c r="J149" s="2145"/>
      <c r="K149" s="2145"/>
      <c r="L149" s="2145"/>
      <c r="M149" s="2145"/>
      <c r="N149" s="2145"/>
      <c r="O149" s="2145"/>
      <c r="P149" s="2145"/>
      <c r="Q149" s="2145"/>
      <c r="R149" s="2145"/>
      <c r="S149" s="2145"/>
      <c r="T149" s="2145"/>
      <c r="U149" s="2145"/>
      <c r="V149" s="2145"/>
      <c r="W149" s="2145"/>
      <c r="X149" s="2145"/>
      <c r="Y149" s="2145"/>
      <c r="Z149" s="2145"/>
      <c r="AA149" s="2145"/>
      <c r="AB149" s="2145"/>
      <c r="AC149" s="2145"/>
      <c r="AD149" s="2145"/>
      <c r="AE149" s="2145"/>
      <c r="AF149" s="2145"/>
      <c r="AG149" s="2145"/>
      <c r="AH149" s="2145"/>
      <c r="AI149" s="2145"/>
      <c r="AJ149" s="2145"/>
      <c r="AK149" s="2145"/>
      <c r="AL149" s="2145"/>
      <c r="AM149" s="2145"/>
      <c r="AN149" s="2145"/>
      <c r="AO149" s="2145"/>
      <c r="AP149" s="2145"/>
      <c r="AQ149" s="2145"/>
      <c r="AR149" s="2145"/>
      <c r="AS149" s="2145"/>
      <c r="AT149" s="2145"/>
      <c r="AU149" s="2145"/>
      <c r="AV149" s="2145"/>
      <c r="AW149" s="2145"/>
      <c r="AX149" s="2146"/>
      <c r="AY149" s="1190"/>
      <c r="AZ149" s="1190"/>
      <c r="BA149" s="1190"/>
      <c r="BB149" s="1190"/>
      <c r="BC149" s="1190"/>
      <c r="BD149" s="1190"/>
      <c r="BE149" s="1194"/>
    </row>
    <row r="150" spans="1:57" ht="15.75" customHeight="1">
      <c r="A150" s="1190"/>
      <c r="B150" s="2147"/>
      <c r="C150" s="2145"/>
      <c r="D150" s="2145"/>
      <c r="E150" s="2145"/>
      <c r="F150" s="2145"/>
      <c r="G150" s="2145"/>
      <c r="H150" s="2145"/>
      <c r="I150" s="2145"/>
      <c r="J150" s="2145"/>
      <c r="K150" s="2145"/>
      <c r="L150" s="2145"/>
      <c r="M150" s="2145"/>
      <c r="N150" s="2145"/>
      <c r="O150" s="2145"/>
      <c r="P150" s="2145"/>
      <c r="Q150" s="2145"/>
      <c r="R150" s="2145"/>
      <c r="S150" s="2145"/>
      <c r="T150" s="2145"/>
      <c r="U150" s="2145"/>
      <c r="V150" s="2145"/>
      <c r="W150" s="2145"/>
      <c r="X150" s="2145"/>
      <c r="Y150" s="2145"/>
      <c r="Z150" s="2145"/>
      <c r="AA150" s="2145"/>
      <c r="AB150" s="2145"/>
      <c r="AC150" s="2145"/>
      <c r="AD150" s="2145"/>
      <c r="AE150" s="2145"/>
      <c r="AF150" s="2145"/>
      <c r="AG150" s="2145"/>
      <c r="AH150" s="2145"/>
      <c r="AI150" s="2145"/>
      <c r="AJ150" s="2145"/>
      <c r="AK150" s="2145"/>
      <c r="AL150" s="2145"/>
      <c r="AM150" s="2145"/>
      <c r="AN150" s="2145"/>
      <c r="AO150" s="2145"/>
      <c r="AP150" s="2145"/>
      <c r="AQ150" s="2145"/>
      <c r="AR150" s="2145"/>
      <c r="AS150" s="2145"/>
      <c r="AT150" s="2145"/>
      <c r="AU150" s="2145"/>
      <c r="AV150" s="2145"/>
      <c r="AW150" s="2145"/>
      <c r="AX150" s="2146"/>
      <c r="AY150" s="1190"/>
      <c r="AZ150" s="1190"/>
      <c r="BA150" s="1190"/>
      <c r="BB150" s="1190"/>
      <c r="BC150" s="1190"/>
      <c r="BD150" s="1190"/>
      <c r="BE150" s="1194"/>
    </row>
    <row r="151" spans="1:57" ht="15.75" customHeight="1">
      <c r="A151" s="1190"/>
      <c r="B151" s="2147"/>
      <c r="C151" s="2145"/>
      <c r="D151" s="2145"/>
      <c r="E151" s="2145"/>
      <c r="F151" s="2145"/>
      <c r="G151" s="2145"/>
      <c r="H151" s="2145"/>
      <c r="I151" s="2145"/>
      <c r="J151" s="2145"/>
      <c r="K151" s="2145"/>
      <c r="L151" s="2145"/>
      <c r="M151" s="2145"/>
      <c r="N151" s="2145"/>
      <c r="O151" s="2145"/>
      <c r="P151" s="2145"/>
      <c r="Q151" s="2145"/>
      <c r="R151" s="2145"/>
      <c r="S151" s="2145"/>
      <c r="T151" s="2145"/>
      <c r="U151" s="2145"/>
      <c r="V151" s="2145"/>
      <c r="W151" s="2145"/>
      <c r="X151" s="2145"/>
      <c r="Y151" s="2145"/>
      <c r="Z151" s="2145"/>
      <c r="AA151" s="2145"/>
      <c r="AB151" s="2145"/>
      <c r="AC151" s="2145"/>
      <c r="AD151" s="2145"/>
      <c r="AE151" s="2145"/>
      <c r="AF151" s="2145"/>
      <c r="AG151" s="2145"/>
      <c r="AH151" s="2145"/>
      <c r="AI151" s="2145"/>
      <c r="AJ151" s="2145"/>
      <c r="AK151" s="2145"/>
      <c r="AL151" s="2145"/>
      <c r="AM151" s="2145"/>
      <c r="AN151" s="2145"/>
      <c r="AO151" s="2145"/>
      <c r="AP151" s="2145"/>
      <c r="AQ151" s="2145"/>
      <c r="AR151" s="2145"/>
      <c r="AS151" s="2145"/>
      <c r="AT151" s="2145"/>
      <c r="AU151" s="2145"/>
      <c r="AV151" s="2145"/>
      <c r="AW151" s="2145"/>
      <c r="AX151" s="2146"/>
      <c r="AY151" s="1190"/>
      <c r="AZ151" s="1190"/>
      <c r="BA151" s="1190"/>
      <c r="BB151" s="1190"/>
      <c r="BC151" s="1190"/>
      <c r="BD151" s="1190"/>
      <c r="BE151" s="1194"/>
    </row>
    <row r="152" spans="1:57" ht="15.75" customHeight="1" thickBot="1">
      <c r="A152" s="1190"/>
      <c r="B152" s="2148"/>
      <c r="C152" s="2149"/>
      <c r="D152" s="2149"/>
      <c r="E152" s="2149"/>
      <c r="F152" s="2149"/>
      <c r="G152" s="2149"/>
      <c r="H152" s="2149"/>
      <c r="I152" s="2149"/>
      <c r="J152" s="2149"/>
      <c r="K152" s="2149"/>
      <c r="L152" s="2149"/>
      <c r="M152" s="2149"/>
      <c r="N152" s="2149"/>
      <c r="O152" s="2149"/>
      <c r="P152" s="2149"/>
      <c r="Q152" s="2149"/>
      <c r="R152" s="2149"/>
      <c r="S152" s="2149"/>
      <c r="T152" s="2149"/>
      <c r="U152" s="2149"/>
      <c r="V152" s="2149"/>
      <c r="W152" s="2149"/>
      <c r="X152" s="2149"/>
      <c r="Y152" s="2149"/>
      <c r="Z152" s="2149"/>
      <c r="AA152" s="2149"/>
      <c r="AB152" s="2149"/>
      <c r="AC152" s="2149"/>
      <c r="AD152" s="2149"/>
      <c r="AE152" s="2149"/>
      <c r="AF152" s="2149"/>
      <c r="AG152" s="2149"/>
      <c r="AH152" s="2149"/>
      <c r="AI152" s="2149"/>
      <c r="AJ152" s="2149"/>
      <c r="AK152" s="2149"/>
      <c r="AL152" s="2149"/>
      <c r="AM152" s="2149"/>
      <c r="AN152" s="2149"/>
      <c r="AO152" s="2149"/>
      <c r="AP152" s="2149"/>
      <c r="AQ152" s="2149"/>
      <c r="AR152" s="2149"/>
      <c r="AS152" s="2149"/>
      <c r="AT152" s="2149"/>
      <c r="AU152" s="2149"/>
      <c r="AV152" s="2149"/>
      <c r="AW152" s="2149"/>
      <c r="AX152" s="2150"/>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2351</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2350</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7" t="s">
        <v>2349</v>
      </c>
      <c r="C156" s="2008"/>
      <c r="D156" s="2008"/>
      <c r="E156" s="2008"/>
      <c r="F156" s="2008"/>
      <c r="G156" s="2008"/>
      <c r="H156" s="2008"/>
      <c r="I156" s="2008"/>
      <c r="J156" s="2008"/>
      <c r="K156" s="2008"/>
      <c r="L156" s="2008"/>
      <c r="M156" s="2008"/>
      <c r="N156" s="2008"/>
      <c r="O156" s="2008"/>
      <c r="P156" s="2008"/>
      <c r="Q156" s="2008"/>
      <c r="R156" s="2008"/>
      <c r="S156" s="2008"/>
      <c r="T156" s="2008"/>
      <c r="U156" s="2009"/>
      <c r="V156" s="1190"/>
      <c r="W156" s="1192"/>
      <c r="X156" s="2007" t="s">
        <v>2348</v>
      </c>
      <c r="Y156" s="2008"/>
      <c r="Z156" s="2008"/>
      <c r="AA156" s="2008"/>
      <c r="AB156" s="2008"/>
      <c r="AC156" s="2008"/>
      <c r="AD156" s="2008"/>
      <c r="AE156" s="2008"/>
      <c r="AF156" s="2008"/>
      <c r="AG156" s="2008"/>
      <c r="AH156" s="2008"/>
      <c r="AI156" s="2008"/>
      <c r="AJ156" s="2008"/>
      <c r="AK156" s="2008"/>
      <c r="AL156" s="2008"/>
      <c r="AM156" s="2008"/>
      <c r="AN156" s="2008"/>
      <c r="AO156" s="2008"/>
      <c r="AP156" s="2008"/>
      <c r="AQ156" s="2009"/>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3"/>
      <c r="C157" s="2154"/>
      <c r="D157" s="2154"/>
      <c r="E157" s="2154"/>
      <c r="F157" s="2154"/>
      <c r="G157" s="2154"/>
      <c r="H157" s="2154"/>
      <c r="I157" s="2155" t="s">
        <v>2346</v>
      </c>
      <c r="J157" s="2155"/>
      <c r="K157" s="2155"/>
      <c r="L157" s="2155"/>
      <c r="M157" s="2155"/>
      <c r="N157" s="2155"/>
      <c r="O157" s="2155"/>
      <c r="P157" s="2155" t="s">
        <v>2347</v>
      </c>
      <c r="Q157" s="2155"/>
      <c r="R157" s="2155"/>
      <c r="S157" s="2155"/>
      <c r="T157" s="2155"/>
      <c r="U157" s="2156"/>
      <c r="V157" s="1190"/>
      <c r="W157" s="1190"/>
      <c r="X157" s="2153"/>
      <c r="Y157" s="2154"/>
      <c r="Z157" s="2154"/>
      <c r="AA157" s="2154"/>
      <c r="AB157" s="2154"/>
      <c r="AC157" s="2154"/>
      <c r="AD157" s="2154"/>
      <c r="AE157" s="2155" t="s">
        <v>2346</v>
      </c>
      <c r="AF157" s="2155"/>
      <c r="AG157" s="2155"/>
      <c r="AH157" s="2155"/>
      <c r="AI157" s="2155"/>
      <c r="AJ157" s="2155"/>
      <c r="AK157" s="2155"/>
      <c r="AL157" s="2155" t="s">
        <v>2345</v>
      </c>
      <c r="AM157" s="2155"/>
      <c r="AN157" s="2155"/>
      <c r="AO157" s="2155"/>
      <c r="AP157" s="2155"/>
      <c r="AQ157" s="2156"/>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3"/>
      <c r="C158" s="2154"/>
      <c r="D158" s="2154"/>
      <c r="E158" s="2154"/>
      <c r="F158" s="2154"/>
      <c r="G158" s="2154"/>
      <c r="H158" s="2154"/>
      <c r="I158" s="2155"/>
      <c r="J158" s="2155"/>
      <c r="K158" s="2155"/>
      <c r="L158" s="2155"/>
      <c r="M158" s="2155"/>
      <c r="N158" s="2155"/>
      <c r="O158" s="2155"/>
      <c r="P158" s="2155"/>
      <c r="Q158" s="2155"/>
      <c r="R158" s="2155"/>
      <c r="S158" s="2155"/>
      <c r="T158" s="2155"/>
      <c r="U158" s="2156"/>
      <c r="V158" s="1190"/>
      <c r="W158" s="1190"/>
      <c r="X158" s="2153"/>
      <c r="Y158" s="2154"/>
      <c r="Z158" s="2154"/>
      <c r="AA158" s="2154"/>
      <c r="AB158" s="2154"/>
      <c r="AC158" s="2154"/>
      <c r="AD158" s="2154"/>
      <c r="AE158" s="2155"/>
      <c r="AF158" s="2155"/>
      <c r="AG158" s="2155"/>
      <c r="AH158" s="2155"/>
      <c r="AI158" s="2155"/>
      <c r="AJ158" s="2155"/>
      <c r="AK158" s="2155"/>
      <c r="AL158" s="2155"/>
      <c r="AM158" s="2155"/>
      <c r="AN158" s="2155"/>
      <c r="AO158" s="2155"/>
      <c r="AP158" s="2155"/>
      <c r="AQ158" s="2156"/>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10" t="s">
        <v>2344</v>
      </c>
      <c r="C159" s="2111"/>
      <c r="D159" s="2111"/>
      <c r="E159" s="2111"/>
      <c r="F159" s="2111"/>
      <c r="G159" s="2111"/>
      <c r="H159" s="2111"/>
      <c r="I159" s="2087">
        <v>3</v>
      </c>
      <c r="J159" s="2087"/>
      <c r="K159" s="2087"/>
      <c r="L159" s="2087"/>
      <c r="M159" s="2087"/>
      <c r="N159" s="2087"/>
      <c r="O159" s="2087"/>
      <c r="P159" s="2087">
        <v>5</v>
      </c>
      <c r="Q159" s="2087"/>
      <c r="R159" s="2087"/>
      <c r="S159" s="2087"/>
      <c r="T159" s="2087"/>
      <c r="U159" s="2088"/>
      <c r="V159" s="1190"/>
      <c r="W159" s="1190"/>
      <c r="X159" s="2112" t="s">
        <v>2344</v>
      </c>
      <c r="Y159" s="2113"/>
      <c r="Z159" s="2113"/>
      <c r="AA159" s="2113"/>
      <c r="AB159" s="2113"/>
      <c r="AC159" s="2113"/>
      <c r="AD159" s="2113"/>
      <c r="AE159" s="2157" t="s">
        <v>2773</v>
      </c>
      <c r="AF159" s="2102"/>
      <c r="AG159" s="2102"/>
      <c r="AH159" s="2102"/>
      <c r="AI159" s="2102"/>
      <c r="AJ159" s="2102"/>
      <c r="AK159" s="2102"/>
      <c r="AL159" s="2157" t="s">
        <v>2773</v>
      </c>
      <c r="AM159" s="2102"/>
      <c r="AN159" s="2102"/>
      <c r="AO159" s="2102"/>
      <c r="AP159" s="2102"/>
      <c r="AQ159" s="2103"/>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2" t="s">
        <v>2343</v>
      </c>
      <c r="C160" s="2113"/>
      <c r="D160" s="2113"/>
      <c r="E160" s="2113"/>
      <c r="F160" s="2113"/>
      <c r="G160" s="2113"/>
      <c r="H160" s="2113"/>
      <c r="I160" s="2102">
        <v>0</v>
      </c>
      <c r="J160" s="2102"/>
      <c r="K160" s="2102"/>
      <c r="L160" s="2102"/>
      <c r="M160" s="2102"/>
      <c r="N160" s="2102"/>
      <c r="O160" s="2102"/>
      <c r="P160" s="2102">
        <v>4</v>
      </c>
      <c r="Q160" s="2102"/>
      <c r="R160" s="2102"/>
      <c r="S160" s="2102"/>
      <c r="T160" s="2102"/>
      <c r="U160" s="2103"/>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7" t="s">
        <v>2342</v>
      </c>
      <c r="D162" s="2008"/>
      <c r="E162" s="2008"/>
      <c r="F162" s="2008"/>
      <c r="G162" s="2008"/>
      <c r="H162" s="2008"/>
      <c r="I162" s="2008"/>
      <c r="J162" s="2008"/>
      <c r="K162" s="2008"/>
      <c r="L162" s="2008"/>
      <c r="M162" s="2008"/>
      <c r="N162" s="2008"/>
      <c r="O162" s="2008"/>
      <c r="P162" s="2008"/>
      <c r="Q162" s="2008"/>
      <c r="R162" s="2008"/>
      <c r="S162" s="2008"/>
      <c r="T162" s="2008"/>
      <c r="U162" s="2008"/>
      <c r="V162" s="2008"/>
      <c r="W162" s="2008"/>
      <c r="X162" s="2008"/>
      <c r="Y162" s="2008"/>
      <c r="Z162" s="2008"/>
      <c r="AA162" s="2008"/>
      <c r="AB162" s="2008"/>
      <c r="AC162" s="2008"/>
      <c r="AD162" s="2008"/>
      <c r="AE162" s="2008"/>
      <c r="AF162" s="2008"/>
      <c r="AG162" s="2009"/>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3" t="s">
        <v>2327</v>
      </c>
      <c r="D163" s="2154"/>
      <c r="E163" s="2154"/>
      <c r="F163" s="2154"/>
      <c r="G163" s="2154"/>
      <c r="H163" s="2154"/>
      <c r="I163" s="2154"/>
      <c r="J163" s="2154"/>
      <c r="K163" s="2154"/>
      <c r="L163" s="2154"/>
      <c r="M163" s="2154"/>
      <c r="N163" s="2154"/>
      <c r="O163" s="2154"/>
      <c r="P163" s="2154"/>
      <c r="Q163" s="2154" t="s">
        <v>2341</v>
      </c>
      <c r="R163" s="2154"/>
      <c r="S163" s="2154"/>
      <c r="T163" s="2098" t="s">
        <v>2340</v>
      </c>
      <c r="U163" s="2098"/>
      <c r="V163" s="2098"/>
      <c r="W163" s="2098"/>
      <c r="X163" s="2098"/>
      <c r="Y163" s="2098"/>
      <c r="Z163" s="2098"/>
      <c r="AA163" s="2098"/>
      <c r="AB163" s="2154" t="s">
        <v>2339</v>
      </c>
      <c r="AC163" s="2154"/>
      <c r="AD163" s="2154"/>
      <c r="AE163" s="2154"/>
      <c r="AF163" s="2154"/>
      <c r="AG163" s="2163"/>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8" t="s">
        <v>2338</v>
      </c>
      <c r="D164" s="2159"/>
      <c r="E164" s="2159"/>
      <c r="F164" s="2159"/>
      <c r="G164" s="2159"/>
      <c r="H164" s="2159"/>
      <c r="I164" s="2159"/>
      <c r="J164" s="2159"/>
      <c r="K164" s="2159"/>
      <c r="L164" s="2159"/>
      <c r="M164" s="2159"/>
      <c r="N164" s="2159"/>
      <c r="O164" s="2159"/>
      <c r="P164" s="2159"/>
      <c r="Q164" s="2160">
        <v>55</v>
      </c>
      <c r="R164" s="2160"/>
      <c r="S164" s="2160"/>
      <c r="T164" s="2161" t="s">
        <v>591</v>
      </c>
      <c r="U164" s="2161"/>
      <c r="V164" s="2161"/>
      <c r="W164" s="2161"/>
      <c r="X164" s="2161"/>
      <c r="Y164" s="2161"/>
      <c r="Z164" s="2161"/>
      <c r="AA164" s="2161"/>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8" t="s">
        <v>2337</v>
      </c>
      <c r="D165" s="2159"/>
      <c r="E165" s="2159"/>
      <c r="F165" s="2159"/>
      <c r="G165" s="2159"/>
      <c r="H165" s="2159"/>
      <c r="I165" s="2159"/>
      <c r="J165" s="2159"/>
      <c r="K165" s="2159"/>
      <c r="L165" s="2159"/>
      <c r="M165" s="2159"/>
      <c r="N165" s="2159"/>
      <c r="O165" s="2159"/>
      <c r="P165" s="2159"/>
      <c r="Q165" s="2160">
        <v>55</v>
      </c>
      <c r="R165" s="2160"/>
      <c r="S165" s="2160"/>
      <c r="T165" s="2162">
        <v>45632</v>
      </c>
      <c r="U165" s="2162"/>
      <c r="V165" s="2162"/>
      <c r="W165" s="2162"/>
      <c r="X165" s="2162"/>
      <c r="Y165" s="2162"/>
      <c r="Z165" s="2162"/>
      <c r="AA165" s="2162"/>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8" t="s">
        <v>2336</v>
      </c>
      <c r="D166" s="2159"/>
      <c r="E166" s="2159"/>
      <c r="F166" s="2159"/>
      <c r="G166" s="2159"/>
      <c r="H166" s="2159"/>
      <c r="I166" s="2159"/>
      <c r="J166" s="2159"/>
      <c r="K166" s="2159"/>
      <c r="L166" s="2159"/>
      <c r="M166" s="2159"/>
      <c r="N166" s="2159"/>
      <c r="O166" s="2159"/>
      <c r="P166" s="2159"/>
      <c r="Q166" s="2160">
        <v>55</v>
      </c>
      <c r="R166" s="2160"/>
      <c r="S166" s="2160"/>
      <c r="T166" s="2161">
        <v>45632</v>
      </c>
      <c r="U166" s="2161"/>
      <c r="V166" s="2161"/>
      <c r="W166" s="2161"/>
      <c r="X166" s="2161"/>
      <c r="Y166" s="2161"/>
      <c r="Z166" s="2161"/>
      <c r="AA166" s="2161"/>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8" t="s">
        <v>2335</v>
      </c>
      <c r="D167" s="2159"/>
      <c r="E167" s="2159"/>
      <c r="F167" s="2159"/>
      <c r="G167" s="2159"/>
      <c r="H167" s="2159"/>
      <c r="I167" s="2159"/>
      <c r="J167" s="2159"/>
      <c r="K167" s="2159"/>
      <c r="L167" s="2159"/>
      <c r="M167" s="2159"/>
      <c r="N167" s="2159"/>
      <c r="O167" s="2159"/>
      <c r="P167" s="2159"/>
      <c r="Q167" s="2160">
        <v>55</v>
      </c>
      <c r="R167" s="2160"/>
      <c r="S167" s="2160"/>
      <c r="T167" s="2161" t="s">
        <v>591</v>
      </c>
      <c r="U167" s="2161"/>
      <c r="V167" s="2161"/>
      <c r="W167" s="2161"/>
      <c r="X167" s="2161"/>
      <c r="Y167" s="2161"/>
      <c r="Z167" s="2161"/>
      <c r="AA167" s="2161"/>
      <c r="AB167" s="2164">
        <v>0</v>
      </c>
      <c r="AC167" s="2164"/>
      <c r="AD167" s="2164"/>
      <c r="AE167" s="2164"/>
      <c r="AF167" s="2164"/>
      <c r="AG167" s="2165"/>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8" t="s">
        <v>169</v>
      </c>
      <c r="D168" s="2159"/>
      <c r="E168" s="2159"/>
      <c r="F168" s="2166" t="s">
        <v>2316</v>
      </c>
      <c r="G168" s="2166"/>
      <c r="H168" s="2166"/>
      <c r="I168" s="2166"/>
      <c r="J168" s="2166"/>
      <c r="K168" s="2166"/>
      <c r="L168" s="2166"/>
      <c r="M168" s="2166"/>
      <c r="N168" s="2166"/>
      <c r="O168" s="2166"/>
      <c r="P168" s="2166"/>
      <c r="Q168" s="2160">
        <v>55</v>
      </c>
      <c r="R168" s="2160"/>
      <c r="S168" s="2160"/>
      <c r="T168" s="2162"/>
      <c r="U168" s="2162"/>
      <c r="V168" s="2162"/>
      <c r="W168" s="2162"/>
      <c r="X168" s="2162"/>
      <c r="Y168" s="2162"/>
      <c r="Z168" s="2162"/>
      <c r="AA168" s="2162"/>
      <c r="AB168" s="2164">
        <v>0</v>
      </c>
      <c r="AC168" s="2164"/>
      <c r="AD168" s="2164"/>
      <c r="AE168" s="2164"/>
      <c r="AF168" s="2164"/>
      <c r="AG168" s="2165"/>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8" t="s">
        <v>169</v>
      </c>
      <c r="D169" s="2159"/>
      <c r="E169" s="2159"/>
      <c r="F169" s="2166" t="s">
        <v>2316</v>
      </c>
      <c r="G169" s="2166"/>
      <c r="H169" s="2166"/>
      <c r="I169" s="2166"/>
      <c r="J169" s="2166"/>
      <c r="K169" s="2166"/>
      <c r="L169" s="2166"/>
      <c r="M169" s="2166"/>
      <c r="N169" s="2166"/>
      <c r="O169" s="2166"/>
      <c r="P169" s="2166"/>
      <c r="Q169" s="2160">
        <v>55</v>
      </c>
      <c r="R169" s="2160"/>
      <c r="S169" s="2160"/>
      <c r="T169" s="2162"/>
      <c r="U169" s="2162"/>
      <c r="V169" s="2162"/>
      <c r="W169" s="2162"/>
      <c r="X169" s="2162"/>
      <c r="Y169" s="2162"/>
      <c r="Z169" s="2162"/>
      <c r="AA169" s="2162"/>
      <c r="AB169" s="2164">
        <v>0</v>
      </c>
      <c r="AC169" s="2164"/>
      <c r="AD169" s="2164"/>
      <c r="AE169" s="2164"/>
      <c r="AF169" s="2164"/>
      <c r="AG169" s="2165"/>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7" t="s">
        <v>169</v>
      </c>
      <c r="D170" s="2168"/>
      <c r="E170" s="2168"/>
      <c r="F170" s="2169" t="s">
        <v>2316</v>
      </c>
      <c r="G170" s="2169"/>
      <c r="H170" s="2169"/>
      <c r="I170" s="2169"/>
      <c r="J170" s="2169"/>
      <c r="K170" s="2169"/>
      <c r="L170" s="2169"/>
      <c r="M170" s="2169"/>
      <c r="N170" s="2169"/>
      <c r="O170" s="2169"/>
      <c r="P170" s="2169"/>
      <c r="Q170" s="2170">
        <v>55</v>
      </c>
      <c r="R170" s="2170"/>
      <c r="S170" s="2170"/>
      <c r="T170" s="2171"/>
      <c r="U170" s="2171"/>
      <c r="V170" s="2171"/>
      <c r="W170" s="2171"/>
      <c r="X170" s="2171"/>
      <c r="Y170" s="2171"/>
      <c r="Z170" s="2171"/>
      <c r="AA170" s="2171"/>
      <c r="AB170" s="2172">
        <v>0</v>
      </c>
      <c r="AC170" s="2172"/>
      <c r="AD170" s="2172"/>
      <c r="AE170" s="2172"/>
      <c r="AF170" s="2172"/>
      <c r="AG170" s="2173"/>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6" t="s">
        <v>2334</v>
      </c>
      <c r="D172" s="2057"/>
      <c r="E172" s="2057"/>
      <c r="F172" s="2057"/>
      <c r="G172" s="2057"/>
      <c r="H172" s="2057"/>
      <c r="I172" s="2057"/>
      <c r="J172" s="2057"/>
      <c r="K172" s="2057"/>
      <c r="L172" s="2057"/>
      <c r="M172" s="2057"/>
      <c r="N172" s="2107"/>
      <c r="O172" s="1190"/>
      <c r="P172" s="2174" t="s">
        <v>2333</v>
      </c>
      <c r="Q172" s="2175"/>
      <c r="R172" s="2175"/>
      <c r="S172" s="2175"/>
      <c r="T172" s="2175"/>
      <c r="U172" s="2175"/>
      <c r="V172" s="2175"/>
      <c r="W172" s="2175"/>
      <c r="X172" s="2175"/>
      <c r="Y172" s="2175"/>
      <c r="Z172" s="2175"/>
      <c r="AA172" s="2175"/>
      <c r="AB172" s="2175"/>
      <c r="AC172" s="2175"/>
      <c r="AD172" s="2175"/>
      <c r="AE172" s="2175"/>
      <c r="AF172" s="2175"/>
      <c r="AG172" s="2175"/>
      <c r="AH172" s="2175"/>
      <c r="AI172" s="2175"/>
      <c r="AJ172" s="2175"/>
      <c r="AK172" s="2175"/>
      <c r="AL172" s="2175"/>
      <c r="AM172" s="2175"/>
      <c r="AN172" s="2175"/>
      <c r="AO172" s="2176"/>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3" t="s">
        <v>2332</v>
      </c>
      <c r="D173" s="2154"/>
      <c r="E173" s="2154"/>
      <c r="F173" s="2154"/>
      <c r="G173" s="2154"/>
      <c r="H173" s="2154"/>
      <c r="I173" s="2154" t="s">
        <v>2331</v>
      </c>
      <c r="J173" s="2154"/>
      <c r="K173" s="2154"/>
      <c r="L173" s="2154"/>
      <c r="M173" s="2154"/>
      <c r="N173" s="2163"/>
      <c r="O173" s="1190"/>
      <c r="P173" s="2076" t="s">
        <v>2776</v>
      </c>
      <c r="Q173" s="2077"/>
      <c r="R173" s="2077"/>
      <c r="S173" s="2077"/>
      <c r="T173" s="2077"/>
      <c r="U173" s="2077"/>
      <c r="V173" s="2077"/>
      <c r="W173" s="2077"/>
      <c r="X173" s="2077"/>
      <c r="Y173" s="2077"/>
      <c r="Z173" s="2077"/>
      <c r="AA173" s="2077"/>
      <c r="AB173" s="2077"/>
      <c r="AC173" s="2077"/>
      <c r="AD173" s="2077"/>
      <c r="AE173" s="2077"/>
      <c r="AF173" s="2077"/>
      <c r="AG173" s="2077"/>
      <c r="AH173" s="2077"/>
      <c r="AI173" s="2077"/>
      <c r="AJ173" s="2077"/>
      <c r="AK173" s="2077"/>
      <c r="AL173" s="2077"/>
      <c r="AM173" s="2077"/>
      <c r="AN173" s="2077"/>
      <c r="AO173" s="2078"/>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2" t="s">
        <v>2774</v>
      </c>
      <c r="D174" s="2014"/>
      <c r="E174" s="2014"/>
      <c r="F174" s="2014"/>
      <c r="G174" s="2014"/>
      <c r="H174" s="2014"/>
      <c r="I174" s="2161">
        <v>45713</v>
      </c>
      <c r="J174" s="2161"/>
      <c r="K174" s="2161"/>
      <c r="L174" s="2161"/>
      <c r="M174" s="2161"/>
      <c r="N174" s="2177"/>
      <c r="O174" s="1190"/>
      <c r="P174" s="2076"/>
      <c r="Q174" s="2077"/>
      <c r="R174" s="2077"/>
      <c r="S174" s="2077"/>
      <c r="T174" s="2077"/>
      <c r="U174" s="2077"/>
      <c r="V174" s="2077"/>
      <c r="W174" s="2077"/>
      <c r="X174" s="2077"/>
      <c r="Y174" s="2077"/>
      <c r="Z174" s="2077"/>
      <c r="AA174" s="2077"/>
      <c r="AB174" s="2077"/>
      <c r="AC174" s="2077"/>
      <c r="AD174" s="2077"/>
      <c r="AE174" s="2077"/>
      <c r="AF174" s="2077"/>
      <c r="AG174" s="2077"/>
      <c r="AH174" s="2077"/>
      <c r="AI174" s="2077"/>
      <c r="AJ174" s="2077"/>
      <c r="AK174" s="2077"/>
      <c r="AL174" s="2077"/>
      <c r="AM174" s="2077"/>
      <c r="AN174" s="2077"/>
      <c r="AO174" s="2078"/>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2" t="s">
        <v>2775</v>
      </c>
      <c r="D175" s="2014"/>
      <c r="E175" s="2014"/>
      <c r="F175" s="2014"/>
      <c r="G175" s="2014"/>
      <c r="H175" s="2014"/>
      <c r="I175" s="2161">
        <v>46015</v>
      </c>
      <c r="J175" s="2161"/>
      <c r="K175" s="2161"/>
      <c r="L175" s="2161"/>
      <c r="M175" s="2161"/>
      <c r="N175" s="2177"/>
      <c r="O175" s="1190"/>
      <c r="P175" s="2076"/>
      <c r="Q175" s="2077"/>
      <c r="R175" s="2077"/>
      <c r="S175" s="2077"/>
      <c r="T175" s="2077"/>
      <c r="U175" s="2077"/>
      <c r="V175" s="2077"/>
      <c r="W175" s="2077"/>
      <c r="X175" s="2077"/>
      <c r="Y175" s="2077"/>
      <c r="Z175" s="2077"/>
      <c r="AA175" s="2077"/>
      <c r="AB175" s="2077"/>
      <c r="AC175" s="2077"/>
      <c r="AD175" s="2077"/>
      <c r="AE175" s="2077"/>
      <c r="AF175" s="2077"/>
      <c r="AG175" s="2077"/>
      <c r="AH175" s="2077"/>
      <c r="AI175" s="2077"/>
      <c r="AJ175" s="2077"/>
      <c r="AK175" s="2077"/>
      <c r="AL175" s="2077"/>
      <c r="AM175" s="2077"/>
      <c r="AN175" s="2077"/>
      <c r="AO175" s="2078"/>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2"/>
      <c r="D176" s="2014"/>
      <c r="E176" s="2014"/>
      <c r="F176" s="2014"/>
      <c r="G176" s="2014"/>
      <c r="H176" s="2014"/>
      <c r="I176" s="2161"/>
      <c r="J176" s="2161"/>
      <c r="K176" s="2161"/>
      <c r="L176" s="2161"/>
      <c r="M176" s="2161"/>
      <c r="N176" s="2177"/>
      <c r="O176" s="1190"/>
      <c r="P176" s="2076"/>
      <c r="Q176" s="2077"/>
      <c r="R176" s="2077"/>
      <c r="S176" s="2077"/>
      <c r="T176" s="2077"/>
      <c r="U176" s="2077"/>
      <c r="V176" s="2077"/>
      <c r="W176" s="2077"/>
      <c r="X176" s="2077"/>
      <c r="Y176" s="2077"/>
      <c r="Z176" s="2077"/>
      <c r="AA176" s="2077"/>
      <c r="AB176" s="2077"/>
      <c r="AC176" s="2077"/>
      <c r="AD176" s="2077"/>
      <c r="AE176" s="2077"/>
      <c r="AF176" s="2077"/>
      <c r="AG176" s="2077"/>
      <c r="AH176" s="2077"/>
      <c r="AI176" s="2077"/>
      <c r="AJ176" s="2077"/>
      <c r="AK176" s="2077"/>
      <c r="AL176" s="2077"/>
      <c r="AM176" s="2077"/>
      <c r="AN176" s="2077"/>
      <c r="AO176" s="2078"/>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2"/>
      <c r="D177" s="2014"/>
      <c r="E177" s="2014"/>
      <c r="F177" s="2014"/>
      <c r="G177" s="2014"/>
      <c r="H177" s="2014"/>
      <c r="I177" s="2161"/>
      <c r="J177" s="2161"/>
      <c r="K177" s="2161"/>
      <c r="L177" s="2161"/>
      <c r="M177" s="2161"/>
      <c r="N177" s="2177"/>
      <c r="O177" s="1190"/>
      <c r="P177" s="2076"/>
      <c r="Q177" s="2077"/>
      <c r="R177" s="2077"/>
      <c r="S177" s="2077"/>
      <c r="T177" s="2077"/>
      <c r="U177" s="2077"/>
      <c r="V177" s="2077"/>
      <c r="W177" s="2077"/>
      <c r="X177" s="2077"/>
      <c r="Y177" s="2077"/>
      <c r="Z177" s="2077"/>
      <c r="AA177" s="2077"/>
      <c r="AB177" s="2077"/>
      <c r="AC177" s="2077"/>
      <c r="AD177" s="2077"/>
      <c r="AE177" s="2077"/>
      <c r="AF177" s="2077"/>
      <c r="AG177" s="2077"/>
      <c r="AH177" s="2077"/>
      <c r="AI177" s="2077"/>
      <c r="AJ177" s="2077"/>
      <c r="AK177" s="2077"/>
      <c r="AL177" s="2077"/>
      <c r="AM177" s="2077"/>
      <c r="AN177" s="2077"/>
      <c r="AO177" s="2078"/>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2"/>
      <c r="D178" s="2014"/>
      <c r="E178" s="2014"/>
      <c r="F178" s="2014"/>
      <c r="G178" s="2014"/>
      <c r="H178" s="2014"/>
      <c r="I178" s="2161"/>
      <c r="J178" s="2161"/>
      <c r="K178" s="2161"/>
      <c r="L178" s="2161"/>
      <c r="M178" s="2161"/>
      <c r="N178" s="2177"/>
      <c r="O178" s="1190"/>
      <c r="P178" s="2076"/>
      <c r="Q178" s="2077"/>
      <c r="R178" s="2077"/>
      <c r="S178" s="2077"/>
      <c r="T178" s="2077"/>
      <c r="U178" s="2077"/>
      <c r="V178" s="2077"/>
      <c r="W178" s="2077"/>
      <c r="X178" s="2077"/>
      <c r="Y178" s="2077"/>
      <c r="Z178" s="2077"/>
      <c r="AA178" s="2077"/>
      <c r="AB178" s="2077"/>
      <c r="AC178" s="2077"/>
      <c r="AD178" s="2077"/>
      <c r="AE178" s="2077"/>
      <c r="AF178" s="2077"/>
      <c r="AG178" s="2077"/>
      <c r="AH178" s="2077"/>
      <c r="AI178" s="2077"/>
      <c r="AJ178" s="2077"/>
      <c r="AK178" s="2077"/>
      <c r="AL178" s="2077"/>
      <c r="AM178" s="2077"/>
      <c r="AN178" s="2077"/>
      <c r="AO178" s="2078"/>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2"/>
      <c r="D179" s="2014"/>
      <c r="E179" s="2014"/>
      <c r="F179" s="2014"/>
      <c r="G179" s="2014"/>
      <c r="H179" s="2014"/>
      <c r="I179" s="2161"/>
      <c r="J179" s="2161"/>
      <c r="K179" s="2161"/>
      <c r="L179" s="2161"/>
      <c r="M179" s="2161"/>
      <c r="N179" s="2177"/>
      <c r="O179" s="1190"/>
      <c r="P179" s="2076"/>
      <c r="Q179" s="2077"/>
      <c r="R179" s="2077"/>
      <c r="S179" s="2077"/>
      <c r="T179" s="2077"/>
      <c r="U179" s="2077"/>
      <c r="V179" s="2077"/>
      <c r="W179" s="2077"/>
      <c r="X179" s="2077"/>
      <c r="Y179" s="2077"/>
      <c r="Z179" s="2077"/>
      <c r="AA179" s="2077"/>
      <c r="AB179" s="2077"/>
      <c r="AC179" s="2077"/>
      <c r="AD179" s="2077"/>
      <c r="AE179" s="2077"/>
      <c r="AF179" s="2077"/>
      <c r="AG179" s="2077"/>
      <c r="AH179" s="2077"/>
      <c r="AI179" s="2077"/>
      <c r="AJ179" s="2077"/>
      <c r="AK179" s="2077"/>
      <c r="AL179" s="2077"/>
      <c r="AM179" s="2077"/>
      <c r="AN179" s="2077"/>
      <c r="AO179" s="2078"/>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8"/>
      <c r="D180" s="2179"/>
      <c r="E180" s="2179"/>
      <c r="F180" s="2179"/>
      <c r="G180" s="2179"/>
      <c r="H180" s="2179"/>
      <c r="I180" s="2180"/>
      <c r="J180" s="2180"/>
      <c r="K180" s="2180"/>
      <c r="L180" s="2180"/>
      <c r="M180" s="2180"/>
      <c r="N180" s="2181"/>
      <c r="O180" s="1190"/>
      <c r="P180" s="2079"/>
      <c r="Q180" s="2080"/>
      <c r="R180" s="2080"/>
      <c r="S180" s="2080"/>
      <c r="T180" s="2080"/>
      <c r="U180" s="2080"/>
      <c r="V180" s="2080"/>
      <c r="W180" s="2080"/>
      <c r="X180" s="2080"/>
      <c r="Y180" s="2080"/>
      <c r="Z180" s="2080"/>
      <c r="AA180" s="2080"/>
      <c r="AB180" s="2080"/>
      <c r="AC180" s="2080"/>
      <c r="AD180" s="2080"/>
      <c r="AE180" s="2080"/>
      <c r="AF180" s="2080"/>
      <c r="AG180" s="2080"/>
      <c r="AH180" s="2080"/>
      <c r="AI180" s="2080"/>
      <c r="AJ180" s="2080"/>
      <c r="AK180" s="2080"/>
      <c r="AL180" s="2080"/>
      <c r="AM180" s="2080"/>
      <c r="AN180" s="2080"/>
      <c r="AO180" s="2081"/>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5" t="s">
        <v>2329</v>
      </c>
      <c r="D182" s="2186"/>
      <c r="E182" s="2186"/>
      <c r="F182" s="2186"/>
      <c r="G182" s="2186"/>
      <c r="H182" s="2186"/>
      <c r="I182" s="2186"/>
      <c r="J182" s="2186"/>
      <c r="K182" s="2186"/>
      <c r="L182" s="2186"/>
      <c r="M182" s="2186"/>
      <c r="N182" s="2186"/>
      <c r="O182" s="2186"/>
      <c r="P182" s="2186"/>
      <c r="Q182" s="2186"/>
      <c r="R182" s="2186"/>
      <c r="S182" s="2186"/>
      <c r="T182" s="2186"/>
      <c r="U182" s="2186"/>
      <c r="V182" s="2186"/>
      <c r="W182" s="2186"/>
      <c r="X182" s="2186"/>
      <c r="Y182" s="2186"/>
      <c r="Z182" s="2186"/>
      <c r="AA182" s="2186"/>
      <c r="AB182" s="2186"/>
      <c r="AC182" s="2186"/>
      <c r="AD182" s="2186"/>
      <c r="AE182" s="2187"/>
      <c r="AF182" s="1190"/>
      <c r="AG182" s="1190"/>
      <c r="AH182" s="2195"/>
      <c r="AI182" s="2195"/>
      <c r="AJ182" s="2195"/>
      <c r="AK182" s="2195"/>
      <c r="AL182" s="2195"/>
      <c r="AM182" s="2195"/>
      <c r="AN182" s="2195"/>
      <c r="AO182" s="2195"/>
      <c r="AP182" s="2195"/>
      <c r="AQ182" s="2195"/>
      <c r="AR182" s="2195"/>
      <c r="AS182" s="2195"/>
      <c r="AT182" s="2195"/>
      <c r="AU182" s="2195"/>
      <c r="AV182" s="2195"/>
      <c r="AW182" s="2195"/>
      <c r="AX182" s="2195"/>
      <c r="AY182" s="2195"/>
      <c r="AZ182" s="2195"/>
      <c r="BA182" s="2195"/>
      <c r="BB182" s="2195"/>
      <c r="BC182" s="2195"/>
      <c r="BD182" s="2195"/>
      <c r="BE182" s="2195"/>
    </row>
    <row r="183" spans="1:57" ht="15.75" customHeight="1" thickBot="1">
      <c r="A183" s="1190"/>
      <c r="B183" s="1190"/>
      <c r="C183" s="2188"/>
      <c r="D183" s="2189"/>
      <c r="E183" s="2189"/>
      <c r="F183" s="2189"/>
      <c r="G183" s="2189"/>
      <c r="H183" s="2189"/>
      <c r="I183" s="2189"/>
      <c r="J183" s="2189"/>
      <c r="K183" s="2189"/>
      <c r="L183" s="2189"/>
      <c r="M183" s="2189"/>
      <c r="N183" s="2189"/>
      <c r="O183" s="2189"/>
      <c r="P183" s="2189"/>
      <c r="Q183" s="2189"/>
      <c r="R183" s="2189"/>
      <c r="S183" s="2189"/>
      <c r="T183" s="2189"/>
      <c r="U183" s="2189"/>
      <c r="V183" s="2189"/>
      <c r="W183" s="2189"/>
      <c r="X183" s="2189"/>
      <c r="Y183" s="2189"/>
      <c r="Z183" s="2189"/>
      <c r="AA183" s="2189"/>
      <c r="AB183" s="2189"/>
      <c r="AC183" s="2189"/>
      <c r="AD183" s="2189"/>
      <c r="AE183" s="2190"/>
      <c r="AF183" s="1190"/>
      <c r="AG183" s="1190"/>
      <c r="AH183" s="2195"/>
      <c r="AI183" s="2195"/>
      <c r="AJ183" s="2195"/>
      <c r="AK183" s="2195"/>
      <c r="AL183" s="2195"/>
      <c r="AM183" s="2195"/>
      <c r="AN183" s="2195"/>
      <c r="AO183" s="2195"/>
      <c r="AP183" s="2195"/>
      <c r="AQ183" s="2195"/>
      <c r="AR183" s="2195"/>
      <c r="AS183" s="2195"/>
      <c r="AT183" s="2195"/>
      <c r="AU183" s="2195"/>
      <c r="AV183" s="2195"/>
      <c r="AW183" s="2195"/>
      <c r="AX183" s="2195"/>
      <c r="AY183" s="2195"/>
      <c r="AZ183" s="2195"/>
      <c r="BA183" s="2195"/>
      <c r="BB183" s="2195"/>
      <c r="BC183" s="2195"/>
      <c r="BD183" s="2195"/>
      <c r="BE183" s="2195"/>
    </row>
    <row r="184" spans="1:57" ht="15.75" customHeight="1">
      <c r="A184" s="1190"/>
      <c r="B184" s="1190"/>
      <c r="C184" s="2056" t="s">
        <v>2327</v>
      </c>
      <c r="D184" s="2057"/>
      <c r="E184" s="2057"/>
      <c r="F184" s="2057"/>
      <c r="G184" s="2057"/>
      <c r="H184" s="2057"/>
      <c r="I184" s="2057"/>
      <c r="J184" s="2057"/>
      <c r="K184" s="2057"/>
      <c r="L184" s="2057"/>
      <c r="M184" s="2057"/>
      <c r="N184" s="2057" t="s">
        <v>2328</v>
      </c>
      <c r="O184" s="2057"/>
      <c r="P184" s="2057"/>
      <c r="Q184" s="2057"/>
      <c r="R184" s="2057"/>
      <c r="S184" s="2057"/>
      <c r="T184" s="2057"/>
      <c r="U184" s="2008" t="s">
        <v>2327</v>
      </c>
      <c r="V184" s="2008"/>
      <c r="W184" s="2008"/>
      <c r="X184" s="2008"/>
      <c r="Y184" s="2008"/>
      <c r="Z184" s="2008"/>
      <c r="AA184" s="2008"/>
      <c r="AB184" s="2008"/>
      <c r="AC184" s="2008"/>
      <c r="AD184" s="2008"/>
      <c r="AE184" s="2009"/>
      <c r="AF184" s="1190"/>
      <c r="AG184" s="1190"/>
      <c r="AH184" s="2195"/>
      <c r="AI184" s="2195"/>
      <c r="AJ184" s="2195"/>
      <c r="AK184" s="2195"/>
      <c r="AL184" s="2195"/>
      <c r="AM184" s="2195"/>
      <c r="AN184" s="2195"/>
      <c r="AO184" s="2195"/>
      <c r="AP184" s="2195"/>
      <c r="AQ184" s="2195"/>
      <c r="AR184" s="2195"/>
      <c r="AS184" s="2195"/>
      <c r="AT184" s="2195"/>
      <c r="AU184" s="2195"/>
      <c r="AV184" s="2195"/>
      <c r="AW184" s="2195"/>
      <c r="AX184" s="2195"/>
      <c r="AY184" s="2195"/>
      <c r="AZ184" s="2195"/>
      <c r="BA184" s="2195"/>
      <c r="BB184" s="2195"/>
      <c r="BC184" s="2195"/>
      <c r="BD184" s="2195"/>
      <c r="BE184" s="2195"/>
    </row>
    <row r="185" spans="1:57" ht="15.75" customHeight="1">
      <c r="A185" s="1190"/>
      <c r="B185" s="1190"/>
      <c r="C185" s="2182" t="s">
        <v>2326</v>
      </c>
      <c r="D185" s="2183"/>
      <c r="E185" s="2183"/>
      <c r="F185" s="2183"/>
      <c r="G185" s="2183"/>
      <c r="H185" s="2183"/>
      <c r="I185" s="2183"/>
      <c r="J185" s="2183"/>
      <c r="K185" s="2183"/>
      <c r="L185" s="2183"/>
      <c r="M185" s="2183"/>
      <c r="N185" s="2184">
        <f>'Sources and Uses Budget'!B105</f>
        <v>71309476</v>
      </c>
      <c r="O185" s="2184"/>
      <c r="P185" s="2184"/>
      <c r="Q185" s="2184"/>
      <c r="R185" s="2184"/>
      <c r="S185" s="2184"/>
      <c r="T185" s="2184"/>
      <c r="U185" s="2196"/>
      <c r="V185" s="2196"/>
      <c r="W185" s="2196"/>
      <c r="X185" s="2196"/>
      <c r="Y185" s="2196"/>
      <c r="Z185" s="2196"/>
      <c r="AA185" s="2196"/>
      <c r="AB185" s="2196"/>
      <c r="AC185" s="2196"/>
      <c r="AD185" s="2196"/>
      <c r="AE185" s="2197"/>
      <c r="AF185" s="1190"/>
      <c r="AG185" s="1190"/>
      <c r="AH185" s="2195"/>
      <c r="AI185" s="2195"/>
      <c r="AJ185" s="2195"/>
      <c r="AK185" s="2195"/>
      <c r="AL185" s="2195"/>
      <c r="AM185" s="2195"/>
      <c r="AN185" s="2195"/>
      <c r="AO185" s="2195"/>
      <c r="AP185" s="2195"/>
      <c r="AQ185" s="2195"/>
      <c r="AR185" s="2195"/>
      <c r="AS185" s="2195"/>
      <c r="AT185" s="2195"/>
      <c r="AU185" s="2195"/>
      <c r="AV185" s="2195"/>
      <c r="AW185" s="2195"/>
      <c r="AX185" s="2195"/>
      <c r="AY185" s="2195"/>
      <c r="AZ185" s="2195"/>
      <c r="BA185" s="2195"/>
      <c r="BB185" s="2195"/>
      <c r="BC185" s="2195"/>
      <c r="BD185" s="2195"/>
      <c r="BE185" s="2195"/>
    </row>
    <row r="186" spans="1:57" ht="15.75" customHeight="1">
      <c r="A186" s="1190"/>
      <c r="B186" s="1190"/>
      <c r="C186" s="2182" t="s">
        <v>2325</v>
      </c>
      <c r="D186" s="2183"/>
      <c r="E186" s="2183"/>
      <c r="F186" s="2183"/>
      <c r="G186" s="2183"/>
      <c r="H186" s="2183"/>
      <c r="I186" s="2183"/>
      <c r="J186" s="2183"/>
      <c r="K186" s="2183"/>
      <c r="L186" s="2183"/>
      <c r="M186" s="2183"/>
      <c r="N186" s="2184">
        <f>N185/J29</f>
        <v>570475.80799999996</v>
      </c>
      <c r="O186" s="2184"/>
      <c r="P186" s="2184"/>
      <c r="Q186" s="2184"/>
      <c r="R186" s="2184"/>
      <c r="S186" s="2184"/>
      <c r="T186" s="2184"/>
      <c r="U186" s="1228"/>
      <c r="V186" s="1228"/>
      <c r="W186" s="1228"/>
      <c r="X186" s="1228"/>
      <c r="Y186" s="1228"/>
      <c r="Z186" s="1228"/>
      <c r="AA186" s="1228"/>
      <c r="AB186" s="1228"/>
      <c r="AC186" s="1228"/>
      <c r="AD186" s="1228"/>
      <c r="AE186" s="1229"/>
      <c r="AF186" s="1190"/>
      <c r="AG186" s="1190"/>
      <c r="AH186" s="2195"/>
      <c r="AI186" s="2195"/>
      <c r="AJ186" s="2195"/>
      <c r="AK186" s="2195"/>
      <c r="AL186" s="2195"/>
      <c r="AM186" s="2195"/>
      <c r="AN186" s="2195"/>
      <c r="AO186" s="2195"/>
      <c r="AP186" s="2195"/>
      <c r="AQ186" s="2195"/>
      <c r="AR186" s="2195"/>
      <c r="AS186" s="2195"/>
      <c r="AT186" s="2195"/>
      <c r="AU186" s="2195"/>
      <c r="AV186" s="2195"/>
      <c r="AW186" s="2195"/>
      <c r="AX186" s="2195"/>
      <c r="AY186" s="2195"/>
      <c r="AZ186" s="2195"/>
      <c r="BA186" s="2195"/>
      <c r="BB186" s="2195"/>
      <c r="BC186" s="2195"/>
      <c r="BD186" s="2195"/>
      <c r="BE186" s="2195"/>
    </row>
    <row r="187" spans="1:57" ht="15.75" customHeight="1">
      <c r="A187" s="1190"/>
      <c r="B187" s="1190"/>
      <c r="C187" s="2198" t="s">
        <v>2324</v>
      </c>
      <c r="D187" s="2199"/>
      <c r="E187" s="2199"/>
      <c r="F187" s="2199"/>
      <c r="G187" s="2199"/>
      <c r="H187" s="2199"/>
      <c r="I187" s="2199"/>
      <c r="J187" s="2199"/>
      <c r="K187" s="2199"/>
      <c r="L187" s="2199"/>
      <c r="M187" s="2199"/>
      <c r="N187" s="2050">
        <v>0</v>
      </c>
      <c r="O187" s="2050"/>
      <c r="P187" s="2050"/>
      <c r="Q187" s="2050"/>
      <c r="R187" s="2050"/>
      <c r="S187" s="2050"/>
      <c r="T187" s="2050"/>
      <c r="U187" s="2026"/>
      <c r="V187" s="2026"/>
      <c r="W187" s="2026"/>
      <c r="X187" s="2026"/>
      <c r="Y187" s="2026"/>
      <c r="Z187" s="2026"/>
      <c r="AA187" s="2026"/>
      <c r="AB187" s="2026"/>
      <c r="AC187" s="2026"/>
      <c r="AD187" s="2026"/>
      <c r="AE187" s="2027"/>
      <c r="AF187" s="1190"/>
      <c r="AG187" s="1190"/>
      <c r="AH187" s="2195"/>
      <c r="AI187" s="2195"/>
      <c r="AJ187" s="2195"/>
      <c r="AK187" s="2195"/>
      <c r="AL187" s="2195"/>
      <c r="AM187" s="2195"/>
      <c r="AN187" s="2195"/>
      <c r="AO187" s="2195"/>
      <c r="AP187" s="2195"/>
      <c r="AQ187" s="2195"/>
      <c r="AR187" s="2195"/>
      <c r="AS187" s="2195"/>
      <c r="AT187" s="2195"/>
      <c r="AU187" s="2195"/>
      <c r="AV187" s="2195"/>
      <c r="AW187" s="2195"/>
      <c r="AX187" s="2195"/>
      <c r="AY187" s="2195"/>
      <c r="AZ187" s="2195"/>
      <c r="BA187" s="2195"/>
      <c r="BB187" s="2195"/>
      <c r="BC187" s="2195"/>
      <c r="BD187" s="2195"/>
      <c r="BE187" s="2195"/>
    </row>
    <row r="188" spans="1:57" ht="15.75" customHeight="1" thickBot="1">
      <c r="A188" s="1190"/>
      <c r="B188" s="1190"/>
      <c r="C188" s="2182" t="s">
        <v>2323</v>
      </c>
      <c r="D188" s="2183"/>
      <c r="E188" s="2183"/>
      <c r="F188" s="2183"/>
      <c r="G188" s="2183"/>
      <c r="H188" s="2183"/>
      <c r="I188" s="2183"/>
      <c r="J188" s="2183"/>
      <c r="K188" s="2183"/>
      <c r="L188" s="2183"/>
      <c r="M188" s="2183"/>
      <c r="N188" s="2200">
        <f>SUM('Sources and Uses Budget'!B85:B86)</f>
        <v>2134915</v>
      </c>
      <c r="O188" s="2200"/>
      <c r="P188" s="2200"/>
      <c r="Q188" s="2200"/>
      <c r="R188" s="2200"/>
      <c r="S188" s="2200"/>
      <c r="T188" s="2200"/>
      <c r="U188" s="2026" t="s">
        <v>2777</v>
      </c>
      <c r="V188" s="2026"/>
      <c r="W188" s="2026"/>
      <c r="X188" s="2026"/>
      <c r="Y188" s="2026"/>
      <c r="Z188" s="2026"/>
      <c r="AA188" s="2026"/>
      <c r="AB188" s="2026"/>
      <c r="AC188" s="2026"/>
      <c r="AD188" s="2026"/>
      <c r="AE188" s="2027"/>
      <c r="AF188" s="1190"/>
      <c r="AG188" s="1190"/>
      <c r="AH188" s="2195"/>
      <c r="AI188" s="2195"/>
      <c r="AJ188" s="2195"/>
      <c r="AK188" s="2195"/>
      <c r="AL188" s="2195"/>
      <c r="AM188" s="2195"/>
      <c r="AN188" s="2195"/>
      <c r="AO188" s="2195"/>
      <c r="AP188" s="2195"/>
      <c r="AQ188" s="2195"/>
      <c r="AR188" s="2195"/>
      <c r="AS188" s="2195"/>
      <c r="AT188" s="2195"/>
      <c r="AU188" s="2195"/>
      <c r="AV188" s="2195"/>
      <c r="AW188" s="2195"/>
      <c r="AX188" s="2195"/>
      <c r="AY188" s="2195"/>
      <c r="AZ188" s="2195"/>
      <c r="BA188" s="2195"/>
      <c r="BB188" s="2195"/>
      <c r="BC188" s="2195"/>
      <c r="BD188" s="2195"/>
      <c r="BE188" s="2195"/>
    </row>
    <row r="189" spans="1:57" ht="15.75" customHeight="1" thickBot="1">
      <c r="A189" s="1190"/>
      <c r="B189" s="1190"/>
      <c r="C189" s="2182" t="s">
        <v>2322</v>
      </c>
      <c r="D189" s="2183"/>
      <c r="E189" s="2183"/>
      <c r="F189" s="2183"/>
      <c r="G189" s="2183"/>
      <c r="H189" s="2183"/>
      <c r="I189" s="2183"/>
      <c r="J189" s="2183"/>
      <c r="K189" s="2183"/>
      <c r="L189" s="2183"/>
      <c r="M189" s="2183"/>
      <c r="N189" s="2200">
        <f>'Sources and Uses Budget'!B8</f>
        <v>8850000</v>
      </c>
      <c r="O189" s="2200"/>
      <c r="P189" s="2200"/>
      <c r="Q189" s="2200"/>
      <c r="R189" s="2200"/>
      <c r="S189" s="2200"/>
      <c r="T189" s="2200"/>
      <c r="U189" s="2026" t="s">
        <v>2778</v>
      </c>
      <c r="V189" s="2026"/>
      <c r="W189" s="2026"/>
      <c r="X189" s="2026"/>
      <c r="Y189" s="2026"/>
      <c r="Z189" s="2026"/>
      <c r="AA189" s="2026"/>
      <c r="AB189" s="2026"/>
      <c r="AC189" s="2026"/>
      <c r="AD189" s="2026"/>
      <c r="AE189" s="2027"/>
      <c r="AF189" s="1190"/>
      <c r="AG189" s="1190"/>
      <c r="AH189" s="2204" t="s">
        <v>2320</v>
      </c>
      <c r="AI189" s="2205"/>
      <c r="AJ189" s="2205"/>
      <c r="AK189" s="2205"/>
      <c r="AL189" s="2205"/>
      <c r="AM189" s="2205"/>
      <c r="AN189" s="2205"/>
      <c r="AO189" s="2205"/>
      <c r="AP189" s="2205"/>
      <c r="AQ189" s="2205"/>
      <c r="AR189" s="2205"/>
      <c r="AS189" s="2205"/>
      <c r="AT189" s="2205"/>
      <c r="AU189" s="2205"/>
      <c r="AV189" s="2205"/>
      <c r="AW189" s="2205"/>
      <c r="AX189" s="2205"/>
      <c r="AY189" s="2205"/>
      <c r="AZ189" s="2205"/>
      <c r="BA189" s="2205"/>
      <c r="BB189" s="2205"/>
      <c r="BC189" s="2205"/>
      <c r="BD189" s="2205"/>
      <c r="BE189" s="2206"/>
    </row>
    <row r="190" spans="1:57" ht="15.75" customHeight="1">
      <c r="A190" s="1190"/>
      <c r="B190" s="1190"/>
      <c r="C190" s="2182" t="s">
        <v>2321</v>
      </c>
      <c r="D190" s="2183"/>
      <c r="E190" s="2183"/>
      <c r="F190" s="2183"/>
      <c r="G190" s="2183"/>
      <c r="H190" s="2183"/>
      <c r="I190" s="2183"/>
      <c r="J190" s="2183"/>
      <c r="K190" s="2183"/>
      <c r="L190" s="2183"/>
      <c r="M190" s="2183"/>
      <c r="N190" s="2191">
        <v>0</v>
      </c>
      <c r="O190" s="2191"/>
      <c r="P190" s="2191"/>
      <c r="Q190" s="2191"/>
      <c r="R190" s="2191"/>
      <c r="S190" s="2191"/>
      <c r="T190" s="2191"/>
      <c r="U190" s="2026"/>
      <c r="V190" s="2026"/>
      <c r="W190" s="2026"/>
      <c r="X190" s="2026"/>
      <c r="Y190" s="2026"/>
      <c r="Z190" s="2026"/>
      <c r="AA190" s="2026"/>
      <c r="AB190" s="2026"/>
      <c r="AC190" s="2026"/>
      <c r="AD190" s="2026"/>
      <c r="AE190" s="2027"/>
      <c r="AF190" s="1190"/>
      <c r="AG190" s="1190"/>
      <c r="AH190" s="2207" t="s">
        <v>2320</v>
      </c>
      <c r="AI190" s="2208"/>
      <c r="AJ190" s="2208"/>
      <c r="AK190" s="2208"/>
      <c r="AL190" s="2208"/>
      <c r="AM190" s="2208"/>
      <c r="AN190" s="2208"/>
      <c r="AO190" s="2208"/>
      <c r="AP190" s="2208"/>
      <c r="AQ190" s="2208"/>
      <c r="AR190" s="2208"/>
      <c r="AS190" s="2208"/>
      <c r="AT190" s="2208"/>
      <c r="AU190" s="2209">
        <v>4396549</v>
      </c>
      <c r="AV190" s="2209"/>
      <c r="AW190" s="2209"/>
      <c r="AX190" s="2209"/>
      <c r="AY190" s="2209"/>
      <c r="AZ190" s="2209"/>
      <c r="BA190" s="2209"/>
      <c r="BB190" s="2209"/>
      <c r="BC190" s="2210"/>
      <c r="BD190" s="2211"/>
      <c r="BE190" s="2212"/>
    </row>
    <row r="191" spans="1:57" ht="15.75" customHeight="1">
      <c r="A191" s="1190"/>
      <c r="B191" s="1190"/>
      <c r="C191" s="2182" t="s">
        <v>2319</v>
      </c>
      <c r="D191" s="2183"/>
      <c r="E191" s="2183"/>
      <c r="F191" s="2183"/>
      <c r="G191" s="2183"/>
      <c r="H191" s="2183"/>
      <c r="I191" s="2183"/>
      <c r="J191" s="2183"/>
      <c r="K191" s="2183"/>
      <c r="L191" s="2183"/>
      <c r="M191" s="2183"/>
      <c r="N191" s="2191">
        <v>0</v>
      </c>
      <c r="O191" s="2191"/>
      <c r="P191" s="2191"/>
      <c r="Q191" s="2191"/>
      <c r="R191" s="2191"/>
      <c r="S191" s="2191"/>
      <c r="T191" s="2191"/>
      <c r="U191" s="2026"/>
      <c r="V191" s="2026"/>
      <c r="W191" s="2026"/>
      <c r="X191" s="2026"/>
      <c r="Y191" s="2026"/>
      <c r="Z191" s="2026"/>
      <c r="AA191" s="2026"/>
      <c r="AB191" s="2026"/>
      <c r="AC191" s="2026"/>
      <c r="AD191" s="2026"/>
      <c r="AE191" s="2027"/>
      <c r="AF191" s="1190"/>
      <c r="AG191" s="1190"/>
      <c r="AH191" s="2192" t="s">
        <v>2318</v>
      </c>
      <c r="AI191" s="2193"/>
      <c r="AJ191" s="2193"/>
      <c r="AK191" s="2193"/>
      <c r="AL191" s="2193"/>
      <c r="AM191" s="2193"/>
      <c r="AN191" s="2193"/>
      <c r="AO191" s="2193"/>
      <c r="AP191" s="2193"/>
      <c r="AQ191" s="2193"/>
      <c r="AR191" s="2193"/>
      <c r="AS191" s="2193"/>
      <c r="AT191" s="2193"/>
      <c r="AU191" s="2194">
        <v>3192546</v>
      </c>
      <c r="AV191" s="2194"/>
      <c r="AW191" s="2194"/>
      <c r="AX191" s="2194"/>
      <c r="AY191" s="2194"/>
      <c r="AZ191" s="2194"/>
      <c r="BA191" s="2194"/>
      <c r="BB191" s="2194"/>
      <c r="BC191" s="2201"/>
      <c r="BD191" s="2202"/>
      <c r="BE191" s="2203"/>
    </row>
    <row r="192" spans="1:57" ht="15.75" customHeight="1">
      <c r="A192" s="1190"/>
      <c r="B192" s="1190"/>
      <c r="C192" s="2217" t="s">
        <v>299</v>
      </c>
      <c r="D192" s="2160"/>
      <c r="E192" s="2213" t="s">
        <v>2316</v>
      </c>
      <c r="F192" s="2213"/>
      <c r="G192" s="2213"/>
      <c r="H192" s="2213"/>
      <c r="I192" s="2213"/>
      <c r="J192" s="2213"/>
      <c r="K192" s="2213"/>
      <c r="L192" s="2213"/>
      <c r="M192" s="2213"/>
      <c r="N192" s="2191">
        <v>0</v>
      </c>
      <c r="O192" s="2191"/>
      <c r="P192" s="2191"/>
      <c r="Q192" s="2191"/>
      <c r="R192" s="2191"/>
      <c r="S192" s="2191"/>
      <c r="T192" s="2191"/>
      <c r="U192" s="2026"/>
      <c r="V192" s="2026"/>
      <c r="W192" s="2026"/>
      <c r="X192" s="2026"/>
      <c r="Y192" s="2026"/>
      <c r="Z192" s="2026"/>
      <c r="AA192" s="2026"/>
      <c r="AB192" s="2026"/>
      <c r="AC192" s="2026"/>
      <c r="AD192" s="2026"/>
      <c r="AE192" s="2027"/>
      <c r="AF192" s="1190"/>
      <c r="AG192" s="1190"/>
      <c r="AH192" s="2218" t="s">
        <v>2317</v>
      </c>
      <c r="AI192" s="2219"/>
      <c r="AJ192" s="2219"/>
      <c r="AK192" s="2219"/>
      <c r="AL192" s="2219"/>
      <c r="AM192" s="2219"/>
      <c r="AN192" s="2219"/>
      <c r="AO192" s="2219"/>
      <c r="AP192" s="2219"/>
      <c r="AQ192" s="2219"/>
      <c r="AR192" s="2219"/>
      <c r="AS192" s="2219"/>
      <c r="AT192" s="2219"/>
      <c r="AU192" s="2220">
        <f>SUM(AU190:BB191)</f>
        <v>7589095</v>
      </c>
      <c r="AV192" s="2220"/>
      <c r="AW192" s="2220"/>
      <c r="AX192" s="2220"/>
      <c r="AY192" s="2220"/>
      <c r="AZ192" s="2220"/>
      <c r="BA192" s="2220"/>
      <c r="BB192" s="2220"/>
      <c r="BC192" s="2201"/>
      <c r="BD192" s="2202"/>
      <c r="BE192" s="2203"/>
    </row>
    <row r="193" spans="1:57" ht="15.75" customHeight="1" thickBot="1">
      <c r="A193" s="1190"/>
      <c r="B193" s="1190"/>
      <c r="C193" s="2082" t="s">
        <v>299</v>
      </c>
      <c r="D193" s="2014"/>
      <c r="E193" s="2213" t="s">
        <v>2316</v>
      </c>
      <c r="F193" s="2213"/>
      <c r="G193" s="2213"/>
      <c r="H193" s="2213"/>
      <c r="I193" s="2213"/>
      <c r="J193" s="2213"/>
      <c r="K193" s="2213"/>
      <c r="L193" s="2213"/>
      <c r="M193" s="2213"/>
      <c r="N193" s="2191">
        <v>0</v>
      </c>
      <c r="O193" s="2191"/>
      <c r="P193" s="2191"/>
      <c r="Q193" s="2191"/>
      <c r="R193" s="2191"/>
      <c r="S193" s="2191"/>
      <c r="T193" s="2191"/>
      <c r="U193" s="2026"/>
      <c r="V193" s="2026"/>
      <c r="W193" s="2026"/>
      <c r="X193" s="2026"/>
      <c r="Y193" s="2026"/>
      <c r="Z193" s="2026"/>
      <c r="AA193" s="2026"/>
      <c r="AB193" s="2026"/>
      <c r="AC193" s="2026"/>
      <c r="AD193" s="2026"/>
      <c r="AE193" s="2027"/>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4"/>
      <c r="BD193" s="2215"/>
      <c r="BE193" s="2216"/>
    </row>
    <row r="194" spans="1:57" ht="15.75" customHeight="1" thickBot="1">
      <c r="A194" s="1190"/>
      <c r="B194" s="1190"/>
      <c r="C194" s="2238" t="s">
        <v>299</v>
      </c>
      <c r="D194" s="2239"/>
      <c r="E194" s="2240" t="s">
        <v>2316</v>
      </c>
      <c r="F194" s="2240"/>
      <c r="G194" s="2240"/>
      <c r="H194" s="2240"/>
      <c r="I194" s="2240"/>
      <c r="J194" s="2240"/>
      <c r="K194" s="2240"/>
      <c r="L194" s="2240"/>
      <c r="M194" s="2241"/>
      <c r="N194" s="2242">
        <v>0</v>
      </c>
      <c r="O194" s="2242"/>
      <c r="P194" s="2242"/>
      <c r="Q194" s="2242"/>
      <c r="R194" s="2242"/>
      <c r="S194" s="2242"/>
      <c r="T194" s="2243"/>
      <c r="U194" s="2244"/>
      <c r="V194" s="2245"/>
      <c r="W194" s="2245"/>
      <c r="X194" s="2245"/>
      <c r="Y194" s="2245"/>
      <c r="Z194" s="2245"/>
      <c r="AA194" s="2245"/>
      <c r="AB194" s="2245"/>
      <c r="AC194" s="2245"/>
      <c r="AD194" s="2245"/>
      <c r="AE194" s="2246"/>
      <c r="AF194" s="1190"/>
      <c r="AG194" s="1190"/>
      <c r="AH194" s="2247" t="s">
        <v>2315</v>
      </c>
      <c r="AI194" s="2248"/>
      <c r="AJ194" s="2248"/>
      <c r="AK194" s="2248"/>
      <c r="AL194" s="2248"/>
      <c r="AM194" s="2248"/>
      <c r="AN194" s="2248"/>
      <c r="AO194" s="2248"/>
      <c r="AP194" s="2248"/>
      <c r="AQ194" s="2248"/>
      <c r="AR194" s="2248"/>
      <c r="AS194" s="2248"/>
      <c r="AT194" s="2248"/>
      <c r="AU194" s="2249"/>
      <c r="AV194" s="2249"/>
      <c r="AW194" s="2249"/>
      <c r="AX194" s="2249"/>
      <c r="AY194" s="2249"/>
      <c r="AZ194" s="2249"/>
      <c r="BA194" s="2249"/>
      <c r="BB194" s="2249"/>
      <c r="BC194" s="1171"/>
      <c r="BD194" s="1171"/>
      <c r="BE194" s="1232"/>
    </row>
    <row r="195" spans="1:57" ht="15.75" customHeight="1">
      <c r="A195" s="1190"/>
      <c r="B195" s="1190"/>
      <c r="C195" s="2221" t="s">
        <v>2314</v>
      </c>
      <c r="D195" s="2222"/>
      <c r="E195" s="2222"/>
      <c r="F195" s="2222"/>
      <c r="G195" s="2222"/>
      <c r="H195" s="2222"/>
      <c r="I195" s="2222"/>
      <c r="J195" s="2222"/>
      <c r="K195" s="2222"/>
      <c r="L195" s="2222"/>
      <c r="M195" s="2222"/>
      <c r="N195" s="2223">
        <f>SUM(N187:T194)</f>
        <v>10984915</v>
      </c>
      <c r="O195" s="2223"/>
      <c r="P195" s="2223"/>
      <c r="Q195" s="2223"/>
      <c r="R195" s="2223"/>
      <c r="S195" s="2223"/>
      <c r="T195" s="2224"/>
      <c r="U195" s="1190"/>
      <c r="V195" s="1190"/>
      <c r="W195" s="1190"/>
      <c r="X195" s="1190"/>
      <c r="Y195" s="1190"/>
      <c r="Z195" s="1190"/>
      <c r="AA195" s="1190"/>
      <c r="AB195" s="1190"/>
      <c r="AC195" s="1190"/>
      <c r="AD195" s="1190"/>
      <c r="AE195" s="1190"/>
      <c r="AF195" s="1190"/>
      <c r="AG195" s="1190"/>
      <c r="AH195" s="2225" t="s">
        <v>2313</v>
      </c>
      <c r="AI195" s="2226"/>
      <c r="AJ195" s="2226"/>
      <c r="AK195" s="2226"/>
      <c r="AL195" s="2226"/>
      <c r="AM195" s="2226"/>
      <c r="AN195" s="2226"/>
      <c r="AO195" s="2226"/>
      <c r="AP195" s="2226"/>
      <c r="AQ195" s="2226"/>
      <c r="AR195" s="2226"/>
      <c r="AS195" s="2226"/>
      <c r="AT195" s="2226"/>
      <c r="AU195" s="2226"/>
      <c r="AV195" s="2226"/>
      <c r="AW195" s="2226"/>
      <c r="AX195" s="2226"/>
      <c r="AY195" s="2226"/>
      <c r="AZ195" s="2226"/>
      <c r="BA195" s="2226"/>
      <c r="BB195" s="2226"/>
      <c r="BC195" s="2226"/>
      <c r="BD195" s="2226"/>
      <c r="BE195" s="2227"/>
    </row>
    <row r="196" spans="1:57" ht="15.75" customHeight="1" thickBot="1">
      <c r="A196" s="1190"/>
      <c r="B196" s="1190"/>
      <c r="C196" s="2231" t="s">
        <v>2312</v>
      </c>
      <c r="D196" s="2232"/>
      <c r="E196" s="2232"/>
      <c r="F196" s="2232"/>
      <c r="G196" s="2232"/>
      <c r="H196" s="2232"/>
      <c r="I196" s="2232"/>
      <c r="J196" s="2232"/>
      <c r="K196" s="2232"/>
      <c r="L196" s="2232"/>
      <c r="M196" s="2232"/>
      <c r="N196" s="2233">
        <f>(N185-N195)/J29</f>
        <v>482596.48800000001</v>
      </c>
      <c r="O196" s="2234"/>
      <c r="P196" s="2234"/>
      <c r="Q196" s="2234"/>
      <c r="R196" s="2234"/>
      <c r="S196" s="2234"/>
      <c r="T196" s="2235"/>
      <c r="U196" s="1195"/>
      <c r="V196" s="1190"/>
      <c r="W196" s="1190"/>
      <c r="X196" s="1190"/>
      <c r="Y196" s="1190"/>
      <c r="Z196" s="1190"/>
      <c r="AA196" s="1190"/>
      <c r="AB196" s="1190"/>
      <c r="AC196" s="1190"/>
      <c r="AD196" s="1190"/>
      <c r="AE196" s="1190"/>
      <c r="AF196" s="1190"/>
      <c r="AG196" s="1190"/>
      <c r="AH196" s="2228"/>
      <c r="AI196" s="2229"/>
      <c r="AJ196" s="2229"/>
      <c r="AK196" s="2229"/>
      <c r="AL196" s="2229"/>
      <c r="AM196" s="2229"/>
      <c r="AN196" s="2229"/>
      <c r="AO196" s="2229"/>
      <c r="AP196" s="2229"/>
      <c r="AQ196" s="2229"/>
      <c r="AR196" s="2229"/>
      <c r="AS196" s="2229"/>
      <c r="AT196" s="2229"/>
      <c r="AU196" s="2229"/>
      <c r="AV196" s="2229"/>
      <c r="AW196" s="2229"/>
      <c r="AX196" s="2229"/>
      <c r="AY196" s="2229"/>
      <c r="AZ196" s="2229"/>
      <c r="BA196" s="2229"/>
      <c r="BB196" s="2229"/>
      <c r="BC196" s="2229"/>
      <c r="BD196" s="2229"/>
      <c r="BE196" s="2230"/>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6"/>
      <c r="AI197" s="2236"/>
      <c r="AJ197" s="2236"/>
      <c r="AK197" s="2236"/>
      <c r="AL197" s="2236"/>
      <c r="AM197" s="2236"/>
      <c r="AN197" s="2236"/>
      <c r="AO197" s="2236"/>
      <c r="AP197" s="2236"/>
      <c r="AQ197" s="2236"/>
      <c r="AR197" s="2236"/>
      <c r="AS197" s="2237"/>
      <c r="AT197" s="2237"/>
      <c r="AU197" s="2237"/>
      <c r="AV197" s="2237"/>
      <c r="AW197" s="2237"/>
      <c r="AX197" s="2237"/>
      <c r="AY197" s="2237"/>
      <c r="AZ197" s="2237"/>
      <c r="BA197" s="2237"/>
      <c r="BB197" s="2237"/>
      <c r="BC197" s="2237"/>
      <c r="BD197" s="2237"/>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5" t="s">
        <v>2311</v>
      </c>
      <c r="D199" s="2256"/>
      <c r="E199" s="2256"/>
      <c r="F199" s="2256"/>
      <c r="G199" s="2256"/>
      <c r="H199" s="2256"/>
      <c r="I199" s="2256"/>
      <c r="J199" s="2256"/>
      <c r="K199" s="2256"/>
      <c r="L199" s="2256"/>
      <c r="M199" s="2256"/>
      <c r="N199" s="2256"/>
      <c r="O199" s="2256"/>
      <c r="P199" s="2256"/>
      <c r="Q199" s="2256"/>
      <c r="R199" s="2256"/>
      <c r="S199" s="2256"/>
      <c r="T199" s="2256"/>
      <c r="U199" s="2256"/>
      <c r="V199" s="2256"/>
      <c r="W199" s="2256"/>
      <c r="X199" s="2256"/>
      <c r="Y199" s="2256"/>
      <c r="Z199" s="2256"/>
      <c r="AA199" s="2256"/>
      <c r="AB199" s="2256"/>
      <c r="AC199" s="2256"/>
      <c r="AD199" s="2256"/>
      <c r="AE199" s="2257"/>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8" t="s">
        <v>2310</v>
      </c>
      <c r="D200" s="2258"/>
      <c r="E200" s="2258"/>
      <c r="F200" s="2258"/>
      <c r="G200" s="2258"/>
      <c r="H200" s="2258"/>
      <c r="I200" s="2258"/>
      <c r="J200" s="2258"/>
      <c r="K200" s="2258"/>
      <c r="L200" s="2258"/>
      <c r="M200" s="2258"/>
      <c r="N200" s="2258"/>
      <c r="O200" s="2259" t="s">
        <v>2309</v>
      </c>
      <c r="P200" s="2259"/>
      <c r="Q200" s="2259"/>
      <c r="R200" s="2259"/>
      <c r="S200" s="2259"/>
      <c r="T200" s="2259"/>
      <c r="U200" s="2259"/>
      <c r="V200" s="2259"/>
      <c r="W200" s="2259"/>
      <c r="X200" s="2259" t="s">
        <v>2308</v>
      </c>
      <c r="Y200" s="2259"/>
      <c r="Z200" s="2259"/>
      <c r="AA200" s="2259"/>
      <c r="AB200" s="2259"/>
      <c r="AC200" s="2259"/>
      <c r="AD200" s="2259"/>
      <c r="AE200" s="2259"/>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50" t="s">
        <v>2307</v>
      </c>
      <c r="D201" s="2250"/>
      <c r="E201" s="2250"/>
      <c r="F201" s="2250"/>
      <c r="G201" s="2250"/>
      <c r="H201" s="2250"/>
      <c r="I201" s="2250"/>
      <c r="J201" s="2250"/>
      <c r="K201" s="2250"/>
      <c r="L201" s="2250"/>
      <c r="M201" s="2250"/>
      <c r="N201" s="2250"/>
      <c r="O201" s="2251" t="s">
        <v>2306</v>
      </c>
      <c r="P201" s="2251"/>
      <c r="Q201" s="2251"/>
      <c r="R201" s="2251"/>
      <c r="S201" s="2251"/>
      <c r="T201" s="2251"/>
      <c r="U201" s="2251"/>
      <c r="V201" s="2251"/>
      <c r="W201" s="2251"/>
      <c r="X201" s="2252">
        <v>0.03</v>
      </c>
      <c r="Y201" s="2252"/>
      <c r="Z201" s="2252"/>
      <c r="AA201" s="2252"/>
      <c r="AB201" s="2252"/>
      <c r="AC201" s="2252"/>
      <c r="AD201" s="2252"/>
      <c r="AE201" s="2252"/>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50" t="s">
        <v>854</v>
      </c>
      <c r="D202" s="2250"/>
      <c r="E202" s="2250"/>
      <c r="F202" s="2250"/>
      <c r="G202" s="2250"/>
      <c r="H202" s="2250"/>
      <c r="I202" s="2250"/>
      <c r="J202" s="2250"/>
      <c r="K202" s="2250"/>
      <c r="L202" s="2250"/>
      <c r="M202" s="2250"/>
      <c r="N202" s="2250"/>
      <c r="O202" s="2251" t="s">
        <v>2306</v>
      </c>
      <c r="P202" s="2251"/>
      <c r="Q202" s="2251"/>
      <c r="R202" s="2251"/>
      <c r="S202" s="2251"/>
      <c r="T202" s="2251"/>
      <c r="U202" s="2251"/>
      <c r="V202" s="2251"/>
      <c r="W202" s="2251"/>
      <c r="X202" s="2252">
        <v>0.03</v>
      </c>
      <c r="Y202" s="2252"/>
      <c r="Z202" s="2252"/>
      <c r="AA202" s="2252"/>
      <c r="AB202" s="2252"/>
      <c r="AC202" s="2252"/>
      <c r="AD202" s="2252"/>
      <c r="AE202" s="2252"/>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50" t="s">
        <v>2305</v>
      </c>
      <c r="D203" s="2250"/>
      <c r="E203" s="2250"/>
      <c r="F203" s="2250"/>
      <c r="G203" s="2250"/>
      <c r="H203" s="2250"/>
      <c r="I203" s="2250"/>
      <c r="J203" s="2250"/>
      <c r="K203" s="2250"/>
      <c r="L203" s="2250"/>
      <c r="M203" s="2250"/>
      <c r="N203" s="2250"/>
      <c r="O203" s="2253">
        <f>SUM(O201:W202)</f>
        <v>0</v>
      </c>
      <c r="P203" s="2254"/>
      <c r="Q203" s="2254"/>
      <c r="R203" s="2254"/>
      <c r="S203" s="2254"/>
      <c r="T203" s="2254"/>
      <c r="U203" s="2254"/>
      <c r="V203" s="2254"/>
      <c r="W203" s="2254"/>
      <c r="X203" s="2254" t="s">
        <v>2304</v>
      </c>
      <c r="Y203" s="2254"/>
      <c r="Z203" s="2254"/>
      <c r="AA203" s="2254"/>
      <c r="AB203" s="2254"/>
      <c r="AC203" s="2254"/>
      <c r="AD203" s="2254"/>
      <c r="AE203" s="2254"/>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60" t="s">
        <v>2303</v>
      </c>
      <c r="D204" s="2260"/>
      <c r="E204" s="2260"/>
      <c r="F204" s="2260"/>
      <c r="G204" s="2260"/>
      <c r="H204" s="2260"/>
      <c r="I204" s="2260"/>
      <c r="J204" s="2260"/>
      <c r="K204" s="2260"/>
      <c r="L204" s="2260"/>
      <c r="M204" s="2260"/>
      <c r="N204" s="2260"/>
      <c r="O204" s="2260"/>
      <c r="P204" s="2260"/>
      <c r="Q204" s="2260"/>
      <c r="R204" s="2260"/>
      <c r="S204" s="2260"/>
      <c r="T204" s="2260"/>
      <c r="U204" s="2260"/>
      <c r="V204" s="2260"/>
      <c r="W204" s="2260"/>
      <c r="X204" s="2260"/>
      <c r="Y204" s="2260"/>
      <c r="Z204" s="2260"/>
      <c r="AA204" s="2260"/>
      <c r="AB204" s="2260"/>
      <c r="AC204" s="2260"/>
      <c r="AD204" s="2260"/>
      <c r="AE204" s="2260"/>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61" t="s">
        <v>2302</v>
      </c>
      <c r="D206" s="2262"/>
      <c r="E206" s="2262"/>
      <c r="F206" s="2262"/>
      <c r="G206" s="2262"/>
      <c r="H206" s="2262"/>
      <c r="I206" s="2262"/>
      <c r="J206" s="2262"/>
      <c r="K206" s="2262"/>
      <c r="L206" s="2262"/>
      <c r="M206" s="2262"/>
      <c r="N206" s="2262"/>
      <c r="O206" s="2262"/>
      <c r="P206" s="2262"/>
      <c r="Q206" s="2262"/>
      <c r="R206" s="2262"/>
      <c r="S206" s="2262"/>
      <c r="T206" s="2262"/>
      <c r="U206" s="2262"/>
      <c r="V206" s="2262"/>
      <c r="W206" s="2262"/>
      <c r="X206" s="2262"/>
      <c r="Y206" s="2262"/>
      <c r="Z206" s="2262"/>
      <c r="AA206" s="2262"/>
      <c r="AB206" s="2262"/>
      <c r="AC206" s="2262"/>
      <c r="AD206" s="2262"/>
      <c r="AE206" s="2262"/>
      <c r="AF206" s="2262"/>
      <c r="AG206" s="2262"/>
      <c r="AH206" s="2262"/>
      <c r="AI206" s="2262"/>
      <c r="AJ206" s="2262"/>
      <c r="AK206" s="2263"/>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4" t="s">
        <v>2301</v>
      </c>
      <c r="D207" s="2265"/>
      <c r="E207" s="2265"/>
      <c r="F207" s="2266"/>
      <c r="G207" s="2270" t="s">
        <v>2300</v>
      </c>
      <c r="H207" s="2265"/>
      <c r="I207" s="2265"/>
      <c r="J207" s="2265"/>
      <c r="K207" s="2265"/>
      <c r="L207" s="2265"/>
      <c r="M207" s="2265"/>
      <c r="N207" s="2265"/>
      <c r="O207" s="2266"/>
      <c r="P207" s="2272" t="s">
        <v>2299</v>
      </c>
      <c r="Q207" s="2273"/>
      <c r="R207" s="2273"/>
      <c r="S207" s="2273"/>
      <c r="T207" s="2274"/>
      <c r="U207" s="2278" t="s">
        <v>2298</v>
      </c>
      <c r="V207" s="2279"/>
      <c r="W207" s="2279"/>
      <c r="X207" s="2280"/>
      <c r="Y207" s="2278" t="s">
        <v>2297</v>
      </c>
      <c r="Z207" s="2279"/>
      <c r="AA207" s="2279"/>
      <c r="AB207" s="2280"/>
      <c r="AC207" s="2278" t="s">
        <v>2296</v>
      </c>
      <c r="AD207" s="2279"/>
      <c r="AE207" s="2279"/>
      <c r="AF207" s="2280"/>
      <c r="AG207" s="2270" t="s">
        <v>2295</v>
      </c>
      <c r="AH207" s="2265"/>
      <c r="AI207" s="2265"/>
      <c r="AJ207" s="2265"/>
      <c r="AK207" s="2284"/>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7"/>
      <c r="D208" s="2268"/>
      <c r="E208" s="2268"/>
      <c r="F208" s="2269"/>
      <c r="G208" s="2271"/>
      <c r="H208" s="2268"/>
      <c r="I208" s="2268"/>
      <c r="J208" s="2268"/>
      <c r="K208" s="2268"/>
      <c r="L208" s="2268"/>
      <c r="M208" s="2268"/>
      <c r="N208" s="2268"/>
      <c r="O208" s="2269"/>
      <c r="P208" s="2275"/>
      <c r="Q208" s="2276"/>
      <c r="R208" s="2276"/>
      <c r="S208" s="2276"/>
      <c r="T208" s="2277"/>
      <c r="U208" s="2281"/>
      <c r="V208" s="2282"/>
      <c r="W208" s="2282"/>
      <c r="X208" s="2283"/>
      <c r="Y208" s="2281"/>
      <c r="Z208" s="2282"/>
      <c r="AA208" s="2282"/>
      <c r="AB208" s="2283"/>
      <c r="AC208" s="2281"/>
      <c r="AD208" s="2282"/>
      <c r="AE208" s="2282"/>
      <c r="AF208" s="2283"/>
      <c r="AG208" s="2271"/>
      <c r="AH208" s="2268"/>
      <c r="AI208" s="2268"/>
      <c r="AJ208" s="2268"/>
      <c r="AK208" s="2285"/>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9">
        <v>1</v>
      </c>
      <c r="D209" s="2290"/>
      <c r="E209" s="2290"/>
      <c r="F209" s="2290"/>
      <c r="G209" s="2291" t="s">
        <v>2779</v>
      </c>
      <c r="H209" s="2291"/>
      <c r="I209" s="2291"/>
      <c r="J209" s="2291"/>
      <c r="K209" s="2291"/>
      <c r="L209" s="2291"/>
      <c r="M209" s="2291"/>
      <c r="N209" s="2291"/>
      <c r="O209" s="2291"/>
      <c r="P209" s="2292">
        <v>46157</v>
      </c>
      <c r="Q209" s="2295"/>
      <c r="R209" s="2295"/>
      <c r="S209" s="2295"/>
      <c r="T209" s="2295"/>
      <c r="U209" s="2293">
        <v>4084043</v>
      </c>
      <c r="V209" s="2293"/>
      <c r="W209" s="2293"/>
      <c r="X209" s="2293"/>
      <c r="Y209" s="2293">
        <v>798137</v>
      </c>
      <c r="Z209" s="2293"/>
      <c r="AA209" s="2293"/>
      <c r="AB209" s="2293"/>
      <c r="AC209" s="2294" t="s">
        <v>1884</v>
      </c>
      <c r="AD209" s="2294"/>
      <c r="AE209" s="2294"/>
      <c r="AF209" s="2294"/>
      <c r="AG209" s="2286" t="s">
        <v>2784</v>
      </c>
      <c r="AH209" s="2287"/>
      <c r="AI209" s="2287"/>
      <c r="AJ209" s="2287"/>
      <c r="AK209" s="2288"/>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9">
        <v>2</v>
      </c>
      <c r="D210" s="2290"/>
      <c r="E210" s="2290"/>
      <c r="F210" s="2290"/>
      <c r="G210" s="2291" t="s">
        <v>2780</v>
      </c>
      <c r="H210" s="2291"/>
      <c r="I210" s="2291"/>
      <c r="J210" s="2291"/>
      <c r="K210" s="2291"/>
      <c r="L210" s="2291"/>
      <c r="M210" s="2291"/>
      <c r="N210" s="2291"/>
      <c r="O210" s="2291"/>
      <c r="P210" s="2292">
        <v>46753</v>
      </c>
      <c r="Q210" s="2292"/>
      <c r="R210" s="2292"/>
      <c r="S210" s="2292"/>
      <c r="T210" s="2292"/>
      <c r="U210" s="2293" t="s">
        <v>1884</v>
      </c>
      <c r="V210" s="2293"/>
      <c r="W210" s="2293"/>
      <c r="X210" s="2293"/>
      <c r="Y210" s="2293">
        <v>798137</v>
      </c>
      <c r="Z210" s="2293"/>
      <c r="AA210" s="2293"/>
      <c r="AB210" s="2293"/>
      <c r="AC210" s="2294" t="s">
        <v>1884</v>
      </c>
      <c r="AD210" s="2294"/>
      <c r="AE210" s="2294"/>
      <c r="AF210" s="2294"/>
      <c r="AG210" s="2286" t="s">
        <v>2784</v>
      </c>
      <c r="AH210" s="2287"/>
      <c r="AI210" s="2287"/>
      <c r="AJ210" s="2287"/>
      <c r="AK210" s="2288"/>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9">
        <v>3</v>
      </c>
      <c r="D211" s="2290"/>
      <c r="E211" s="2290"/>
      <c r="F211" s="2290"/>
      <c r="G211" s="2291" t="s">
        <v>2781</v>
      </c>
      <c r="H211" s="2291"/>
      <c r="I211" s="2291"/>
      <c r="J211" s="2291"/>
      <c r="K211" s="2291"/>
      <c r="L211" s="2291"/>
      <c r="M211" s="2291"/>
      <c r="N211" s="2291"/>
      <c r="O211" s="2291"/>
      <c r="P211" s="2292">
        <v>46784</v>
      </c>
      <c r="Q211" s="2292"/>
      <c r="R211" s="2292"/>
      <c r="S211" s="2292"/>
      <c r="T211" s="2292"/>
      <c r="U211" s="2293">
        <v>14158017</v>
      </c>
      <c r="V211" s="2293"/>
      <c r="W211" s="2293"/>
      <c r="X211" s="2293"/>
      <c r="Y211" s="2293" t="s">
        <v>1884</v>
      </c>
      <c r="Z211" s="2293"/>
      <c r="AA211" s="2293"/>
      <c r="AB211" s="2293"/>
      <c r="AC211" s="2294" t="s">
        <v>1884</v>
      </c>
      <c r="AD211" s="2294"/>
      <c r="AE211" s="2294"/>
      <c r="AF211" s="2294"/>
      <c r="AG211" s="2286"/>
      <c r="AH211" s="2287"/>
      <c r="AI211" s="2287"/>
      <c r="AJ211" s="2287"/>
      <c r="AK211" s="2288"/>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9">
        <v>4</v>
      </c>
      <c r="D212" s="2290"/>
      <c r="E212" s="2290"/>
      <c r="F212" s="2290"/>
      <c r="G212" s="2291" t="s">
        <v>1884</v>
      </c>
      <c r="H212" s="2291"/>
      <c r="I212" s="2291"/>
      <c r="J212" s="2291"/>
      <c r="K212" s="2291"/>
      <c r="L212" s="2291"/>
      <c r="M212" s="2291"/>
      <c r="N212" s="2291"/>
      <c r="O212" s="2291"/>
      <c r="P212" s="2292">
        <v>46935</v>
      </c>
      <c r="Q212" s="2292"/>
      <c r="R212" s="2292"/>
      <c r="S212" s="2292"/>
      <c r="T212" s="2292"/>
      <c r="U212" s="2293" t="s">
        <v>1884</v>
      </c>
      <c r="V212" s="2293"/>
      <c r="W212" s="2293"/>
      <c r="X212" s="2293"/>
      <c r="Y212" s="2293">
        <v>319255</v>
      </c>
      <c r="Z212" s="2293"/>
      <c r="AA212" s="2293"/>
      <c r="AB212" s="2293"/>
      <c r="AC212" s="2294" t="s">
        <v>1884</v>
      </c>
      <c r="AD212" s="2294"/>
      <c r="AE212" s="2294"/>
      <c r="AF212" s="2294"/>
      <c r="AG212" s="2286" t="s">
        <v>2784</v>
      </c>
      <c r="AH212" s="2287"/>
      <c r="AI212" s="2287"/>
      <c r="AJ212" s="2287"/>
      <c r="AK212" s="2288"/>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9">
        <v>5</v>
      </c>
      <c r="D213" s="2290"/>
      <c r="E213" s="2290"/>
      <c r="F213" s="2290"/>
      <c r="G213" s="2291" t="s">
        <v>2782</v>
      </c>
      <c r="H213" s="2291"/>
      <c r="I213" s="2291"/>
      <c r="J213" s="2291"/>
      <c r="K213" s="2291"/>
      <c r="L213" s="2291"/>
      <c r="M213" s="2291"/>
      <c r="N213" s="2291"/>
      <c r="O213" s="2291"/>
      <c r="P213" s="2292">
        <v>47088</v>
      </c>
      <c r="Q213" s="2292"/>
      <c r="R213" s="2292"/>
      <c r="S213" s="2292"/>
      <c r="T213" s="2292"/>
      <c r="U213" s="2293">
        <v>8712625</v>
      </c>
      <c r="V213" s="2293"/>
      <c r="W213" s="2293"/>
      <c r="X213" s="2293"/>
      <c r="Y213" s="2293">
        <v>1117391</v>
      </c>
      <c r="Z213" s="2293"/>
      <c r="AA213" s="2293"/>
      <c r="AB213" s="2293"/>
      <c r="AC213" s="2294" t="s">
        <v>1884</v>
      </c>
      <c r="AD213" s="2294"/>
      <c r="AE213" s="2294"/>
      <c r="AF213" s="2294"/>
      <c r="AG213" s="2286" t="s">
        <v>2784</v>
      </c>
      <c r="AH213" s="2287"/>
      <c r="AI213" s="2287"/>
      <c r="AJ213" s="2287"/>
      <c r="AK213" s="2288"/>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9">
        <v>6</v>
      </c>
      <c r="D214" s="2290"/>
      <c r="E214" s="2290"/>
      <c r="F214" s="2290"/>
      <c r="G214" s="2291" t="s">
        <v>2783</v>
      </c>
      <c r="H214" s="2291"/>
      <c r="I214" s="2291"/>
      <c r="J214" s="2291"/>
      <c r="K214" s="2291"/>
      <c r="L214" s="2291"/>
      <c r="M214" s="2291"/>
      <c r="N214" s="2291"/>
      <c r="O214" s="2291"/>
      <c r="P214" s="2292">
        <v>47119</v>
      </c>
      <c r="Q214" s="2292"/>
      <c r="R214" s="2292"/>
      <c r="S214" s="2292"/>
      <c r="T214" s="2292"/>
      <c r="U214" s="2293">
        <v>272270</v>
      </c>
      <c r="V214" s="2293"/>
      <c r="W214" s="2293"/>
      <c r="X214" s="2293"/>
      <c r="Y214" s="2293">
        <v>159627</v>
      </c>
      <c r="Z214" s="2293"/>
      <c r="AA214" s="2293"/>
      <c r="AB214" s="2293"/>
      <c r="AC214" s="2294" t="s">
        <v>1884</v>
      </c>
      <c r="AD214" s="2294"/>
      <c r="AE214" s="2294"/>
      <c r="AF214" s="2294"/>
      <c r="AG214" s="2286" t="s">
        <v>2784</v>
      </c>
      <c r="AH214" s="2287"/>
      <c r="AI214" s="2287"/>
      <c r="AJ214" s="2287"/>
      <c r="AK214" s="2288"/>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9">
        <v>7</v>
      </c>
      <c r="D215" s="2290"/>
      <c r="E215" s="2290"/>
      <c r="F215" s="2290"/>
      <c r="G215" s="2291"/>
      <c r="H215" s="2291"/>
      <c r="I215" s="2291"/>
      <c r="J215" s="2291"/>
      <c r="K215" s="2291"/>
      <c r="L215" s="2291"/>
      <c r="M215" s="2291"/>
      <c r="N215" s="2291"/>
      <c r="O215" s="2291"/>
      <c r="P215" s="2292"/>
      <c r="Q215" s="2292"/>
      <c r="R215" s="2292"/>
      <c r="S215" s="2292"/>
      <c r="T215" s="2292"/>
      <c r="U215" s="2293"/>
      <c r="V215" s="2293"/>
      <c r="W215" s="2293"/>
      <c r="X215" s="2293"/>
      <c r="Y215" s="2293"/>
      <c r="Z215" s="2293"/>
      <c r="AA215" s="2293"/>
      <c r="AB215" s="2293"/>
      <c r="AC215" s="2294" t="s">
        <v>1884</v>
      </c>
      <c r="AD215" s="2294"/>
      <c r="AE215" s="2294"/>
      <c r="AF215" s="2294"/>
      <c r="AG215" s="2286"/>
      <c r="AH215" s="2287"/>
      <c r="AI215" s="2287"/>
      <c r="AJ215" s="2287"/>
      <c r="AK215" s="2288"/>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8" t="s">
        <v>2294</v>
      </c>
      <c r="D216" s="2309"/>
      <c r="E216" s="2309"/>
      <c r="F216" s="2309"/>
      <c r="G216" s="2309"/>
      <c r="H216" s="2309"/>
      <c r="I216" s="2309"/>
      <c r="J216" s="2309"/>
      <c r="K216" s="2309"/>
      <c r="L216" s="2309"/>
      <c r="M216" s="2309"/>
      <c r="N216" s="2309"/>
      <c r="O216" s="2309"/>
      <c r="P216" s="2310"/>
      <c r="Q216" s="2310"/>
      <c r="R216" s="2310"/>
      <c r="S216" s="2310"/>
      <c r="T216" s="2310"/>
      <c r="U216" s="2311">
        <f>-SUM(U209:U215)</f>
        <v>-27226955</v>
      </c>
      <c r="V216" s="2311"/>
      <c r="W216" s="2311"/>
      <c r="X216" s="2311"/>
      <c r="Y216" s="2311">
        <f>-SUM(Y209:Y215)</f>
        <v>-3192547</v>
      </c>
      <c r="Z216" s="2311"/>
      <c r="AA216" s="2311"/>
      <c r="AB216" s="2311"/>
      <c r="AC216" s="2312">
        <f>-SUM(AC209:AC215)</f>
        <v>0</v>
      </c>
      <c r="AD216" s="2312"/>
      <c r="AE216" s="2312"/>
      <c r="AF216" s="2312"/>
      <c r="AG216" s="2313"/>
      <c r="AH216" s="2314"/>
      <c r="AI216" s="2314"/>
      <c r="AJ216" s="2314"/>
      <c r="AK216" s="2315"/>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2293</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6" t="s">
        <v>2292</v>
      </c>
      <c r="C221" s="2297"/>
      <c r="D221" s="2297"/>
      <c r="E221" s="2297"/>
      <c r="F221" s="2297"/>
      <c r="G221" s="2297"/>
      <c r="H221" s="2297"/>
      <c r="I221" s="2297"/>
      <c r="J221" s="2297"/>
      <c r="K221" s="2297"/>
      <c r="L221" s="2297"/>
      <c r="M221" s="2297"/>
      <c r="N221" s="2297"/>
      <c r="O221" s="2297"/>
      <c r="P221" s="2297"/>
      <c r="Q221" s="2297"/>
      <c r="R221" s="2297"/>
      <c r="S221" s="2297"/>
      <c r="T221" s="2297"/>
      <c r="U221" s="2297"/>
      <c r="V221" s="2297"/>
      <c r="W221" s="2297"/>
      <c r="X221" s="2297"/>
      <c r="Y221" s="2297"/>
      <c r="Z221" s="2297"/>
      <c r="AA221" s="2297"/>
      <c r="AB221" s="2297"/>
      <c r="AC221" s="2297"/>
      <c r="AD221" s="2297"/>
      <c r="AE221" s="2297"/>
      <c r="AF221" s="2297"/>
      <c r="AG221" s="2297"/>
      <c r="AH221" s="2297"/>
      <c r="AI221" s="2297"/>
      <c r="AJ221" s="2297"/>
      <c r="AK221" s="2297"/>
      <c r="AL221" s="2297"/>
      <c r="AM221" s="2297"/>
      <c r="AN221" s="2297"/>
      <c r="AO221" s="2297"/>
      <c r="AP221" s="2297"/>
      <c r="AQ221" s="2297"/>
      <c r="AR221" s="2297"/>
      <c r="AS221" s="2297"/>
      <c r="AT221" s="2297"/>
      <c r="AU221" s="2297"/>
      <c r="AV221" s="2297"/>
      <c r="AW221" s="2297"/>
      <c r="AX221" s="2297"/>
      <c r="AY221" s="2297"/>
      <c r="AZ221" s="2297"/>
      <c r="BA221" s="2297"/>
      <c r="BB221" s="2297"/>
      <c r="BC221" s="2297"/>
      <c r="BD221" s="2298"/>
      <c r="BE221" s="1194"/>
    </row>
    <row r="222" spans="1:57" ht="15.75" customHeight="1">
      <c r="A222" s="1190"/>
      <c r="B222" s="2299"/>
      <c r="C222" s="2300"/>
      <c r="D222" s="2300"/>
      <c r="E222" s="2300"/>
      <c r="F222" s="2300"/>
      <c r="G222" s="2300"/>
      <c r="H222" s="2300"/>
      <c r="I222" s="2300"/>
      <c r="J222" s="2300"/>
      <c r="K222" s="2300"/>
      <c r="L222" s="2300"/>
      <c r="M222" s="2300"/>
      <c r="N222" s="2300"/>
      <c r="O222" s="2300"/>
      <c r="P222" s="2300"/>
      <c r="Q222" s="2300"/>
      <c r="R222" s="2300"/>
      <c r="S222" s="2300"/>
      <c r="T222" s="2300"/>
      <c r="U222" s="2300"/>
      <c r="V222" s="2300"/>
      <c r="W222" s="2300"/>
      <c r="X222" s="2300"/>
      <c r="Y222" s="2300"/>
      <c r="Z222" s="2300"/>
      <c r="AA222" s="2300"/>
      <c r="AB222" s="2300"/>
      <c r="AC222" s="2300"/>
      <c r="AD222" s="2300"/>
      <c r="AE222" s="2300"/>
      <c r="AF222" s="2300"/>
      <c r="AG222" s="2300"/>
      <c r="AH222" s="2300"/>
      <c r="AI222" s="2300"/>
      <c r="AJ222" s="2300"/>
      <c r="AK222" s="2300"/>
      <c r="AL222" s="2300"/>
      <c r="AM222" s="2300"/>
      <c r="AN222" s="2300"/>
      <c r="AO222" s="2300"/>
      <c r="AP222" s="2300"/>
      <c r="AQ222" s="2300"/>
      <c r="AR222" s="2300"/>
      <c r="AS222" s="2300"/>
      <c r="AT222" s="2300"/>
      <c r="AU222" s="2300"/>
      <c r="AV222" s="2300"/>
      <c r="AW222" s="2300"/>
      <c r="AX222" s="2300"/>
      <c r="AY222" s="2300"/>
      <c r="AZ222" s="2300"/>
      <c r="BA222" s="2300"/>
      <c r="BB222" s="2300"/>
      <c r="BC222" s="2300"/>
      <c r="BD222" s="2301"/>
      <c r="BE222" s="1194"/>
    </row>
    <row r="223" spans="1:57" ht="15.75" customHeight="1">
      <c r="A223" s="1190"/>
      <c r="B223" s="2302" t="s">
        <v>2291</v>
      </c>
      <c r="C223" s="2303"/>
      <c r="D223" s="2303"/>
      <c r="E223" s="2303"/>
      <c r="F223" s="2303"/>
      <c r="G223" s="2303"/>
      <c r="H223" s="2303"/>
      <c r="I223" s="2303"/>
      <c r="J223" s="2303"/>
      <c r="K223" s="2303"/>
      <c r="L223" s="2303"/>
      <c r="M223" s="2303"/>
      <c r="N223" s="2303"/>
      <c r="O223" s="2303"/>
      <c r="P223" s="2303"/>
      <c r="Q223" s="2303"/>
      <c r="R223" s="2303"/>
      <c r="S223" s="2303"/>
      <c r="T223" s="2303"/>
      <c r="U223" s="2303"/>
      <c r="V223" s="2303"/>
      <c r="W223" s="2303"/>
      <c r="X223" s="2303"/>
      <c r="Y223" s="2303"/>
      <c r="Z223" s="2303"/>
      <c r="AA223" s="2303"/>
      <c r="AB223" s="2303"/>
      <c r="AC223" s="2303"/>
      <c r="AD223" s="2303"/>
      <c r="AE223" s="2303"/>
      <c r="AF223" s="2303"/>
      <c r="AG223" s="2303"/>
      <c r="AH223" s="2303"/>
      <c r="AI223" s="2303"/>
      <c r="AJ223" s="2303"/>
      <c r="AK223" s="2303"/>
      <c r="AL223" s="2303"/>
      <c r="AM223" s="2303"/>
      <c r="AN223" s="2303"/>
      <c r="AO223" s="2303"/>
      <c r="AP223" s="2303"/>
      <c r="AQ223" s="2303"/>
      <c r="AR223" s="2303"/>
      <c r="AS223" s="2303"/>
      <c r="AT223" s="2303"/>
      <c r="AU223" s="2303"/>
      <c r="AV223" s="2303"/>
      <c r="AW223" s="2303"/>
      <c r="AX223" s="2303"/>
      <c r="AY223" s="2303"/>
      <c r="AZ223" s="2303"/>
      <c r="BA223" s="2303"/>
      <c r="BB223" s="2303"/>
      <c r="BC223" s="2303"/>
      <c r="BD223" s="2304"/>
      <c r="BE223" s="1194"/>
    </row>
    <row r="224" spans="1:57" ht="15.75" customHeight="1">
      <c r="A224" s="1190"/>
      <c r="B224" s="2302" t="s">
        <v>2290</v>
      </c>
      <c r="C224" s="2303"/>
      <c r="D224" s="2303"/>
      <c r="E224" s="2303"/>
      <c r="F224" s="2303"/>
      <c r="G224" s="2303"/>
      <c r="H224" s="2303"/>
      <c r="I224" s="2303"/>
      <c r="J224" s="2303"/>
      <c r="K224" s="2303"/>
      <c r="L224" s="2303"/>
      <c r="M224" s="2303"/>
      <c r="N224" s="2303"/>
      <c r="O224" s="2303"/>
      <c r="P224" s="2303"/>
      <c r="Q224" s="2303"/>
      <c r="R224" s="2303"/>
      <c r="S224" s="2303"/>
      <c r="T224" s="2303"/>
      <c r="U224" s="2303"/>
      <c r="V224" s="2303"/>
      <c r="W224" s="2303"/>
      <c r="X224" s="2303"/>
      <c r="Y224" s="2303"/>
      <c r="Z224" s="2303"/>
      <c r="AA224" s="2303"/>
      <c r="AB224" s="2303"/>
      <c r="AC224" s="2303"/>
      <c r="AD224" s="2303"/>
      <c r="AE224" s="2303"/>
      <c r="AF224" s="2303"/>
      <c r="AG224" s="2303"/>
      <c r="AH224" s="2303"/>
      <c r="AI224" s="2303"/>
      <c r="AJ224" s="2303"/>
      <c r="AK224" s="2303"/>
      <c r="AL224" s="2303"/>
      <c r="AM224" s="2303"/>
      <c r="AN224" s="2303"/>
      <c r="AO224" s="2303"/>
      <c r="AP224" s="2303"/>
      <c r="AQ224" s="2303"/>
      <c r="AR224" s="2303"/>
      <c r="AS224" s="2303"/>
      <c r="AT224" s="2303"/>
      <c r="AU224" s="2303"/>
      <c r="AV224" s="2303"/>
      <c r="AW224" s="2303"/>
      <c r="AX224" s="2303"/>
      <c r="AY224" s="2303"/>
      <c r="AZ224" s="2303"/>
      <c r="BA224" s="2303"/>
      <c r="BB224" s="2303"/>
      <c r="BC224" s="2303"/>
      <c r="BD224" s="2304"/>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5" t="s">
        <v>2289</v>
      </c>
      <c r="C226" s="2195"/>
      <c r="D226" s="2195"/>
      <c r="E226" s="2195"/>
      <c r="F226" s="2195"/>
      <c r="G226" s="2195"/>
      <c r="H226" s="2195"/>
      <c r="I226" s="2195"/>
      <c r="J226" s="2195"/>
      <c r="K226" s="2195"/>
      <c r="L226" s="2195"/>
      <c r="M226" s="2195"/>
      <c r="N226" s="2195"/>
      <c r="O226" s="2195"/>
      <c r="P226" s="2195"/>
      <c r="Q226" s="2195"/>
      <c r="R226" s="2195"/>
      <c r="S226" s="2195"/>
      <c r="T226" s="2195"/>
      <c r="U226" s="2195"/>
      <c r="V226" s="2195"/>
      <c r="W226" s="2195"/>
      <c r="X226" s="2195"/>
      <c r="Y226" s="2195"/>
      <c r="Z226" s="2195"/>
      <c r="AA226" s="2195"/>
      <c r="AB226" s="2195"/>
      <c r="AC226" s="2195"/>
      <c r="AD226" s="2195"/>
      <c r="AE226" s="2195"/>
      <c r="AF226" s="2195"/>
      <c r="AG226" s="2195"/>
      <c r="AH226" s="2195"/>
      <c r="AI226" s="2195"/>
      <c r="AJ226" s="2195"/>
      <c r="AK226" s="2195"/>
      <c r="AL226" s="2195"/>
      <c r="AM226" s="2195"/>
      <c r="AN226" s="2195"/>
      <c r="AO226" s="2195"/>
      <c r="AP226" s="2195"/>
      <c r="AQ226" s="2195"/>
      <c r="AR226" s="2195"/>
      <c r="AS226" s="2195"/>
      <c r="AT226" s="2195"/>
      <c r="AU226" s="2195"/>
      <c r="AV226" s="2195"/>
      <c r="AW226" s="2195"/>
      <c r="AX226" s="2195"/>
      <c r="AY226" s="2195"/>
      <c r="AZ226" s="2195"/>
      <c r="BA226" s="2195"/>
      <c r="BB226" s="2195"/>
      <c r="BC226" s="2195"/>
      <c r="BD226" s="2306"/>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2288</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7" t="s">
        <v>2287</v>
      </c>
      <c r="I230" s="2307"/>
      <c r="J230" s="2307"/>
      <c r="K230" s="2307"/>
      <c r="L230" s="2307"/>
      <c r="M230" s="2307"/>
      <c r="N230" s="2307"/>
      <c r="O230" s="2307"/>
      <c r="P230" s="2307"/>
      <c r="Q230" s="2307"/>
      <c r="R230" s="2307"/>
      <c r="S230" s="2307"/>
      <c r="T230" s="2307"/>
      <c r="U230" s="2307"/>
      <c r="V230" s="2307"/>
      <c r="W230" s="2307"/>
      <c r="X230" s="2307"/>
      <c r="Y230" s="2307"/>
      <c r="Z230" s="2307"/>
      <c r="AA230" s="2307"/>
      <c r="AB230" s="2307"/>
      <c r="AC230" s="2307"/>
      <c r="AD230" s="2307"/>
      <c r="AE230" s="2307"/>
      <c r="AF230" s="2307"/>
      <c r="AG230" s="2307"/>
      <c r="AH230" s="2307"/>
      <c r="AI230" s="2307"/>
      <c r="AJ230" s="2307"/>
      <c r="AK230" s="2307"/>
      <c r="AL230" s="2307"/>
      <c r="AM230" s="2307"/>
      <c r="AN230" s="2307"/>
      <c r="AO230" s="2307"/>
      <c r="AP230" s="2307"/>
      <c r="AQ230" s="2307"/>
      <c r="AR230" s="2307"/>
      <c r="AS230" s="2307"/>
      <c r="AT230" s="2307"/>
      <c r="AU230" s="2307"/>
      <c r="AV230" s="2307"/>
      <c r="AW230" s="2307"/>
      <c r="AX230" s="2307"/>
      <c r="AY230" s="2307"/>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5" t="s">
        <v>2286</v>
      </c>
      <c r="I232" s="2325"/>
      <c r="J232" s="2325"/>
      <c r="K232" s="2325"/>
      <c r="L232" s="2325"/>
      <c r="M232" s="2325"/>
      <c r="N232" s="2325"/>
      <c r="O232" s="2325"/>
      <c r="P232" s="2325"/>
      <c r="Q232" s="2325"/>
      <c r="R232" s="2325"/>
      <c r="S232" s="2325"/>
      <c r="T232" s="2325"/>
      <c r="U232" s="2325"/>
      <c r="V232" s="2325"/>
      <c r="W232" s="2325"/>
      <c r="X232" s="2325"/>
      <c r="Y232" s="2325"/>
      <c r="Z232" s="2325"/>
      <c r="AA232" s="2325"/>
      <c r="AB232" s="2325"/>
      <c r="AC232" s="2325"/>
      <c r="AD232" s="2325"/>
      <c r="AE232" s="2325"/>
      <c r="AF232" s="2325"/>
      <c r="AG232" s="2325"/>
      <c r="AH232" s="2325"/>
      <c r="AI232" s="2325"/>
      <c r="AJ232" s="2325"/>
      <c r="AK232" s="2325"/>
      <c r="AL232" s="2325"/>
      <c r="AM232" s="2325"/>
      <c r="AN232" s="2325"/>
      <c r="AO232" s="2325"/>
      <c r="AP232" s="2325"/>
      <c r="AQ232" s="2325"/>
      <c r="AR232" s="2325"/>
      <c r="AS232" s="2325"/>
      <c r="AT232" s="2325"/>
      <c r="AU232" s="2325"/>
      <c r="AV232" s="2325"/>
      <c r="AW232" s="2325"/>
      <c r="AX232" s="2325"/>
      <c r="AY232" s="2325"/>
      <c r="AZ232" s="2325"/>
      <c r="BA232" s="1190"/>
      <c r="BB232" s="1190"/>
      <c r="BC232" s="1190"/>
      <c r="BD232" s="1194"/>
      <c r="BE232" s="1194"/>
    </row>
    <row r="233" spans="1:57" ht="15.75" customHeight="1">
      <c r="A233" s="1190"/>
      <c r="B233" s="1189"/>
      <c r="C233" s="1190"/>
      <c r="D233" s="1190"/>
      <c r="E233" s="1190"/>
      <c r="F233" s="1190"/>
      <c r="G233" s="1190"/>
      <c r="H233" s="2325"/>
      <c r="I233" s="2325"/>
      <c r="J233" s="2325"/>
      <c r="K233" s="2325"/>
      <c r="L233" s="2325"/>
      <c r="M233" s="2325"/>
      <c r="N233" s="2325"/>
      <c r="O233" s="2325"/>
      <c r="P233" s="2325"/>
      <c r="Q233" s="2325"/>
      <c r="R233" s="2325"/>
      <c r="S233" s="2325"/>
      <c r="T233" s="2325"/>
      <c r="U233" s="2325"/>
      <c r="V233" s="2325"/>
      <c r="W233" s="2325"/>
      <c r="X233" s="2325"/>
      <c r="Y233" s="2325"/>
      <c r="Z233" s="2325"/>
      <c r="AA233" s="2325"/>
      <c r="AB233" s="2325"/>
      <c r="AC233" s="2325"/>
      <c r="AD233" s="2325"/>
      <c r="AE233" s="2325"/>
      <c r="AF233" s="2325"/>
      <c r="AG233" s="2325"/>
      <c r="AH233" s="2325"/>
      <c r="AI233" s="2325"/>
      <c r="AJ233" s="2325"/>
      <c r="AK233" s="2325"/>
      <c r="AL233" s="2325"/>
      <c r="AM233" s="2325"/>
      <c r="AN233" s="2325"/>
      <c r="AO233" s="2325"/>
      <c r="AP233" s="2325"/>
      <c r="AQ233" s="2325"/>
      <c r="AR233" s="2325"/>
      <c r="AS233" s="2325"/>
      <c r="AT233" s="2325"/>
      <c r="AU233" s="2325"/>
      <c r="AV233" s="2325"/>
      <c r="AW233" s="2325"/>
      <c r="AX233" s="2325"/>
      <c r="AY233" s="2325"/>
      <c r="AZ233" s="2325"/>
      <c r="BA233" s="1190"/>
      <c r="BB233" s="1190"/>
      <c r="BC233" s="1190"/>
      <c r="BD233" s="1194"/>
      <c r="BE233" s="1194"/>
    </row>
    <row r="234" spans="1:57" ht="15.75" customHeight="1">
      <c r="A234" s="1190"/>
      <c r="B234" s="1189"/>
      <c r="C234" s="1190"/>
      <c r="D234" s="1190"/>
      <c r="E234" s="1190"/>
      <c r="F234" s="1190"/>
      <c r="G234" s="1190"/>
      <c r="H234" s="2325"/>
      <c r="I234" s="2325"/>
      <c r="J234" s="2325"/>
      <c r="K234" s="2325"/>
      <c r="L234" s="2325"/>
      <c r="M234" s="2325"/>
      <c r="N234" s="2325"/>
      <c r="O234" s="2325"/>
      <c r="P234" s="2325"/>
      <c r="Q234" s="2325"/>
      <c r="R234" s="2325"/>
      <c r="S234" s="2325"/>
      <c r="T234" s="2325"/>
      <c r="U234" s="2325"/>
      <c r="V234" s="2325"/>
      <c r="W234" s="2325"/>
      <c r="X234" s="2325"/>
      <c r="Y234" s="2325"/>
      <c r="Z234" s="2325"/>
      <c r="AA234" s="2325"/>
      <c r="AB234" s="2325"/>
      <c r="AC234" s="2325"/>
      <c r="AD234" s="2325"/>
      <c r="AE234" s="2325"/>
      <c r="AF234" s="2325"/>
      <c r="AG234" s="2325"/>
      <c r="AH234" s="2325"/>
      <c r="AI234" s="2325"/>
      <c r="AJ234" s="2325"/>
      <c r="AK234" s="2325"/>
      <c r="AL234" s="2325"/>
      <c r="AM234" s="2325"/>
      <c r="AN234" s="2325"/>
      <c r="AO234" s="2325"/>
      <c r="AP234" s="2325"/>
      <c r="AQ234" s="2325"/>
      <c r="AR234" s="2325"/>
      <c r="AS234" s="2325"/>
      <c r="AT234" s="2325"/>
      <c r="AU234" s="2325"/>
      <c r="AV234" s="2325"/>
      <c r="AW234" s="2325"/>
      <c r="AX234" s="2325"/>
      <c r="AY234" s="2325"/>
      <c r="AZ234" s="2325"/>
      <c r="BA234" s="1190"/>
      <c r="BB234" s="1190"/>
      <c r="BC234" s="1190"/>
      <c r="BD234" s="1194"/>
      <c r="BE234" s="1194"/>
    </row>
    <row r="235" spans="1:57" ht="15.75" customHeight="1">
      <c r="A235" s="1190"/>
      <c r="B235" s="1189"/>
      <c r="C235" s="1190"/>
      <c r="D235" s="1190"/>
      <c r="E235" s="1190"/>
      <c r="F235" s="1190"/>
      <c r="G235" s="1190"/>
      <c r="H235" s="2325"/>
      <c r="I235" s="2325"/>
      <c r="J235" s="2325"/>
      <c r="K235" s="2325"/>
      <c r="L235" s="2325"/>
      <c r="M235" s="2325"/>
      <c r="N235" s="2325"/>
      <c r="O235" s="2325"/>
      <c r="P235" s="2325"/>
      <c r="Q235" s="2325"/>
      <c r="R235" s="2325"/>
      <c r="S235" s="2325"/>
      <c r="T235" s="2325"/>
      <c r="U235" s="2325"/>
      <c r="V235" s="2325"/>
      <c r="W235" s="2325"/>
      <c r="X235" s="2325"/>
      <c r="Y235" s="2325"/>
      <c r="Z235" s="2325"/>
      <c r="AA235" s="2325"/>
      <c r="AB235" s="2325"/>
      <c r="AC235" s="2325"/>
      <c r="AD235" s="2325"/>
      <c r="AE235" s="2325"/>
      <c r="AF235" s="2325"/>
      <c r="AG235" s="2325"/>
      <c r="AH235" s="2325"/>
      <c r="AI235" s="2325"/>
      <c r="AJ235" s="2325"/>
      <c r="AK235" s="2325"/>
      <c r="AL235" s="2325"/>
      <c r="AM235" s="2325"/>
      <c r="AN235" s="2325"/>
      <c r="AO235" s="2325"/>
      <c r="AP235" s="2325"/>
      <c r="AQ235" s="2325"/>
      <c r="AR235" s="2325"/>
      <c r="AS235" s="2325"/>
      <c r="AT235" s="2325"/>
      <c r="AU235" s="2325"/>
      <c r="AV235" s="2325"/>
      <c r="AW235" s="2325"/>
      <c r="AX235" s="2325"/>
      <c r="AY235" s="2325"/>
      <c r="AZ235" s="2325"/>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6" t="s">
        <v>2285</v>
      </c>
      <c r="I237" s="2326"/>
      <c r="J237" s="2326"/>
      <c r="K237" s="2326"/>
      <c r="L237" s="2326"/>
      <c r="M237" s="2326"/>
      <c r="N237" s="2326"/>
      <c r="O237" s="2326"/>
      <c r="P237" s="2326"/>
      <c r="Q237" s="2326"/>
      <c r="R237" s="2326"/>
      <c r="S237" s="2326"/>
      <c r="T237" s="2326"/>
      <c r="U237" s="2326"/>
      <c r="V237" s="2326"/>
      <c r="W237" s="2326"/>
      <c r="X237" s="2326"/>
      <c r="Y237" s="2326"/>
      <c r="Z237" s="2326"/>
      <c r="AA237" s="2326"/>
      <c r="AB237" s="2326"/>
      <c r="AC237" s="2326"/>
      <c r="AD237" s="2326"/>
      <c r="AE237" s="2326"/>
      <c r="AF237" s="2326"/>
      <c r="AG237" s="2326"/>
      <c r="AH237" s="2326"/>
      <c r="AI237" s="2326"/>
      <c r="AJ237" s="2326"/>
      <c r="AK237" s="2326"/>
      <c r="AL237" s="2326"/>
      <c r="AM237" s="2326"/>
      <c r="AN237" s="2326"/>
      <c r="AO237" s="2326"/>
      <c r="AP237" s="2326"/>
      <c r="AQ237" s="2326"/>
      <c r="AR237" s="2326"/>
      <c r="AS237" s="2326"/>
      <c r="AT237" s="2326"/>
      <c r="AU237" s="2326"/>
      <c r="AV237" s="2326"/>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6" t="s">
        <v>2284</v>
      </c>
      <c r="I239" s="2316"/>
      <c r="J239" s="2316"/>
      <c r="K239" s="2316"/>
      <c r="L239" s="1239"/>
      <c r="M239" s="1239"/>
      <c r="N239" s="1239"/>
      <c r="O239" s="1239"/>
      <c r="P239" s="1239"/>
      <c r="Q239" s="1239"/>
      <c r="R239" s="1239"/>
      <c r="S239" s="2327" t="s">
        <v>2814</v>
      </c>
      <c r="T239" s="2328"/>
      <c r="U239" s="2328"/>
      <c r="V239" s="2328"/>
      <c r="W239" s="2328"/>
      <c r="X239" s="2328"/>
      <c r="Y239" s="2328"/>
      <c r="Z239" s="2328"/>
      <c r="AA239" s="2328"/>
      <c r="AB239" s="2328"/>
      <c r="AC239" s="2328"/>
      <c r="AD239" s="2328"/>
      <c r="AE239" s="2328"/>
      <c r="AF239" s="2328"/>
      <c r="AG239" s="2328"/>
      <c r="AH239" s="2328"/>
      <c r="AI239" s="2328"/>
      <c r="AJ239" s="2329"/>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6" t="s">
        <v>2283</v>
      </c>
      <c r="I241" s="2316"/>
      <c r="J241" s="2316"/>
      <c r="K241" s="1241"/>
      <c r="L241" s="1239"/>
      <c r="M241" s="1239"/>
      <c r="N241" s="1239"/>
      <c r="O241" s="1239"/>
      <c r="P241" s="1239"/>
      <c r="Q241" s="1239"/>
      <c r="R241" s="1239"/>
      <c r="S241" s="2317"/>
      <c r="T241" s="2318"/>
      <c r="U241" s="2318"/>
      <c r="V241" s="2318"/>
      <c r="W241" s="2318"/>
      <c r="X241" s="2318"/>
      <c r="Y241" s="2318"/>
      <c r="Z241" s="2318"/>
      <c r="AA241" s="2318"/>
      <c r="AB241" s="2318"/>
      <c r="AC241" s="2318"/>
      <c r="AD241" s="2318"/>
      <c r="AE241" s="2318"/>
      <c r="AF241" s="2318"/>
      <c r="AG241" s="2318"/>
      <c r="AH241" s="2318"/>
      <c r="AI241" s="2318"/>
      <c r="AJ241" s="2319"/>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6" t="s">
        <v>441</v>
      </c>
      <c r="I243" s="2316"/>
      <c r="J243" s="1241"/>
      <c r="K243" s="1241"/>
      <c r="L243" s="1239"/>
      <c r="M243" s="1239"/>
      <c r="N243" s="1239"/>
      <c r="O243" s="1239"/>
      <c r="P243" s="1239"/>
      <c r="Q243" s="1239"/>
      <c r="R243" s="1239"/>
      <c r="S243" s="2317"/>
      <c r="T243" s="2318"/>
      <c r="U243" s="2318"/>
      <c r="V243" s="2318"/>
      <c r="W243" s="2318"/>
      <c r="X243" s="2318"/>
      <c r="Y243" s="2318"/>
      <c r="Z243" s="2318"/>
      <c r="AA243" s="2318"/>
      <c r="AB243" s="2318"/>
      <c r="AC243" s="2318"/>
      <c r="AD243" s="2318"/>
      <c r="AE243" s="2318"/>
      <c r="AF243" s="2318"/>
      <c r="AG243" s="2318"/>
      <c r="AH243" s="2318"/>
      <c r="AI243" s="2318"/>
      <c r="AJ243" s="2319"/>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20" t="s">
        <v>2282</v>
      </c>
      <c r="I245" s="2320"/>
      <c r="J245" s="2320"/>
      <c r="K245" s="2320"/>
      <c r="L245" s="2320"/>
      <c r="M245" s="2320"/>
      <c r="N245" s="2320"/>
      <c r="O245" s="2320"/>
      <c r="P245" s="1239"/>
      <c r="Q245" s="1239"/>
      <c r="R245" s="1239"/>
      <c r="S245" s="2317"/>
      <c r="T245" s="2318"/>
      <c r="U245" s="2318"/>
      <c r="V245" s="2318"/>
      <c r="W245" s="2318"/>
      <c r="X245" s="2318"/>
      <c r="Y245" s="2318"/>
      <c r="Z245" s="2318"/>
      <c r="AA245" s="2318"/>
      <c r="AB245" s="2318"/>
      <c r="AC245" s="2318"/>
      <c r="AD245" s="2318"/>
      <c r="AE245" s="2318"/>
      <c r="AF245" s="2318"/>
      <c r="AG245" s="2318"/>
      <c r="AH245" s="2318"/>
      <c r="AI245" s="2318"/>
      <c r="AJ245" s="2319"/>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21" t="s">
        <v>2281</v>
      </c>
      <c r="I247" s="2321"/>
      <c r="J247" s="1239"/>
      <c r="K247" s="1239"/>
      <c r="L247" s="1239"/>
      <c r="M247" s="1239"/>
      <c r="N247" s="1239"/>
      <c r="O247" s="1239"/>
      <c r="P247" s="1239"/>
      <c r="Q247" s="1239"/>
      <c r="R247" s="1239"/>
      <c r="S247" s="2322"/>
      <c r="T247" s="2323"/>
      <c r="U247" s="2323"/>
      <c r="V247" s="2323"/>
      <c r="W247" s="2323"/>
      <c r="X247" s="2323"/>
      <c r="Y247" s="2323"/>
      <c r="Z247" s="2323"/>
      <c r="AA247" s="2323"/>
      <c r="AB247" s="2323"/>
      <c r="AC247" s="2323"/>
      <c r="AD247" s="2323"/>
      <c r="AE247" s="2323"/>
      <c r="AF247" s="2323"/>
      <c r="AG247" s="2323"/>
      <c r="AH247" s="2323"/>
      <c r="AI247" s="2323"/>
      <c r="AJ247" s="2324"/>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8" workbookViewId="0">
      <selection activeCell="AB49" sqref="AB49:AF49"/>
    </sheetView>
  </sheetViews>
  <sheetFormatPr baseColWidth="10" defaultColWidth="0" defaultRowHeight="13" customHeight="1"/>
  <cols>
    <col min="1" max="1" width="1.5" style="402" customWidth="1"/>
    <col min="2" max="2" width="0.83203125" style="402" customWidth="1"/>
    <col min="3" max="18" width="2.5" style="402" customWidth="1"/>
    <col min="19" max="19" width="6.33203125" style="402" customWidth="1"/>
    <col min="20" max="39" width="2.6640625" style="402" customWidth="1"/>
    <col min="40" max="40" width="1.5" style="402" customWidth="1"/>
    <col min="41" max="256" width="2.5" style="402" hidden="1"/>
    <col min="257" max="257" width="1.5" style="402" hidden="1" customWidth="1"/>
    <col min="258" max="258" width="0.83203125" style="402" hidden="1" customWidth="1"/>
    <col min="259" max="274" width="2.5" style="402" hidden="1" customWidth="1"/>
    <col min="275" max="275" width="4" style="402" hidden="1" customWidth="1"/>
    <col min="276" max="295" width="2.5" style="402" hidden="1" customWidth="1"/>
    <col min="296" max="296" width="1.5" style="402" hidden="1" customWidth="1"/>
    <col min="297" max="512" width="2.5" style="402" hidden="1"/>
    <col min="513" max="513" width="1.5" style="402" hidden="1" customWidth="1"/>
    <col min="514" max="514" width="0.83203125" style="402" hidden="1" customWidth="1"/>
    <col min="515" max="530" width="2.5" style="402" hidden="1" customWidth="1"/>
    <col min="531" max="531" width="4" style="402" hidden="1" customWidth="1"/>
    <col min="532" max="551" width="2.5" style="402" hidden="1" customWidth="1"/>
    <col min="552" max="552" width="1.5" style="402" hidden="1" customWidth="1"/>
    <col min="553" max="768" width="2.5" style="402" hidden="1"/>
    <col min="769" max="769" width="1.5" style="402" hidden="1" customWidth="1"/>
    <col min="770" max="770" width="0.83203125" style="402" hidden="1" customWidth="1"/>
    <col min="771" max="786" width="2.5" style="402" hidden="1" customWidth="1"/>
    <col min="787" max="787" width="4" style="402" hidden="1" customWidth="1"/>
    <col min="788" max="807" width="2.5" style="402" hidden="1" customWidth="1"/>
    <col min="808" max="808" width="1.5" style="402" hidden="1" customWidth="1"/>
    <col min="809" max="1024" width="2.5" style="402" hidden="1"/>
    <col min="1025" max="1025" width="1.5" style="402" hidden="1" customWidth="1"/>
    <col min="1026" max="1026" width="0.83203125" style="402" hidden="1" customWidth="1"/>
    <col min="1027" max="1042" width="2.5" style="402" hidden="1" customWidth="1"/>
    <col min="1043" max="1043" width="4" style="402" hidden="1" customWidth="1"/>
    <col min="1044" max="1063" width="2.5" style="402" hidden="1" customWidth="1"/>
    <col min="1064" max="1064" width="1.5" style="402" hidden="1" customWidth="1"/>
    <col min="1065" max="1280" width="2.5" style="402" hidden="1"/>
    <col min="1281" max="1281" width="1.5" style="402" hidden="1" customWidth="1"/>
    <col min="1282" max="1282" width="0.83203125" style="402" hidden="1" customWidth="1"/>
    <col min="1283" max="1298" width="2.5" style="402" hidden="1" customWidth="1"/>
    <col min="1299" max="1299" width="4" style="402" hidden="1" customWidth="1"/>
    <col min="1300" max="1319" width="2.5" style="402" hidden="1" customWidth="1"/>
    <col min="1320" max="1320" width="1.5" style="402" hidden="1" customWidth="1"/>
    <col min="1321" max="1536" width="2.5" style="402" hidden="1"/>
    <col min="1537" max="1537" width="1.5" style="402" hidden="1" customWidth="1"/>
    <col min="1538" max="1538" width="0.83203125" style="402" hidden="1" customWidth="1"/>
    <col min="1539" max="1554" width="2.5" style="402" hidden="1" customWidth="1"/>
    <col min="1555" max="1555" width="4" style="402" hidden="1" customWidth="1"/>
    <col min="1556" max="1575" width="2.5" style="402" hidden="1" customWidth="1"/>
    <col min="1576" max="1576" width="1.5" style="402" hidden="1" customWidth="1"/>
    <col min="1577" max="1792" width="2.5" style="402" hidden="1"/>
    <col min="1793" max="1793" width="1.5" style="402" hidden="1" customWidth="1"/>
    <col min="1794" max="1794" width="0.83203125" style="402" hidden="1" customWidth="1"/>
    <col min="1795" max="1810" width="2.5" style="402" hidden="1" customWidth="1"/>
    <col min="1811" max="1811" width="4" style="402" hidden="1" customWidth="1"/>
    <col min="1812" max="1831" width="2.5" style="402" hidden="1" customWidth="1"/>
    <col min="1832" max="1832" width="1.5" style="402" hidden="1" customWidth="1"/>
    <col min="1833" max="2048" width="2.5" style="402" hidden="1"/>
    <col min="2049" max="2049" width="1.5" style="402" hidden="1" customWidth="1"/>
    <col min="2050" max="2050" width="0.83203125" style="402" hidden="1" customWidth="1"/>
    <col min="2051" max="2066" width="2.5" style="402" hidden="1" customWidth="1"/>
    <col min="2067" max="2067" width="4" style="402" hidden="1" customWidth="1"/>
    <col min="2068" max="2087" width="2.5" style="402" hidden="1" customWidth="1"/>
    <col min="2088" max="2088" width="1.5" style="402" hidden="1" customWidth="1"/>
    <col min="2089" max="2304" width="2.5" style="402" hidden="1"/>
    <col min="2305" max="2305" width="1.5" style="402" hidden="1" customWidth="1"/>
    <col min="2306" max="2306" width="0.83203125" style="402" hidden="1" customWidth="1"/>
    <col min="2307" max="2322" width="2.5" style="402" hidden="1" customWidth="1"/>
    <col min="2323" max="2323" width="4" style="402" hidden="1" customWidth="1"/>
    <col min="2324" max="2343" width="2.5" style="402" hidden="1" customWidth="1"/>
    <col min="2344" max="2344" width="1.5" style="402" hidden="1" customWidth="1"/>
    <col min="2345" max="2560" width="2.5" style="402" hidden="1"/>
    <col min="2561" max="2561" width="1.5" style="402" hidden="1" customWidth="1"/>
    <col min="2562" max="2562" width="0.83203125" style="402" hidden="1" customWidth="1"/>
    <col min="2563" max="2578" width="2.5" style="402" hidden="1" customWidth="1"/>
    <col min="2579" max="2579" width="4" style="402" hidden="1" customWidth="1"/>
    <col min="2580" max="2599" width="2.5" style="402" hidden="1" customWidth="1"/>
    <col min="2600" max="2600" width="1.5" style="402" hidden="1" customWidth="1"/>
    <col min="2601" max="2816" width="2.5" style="402" hidden="1"/>
    <col min="2817" max="2817" width="1.5" style="402" hidden="1" customWidth="1"/>
    <col min="2818" max="2818" width="0.83203125" style="402" hidden="1" customWidth="1"/>
    <col min="2819" max="2834" width="2.5" style="402" hidden="1" customWidth="1"/>
    <col min="2835" max="2835" width="4" style="402" hidden="1" customWidth="1"/>
    <col min="2836" max="2855" width="2.5" style="402" hidden="1" customWidth="1"/>
    <col min="2856" max="2856" width="1.5" style="402" hidden="1" customWidth="1"/>
    <col min="2857" max="3072" width="2.5" style="402" hidden="1"/>
    <col min="3073" max="3073" width="1.5" style="402" hidden="1" customWidth="1"/>
    <col min="3074" max="3074" width="0.83203125" style="402" hidden="1" customWidth="1"/>
    <col min="3075" max="3090" width="2.5" style="402" hidden="1" customWidth="1"/>
    <col min="3091" max="3091" width="4" style="402" hidden="1" customWidth="1"/>
    <col min="3092" max="3111" width="2.5" style="402" hidden="1" customWidth="1"/>
    <col min="3112" max="3112" width="1.5" style="402" hidden="1" customWidth="1"/>
    <col min="3113" max="3328" width="2.5" style="402" hidden="1"/>
    <col min="3329" max="3329" width="1.5" style="402" hidden="1" customWidth="1"/>
    <col min="3330" max="3330" width="0.83203125" style="402" hidden="1" customWidth="1"/>
    <col min="3331" max="3346" width="2.5" style="402" hidden="1" customWidth="1"/>
    <col min="3347" max="3347" width="4" style="402" hidden="1" customWidth="1"/>
    <col min="3348" max="3367" width="2.5" style="402" hidden="1" customWidth="1"/>
    <col min="3368" max="3368" width="1.5" style="402" hidden="1" customWidth="1"/>
    <col min="3369" max="3584" width="2.5" style="402" hidden="1"/>
    <col min="3585" max="3585" width="1.5" style="402" hidden="1" customWidth="1"/>
    <col min="3586" max="3586" width="0.83203125" style="402" hidden="1" customWidth="1"/>
    <col min="3587" max="3602" width="2.5" style="402" hidden="1" customWidth="1"/>
    <col min="3603" max="3603" width="4" style="402" hidden="1" customWidth="1"/>
    <col min="3604" max="3623" width="2.5" style="402" hidden="1" customWidth="1"/>
    <col min="3624" max="3624" width="1.5" style="402" hidden="1" customWidth="1"/>
    <col min="3625" max="3840" width="2.5" style="402" hidden="1"/>
    <col min="3841" max="3841" width="1.5" style="402" hidden="1" customWidth="1"/>
    <col min="3842" max="3842" width="0.83203125" style="402" hidden="1" customWidth="1"/>
    <col min="3843" max="3858" width="2.5" style="402" hidden="1" customWidth="1"/>
    <col min="3859" max="3859" width="4" style="402" hidden="1" customWidth="1"/>
    <col min="3860" max="3879" width="2.5" style="402" hidden="1" customWidth="1"/>
    <col min="3880" max="3880" width="1.5" style="402" hidden="1" customWidth="1"/>
    <col min="3881" max="4096" width="2.5" style="402" hidden="1"/>
    <col min="4097" max="4097" width="1.5" style="402" hidden="1" customWidth="1"/>
    <col min="4098" max="4098" width="0.83203125" style="402" hidden="1" customWidth="1"/>
    <col min="4099" max="4114" width="2.5" style="402" hidden="1" customWidth="1"/>
    <col min="4115" max="4115" width="4" style="402" hidden="1" customWidth="1"/>
    <col min="4116" max="4135" width="2.5" style="402" hidden="1" customWidth="1"/>
    <col min="4136" max="4136" width="1.5" style="402" hidden="1" customWidth="1"/>
    <col min="4137" max="4352" width="2.5" style="402" hidden="1"/>
    <col min="4353" max="4353" width="1.5" style="402" hidden="1" customWidth="1"/>
    <col min="4354" max="4354" width="0.83203125" style="402" hidden="1" customWidth="1"/>
    <col min="4355" max="4370" width="2.5" style="402" hidden="1" customWidth="1"/>
    <col min="4371" max="4371" width="4" style="402" hidden="1" customWidth="1"/>
    <col min="4372" max="4391" width="2.5" style="402" hidden="1" customWidth="1"/>
    <col min="4392" max="4392" width="1.5" style="402" hidden="1" customWidth="1"/>
    <col min="4393" max="4608" width="2.5" style="402" hidden="1"/>
    <col min="4609" max="4609" width="1.5" style="402" hidden="1" customWidth="1"/>
    <col min="4610" max="4610" width="0.83203125" style="402" hidden="1" customWidth="1"/>
    <col min="4611" max="4626" width="2.5" style="402" hidden="1" customWidth="1"/>
    <col min="4627" max="4627" width="4" style="402" hidden="1" customWidth="1"/>
    <col min="4628" max="4647" width="2.5" style="402" hidden="1" customWidth="1"/>
    <col min="4648" max="4648" width="1.5" style="402" hidden="1" customWidth="1"/>
    <col min="4649" max="4864" width="2.5" style="402" hidden="1"/>
    <col min="4865" max="4865" width="1.5" style="402" hidden="1" customWidth="1"/>
    <col min="4866" max="4866" width="0.83203125" style="402" hidden="1" customWidth="1"/>
    <col min="4867" max="4882" width="2.5" style="402" hidden="1" customWidth="1"/>
    <col min="4883" max="4883" width="4" style="402" hidden="1" customWidth="1"/>
    <col min="4884" max="4903" width="2.5" style="402" hidden="1" customWidth="1"/>
    <col min="4904" max="4904" width="1.5" style="402" hidden="1" customWidth="1"/>
    <col min="4905" max="5120" width="2.5" style="402" hidden="1"/>
    <col min="5121" max="5121" width="1.5" style="402" hidden="1" customWidth="1"/>
    <col min="5122" max="5122" width="0.83203125" style="402" hidden="1" customWidth="1"/>
    <col min="5123" max="5138" width="2.5" style="402" hidden="1" customWidth="1"/>
    <col min="5139" max="5139" width="4" style="402" hidden="1" customWidth="1"/>
    <col min="5140" max="5159" width="2.5" style="402" hidden="1" customWidth="1"/>
    <col min="5160" max="5160" width="1.5" style="402" hidden="1" customWidth="1"/>
    <col min="5161" max="5376" width="2.5" style="402" hidden="1"/>
    <col min="5377" max="5377" width="1.5" style="402" hidden="1" customWidth="1"/>
    <col min="5378" max="5378" width="0.83203125" style="402" hidden="1" customWidth="1"/>
    <col min="5379" max="5394" width="2.5" style="402" hidden="1" customWidth="1"/>
    <col min="5395" max="5395" width="4" style="402" hidden="1" customWidth="1"/>
    <col min="5396" max="5415" width="2.5" style="402" hidden="1" customWidth="1"/>
    <col min="5416" max="5416" width="1.5" style="402" hidden="1" customWidth="1"/>
    <col min="5417" max="5632" width="2.5" style="402" hidden="1"/>
    <col min="5633" max="5633" width="1.5" style="402" hidden="1" customWidth="1"/>
    <col min="5634" max="5634" width="0.83203125" style="402" hidden="1" customWidth="1"/>
    <col min="5635" max="5650" width="2.5" style="402" hidden="1" customWidth="1"/>
    <col min="5651" max="5651" width="4" style="402" hidden="1" customWidth="1"/>
    <col min="5652" max="5671" width="2.5" style="402" hidden="1" customWidth="1"/>
    <col min="5672" max="5672" width="1.5" style="402" hidden="1" customWidth="1"/>
    <col min="5673" max="5888" width="2.5" style="402" hidden="1"/>
    <col min="5889" max="5889" width="1.5" style="402" hidden="1" customWidth="1"/>
    <col min="5890" max="5890" width="0.83203125" style="402" hidden="1" customWidth="1"/>
    <col min="5891" max="5906" width="2.5" style="402" hidden="1" customWidth="1"/>
    <col min="5907" max="5907" width="4" style="402" hidden="1" customWidth="1"/>
    <col min="5908" max="5927" width="2.5" style="402" hidden="1" customWidth="1"/>
    <col min="5928" max="5928" width="1.5" style="402" hidden="1" customWidth="1"/>
    <col min="5929" max="6144" width="2.5" style="402" hidden="1"/>
    <col min="6145" max="6145" width="1.5" style="402" hidden="1" customWidth="1"/>
    <col min="6146" max="6146" width="0.83203125" style="402" hidden="1" customWidth="1"/>
    <col min="6147" max="6162" width="2.5" style="402" hidden="1" customWidth="1"/>
    <col min="6163" max="6163" width="4" style="402" hidden="1" customWidth="1"/>
    <col min="6164" max="6183" width="2.5" style="402" hidden="1" customWidth="1"/>
    <col min="6184" max="6184" width="1.5" style="402" hidden="1" customWidth="1"/>
    <col min="6185" max="6400" width="2.5" style="402" hidden="1"/>
    <col min="6401" max="6401" width="1.5" style="402" hidden="1" customWidth="1"/>
    <col min="6402" max="6402" width="0.83203125" style="402" hidden="1" customWidth="1"/>
    <col min="6403" max="6418" width="2.5" style="402" hidden="1" customWidth="1"/>
    <col min="6419" max="6419" width="4" style="402" hidden="1" customWidth="1"/>
    <col min="6420" max="6439" width="2.5" style="402" hidden="1" customWidth="1"/>
    <col min="6440" max="6440" width="1.5" style="402" hidden="1" customWidth="1"/>
    <col min="6441" max="6656" width="2.5" style="402" hidden="1"/>
    <col min="6657" max="6657" width="1.5" style="402" hidden="1" customWidth="1"/>
    <col min="6658" max="6658" width="0.83203125" style="402" hidden="1" customWidth="1"/>
    <col min="6659" max="6674" width="2.5" style="402" hidden="1" customWidth="1"/>
    <col min="6675" max="6675" width="4" style="402" hidden="1" customWidth="1"/>
    <col min="6676" max="6695" width="2.5" style="402" hidden="1" customWidth="1"/>
    <col min="6696" max="6696" width="1.5" style="402" hidden="1" customWidth="1"/>
    <col min="6697" max="6912" width="2.5" style="402" hidden="1"/>
    <col min="6913" max="6913" width="1.5" style="402" hidden="1" customWidth="1"/>
    <col min="6914" max="6914" width="0.83203125" style="402" hidden="1" customWidth="1"/>
    <col min="6915" max="6930" width="2.5" style="402" hidden="1" customWidth="1"/>
    <col min="6931" max="6931" width="4" style="402" hidden="1" customWidth="1"/>
    <col min="6932" max="6951" width="2.5" style="402" hidden="1" customWidth="1"/>
    <col min="6952" max="6952" width="1.5" style="402" hidden="1" customWidth="1"/>
    <col min="6953" max="7168" width="2.5" style="402" hidden="1"/>
    <col min="7169" max="7169" width="1.5" style="402" hidden="1" customWidth="1"/>
    <col min="7170" max="7170" width="0.83203125" style="402" hidden="1" customWidth="1"/>
    <col min="7171" max="7186" width="2.5" style="402" hidden="1" customWidth="1"/>
    <col min="7187" max="7187" width="4" style="402" hidden="1" customWidth="1"/>
    <col min="7188" max="7207" width="2.5" style="402" hidden="1" customWidth="1"/>
    <col min="7208" max="7208" width="1.5" style="402" hidden="1" customWidth="1"/>
    <col min="7209" max="7424" width="2.5" style="402" hidden="1"/>
    <col min="7425" max="7425" width="1.5" style="402" hidden="1" customWidth="1"/>
    <col min="7426" max="7426" width="0.83203125" style="402" hidden="1" customWidth="1"/>
    <col min="7427" max="7442" width="2.5" style="402" hidden="1" customWidth="1"/>
    <col min="7443" max="7443" width="4" style="402" hidden="1" customWidth="1"/>
    <col min="7444" max="7463" width="2.5" style="402" hidden="1" customWidth="1"/>
    <col min="7464" max="7464" width="1.5" style="402" hidden="1" customWidth="1"/>
    <col min="7465" max="7680" width="2.5" style="402" hidden="1"/>
    <col min="7681" max="7681" width="1.5" style="402" hidden="1" customWidth="1"/>
    <col min="7682" max="7682" width="0.83203125" style="402" hidden="1" customWidth="1"/>
    <col min="7683" max="7698" width="2.5" style="402" hidden="1" customWidth="1"/>
    <col min="7699" max="7699" width="4" style="402" hidden="1" customWidth="1"/>
    <col min="7700" max="7719" width="2.5" style="402" hidden="1" customWidth="1"/>
    <col min="7720" max="7720" width="1.5" style="402" hidden="1" customWidth="1"/>
    <col min="7721" max="7936" width="2.5" style="402" hidden="1"/>
    <col min="7937" max="7937" width="1.5" style="402" hidden="1" customWidth="1"/>
    <col min="7938" max="7938" width="0.83203125" style="402" hidden="1" customWidth="1"/>
    <col min="7939" max="7954" width="2.5" style="402" hidden="1" customWidth="1"/>
    <col min="7955" max="7955" width="4" style="402" hidden="1" customWidth="1"/>
    <col min="7956" max="7975" width="2.5" style="402" hidden="1" customWidth="1"/>
    <col min="7976" max="7976" width="1.5" style="402" hidden="1" customWidth="1"/>
    <col min="7977" max="8192" width="2.5" style="402" hidden="1"/>
    <col min="8193" max="8193" width="1.5" style="402" hidden="1" customWidth="1"/>
    <col min="8194" max="8194" width="0.83203125" style="402" hidden="1" customWidth="1"/>
    <col min="8195" max="8210" width="2.5" style="402" hidden="1" customWidth="1"/>
    <col min="8211" max="8211" width="4" style="402" hidden="1" customWidth="1"/>
    <col min="8212" max="8231" width="2.5" style="402" hidden="1" customWidth="1"/>
    <col min="8232" max="8232" width="1.5" style="402" hidden="1" customWidth="1"/>
    <col min="8233" max="8448" width="2.5" style="402" hidden="1"/>
    <col min="8449" max="8449" width="1.5" style="402" hidden="1" customWidth="1"/>
    <col min="8450" max="8450" width="0.83203125" style="402" hidden="1" customWidth="1"/>
    <col min="8451" max="8466" width="2.5" style="402" hidden="1" customWidth="1"/>
    <col min="8467" max="8467" width="4" style="402" hidden="1" customWidth="1"/>
    <col min="8468" max="8487" width="2.5" style="402" hidden="1" customWidth="1"/>
    <col min="8488" max="8488" width="1.5" style="402" hidden="1" customWidth="1"/>
    <col min="8489" max="8704" width="2.5" style="402" hidden="1"/>
    <col min="8705" max="8705" width="1.5" style="402" hidden="1" customWidth="1"/>
    <col min="8706" max="8706" width="0.83203125" style="402" hidden="1" customWidth="1"/>
    <col min="8707" max="8722" width="2.5" style="402" hidden="1" customWidth="1"/>
    <col min="8723" max="8723" width="4" style="402" hidden="1" customWidth="1"/>
    <col min="8724" max="8743" width="2.5" style="402" hidden="1" customWidth="1"/>
    <col min="8744" max="8744" width="1.5" style="402" hidden="1" customWidth="1"/>
    <col min="8745" max="8960" width="2.5" style="402" hidden="1"/>
    <col min="8961" max="8961" width="1.5" style="402" hidden="1" customWidth="1"/>
    <col min="8962" max="8962" width="0.83203125" style="402" hidden="1" customWidth="1"/>
    <col min="8963" max="8978" width="2.5" style="402" hidden="1" customWidth="1"/>
    <col min="8979" max="8979" width="4" style="402" hidden="1" customWidth="1"/>
    <col min="8980" max="8999" width="2.5" style="402" hidden="1" customWidth="1"/>
    <col min="9000" max="9000" width="1.5" style="402" hidden="1" customWidth="1"/>
    <col min="9001" max="9216" width="2.5" style="402" hidden="1"/>
    <col min="9217" max="9217" width="1.5" style="402" hidden="1" customWidth="1"/>
    <col min="9218" max="9218" width="0.83203125" style="402" hidden="1" customWidth="1"/>
    <col min="9219" max="9234" width="2.5" style="402" hidden="1" customWidth="1"/>
    <col min="9235" max="9235" width="4" style="402" hidden="1" customWidth="1"/>
    <col min="9236" max="9255" width="2.5" style="402" hidden="1" customWidth="1"/>
    <col min="9256" max="9256" width="1.5" style="402" hidden="1" customWidth="1"/>
    <col min="9257" max="9472" width="2.5" style="402" hidden="1"/>
    <col min="9473" max="9473" width="1.5" style="402" hidden="1" customWidth="1"/>
    <col min="9474" max="9474" width="0.83203125" style="402" hidden="1" customWidth="1"/>
    <col min="9475" max="9490" width="2.5" style="402" hidden="1" customWidth="1"/>
    <col min="9491" max="9491" width="4" style="402" hidden="1" customWidth="1"/>
    <col min="9492" max="9511" width="2.5" style="402" hidden="1" customWidth="1"/>
    <col min="9512" max="9512" width="1.5" style="402" hidden="1" customWidth="1"/>
    <col min="9513" max="9728" width="2.5" style="402" hidden="1"/>
    <col min="9729" max="9729" width="1.5" style="402" hidden="1" customWidth="1"/>
    <col min="9730" max="9730" width="0.83203125" style="402" hidden="1" customWidth="1"/>
    <col min="9731" max="9746" width="2.5" style="402" hidden="1" customWidth="1"/>
    <col min="9747" max="9747" width="4" style="402" hidden="1" customWidth="1"/>
    <col min="9748" max="9767" width="2.5" style="402" hidden="1" customWidth="1"/>
    <col min="9768" max="9768" width="1.5" style="402" hidden="1" customWidth="1"/>
    <col min="9769" max="9984" width="2.5" style="402" hidden="1"/>
    <col min="9985" max="9985" width="1.5" style="402" hidden="1" customWidth="1"/>
    <col min="9986" max="9986" width="0.83203125" style="402" hidden="1" customWidth="1"/>
    <col min="9987" max="10002" width="2.5" style="402" hidden="1" customWidth="1"/>
    <col min="10003" max="10003" width="4" style="402" hidden="1" customWidth="1"/>
    <col min="10004" max="10023" width="2.5" style="402" hidden="1" customWidth="1"/>
    <col min="10024" max="10024" width="1.5" style="402" hidden="1" customWidth="1"/>
    <col min="10025" max="10240" width="2.5" style="402" hidden="1"/>
    <col min="10241" max="10241" width="1.5" style="402" hidden="1" customWidth="1"/>
    <col min="10242" max="10242" width="0.83203125" style="402" hidden="1" customWidth="1"/>
    <col min="10243" max="10258" width="2.5" style="402" hidden="1" customWidth="1"/>
    <col min="10259" max="10259" width="4" style="402" hidden="1" customWidth="1"/>
    <col min="10260" max="10279" width="2.5" style="402" hidden="1" customWidth="1"/>
    <col min="10280" max="10280" width="1.5" style="402" hidden="1" customWidth="1"/>
    <col min="10281" max="10496" width="2.5" style="402" hidden="1"/>
    <col min="10497" max="10497" width="1.5" style="402" hidden="1" customWidth="1"/>
    <col min="10498" max="10498" width="0.83203125" style="402" hidden="1" customWidth="1"/>
    <col min="10499" max="10514" width="2.5" style="402" hidden="1" customWidth="1"/>
    <col min="10515" max="10515" width="4" style="402" hidden="1" customWidth="1"/>
    <col min="10516" max="10535" width="2.5" style="402" hidden="1" customWidth="1"/>
    <col min="10536" max="10536" width="1.5" style="402" hidden="1" customWidth="1"/>
    <col min="10537" max="10752" width="2.5" style="402" hidden="1"/>
    <col min="10753" max="10753" width="1.5" style="402" hidden="1" customWidth="1"/>
    <col min="10754" max="10754" width="0.83203125" style="402" hidden="1" customWidth="1"/>
    <col min="10755" max="10770" width="2.5" style="402" hidden="1" customWidth="1"/>
    <col min="10771" max="10771" width="4" style="402" hidden="1" customWidth="1"/>
    <col min="10772" max="10791" width="2.5" style="402" hidden="1" customWidth="1"/>
    <col min="10792" max="10792" width="1.5" style="402" hidden="1" customWidth="1"/>
    <col min="10793" max="11008" width="2.5" style="402" hidden="1"/>
    <col min="11009" max="11009" width="1.5" style="402" hidden="1" customWidth="1"/>
    <col min="11010" max="11010" width="0.83203125" style="402" hidden="1" customWidth="1"/>
    <col min="11011" max="11026" width="2.5" style="402" hidden="1" customWidth="1"/>
    <col min="11027" max="11027" width="4" style="402" hidden="1" customWidth="1"/>
    <col min="11028" max="11047" width="2.5" style="402" hidden="1" customWidth="1"/>
    <col min="11048" max="11048" width="1.5" style="402" hidden="1" customWidth="1"/>
    <col min="11049" max="11264" width="2.5" style="402" hidden="1"/>
    <col min="11265" max="11265" width="1.5" style="402" hidden="1" customWidth="1"/>
    <col min="11266" max="11266" width="0.83203125" style="402" hidden="1" customWidth="1"/>
    <col min="11267" max="11282" width="2.5" style="402" hidden="1" customWidth="1"/>
    <col min="11283" max="11283" width="4" style="402" hidden="1" customWidth="1"/>
    <col min="11284" max="11303" width="2.5" style="402" hidden="1" customWidth="1"/>
    <col min="11304" max="11304" width="1.5" style="402" hidden="1" customWidth="1"/>
    <col min="11305" max="11520" width="2.5" style="402" hidden="1"/>
    <col min="11521" max="11521" width="1.5" style="402" hidden="1" customWidth="1"/>
    <col min="11522" max="11522" width="0.83203125" style="402" hidden="1" customWidth="1"/>
    <col min="11523" max="11538" width="2.5" style="402" hidden="1" customWidth="1"/>
    <col min="11539" max="11539" width="4" style="402" hidden="1" customWidth="1"/>
    <col min="11540" max="11559" width="2.5" style="402" hidden="1" customWidth="1"/>
    <col min="11560" max="11560" width="1.5" style="402" hidden="1" customWidth="1"/>
    <col min="11561" max="11776" width="2.5" style="402" hidden="1"/>
    <col min="11777" max="11777" width="1.5" style="402" hidden="1" customWidth="1"/>
    <col min="11778" max="11778" width="0.83203125" style="402" hidden="1" customWidth="1"/>
    <col min="11779" max="11794" width="2.5" style="402" hidden="1" customWidth="1"/>
    <col min="11795" max="11795" width="4" style="402" hidden="1" customWidth="1"/>
    <col min="11796" max="11815" width="2.5" style="402" hidden="1" customWidth="1"/>
    <col min="11816" max="11816" width="1.5" style="402" hidden="1" customWidth="1"/>
    <col min="11817" max="12032" width="2.5" style="402" hidden="1"/>
    <col min="12033" max="12033" width="1.5" style="402" hidden="1" customWidth="1"/>
    <col min="12034" max="12034" width="0.83203125" style="402" hidden="1" customWidth="1"/>
    <col min="12035" max="12050" width="2.5" style="402" hidden="1" customWidth="1"/>
    <col min="12051" max="12051" width="4" style="402" hidden="1" customWidth="1"/>
    <col min="12052" max="12071" width="2.5" style="402" hidden="1" customWidth="1"/>
    <col min="12072" max="12072" width="1.5" style="402" hidden="1" customWidth="1"/>
    <col min="12073" max="12288" width="2.5" style="402" hidden="1"/>
    <col min="12289" max="12289" width="1.5" style="402" hidden="1" customWidth="1"/>
    <col min="12290" max="12290" width="0.83203125" style="402" hidden="1" customWidth="1"/>
    <col min="12291" max="12306" width="2.5" style="402" hidden="1" customWidth="1"/>
    <col min="12307" max="12307" width="4" style="402" hidden="1" customWidth="1"/>
    <col min="12308" max="12327" width="2.5" style="402" hidden="1" customWidth="1"/>
    <col min="12328" max="12328" width="1.5" style="402" hidden="1" customWidth="1"/>
    <col min="12329" max="12544" width="2.5" style="402" hidden="1"/>
    <col min="12545" max="12545" width="1.5" style="402" hidden="1" customWidth="1"/>
    <col min="12546" max="12546" width="0.83203125" style="402" hidden="1" customWidth="1"/>
    <col min="12547" max="12562" width="2.5" style="402" hidden="1" customWidth="1"/>
    <col min="12563" max="12563" width="4" style="402" hidden="1" customWidth="1"/>
    <col min="12564" max="12583" width="2.5" style="402" hidden="1" customWidth="1"/>
    <col min="12584" max="12584" width="1.5" style="402" hidden="1" customWidth="1"/>
    <col min="12585" max="12800" width="2.5" style="402" hidden="1"/>
    <col min="12801" max="12801" width="1.5" style="402" hidden="1" customWidth="1"/>
    <col min="12802" max="12802" width="0.83203125" style="402" hidden="1" customWidth="1"/>
    <col min="12803" max="12818" width="2.5" style="402" hidden="1" customWidth="1"/>
    <col min="12819" max="12819" width="4" style="402" hidden="1" customWidth="1"/>
    <col min="12820" max="12839" width="2.5" style="402" hidden="1" customWidth="1"/>
    <col min="12840" max="12840" width="1.5" style="402" hidden="1" customWidth="1"/>
    <col min="12841" max="13056" width="2.5" style="402" hidden="1"/>
    <col min="13057" max="13057" width="1.5" style="402" hidden="1" customWidth="1"/>
    <col min="13058" max="13058" width="0.83203125" style="402" hidden="1" customWidth="1"/>
    <col min="13059" max="13074" width="2.5" style="402" hidden="1" customWidth="1"/>
    <col min="13075" max="13075" width="4" style="402" hidden="1" customWidth="1"/>
    <col min="13076" max="13095" width="2.5" style="402" hidden="1" customWidth="1"/>
    <col min="13096" max="13096" width="1.5" style="402" hidden="1" customWidth="1"/>
    <col min="13097" max="13312" width="2.5" style="402" hidden="1"/>
    <col min="13313" max="13313" width="1.5" style="402" hidden="1" customWidth="1"/>
    <col min="13314" max="13314" width="0.83203125" style="402" hidden="1" customWidth="1"/>
    <col min="13315" max="13330" width="2.5" style="402" hidden="1" customWidth="1"/>
    <col min="13331" max="13331" width="4" style="402" hidden="1" customWidth="1"/>
    <col min="13332" max="13351" width="2.5" style="402" hidden="1" customWidth="1"/>
    <col min="13352" max="13352" width="1.5" style="402" hidden="1" customWidth="1"/>
    <col min="13353" max="13568" width="2.5" style="402" hidden="1"/>
    <col min="13569" max="13569" width="1.5" style="402" hidden="1" customWidth="1"/>
    <col min="13570" max="13570" width="0.83203125" style="402" hidden="1" customWidth="1"/>
    <col min="13571" max="13586" width="2.5" style="402" hidden="1" customWidth="1"/>
    <col min="13587" max="13587" width="4" style="402" hidden="1" customWidth="1"/>
    <col min="13588" max="13607" width="2.5" style="402" hidden="1" customWidth="1"/>
    <col min="13608" max="13608" width="1.5" style="402" hidden="1" customWidth="1"/>
    <col min="13609" max="13824" width="2.5" style="402" hidden="1"/>
    <col min="13825" max="13825" width="1.5" style="402" hidden="1" customWidth="1"/>
    <col min="13826" max="13826" width="0.83203125" style="402" hidden="1" customWidth="1"/>
    <col min="13827" max="13842" width="2.5" style="402" hidden="1" customWidth="1"/>
    <col min="13843" max="13843" width="4" style="402" hidden="1" customWidth="1"/>
    <col min="13844" max="13863" width="2.5" style="402" hidden="1" customWidth="1"/>
    <col min="13864" max="13864" width="1.5" style="402" hidden="1" customWidth="1"/>
    <col min="13865" max="14080" width="2.5" style="402" hidden="1"/>
    <col min="14081" max="14081" width="1.5" style="402" hidden="1" customWidth="1"/>
    <col min="14082" max="14082" width="0.83203125" style="402" hidden="1" customWidth="1"/>
    <col min="14083" max="14098" width="2.5" style="402" hidden="1" customWidth="1"/>
    <col min="14099" max="14099" width="4" style="402" hidden="1" customWidth="1"/>
    <col min="14100" max="14119" width="2.5" style="402" hidden="1" customWidth="1"/>
    <col min="14120" max="14120" width="1.5" style="402" hidden="1" customWidth="1"/>
    <col min="14121" max="14336" width="2.5" style="402" hidden="1"/>
    <col min="14337" max="14337" width="1.5" style="402" hidden="1" customWidth="1"/>
    <col min="14338" max="14338" width="0.83203125" style="402" hidden="1" customWidth="1"/>
    <col min="14339" max="14354" width="2.5" style="402" hidden="1" customWidth="1"/>
    <col min="14355" max="14355" width="4" style="402" hidden="1" customWidth="1"/>
    <col min="14356" max="14375" width="2.5" style="402" hidden="1" customWidth="1"/>
    <col min="14376" max="14376" width="1.5" style="402" hidden="1" customWidth="1"/>
    <col min="14377" max="14592" width="2.5" style="402" hidden="1"/>
    <col min="14593" max="14593" width="1.5" style="402" hidden="1" customWidth="1"/>
    <col min="14594" max="14594" width="0.83203125" style="402" hidden="1" customWidth="1"/>
    <col min="14595" max="14610" width="2.5" style="402" hidden="1" customWidth="1"/>
    <col min="14611" max="14611" width="4" style="402" hidden="1" customWidth="1"/>
    <col min="14612" max="14631" width="2.5" style="402" hidden="1" customWidth="1"/>
    <col min="14632" max="14632" width="1.5" style="402" hidden="1" customWidth="1"/>
    <col min="14633" max="14848" width="2.5" style="402" hidden="1"/>
    <col min="14849" max="14849" width="1.5" style="402" hidden="1" customWidth="1"/>
    <col min="14850" max="14850" width="0.83203125" style="402" hidden="1" customWidth="1"/>
    <col min="14851" max="14866" width="2.5" style="402" hidden="1" customWidth="1"/>
    <col min="14867" max="14867" width="4" style="402" hidden="1" customWidth="1"/>
    <col min="14868" max="14887" width="2.5" style="402" hidden="1" customWidth="1"/>
    <col min="14888" max="14888" width="1.5" style="402" hidden="1" customWidth="1"/>
    <col min="14889" max="15104" width="2.5" style="402" hidden="1"/>
    <col min="15105" max="15105" width="1.5" style="402" hidden="1" customWidth="1"/>
    <col min="15106" max="15106" width="0.83203125" style="402" hidden="1" customWidth="1"/>
    <col min="15107" max="15122" width="2.5" style="402" hidden="1" customWidth="1"/>
    <col min="15123" max="15123" width="4" style="402" hidden="1" customWidth="1"/>
    <col min="15124" max="15143" width="2.5" style="402" hidden="1" customWidth="1"/>
    <col min="15144" max="15144" width="1.5" style="402" hidden="1" customWidth="1"/>
    <col min="15145" max="15360" width="2.5" style="402" hidden="1"/>
    <col min="15361" max="15361" width="1.5" style="402" hidden="1" customWidth="1"/>
    <col min="15362" max="15362" width="0.83203125" style="402" hidden="1" customWidth="1"/>
    <col min="15363" max="15378" width="2.5" style="402" hidden="1" customWidth="1"/>
    <col min="15379" max="15379" width="4" style="402" hidden="1" customWidth="1"/>
    <col min="15380" max="15399" width="2.5" style="402" hidden="1" customWidth="1"/>
    <col min="15400" max="15400" width="1.5" style="402" hidden="1" customWidth="1"/>
    <col min="15401" max="15616" width="2.5" style="402" hidden="1"/>
    <col min="15617" max="15617" width="1.5" style="402" hidden="1" customWidth="1"/>
    <col min="15618" max="15618" width="0.83203125" style="402" hidden="1" customWidth="1"/>
    <col min="15619" max="15634" width="2.5" style="402" hidden="1" customWidth="1"/>
    <col min="15635" max="15635" width="4" style="402" hidden="1" customWidth="1"/>
    <col min="15636" max="15655" width="2.5" style="402" hidden="1" customWidth="1"/>
    <col min="15656" max="15656" width="1.5" style="402" hidden="1" customWidth="1"/>
    <col min="15657" max="15872" width="2.5" style="402" hidden="1"/>
    <col min="15873" max="15873" width="1.5" style="402" hidden="1" customWidth="1"/>
    <col min="15874" max="15874" width="0.83203125" style="402" hidden="1" customWidth="1"/>
    <col min="15875" max="15890" width="2.5" style="402" hidden="1" customWidth="1"/>
    <col min="15891" max="15891" width="4" style="402" hidden="1" customWidth="1"/>
    <col min="15892" max="15911" width="2.5" style="402" hidden="1" customWidth="1"/>
    <col min="15912" max="15912" width="1.5" style="402" hidden="1" customWidth="1"/>
    <col min="15913" max="16128" width="2.5" style="402" hidden="1"/>
    <col min="16129" max="16129" width="1.5" style="402" hidden="1" customWidth="1"/>
    <col min="16130" max="16130" width="0.83203125" style="402" hidden="1" customWidth="1"/>
    <col min="16131" max="16146" width="2.5" style="402" hidden="1" customWidth="1"/>
    <col min="16147" max="16147" width="4" style="402" hidden="1" customWidth="1"/>
    <col min="16148" max="16167" width="2.5" style="402" hidden="1" customWidth="1"/>
    <col min="16168" max="16168" width="1.5" style="402" hidden="1" customWidth="1"/>
    <col min="16169" max="16384" width="2.5" style="402" hidden="1"/>
  </cols>
  <sheetData>
    <row r="1" spans="1:40" ht="13" customHeight="1">
      <c r="A1" s="2361" t="s">
        <v>1280</v>
      </c>
      <c r="B1" s="2361"/>
      <c r="C1" s="2361"/>
      <c r="D1" s="2361"/>
      <c r="E1" s="2361"/>
      <c r="F1" s="2361"/>
      <c r="G1" s="2361"/>
      <c r="H1" s="2361"/>
      <c r="I1" s="2361"/>
      <c r="J1" s="2361"/>
      <c r="K1" s="2361"/>
      <c r="L1" s="2361"/>
      <c r="M1" s="2361"/>
      <c r="N1" s="2361"/>
      <c r="O1" s="2361"/>
      <c r="P1" s="2361"/>
      <c r="Q1" s="2361"/>
      <c r="R1" s="2361"/>
      <c r="S1" s="2361"/>
      <c r="T1" s="2361"/>
      <c r="U1" s="2361"/>
      <c r="V1" s="2361"/>
      <c r="W1" s="2361"/>
      <c r="X1" s="2361"/>
      <c r="Y1" s="2361"/>
      <c r="Z1" s="2361"/>
      <c r="AA1" s="2361"/>
      <c r="AB1" s="2361"/>
      <c r="AC1" s="2361"/>
      <c r="AD1" s="2361"/>
      <c r="AE1" s="2361"/>
      <c r="AF1" s="2361"/>
      <c r="AG1" s="2361"/>
      <c r="AH1" s="2361"/>
      <c r="AI1" s="2361"/>
      <c r="AJ1" s="2361"/>
      <c r="AK1" s="2361"/>
      <c r="AL1" s="2361"/>
      <c r="AM1" s="2361"/>
      <c r="AN1" s="2361"/>
    </row>
    <row r="2" spans="1:40" ht="13" customHeight="1" thickBot="1">
      <c r="A2" s="2362"/>
      <c r="B2" s="2362"/>
      <c r="C2" s="2362"/>
      <c r="D2" s="2362"/>
      <c r="E2" s="2362"/>
      <c r="F2" s="2362"/>
      <c r="G2" s="2362"/>
      <c r="H2" s="2362"/>
      <c r="I2" s="2362"/>
      <c r="J2" s="2362"/>
      <c r="K2" s="2362"/>
      <c r="L2" s="2362"/>
      <c r="M2" s="2362"/>
      <c r="N2" s="2362"/>
      <c r="O2" s="2362"/>
      <c r="P2" s="2362"/>
      <c r="Q2" s="2362"/>
      <c r="R2" s="2362"/>
      <c r="S2" s="2362"/>
      <c r="T2" s="2362"/>
      <c r="U2" s="2362"/>
      <c r="V2" s="2362"/>
      <c r="W2" s="2362"/>
      <c r="X2" s="2362"/>
      <c r="Y2" s="2362"/>
      <c r="Z2" s="2362"/>
      <c r="AA2" s="2362"/>
      <c r="AB2" s="2362"/>
      <c r="AC2" s="2362"/>
      <c r="AD2" s="2362"/>
      <c r="AE2" s="2362"/>
      <c r="AF2" s="2362"/>
      <c r="AG2" s="2362"/>
      <c r="AH2" s="2362"/>
      <c r="AI2" s="2362"/>
      <c r="AJ2" s="2362"/>
      <c r="AK2" s="2362"/>
      <c r="AL2" s="2362"/>
      <c r="AM2" s="2362"/>
      <c r="AN2" s="2362"/>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318</v>
      </c>
      <c r="C5" s="404" t="s">
        <v>122</v>
      </c>
      <c r="F5" s="404"/>
    </row>
    <row r="6" spans="1:40" ht="13" customHeight="1">
      <c r="A6" s="404"/>
      <c r="C6" s="402" t="s">
        <v>1238</v>
      </c>
    </row>
    <row r="7" spans="1:40" ht="13" customHeight="1">
      <c r="B7" s="405"/>
      <c r="C7" s="406"/>
      <c r="D7" s="406"/>
      <c r="E7" s="406"/>
      <c r="F7" s="406"/>
      <c r="G7" s="406"/>
      <c r="H7" s="406"/>
      <c r="I7" s="406"/>
      <c r="J7" s="406"/>
      <c r="K7" s="406"/>
      <c r="L7" s="406"/>
      <c r="M7" s="406"/>
      <c r="N7" s="406"/>
      <c r="O7" s="406"/>
      <c r="P7" s="406"/>
      <c r="Q7" s="406"/>
      <c r="R7" s="406"/>
      <c r="S7" s="406"/>
      <c r="T7" s="2363" t="str">
        <f xml:space="preserve"> IF(T25=100%,'Sources and Basis Breakdown'!G2,'Sources and Basis Breakdown'!F2)</f>
        <v>30% PVC for New Const/
Rehabilitation
DDA/QCT
Building(s)</v>
      </c>
      <c r="U7" s="2363"/>
      <c r="V7" s="2363"/>
      <c r="W7" s="2363"/>
      <c r="X7" s="2363"/>
      <c r="Y7" s="2363" t="str">
        <f>IF(T25=100%,"",'Sources and Basis Breakdown'!G2)</f>
        <v>30% PVC for New Const/
Rehabilitation
NON-DDA/
NON-QCT Building(s)</v>
      </c>
      <c r="Z7" s="2363"/>
      <c r="AA7" s="2363"/>
      <c r="AB7" s="2363"/>
      <c r="AC7" s="2363"/>
      <c r="AD7" s="2363" t="str">
        <f xml:space="preserve"> IF(T25=100%, 'Sources and Basis Breakdown'!J2,'Sources and Basis Breakdown'!I2)</f>
        <v>30% PVC for Acquisition
DDA/QCT Building(s)</v>
      </c>
      <c r="AE7" s="2363"/>
      <c r="AF7" s="2363"/>
      <c r="AG7" s="2363"/>
      <c r="AH7" s="2363"/>
      <c r="AI7" s="2363" t="str">
        <f>IF(T25=100%,"",'Sources and Basis Breakdown'!J2)</f>
        <v>30% PVC for Acquisition
NON-DDA/
NON-QCT Building(s)</v>
      </c>
      <c r="AJ7" s="2363"/>
      <c r="AK7" s="2363"/>
      <c r="AL7" s="2363"/>
      <c r="AM7" s="2363"/>
    </row>
    <row r="8" spans="1:40" ht="13" customHeight="1">
      <c r="B8" s="407"/>
      <c r="T8" s="2363"/>
      <c r="U8" s="2363"/>
      <c r="V8" s="2363"/>
      <c r="W8" s="2363"/>
      <c r="X8" s="2363"/>
      <c r="Y8" s="2363"/>
      <c r="Z8" s="2363"/>
      <c r="AA8" s="2363"/>
      <c r="AB8" s="2363"/>
      <c r="AC8" s="2363"/>
      <c r="AD8" s="2363"/>
      <c r="AE8" s="2363"/>
      <c r="AF8" s="2363"/>
      <c r="AG8" s="2363"/>
      <c r="AH8" s="2363"/>
      <c r="AI8" s="2363"/>
      <c r="AJ8" s="2363"/>
      <c r="AK8" s="2363"/>
      <c r="AL8" s="2363"/>
      <c r="AM8" s="2363"/>
    </row>
    <row r="9" spans="1:40" ht="13" customHeight="1">
      <c r="B9" s="407"/>
      <c r="T9" s="2363"/>
      <c r="U9" s="2363"/>
      <c r="V9" s="2363"/>
      <c r="W9" s="2363"/>
      <c r="X9" s="2363"/>
      <c r="Y9" s="2363"/>
      <c r="Z9" s="2363"/>
      <c r="AA9" s="2363"/>
      <c r="AB9" s="2363"/>
      <c r="AC9" s="2363"/>
      <c r="AD9" s="2363"/>
      <c r="AE9" s="2363"/>
      <c r="AF9" s="2363"/>
      <c r="AG9" s="2363"/>
      <c r="AH9" s="2363"/>
      <c r="AI9" s="2363"/>
      <c r="AJ9" s="2363"/>
      <c r="AK9" s="2363"/>
      <c r="AL9" s="2363"/>
      <c r="AM9" s="2363"/>
    </row>
    <row r="10" spans="1:40" ht="13" customHeight="1">
      <c r="B10" s="408"/>
      <c r="C10" s="409"/>
      <c r="D10" s="409"/>
      <c r="E10" s="409"/>
      <c r="F10" s="409"/>
      <c r="G10" s="409"/>
      <c r="H10" s="409"/>
      <c r="I10" s="409"/>
      <c r="J10" s="409"/>
      <c r="K10" s="409"/>
      <c r="L10" s="409"/>
      <c r="M10" s="409"/>
      <c r="N10" s="409"/>
      <c r="O10" s="409"/>
      <c r="P10" s="409"/>
      <c r="Q10" s="409"/>
      <c r="R10" s="409"/>
      <c r="S10" s="409"/>
      <c r="T10" s="2363"/>
      <c r="U10" s="2363"/>
      <c r="V10" s="2363"/>
      <c r="W10" s="2363"/>
      <c r="X10" s="2363"/>
      <c r="Y10" s="2363"/>
      <c r="Z10" s="2363"/>
      <c r="AA10" s="2363"/>
      <c r="AB10" s="2363"/>
      <c r="AC10" s="2363"/>
      <c r="AD10" s="2363"/>
      <c r="AE10" s="2363"/>
      <c r="AF10" s="2363"/>
      <c r="AG10" s="2363"/>
      <c r="AH10" s="2363"/>
      <c r="AI10" s="2363"/>
      <c r="AJ10" s="2363"/>
      <c r="AK10" s="2363"/>
      <c r="AL10" s="2363"/>
      <c r="AM10" s="2363"/>
    </row>
    <row r="11" spans="1:40" ht="13" customHeight="1">
      <c r="B11" s="2342" t="s">
        <v>374</v>
      </c>
      <c r="C11" s="2343"/>
      <c r="D11" s="2343"/>
      <c r="E11" s="2343"/>
      <c r="F11" s="2343"/>
      <c r="G11" s="2343"/>
      <c r="H11" s="2343"/>
      <c r="I11" s="2343"/>
      <c r="J11" s="2343"/>
      <c r="K11" s="2343"/>
      <c r="L11" s="2343"/>
      <c r="M11" s="2343"/>
      <c r="N11" s="2343"/>
      <c r="O11" s="2343"/>
      <c r="P11" s="2343"/>
      <c r="Q11" s="2343"/>
      <c r="R11" s="2343"/>
      <c r="S11" s="2344"/>
      <c r="T11" s="2364">
        <f>IF('Sources and Basis Breakdown'!F107=0,'Sources and Basis Breakdown'!E107,'Sources and Basis Breakdown'!F107)</f>
        <v>58183073</v>
      </c>
      <c r="U11" s="2365"/>
      <c r="V11" s="2365"/>
      <c r="W11" s="2365"/>
      <c r="X11" s="2365"/>
      <c r="Y11" s="2364">
        <f>IF(Y7="",0,IF('Sources and Basis Breakdown'!G107+'Sources and Basis Breakdown'!F107='Sources and Basis Breakdown'!E107,'Sources and Basis Breakdown'!G107,0))</f>
        <v>0</v>
      </c>
      <c r="Z11" s="2365"/>
      <c r="AA11" s="2365"/>
      <c r="AB11" s="2365"/>
      <c r="AC11" s="2365"/>
      <c r="AD11" s="2365">
        <f>IF('Sources and Basis Breakdown'!I107=0,'Sources and Basis Breakdown'!H107,'Sources and Basis Breakdown'!I107)</f>
        <v>0</v>
      </c>
      <c r="AE11" s="2365"/>
      <c r="AF11" s="2365"/>
      <c r="AG11" s="2365"/>
      <c r="AH11" s="2365"/>
      <c r="AI11" s="2365">
        <f>IF(Y7="",0,IF('Sources and Basis Breakdown'!I107+'Sources and Basis Breakdown'!J107='Sources and Basis Breakdown'!H107,'Sources and Basis Breakdown'!J107,0))</f>
        <v>0</v>
      </c>
      <c r="AJ11" s="2365"/>
      <c r="AK11" s="2365"/>
      <c r="AL11" s="2365"/>
      <c r="AM11" s="2365"/>
    </row>
    <row r="12" spans="1:40" ht="13" customHeight="1">
      <c r="B12" s="2357" t="s">
        <v>497</v>
      </c>
      <c r="C12" s="1290"/>
      <c r="D12" s="1290"/>
      <c r="E12" s="1290"/>
      <c r="F12" s="1290"/>
      <c r="G12" s="1290"/>
      <c r="H12" s="1290"/>
      <c r="I12" s="1290"/>
      <c r="J12" s="1290"/>
      <c r="K12" s="1290"/>
      <c r="L12" s="1290"/>
      <c r="M12" s="1290"/>
      <c r="N12" s="1290"/>
      <c r="O12" s="1290"/>
      <c r="P12" s="1290"/>
      <c r="Q12" s="1290"/>
      <c r="R12" s="1290"/>
      <c r="S12" s="2358"/>
      <c r="T12" s="2330"/>
      <c r="U12" s="2331"/>
      <c r="V12" s="2331"/>
      <c r="W12" s="2331"/>
      <c r="X12" s="2332"/>
      <c r="Y12" s="2330"/>
      <c r="Z12" s="2331"/>
      <c r="AA12" s="2331"/>
      <c r="AB12" s="2331"/>
      <c r="AC12" s="2332"/>
      <c r="AD12" s="2330"/>
      <c r="AE12" s="2331"/>
      <c r="AF12" s="2331"/>
      <c r="AG12" s="2331"/>
      <c r="AH12" s="2332"/>
      <c r="AI12" s="2330"/>
      <c r="AJ12" s="2331"/>
      <c r="AK12" s="2331"/>
      <c r="AL12" s="2331"/>
      <c r="AM12" s="2332"/>
    </row>
    <row r="13" spans="1:40" ht="13" customHeight="1">
      <c r="B13" s="435"/>
      <c r="C13" s="2359" t="s">
        <v>498</v>
      </c>
      <c r="D13" s="2359"/>
      <c r="E13" s="2359"/>
      <c r="F13" s="2359"/>
      <c r="G13" s="2359"/>
      <c r="H13" s="2359"/>
      <c r="I13" s="2359"/>
      <c r="J13" s="2359"/>
      <c r="K13" s="2359"/>
      <c r="L13" s="2359"/>
      <c r="M13" s="2359"/>
      <c r="N13" s="2359"/>
      <c r="O13" s="2359"/>
      <c r="P13" s="2359"/>
      <c r="Q13" s="2359"/>
      <c r="R13" s="2359"/>
      <c r="S13" s="2360"/>
      <c r="T13" s="2366"/>
      <c r="U13" s="2367"/>
      <c r="V13" s="2367"/>
      <c r="W13" s="2367"/>
      <c r="X13" s="2367"/>
      <c r="Y13" s="2366"/>
      <c r="Z13" s="2367"/>
      <c r="AA13" s="2367"/>
      <c r="AB13" s="2367"/>
      <c r="AC13" s="2367"/>
      <c r="AD13" s="2367"/>
      <c r="AE13" s="2367"/>
      <c r="AF13" s="2367"/>
      <c r="AG13" s="2367"/>
      <c r="AH13" s="2367"/>
      <c r="AI13" s="2367"/>
      <c r="AJ13" s="2367"/>
      <c r="AK13" s="2367"/>
      <c r="AL13" s="2367"/>
      <c r="AM13" s="2367"/>
    </row>
    <row r="14" spans="1:40" ht="13" customHeight="1">
      <c r="B14" s="435"/>
      <c r="C14" s="2359" t="s">
        <v>499</v>
      </c>
      <c r="D14" s="2359"/>
      <c r="E14" s="2359"/>
      <c r="F14" s="2359"/>
      <c r="G14" s="2359"/>
      <c r="H14" s="2359"/>
      <c r="I14" s="2359"/>
      <c r="J14" s="2359"/>
      <c r="K14" s="2359"/>
      <c r="L14" s="2359"/>
      <c r="M14" s="2359"/>
      <c r="N14" s="2359"/>
      <c r="O14" s="2359"/>
      <c r="P14" s="2359"/>
      <c r="Q14" s="2359"/>
      <c r="R14" s="2359"/>
      <c r="S14" s="2360"/>
      <c r="T14" s="2333"/>
      <c r="U14" s="2334"/>
      <c r="V14" s="2334"/>
      <c r="W14" s="2334"/>
      <c r="X14" s="2334"/>
      <c r="Y14" s="2333"/>
      <c r="Z14" s="2334"/>
      <c r="AA14" s="2334"/>
      <c r="AB14" s="2334"/>
      <c r="AC14" s="2334"/>
      <c r="AD14" s="2334"/>
      <c r="AE14" s="2334"/>
      <c r="AF14" s="2334"/>
      <c r="AG14" s="2334"/>
      <c r="AH14" s="2334"/>
      <c r="AI14" s="2334"/>
      <c r="AJ14" s="2334"/>
      <c r="AK14" s="2334"/>
      <c r="AL14" s="2334"/>
      <c r="AM14" s="2334"/>
    </row>
    <row r="15" spans="1:40" ht="13" customHeight="1">
      <c r="B15" s="435"/>
      <c r="C15" s="2359" t="s">
        <v>500</v>
      </c>
      <c r="D15" s="2359"/>
      <c r="E15" s="2359"/>
      <c r="F15" s="2359"/>
      <c r="G15" s="2359"/>
      <c r="H15" s="2359"/>
      <c r="I15" s="2359"/>
      <c r="J15" s="2359"/>
      <c r="K15" s="2359"/>
      <c r="L15" s="2359"/>
      <c r="M15" s="2359"/>
      <c r="N15" s="2359"/>
      <c r="O15" s="2359"/>
      <c r="P15" s="2359"/>
      <c r="Q15" s="2359"/>
      <c r="R15" s="2359"/>
      <c r="S15" s="2360"/>
      <c r="T15" s="2333"/>
      <c r="U15" s="2334"/>
      <c r="V15" s="2334"/>
      <c r="W15" s="2334"/>
      <c r="X15" s="2334"/>
      <c r="Y15" s="2333"/>
      <c r="Z15" s="2334"/>
      <c r="AA15" s="2334"/>
      <c r="AB15" s="2334"/>
      <c r="AC15" s="2334"/>
      <c r="AD15" s="2334"/>
      <c r="AE15" s="2334"/>
      <c r="AF15" s="2334"/>
      <c r="AG15" s="2334"/>
      <c r="AH15" s="2334"/>
      <c r="AI15" s="2334"/>
      <c r="AJ15" s="2334"/>
      <c r="AK15" s="2334"/>
      <c r="AL15" s="2334"/>
      <c r="AM15" s="2334"/>
    </row>
    <row r="16" spans="1:40" ht="13" customHeight="1">
      <c r="B16" s="435"/>
      <c r="C16" s="2359" t="s">
        <v>805</v>
      </c>
      <c r="D16" s="2359"/>
      <c r="E16" s="2359"/>
      <c r="F16" s="2359"/>
      <c r="G16" s="2359"/>
      <c r="H16" s="2359"/>
      <c r="I16" s="2359"/>
      <c r="J16" s="2359"/>
      <c r="K16" s="2359"/>
      <c r="L16" s="2359"/>
      <c r="M16" s="2359"/>
      <c r="N16" s="2359"/>
      <c r="O16" s="2359"/>
      <c r="P16" s="2359"/>
      <c r="Q16" s="2359"/>
      <c r="R16" s="2359"/>
      <c r="S16" s="2360"/>
      <c r="T16" s="2333"/>
      <c r="U16" s="2334"/>
      <c r="V16" s="2334"/>
      <c r="W16" s="2334"/>
      <c r="X16" s="2334"/>
      <c r="Y16" s="2333"/>
      <c r="Z16" s="2334"/>
      <c r="AA16" s="2334"/>
      <c r="AB16" s="2334"/>
      <c r="AC16" s="2334"/>
      <c r="AD16" s="2334"/>
      <c r="AE16" s="2334"/>
      <c r="AF16" s="2334"/>
      <c r="AG16" s="2334"/>
      <c r="AH16" s="2334"/>
      <c r="AI16" s="2334"/>
      <c r="AJ16" s="2334"/>
      <c r="AK16" s="2334"/>
      <c r="AL16" s="2334"/>
      <c r="AM16" s="2334"/>
    </row>
    <row r="17" spans="1:40" ht="13" customHeight="1">
      <c r="B17" s="435"/>
      <c r="C17" s="2359" t="s">
        <v>501</v>
      </c>
      <c r="D17" s="2359"/>
      <c r="E17" s="2359"/>
      <c r="F17" s="2359"/>
      <c r="G17" s="2359"/>
      <c r="H17" s="2359"/>
      <c r="I17" s="2359"/>
      <c r="J17" s="2359"/>
      <c r="K17" s="2359"/>
      <c r="L17" s="2359"/>
      <c r="M17" s="2359"/>
      <c r="N17" s="2359"/>
      <c r="O17" s="2359"/>
      <c r="P17" s="2359"/>
      <c r="Q17" s="2359"/>
      <c r="R17" s="2359"/>
      <c r="S17" s="2360"/>
      <c r="T17" s="2333"/>
      <c r="U17" s="2334"/>
      <c r="V17" s="2334"/>
      <c r="W17" s="2334"/>
      <c r="X17" s="2334"/>
      <c r="Y17" s="2333"/>
      <c r="Z17" s="2334"/>
      <c r="AA17" s="2334"/>
      <c r="AB17" s="2334"/>
      <c r="AC17" s="2334"/>
      <c r="AD17" s="2334"/>
      <c r="AE17" s="2334"/>
      <c r="AF17" s="2334"/>
      <c r="AG17" s="2334"/>
      <c r="AH17" s="2334"/>
      <c r="AI17" s="2334"/>
      <c r="AJ17" s="2334"/>
      <c r="AK17" s="2334"/>
      <c r="AL17" s="2334"/>
      <c r="AM17" s="2334"/>
    </row>
    <row r="18" spans="1:40" ht="13" customHeight="1">
      <c r="A18"/>
      <c r="B18" s="1150"/>
      <c r="C18" s="1800" t="s">
        <v>960</v>
      </c>
      <c r="D18" s="1800"/>
      <c r="E18" s="1800"/>
      <c r="F18" s="1800"/>
      <c r="G18" s="1800"/>
      <c r="H18" s="1800"/>
      <c r="I18" s="1800"/>
      <c r="J18" s="1800"/>
      <c r="K18" s="1800"/>
      <c r="L18" s="1800"/>
      <c r="M18" s="1800"/>
      <c r="N18" s="1800"/>
      <c r="O18" s="1800"/>
      <c r="P18" s="1800"/>
      <c r="Q18" s="1800"/>
      <c r="R18" s="1800"/>
      <c r="S18" s="1801"/>
      <c r="T18" s="2333"/>
      <c r="U18" s="2334"/>
      <c r="V18" s="2334"/>
      <c r="W18" s="2334"/>
      <c r="X18" s="2334"/>
      <c r="Y18" s="2333"/>
      <c r="Z18" s="2334"/>
      <c r="AA18" s="2334"/>
      <c r="AB18" s="2334"/>
      <c r="AC18" s="2334"/>
      <c r="AD18" s="2334"/>
      <c r="AE18" s="2334"/>
      <c r="AF18" s="2334"/>
      <c r="AG18" s="2334"/>
      <c r="AH18" s="2334"/>
      <c r="AI18" s="2334"/>
      <c r="AJ18" s="2334"/>
      <c r="AK18" s="2334"/>
      <c r="AL18" s="2334"/>
      <c r="AM18" s="2334"/>
    </row>
    <row r="19" spans="1:40" ht="13" customHeight="1">
      <c r="B19" s="1150"/>
      <c r="C19" s="1800" t="s">
        <v>960</v>
      </c>
      <c r="D19" s="1800"/>
      <c r="E19" s="1800"/>
      <c r="F19" s="1800"/>
      <c r="G19" s="1800"/>
      <c r="H19" s="1800"/>
      <c r="I19" s="1800"/>
      <c r="J19" s="1800"/>
      <c r="K19" s="1800"/>
      <c r="L19" s="1800"/>
      <c r="M19" s="1800"/>
      <c r="N19" s="1800"/>
      <c r="O19" s="1800"/>
      <c r="P19" s="1800"/>
      <c r="Q19" s="1800"/>
      <c r="R19" s="1800"/>
      <c r="S19" s="1801"/>
      <c r="T19" s="2333"/>
      <c r="U19" s="2334"/>
      <c r="V19" s="2334"/>
      <c r="W19" s="2334"/>
      <c r="X19" s="2334"/>
      <c r="Y19" s="2333"/>
      <c r="Z19" s="2334"/>
      <c r="AA19" s="2334"/>
      <c r="AB19" s="2334"/>
      <c r="AC19" s="2334"/>
      <c r="AD19" s="2334"/>
      <c r="AE19" s="2334"/>
      <c r="AF19" s="2334"/>
      <c r="AG19" s="2334"/>
      <c r="AH19" s="2334"/>
      <c r="AI19" s="2334"/>
      <c r="AJ19" s="2334"/>
      <c r="AK19" s="2334"/>
      <c r="AL19" s="2334"/>
      <c r="AM19" s="2334"/>
    </row>
    <row r="20" spans="1:40" ht="13" customHeight="1">
      <c r="B20" s="2342" t="s">
        <v>502</v>
      </c>
      <c r="C20" s="2343"/>
      <c r="D20" s="2343"/>
      <c r="E20" s="2343"/>
      <c r="F20" s="2343"/>
      <c r="G20" s="2343"/>
      <c r="H20" s="2343"/>
      <c r="I20" s="2343"/>
      <c r="J20" s="2343"/>
      <c r="K20" s="2343"/>
      <c r="L20" s="2343"/>
      <c r="M20" s="2343"/>
      <c r="N20" s="2343"/>
      <c r="O20" s="2343"/>
      <c r="P20" s="2343"/>
      <c r="Q20" s="2343"/>
      <c r="R20" s="2343"/>
      <c r="S20" s="2344"/>
      <c r="T20" s="2335">
        <f>SUM(T13:X19)</f>
        <v>0</v>
      </c>
      <c r="U20" s="2336"/>
      <c r="V20" s="2336"/>
      <c r="W20" s="2336"/>
      <c r="X20" s="2336"/>
      <c r="Y20" s="2335">
        <f>SUM(Y13:AC19)</f>
        <v>0</v>
      </c>
      <c r="Z20" s="2336"/>
      <c r="AA20" s="2336"/>
      <c r="AB20" s="2336"/>
      <c r="AC20" s="2336"/>
      <c r="AD20" s="2337">
        <f>SUM(AD13:AH19)</f>
        <v>0</v>
      </c>
      <c r="AE20" s="2338"/>
      <c r="AF20" s="2338"/>
      <c r="AG20" s="2338"/>
      <c r="AH20" s="2335"/>
      <c r="AI20" s="2337">
        <f>SUM(AI13:AM19)</f>
        <v>0</v>
      </c>
      <c r="AJ20" s="2338"/>
      <c r="AK20" s="2338"/>
      <c r="AL20" s="2338"/>
      <c r="AM20" s="2335"/>
    </row>
    <row r="21" spans="1:40" ht="13" customHeight="1">
      <c r="B21" s="2342" t="s">
        <v>1263</v>
      </c>
      <c r="C21" s="2343"/>
      <c r="D21" s="2343"/>
      <c r="E21" s="2343"/>
      <c r="F21" s="2343"/>
      <c r="G21" s="2343"/>
      <c r="H21" s="2343"/>
      <c r="I21" s="2343"/>
      <c r="J21" s="2343"/>
      <c r="K21" s="2343"/>
      <c r="L21" s="2343"/>
      <c r="M21" s="2343"/>
      <c r="N21" s="2343"/>
      <c r="O21" s="2343"/>
      <c r="P21" s="2343"/>
      <c r="Q21" s="2343"/>
      <c r="R21" s="2343"/>
      <c r="S21" s="2344"/>
      <c r="T21" s="2333"/>
      <c r="U21" s="2334"/>
      <c r="V21" s="2334"/>
      <c r="W21" s="2334"/>
      <c r="X21" s="2334"/>
      <c r="Y21" s="2333"/>
      <c r="Z21" s="2334"/>
      <c r="AA21" s="2334"/>
      <c r="AB21" s="2334"/>
      <c r="AC21" s="2334"/>
      <c r="AD21" s="2330"/>
      <c r="AE21" s="2331"/>
      <c r="AF21" s="2331"/>
      <c r="AG21" s="2331"/>
      <c r="AH21" s="2332"/>
      <c r="AI21" s="2330"/>
      <c r="AJ21" s="2331"/>
      <c r="AK21" s="2331"/>
      <c r="AL21" s="2331"/>
      <c r="AM21" s="2332"/>
    </row>
    <row r="22" spans="1:40" ht="13" customHeight="1">
      <c r="B22" s="2342" t="s">
        <v>503</v>
      </c>
      <c r="C22" s="2343"/>
      <c r="D22" s="2343"/>
      <c r="E22" s="2343"/>
      <c r="F22" s="2343"/>
      <c r="G22" s="2343"/>
      <c r="H22" s="2343"/>
      <c r="I22" s="2343"/>
      <c r="J22" s="2343"/>
      <c r="K22" s="2343"/>
      <c r="L22" s="2343"/>
      <c r="M22" s="2343"/>
      <c r="N22" s="2343"/>
      <c r="O22" s="2343"/>
      <c r="P22" s="2343"/>
      <c r="Q22" s="2343"/>
      <c r="R22" s="2343"/>
      <c r="S22" s="2344"/>
      <c r="T22" s="2368">
        <f>(ABS(T20)+ABS(T21))*-1</f>
        <v>0</v>
      </c>
      <c r="U22" s="2369"/>
      <c r="V22" s="2369"/>
      <c r="W22" s="2369"/>
      <c r="X22" s="2369"/>
      <c r="Y22" s="2368">
        <f>(Y20+Y21)*-1</f>
        <v>0</v>
      </c>
      <c r="Z22" s="2369"/>
      <c r="AA22" s="2369"/>
      <c r="AB22" s="2369"/>
      <c r="AC22" s="2369"/>
      <c r="AD22" s="2370">
        <f>(AD20)*-1</f>
        <v>0</v>
      </c>
      <c r="AE22" s="2371"/>
      <c r="AF22" s="2371"/>
      <c r="AG22" s="2371"/>
      <c r="AH22" s="2368"/>
      <c r="AI22" s="2370">
        <f>(AI20)*-1</f>
        <v>0</v>
      </c>
      <c r="AJ22" s="2371"/>
      <c r="AK22" s="2371"/>
      <c r="AL22" s="2371"/>
      <c r="AM22" s="2368"/>
    </row>
    <row r="23" spans="1:40" ht="13" customHeight="1">
      <c r="B23" s="2342" t="s">
        <v>504</v>
      </c>
      <c r="C23" s="2343"/>
      <c r="D23" s="2343"/>
      <c r="E23" s="2343"/>
      <c r="F23" s="2343"/>
      <c r="G23" s="2343"/>
      <c r="H23" s="2343"/>
      <c r="I23" s="2343"/>
      <c r="J23" s="2343"/>
      <c r="K23" s="2343"/>
      <c r="L23" s="2343"/>
      <c r="M23" s="2343"/>
      <c r="N23" s="2343"/>
      <c r="O23" s="2343"/>
      <c r="P23" s="2343"/>
      <c r="Q23" s="2343"/>
      <c r="R23" s="2343"/>
      <c r="S23" s="2344"/>
      <c r="T23" s="2335">
        <f>T11+T22</f>
        <v>58183073</v>
      </c>
      <c r="U23" s="2336"/>
      <c r="V23" s="2336"/>
      <c r="W23" s="2336"/>
      <c r="X23" s="2336"/>
      <c r="Y23" s="2335">
        <f>Y11+Y22</f>
        <v>0</v>
      </c>
      <c r="Z23" s="2336"/>
      <c r="AA23" s="2336"/>
      <c r="AB23" s="2336"/>
      <c r="AC23" s="2336"/>
      <c r="AD23" s="2335">
        <f>AD11+AD22</f>
        <v>0</v>
      </c>
      <c r="AE23" s="2336"/>
      <c r="AF23" s="2336"/>
      <c r="AG23" s="2336"/>
      <c r="AH23" s="2336"/>
      <c r="AI23" s="2335">
        <f>AI11+AI22</f>
        <v>0</v>
      </c>
      <c r="AJ23" s="2336"/>
      <c r="AK23" s="2336"/>
      <c r="AL23" s="2336"/>
      <c r="AM23" s="2336"/>
    </row>
    <row r="24" spans="1:40" ht="13" customHeight="1">
      <c r="B24" s="2342" t="s">
        <v>961</v>
      </c>
      <c r="C24" s="2343"/>
      <c r="D24" s="2343"/>
      <c r="E24" s="2343"/>
      <c r="F24" s="2343"/>
      <c r="G24" s="2343"/>
      <c r="H24" s="2343"/>
      <c r="I24" s="2343"/>
      <c r="J24" s="2343"/>
      <c r="K24" s="2343"/>
      <c r="L24" s="2343"/>
      <c r="M24" s="2343"/>
      <c r="N24" s="2343"/>
      <c r="O24" s="2343"/>
      <c r="P24" s="2343"/>
      <c r="Q24" s="2343"/>
      <c r="R24" s="2343"/>
      <c r="S24" s="2344"/>
      <c r="T24" s="2337">
        <f>Application!AJ1053</f>
        <v>130989139.54000001</v>
      </c>
      <c r="U24" s="2338"/>
      <c r="V24" s="2338"/>
      <c r="W24" s="2338"/>
      <c r="X24" s="2338"/>
      <c r="Y24" s="2338"/>
      <c r="Z24" s="2338"/>
      <c r="AA24" s="2338"/>
      <c r="AB24" s="2338"/>
      <c r="AC24" s="2338"/>
      <c r="AD24" s="2338"/>
      <c r="AE24" s="2338"/>
      <c r="AF24" s="2338"/>
      <c r="AG24" s="2338"/>
      <c r="AH24" s="2338"/>
      <c r="AI24" s="2338"/>
      <c r="AJ24" s="2338"/>
      <c r="AK24" s="2338"/>
      <c r="AL24" s="2338"/>
      <c r="AM24" s="2335"/>
    </row>
    <row r="25" spans="1:40" ht="13" customHeight="1">
      <c r="B25" s="2346" t="s">
        <v>1264</v>
      </c>
      <c r="C25" s="2347"/>
      <c r="D25" s="2347"/>
      <c r="E25" s="2347"/>
      <c r="F25" s="2347"/>
      <c r="G25" s="2347"/>
      <c r="H25" s="2347"/>
      <c r="I25" s="2347"/>
      <c r="J25" s="2347"/>
      <c r="K25" s="2347"/>
      <c r="L25" s="2347"/>
      <c r="M25" s="2347"/>
      <c r="N25" s="2347"/>
      <c r="O25" s="2347"/>
      <c r="P25" s="2347"/>
      <c r="Q25" s="2347"/>
      <c r="R25" s="2347"/>
      <c r="S25" s="2348"/>
      <c r="T25" s="2372">
        <f>IF(OR(Application!T196="yes",Application!T195="yes"),1.3,1)</f>
        <v>1.3</v>
      </c>
      <c r="U25" s="2373"/>
      <c r="V25" s="2373"/>
      <c r="W25" s="2373"/>
      <c r="X25" s="2373"/>
      <c r="Y25" s="2372">
        <v>1</v>
      </c>
      <c r="Z25" s="2373"/>
      <c r="AA25" s="2373"/>
      <c r="AB25" s="2373"/>
      <c r="AC25" s="2373"/>
      <c r="AD25" s="2372">
        <v>1</v>
      </c>
      <c r="AE25" s="2373"/>
      <c r="AF25" s="2373"/>
      <c r="AG25" s="2373"/>
      <c r="AH25" s="2374"/>
      <c r="AI25" s="2372">
        <v>1</v>
      </c>
      <c r="AJ25" s="2373"/>
      <c r="AK25" s="2373"/>
      <c r="AL25" s="2373"/>
      <c r="AM25" s="2374"/>
    </row>
    <row r="26" spans="1:40" ht="13" customHeight="1">
      <c r="B26" s="2342" t="s">
        <v>505</v>
      </c>
      <c r="C26" s="2343"/>
      <c r="D26" s="2343"/>
      <c r="E26" s="2343"/>
      <c r="F26" s="2343"/>
      <c r="G26" s="2343"/>
      <c r="H26" s="2343"/>
      <c r="I26" s="2343"/>
      <c r="J26" s="2343"/>
      <c r="K26" s="2343"/>
      <c r="L26" s="2343"/>
      <c r="M26" s="2343"/>
      <c r="N26" s="2343"/>
      <c r="O26" s="2343"/>
      <c r="P26" s="2343"/>
      <c r="Q26" s="2343"/>
      <c r="R26" s="2343"/>
      <c r="S26" s="2344"/>
      <c r="T26" s="2335">
        <f>T23*T25</f>
        <v>75637994.900000006</v>
      </c>
      <c r="U26" s="2336"/>
      <c r="V26" s="2336"/>
      <c r="W26" s="2336"/>
      <c r="X26" s="2336"/>
      <c r="Y26" s="2335">
        <f>Y23*Y25</f>
        <v>0</v>
      </c>
      <c r="Z26" s="2336"/>
      <c r="AA26" s="2336"/>
      <c r="AB26" s="2336"/>
      <c r="AC26" s="2336"/>
      <c r="AD26" s="2335">
        <f>AD23*AD25</f>
        <v>0</v>
      </c>
      <c r="AE26" s="2336"/>
      <c r="AF26" s="2336"/>
      <c r="AG26" s="2336"/>
      <c r="AH26" s="2336"/>
      <c r="AI26" s="2335">
        <f>AI23*AI25</f>
        <v>0</v>
      </c>
      <c r="AJ26" s="2336"/>
      <c r="AK26" s="2336"/>
      <c r="AL26" s="2336"/>
      <c r="AM26" s="2336"/>
    </row>
    <row r="27" spans="1:40" ht="13" customHeight="1">
      <c r="A27" s="410"/>
      <c r="B27" s="2349" t="s">
        <v>425</v>
      </c>
      <c r="C27" s="2350"/>
      <c r="D27" s="2350"/>
      <c r="E27" s="2350"/>
      <c r="F27" s="2350"/>
      <c r="G27" s="2350"/>
      <c r="H27" s="2350"/>
      <c r="I27" s="2350"/>
      <c r="J27" s="2350"/>
      <c r="K27" s="2350"/>
      <c r="L27" s="2350"/>
      <c r="M27" s="2350"/>
      <c r="N27" s="2350"/>
      <c r="O27" s="2350"/>
      <c r="P27" s="2350"/>
      <c r="Q27" s="2350"/>
      <c r="R27" s="2350"/>
      <c r="S27" s="2351"/>
      <c r="T27" s="2355">
        <f>Application!$AG$445</f>
        <v>1</v>
      </c>
      <c r="U27" s="2356"/>
      <c r="V27" s="2356"/>
      <c r="W27" s="2356"/>
      <c r="X27" s="2356"/>
      <c r="Y27" s="2355">
        <f>Application!$AG$445</f>
        <v>1</v>
      </c>
      <c r="Z27" s="2356"/>
      <c r="AA27" s="2356"/>
      <c r="AB27" s="2356"/>
      <c r="AC27" s="2356"/>
      <c r="AD27" s="2355">
        <f>Application!$AG$445</f>
        <v>1</v>
      </c>
      <c r="AE27" s="2356"/>
      <c r="AF27" s="2356"/>
      <c r="AG27" s="2356"/>
      <c r="AH27" s="2356"/>
      <c r="AI27" s="2355">
        <f>Application!$AG$445</f>
        <v>1</v>
      </c>
      <c r="AJ27" s="2356"/>
      <c r="AK27" s="2356"/>
      <c r="AL27" s="2356"/>
      <c r="AM27" s="2356"/>
    </row>
    <row r="28" spans="1:40" ht="13" customHeight="1">
      <c r="A28" s="404"/>
      <c r="B28" s="2342" t="s">
        <v>506</v>
      </c>
      <c r="C28" s="2343"/>
      <c r="D28" s="2343"/>
      <c r="E28" s="2343"/>
      <c r="F28" s="2343"/>
      <c r="G28" s="2343"/>
      <c r="H28" s="2343"/>
      <c r="I28" s="2343"/>
      <c r="J28" s="2343"/>
      <c r="K28" s="2343"/>
      <c r="L28" s="2343"/>
      <c r="M28" s="2343"/>
      <c r="N28" s="2343"/>
      <c r="O28" s="2343"/>
      <c r="P28" s="2343"/>
      <c r="Q28" s="2343"/>
      <c r="R28" s="2343"/>
      <c r="S28" s="2344"/>
      <c r="T28" s="2335">
        <f>IF(ISERROR((T26*T27)),0,(T26*T27))</f>
        <v>75637994.900000006</v>
      </c>
      <c r="U28" s="2336"/>
      <c r="V28" s="2336"/>
      <c r="W28" s="2336"/>
      <c r="X28" s="2336"/>
      <c r="Y28" s="2335">
        <f>IF(ISERROR((Y26*Y27)),0,(Y26*Y27))</f>
        <v>0</v>
      </c>
      <c r="Z28" s="2336"/>
      <c r="AA28" s="2336"/>
      <c r="AB28" s="2336"/>
      <c r="AC28" s="2336"/>
      <c r="AD28" s="2335">
        <f>IF(ISERROR((AD26*AD27)),0,(AD26*AD27))</f>
        <v>0</v>
      </c>
      <c r="AE28" s="2336"/>
      <c r="AF28" s="2336"/>
      <c r="AG28" s="2336"/>
      <c r="AH28" s="2336"/>
      <c r="AI28" s="2335">
        <f>IF(ISERROR((AI26*AI27)),0,(AI26*AI27))</f>
        <v>0</v>
      </c>
      <c r="AJ28" s="2336"/>
      <c r="AK28" s="2336"/>
      <c r="AL28" s="2336"/>
      <c r="AM28" s="2336"/>
    </row>
    <row r="29" spans="1:40" ht="13" customHeight="1">
      <c r="B29" s="2342" t="s">
        <v>523</v>
      </c>
      <c r="C29" s="2343"/>
      <c r="D29" s="2343"/>
      <c r="E29" s="2343"/>
      <c r="F29" s="2343"/>
      <c r="G29" s="2343"/>
      <c r="H29" s="2343"/>
      <c r="I29" s="2343"/>
      <c r="J29" s="2343"/>
      <c r="K29" s="2343"/>
      <c r="L29" s="2343"/>
      <c r="M29" s="2343"/>
      <c r="N29" s="2343"/>
      <c r="O29" s="2343"/>
      <c r="P29" s="2343"/>
      <c r="Q29" s="2343"/>
      <c r="R29" s="2343"/>
      <c r="S29" s="2344"/>
      <c r="T29" s="2337">
        <f>T28+Y28+AD28+AI28</f>
        <v>75637994.900000006</v>
      </c>
      <c r="U29" s="2338"/>
      <c r="V29" s="2338"/>
      <c r="W29" s="2338"/>
      <c r="X29" s="2338"/>
      <c r="Y29" s="2338"/>
      <c r="Z29" s="2338"/>
      <c r="AA29" s="2338"/>
      <c r="AB29" s="2338"/>
      <c r="AC29" s="2338"/>
      <c r="AD29" s="2338"/>
      <c r="AE29" s="2338"/>
      <c r="AF29" s="2338"/>
      <c r="AG29" s="2338"/>
      <c r="AH29" s="2338"/>
      <c r="AI29" s="2338"/>
      <c r="AJ29" s="2338"/>
      <c r="AK29" s="2338"/>
      <c r="AL29" s="2338"/>
      <c r="AM29" s="2335"/>
    </row>
    <row r="30" spans="1:40" ht="13" customHeight="1">
      <c r="B30" s="2345" t="s">
        <v>1266</v>
      </c>
      <c r="C30" s="2345"/>
      <c r="D30" s="2345"/>
      <c r="E30" s="2345"/>
      <c r="F30" s="2345"/>
      <c r="G30" s="2345"/>
      <c r="H30" s="2345"/>
      <c r="I30" s="2345"/>
      <c r="J30" s="2345"/>
      <c r="K30" s="2345"/>
      <c r="L30" s="2345"/>
      <c r="M30" s="2345"/>
      <c r="N30" s="2345"/>
      <c r="O30" s="2345"/>
      <c r="P30" s="2345"/>
      <c r="Q30" s="2345"/>
      <c r="R30" s="2345"/>
      <c r="S30" s="2345"/>
      <c r="T30" s="2345"/>
      <c r="U30" s="2345"/>
      <c r="V30" s="2345"/>
      <c r="W30" s="2345"/>
      <c r="X30" s="2345"/>
      <c r="Y30" s="2345"/>
      <c r="Z30" s="2345"/>
      <c r="AA30" s="2345"/>
      <c r="AB30" s="2345"/>
      <c r="AC30" s="2345"/>
      <c r="AD30" s="2345"/>
      <c r="AE30" s="2345"/>
      <c r="AF30" s="2345"/>
      <c r="AG30" s="2345"/>
      <c r="AH30" s="2345"/>
      <c r="AI30" s="2345"/>
      <c r="AJ30" s="2345"/>
      <c r="AK30" s="2345"/>
      <c r="AL30" s="2345"/>
      <c r="AM30" s="2345"/>
    </row>
    <row r="31" spans="1:40" ht="13" customHeight="1">
      <c r="B31" s="2345" t="s">
        <v>1265</v>
      </c>
      <c r="C31" s="2345"/>
      <c r="D31" s="2345"/>
      <c r="E31" s="2345"/>
      <c r="F31" s="2345"/>
      <c r="G31" s="2345"/>
      <c r="H31" s="2345"/>
      <c r="I31" s="2345"/>
      <c r="J31" s="2345"/>
      <c r="K31" s="2345"/>
      <c r="L31" s="2345"/>
      <c r="M31" s="2345"/>
      <c r="N31" s="2345"/>
      <c r="O31" s="2345"/>
      <c r="P31" s="2345"/>
      <c r="Q31" s="2345"/>
      <c r="R31" s="2345"/>
      <c r="S31" s="2345"/>
      <c r="T31" s="2345"/>
      <c r="U31" s="2345"/>
      <c r="V31" s="2345"/>
      <c r="W31" s="2345"/>
      <c r="X31" s="2345"/>
      <c r="Y31" s="2345"/>
      <c r="Z31" s="2345"/>
      <c r="AA31" s="2345"/>
      <c r="AB31" s="2345"/>
      <c r="AC31" s="2345"/>
      <c r="AD31" s="2345"/>
      <c r="AE31" s="2345"/>
      <c r="AF31" s="2345"/>
      <c r="AG31" s="2345"/>
      <c r="AH31" s="2345"/>
      <c r="AI31" s="2345"/>
      <c r="AJ31" s="2345"/>
      <c r="AK31" s="2345"/>
      <c r="AL31" s="2345"/>
      <c r="AM31" s="2345"/>
      <c r="AN31" s="518"/>
    </row>
    <row r="32" spans="1:40" ht="13"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 customHeight="1">
      <c r="A34" s="404" t="s">
        <v>576</v>
      </c>
      <c r="C34" s="404" t="s">
        <v>568</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3" t="s">
        <v>1154</v>
      </c>
      <c r="Z35" s="2363"/>
      <c r="AA35" s="2363"/>
      <c r="AB35" s="2363"/>
      <c r="AC35" s="2363"/>
      <c r="AD35" s="2383" t="s">
        <v>368</v>
      </c>
      <c r="AE35" s="2383"/>
      <c r="AF35" s="2383"/>
      <c r="AG35" s="2383"/>
      <c r="AH35" s="2383"/>
    </row>
    <row r="36" spans="1:76" ht="13" customHeight="1">
      <c r="B36" s="407"/>
      <c r="X36" s="412"/>
      <c r="Y36" s="2363"/>
      <c r="Z36" s="2363"/>
      <c r="AA36" s="2363"/>
      <c r="AB36" s="2363"/>
      <c r="AC36" s="2363"/>
      <c r="AD36" s="2383"/>
      <c r="AE36" s="2383"/>
      <c r="AF36" s="2383"/>
      <c r="AG36" s="2383"/>
      <c r="AH36" s="2383"/>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3"/>
      <c r="Z37" s="2363"/>
      <c r="AA37" s="2363"/>
      <c r="AB37" s="2363"/>
      <c r="AC37" s="2363"/>
      <c r="AD37" s="2383"/>
      <c r="AE37" s="2383"/>
      <c r="AF37" s="2383"/>
      <c r="AG37" s="2383"/>
      <c r="AH37" s="2383"/>
    </row>
    <row r="38" spans="1:76" ht="13" customHeight="1">
      <c r="A38" s="404"/>
      <c r="B38" s="2342" t="s">
        <v>506</v>
      </c>
      <c r="C38" s="2343"/>
      <c r="D38" s="2343"/>
      <c r="E38" s="2343"/>
      <c r="F38" s="2343"/>
      <c r="G38" s="2343"/>
      <c r="H38" s="2343"/>
      <c r="I38" s="2343"/>
      <c r="J38" s="2343"/>
      <c r="K38" s="2343"/>
      <c r="L38" s="2343"/>
      <c r="M38" s="2343"/>
      <c r="N38" s="2343"/>
      <c r="O38" s="2343"/>
      <c r="P38" s="2343"/>
      <c r="Q38" s="2343"/>
      <c r="R38" s="2343"/>
      <c r="S38" s="2343"/>
      <c r="T38" s="2343"/>
      <c r="U38" s="2343"/>
      <c r="V38" s="2343"/>
      <c r="W38" s="2343"/>
      <c r="X38" s="2344"/>
      <c r="Y38" s="2336">
        <f>IF(T24&gt;=(T23+Y23+AD23+AI23),T28+Y28,0)</f>
        <v>75637994.900000006</v>
      </c>
      <c r="Z38" s="2336"/>
      <c r="AA38" s="2336"/>
      <c r="AB38" s="2336"/>
      <c r="AC38" s="2336"/>
      <c r="AD38" s="2336">
        <f>IF(T24&gt;=(T23+Y23+AD23+AI23),AD28+AI28,0)</f>
        <v>0</v>
      </c>
      <c r="AE38" s="2336"/>
      <c r="AF38" s="2336"/>
      <c r="AG38" s="2336"/>
      <c r="AH38" s="2336"/>
    </row>
    <row r="39" spans="1:76" ht="13" customHeight="1">
      <c r="B39" s="2342" t="s">
        <v>1691</v>
      </c>
      <c r="C39" s="2343"/>
      <c r="D39" s="2343"/>
      <c r="E39" s="2343"/>
      <c r="F39" s="2343"/>
      <c r="G39" s="2343"/>
      <c r="H39" s="2343"/>
      <c r="I39" s="2343"/>
      <c r="J39" s="2343"/>
      <c r="K39" s="2343"/>
      <c r="L39" s="2343"/>
      <c r="M39" s="2343"/>
      <c r="N39" s="2343"/>
      <c r="O39" s="2343"/>
      <c r="P39" s="2343"/>
      <c r="Q39" s="2343"/>
      <c r="R39" s="2343"/>
      <c r="S39" s="2343"/>
      <c r="T39" s="2343"/>
      <c r="U39" s="2343"/>
      <c r="V39" s="2343"/>
      <c r="W39" s="2343"/>
      <c r="X39" s="2344"/>
      <c r="Y39" s="2384">
        <v>0.04</v>
      </c>
      <c r="Z39" s="2384"/>
      <c r="AA39" s="2384"/>
      <c r="AB39" s="2384"/>
      <c r="AC39" s="2384"/>
      <c r="AD39" s="2384">
        <v>0.04</v>
      </c>
      <c r="AE39" s="2384"/>
      <c r="AF39" s="2384"/>
      <c r="AG39" s="2384"/>
      <c r="AH39" s="2384"/>
    </row>
    <row r="40" spans="1:76" ht="13" customHeight="1">
      <c r="A40" s="404"/>
      <c r="B40" s="2342" t="s">
        <v>642</v>
      </c>
      <c r="C40" s="2343"/>
      <c r="D40" s="2343"/>
      <c r="E40" s="2343"/>
      <c r="F40" s="2343"/>
      <c r="G40" s="2343"/>
      <c r="H40" s="2343"/>
      <c r="I40" s="2343"/>
      <c r="J40" s="2343"/>
      <c r="K40" s="2343"/>
      <c r="L40" s="2343"/>
      <c r="M40" s="2343"/>
      <c r="N40" s="2343"/>
      <c r="O40" s="2343"/>
      <c r="P40" s="2343"/>
      <c r="Q40" s="2343"/>
      <c r="R40" s="2343"/>
      <c r="S40" s="2343"/>
      <c r="T40" s="2343"/>
      <c r="U40" s="2343"/>
      <c r="V40" s="2343"/>
      <c r="W40" s="2343"/>
      <c r="X40" s="2344"/>
      <c r="Y40" s="2336">
        <f>ROUND(Y38*Y39,0)</f>
        <v>3025520</v>
      </c>
      <c r="Z40" s="2336"/>
      <c r="AA40" s="2336"/>
      <c r="AB40" s="2336"/>
      <c r="AC40" s="2336"/>
      <c r="AD40" s="2335">
        <f>ROUND(AD38*AD39,0)</f>
        <v>0</v>
      </c>
      <c r="AE40" s="2336"/>
      <c r="AF40" s="2336"/>
      <c r="AG40" s="2336"/>
      <c r="AH40" s="2336"/>
    </row>
    <row r="41" spans="1:76" ht="13" customHeight="1">
      <c r="B41" s="2342" t="s">
        <v>643</v>
      </c>
      <c r="C41" s="2343"/>
      <c r="D41" s="2343"/>
      <c r="E41" s="2343"/>
      <c r="F41" s="2343"/>
      <c r="G41" s="2343"/>
      <c r="H41" s="2343"/>
      <c r="I41" s="2343"/>
      <c r="J41" s="2343"/>
      <c r="K41" s="2343"/>
      <c r="L41" s="2343"/>
      <c r="M41" s="2343"/>
      <c r="N41" s="2343"/>
      <c r="O41" s="2343"/>
      <c r="P41" s="2343"/>
      <c r="Q41" s="2343"/>
      <c r="R41" s="2343"/>
      <c r="S41" s="2343"/>
      <c r="T41" s="2343"/>
      <c r="U41" s="2343"/>
      <c r="V41" s="2343"/>
      <c r="W41" s="2343"/>
      <c r="X41" s="2344"/>
      <c r="Y41" s="2337">
        <f>Y40+AD40</f>
        <v>3025520</v>
      </c>
      <c r="Z41" s="2338"/>
      <c r="AA41" s="2338"/>
      <c r="AB41" s="2338"/>
      <c r="AC41" s="2338"/>
      <c r="AD41" s="2338"/>
      <c r="AE41" s="2338"/>
      <c r="AF41" s="2338"/>
      <c r="AG41" s="2338"/>
      <c r="AH41" s="2335"/>
    </row>
    <row r="42" spans="1:76" ht="13"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40" t="s">
        <v>1276</v>
      </c>
      <c r="B44" s="2340"/>
      <c r="C44" s="2340"/>
      <c r="D44" s="2340"/>
      <c r="E44" s="2340"/>
      <c r="F44" s="2340"/>
      <c r="G44" s="2340"/>
      <c r="H44" s="2340"/>
      <c r="I44" s="2340"/>
      <c r="J44" s="2340"/>
      <c r="K44" s="2340"/>
      <c r="L44" s="2340"/>
      <c r="M44" s="2340"/>
      <c r="N44" s="2340"/>
      <c r="O44" s="2340"/>
      <c r="P44" s="2340"/>
      <c r="Q44" s="2340"/>
      <c r="R44" s="2340"/>
      <c r="S44" s="2340"/>
      <c r="T44" s="2340"/>
      <c r="U44" s="2340"/>
      <c r="V44" s="2340"/>
      <c r="W44" s="2340"/>
      <c r="X44" s="2340"/>
      <c r="Y44" s="2340"/>
      <c r="Z44" s="2340"/>
      <c r="AA44" s="2340"/>
      <c r="AB44" s="2340"/>
      <c r="AC44" s="2340"/>
      <c r="AD44" s="2340"/>
      <c r="AE44" s="2340"/>
      <c r="AF44" s="2340"/>
      <c r="AG44" s="2340"/>
      <c r="AH44" s="2340"/>
      <c r="AI44" s="2340"/>
      <c r="AJ44" s="2340"/>
      <c r="AK44" s="2340"/>
      <c r="AL44" s="2340"/>
      <c r="AM44" s="2340"/>
      <c r="AN44" s="2340"/>
      <c r="AO44" s="2340"/>
      <c r="AP44" s="2340"/>
      <c r="AQ44" s="2340"/>
      <c r="AR44" s="2340"/>
      <c r="AS44" s="2340"/>
      <c r="AT44" s="2340"/>
      <c r="AU44" s="2340"/>
      <c r="AV44" s="2340"/>
      <c r="AW44" s="2340"/>
      <c r="AX44" s="2340"/>
      <c r="AY44" s="2340"/>
      <c r="AZ44" s="2340"/>
      <c r="BA44" s="2340"/>
      <c r="BB44" s="2340"/>
      <c r="BC44" s="2340"/>
      <c r="BD44" s="2340"/>
      <c r="BE44" s="2340"/>
      <c r="BF44" s="2340"/>
      <c r="BG44" s="2340"/>
      <c r="BH44" s="2340"/>
      <c r="BI44" s="2340"/>
      <c r="BJ44" s="2340"/>
      <c r="BK44" s="2340"/>
      <c r="BL44" s="2340"/>
      <c r="BM44" s="2340"/>
      <c r="BN44" s="2340"/>
      <c r="BO44" s="2340"/>
      <c r="BP44" s="2340"/>
      <c r="BQ44" s="2340"/>
      <c r="BR44" s="2340"/>
      <c r="BS44" s="2340"/>
      <c r="BT44" s="2340"/>
      <c r="BU44" s="2340"/>
      <c r="BV44" s="2340"/>
      <c r="BW44" s="2340"/>
      <c r="BX44" s="2340"/>
    </row>
    <row r="45" spans="1:76" s="204" customFormat="1" ht="13" customHeight="1" thickTop="1"/>
    <row r="46" spans="1:76" ht="13" customHeight="1">
      <c r="A46" s="404" t="s">
        <v>586</v>
      </c>
      <c r="C46" s="404" t="s">
        <v>281</v>
      </c>
    </row>
    <row r="47" spans="1:76" ht="13" customHeight="1">
      <c r="D47" s="404" t="s">
        <v>282</v>
      </c>
      <c r="AB47" s="2352">
        <f>'Sources and Uses Budget'!B105-MAX(IF('Sources and Uses Budget'!B15="",0,'Sources and Uses Budget'!B15),IF(Application!AG394="",0,Application!AG394))</f>
        <v>71309476</v>
      </c>
      <c r="AC47" s="2353"/>
      <c r="AD47" s="2353"/>
      <c r="AE47" s="2353"/>
      <c r="AF47" s="2354"/>
    </row>
    <row r="48" spans="1:76" ht="13" customHeight="1">
      <c r="D48" s="404" t="s">
        <v>21</v>
      </c>
      <c r="AB48" s="2352">
        <f>Application!AO639-MAX(IF('Sources and Uses Budget'!B15="",0,'Sources and Uses Budget'!B15),IF(Application!AG394="",0,Application!AG394))</f>
        <v>44082521</v>
      </c>
      <c r="AC48" s="2353"/>
      <c r="AD48" s="2353"/>
      <c r="AE48" s="2353"/>
      <c r="AF48" s="2354"/>
    </row>
    <row r="49" spans="1:76" ht="13" customHeight="1">
      <c r="D49" s="404" t="s">
        <v>91</v>
      </c>
      <c r="AB49" s="2352">
        <f>AB47-AB48</f>
        <v>27226955</v>
      </c>
      <c r="AC49" s="2353"/>
      <c r="AD49" s="2353"/>
      <c r="AE49" s="2353"/>
      <c r="AF49" s="2354"/>
    </row>
    <row r="50" spans="1:76" ht="13" customHeight="1">
      <c r="D50" s="404" t="s">
        <v>681</v>
      </c>
      <c r="AA50" s="415"/>
      <c r="AB50" s="2379">
        <f>AB49/30255200</f>
        <v>0.89990993283799148</v>
      </c>
      <c r="AC50" s="2380"/>
      <c r="AD50" s="2380"/>
      <c r="AE50" s="2380"/>
      <c r="AF50" s="2381"/>
    </row>
    <row r="51" spans="1:76" s="417" customFormat="1" ht="13" customHeight="1">
      <c r="A51" s="402"/>
      <c r="B51" s="402"/>
      <c r="C51" s="402"/>
      <c r="D51" s="402"/>
      <c r="E51" s="2382" t="s">
        <v>2607</v>
      </c>
      <c r="F51" s="2382"/>
      <c r="G51" s="2382"/>
      <c r="H51" s="2382"/>
      <c r="I51" s="2382"/>
      <c r="J51" s="2382"/>
      <c r="K51" s="2382"/>
      <c r="L51" s="2382"/>
      <c r="M51" s="2382"/>
      <c r="N51" s="2382"/>
      <c r="O51" s="2382"/>
      <c r="P51" s="2382"/>
      <c r="Q51" s="2382"/>
      <c r="R51" s="2382"/>
      <c r="S51" s="2382"/>
      <c r="T51" s="2382"/>
      <c r="U51" s="2382"/>
      <c r="V51" s="2382"/>
      <c r="W51" s="2382"/>
      <c r="X51" s="2382"/>
      <c r="Y51" s="2382"/>
      <c r="Z51" s="2382"/>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82"/>
      <c r="F52" s="2382"/>
      <c r="G52" s="2382"/>
      <c r="H52" s="2382"/>
      <c r="I52" s="2382"/>
      <c r="J52" s="2382"/>
      <c r="K52" s="2382"/>
      <c r="L52" s="2382"/>
      <c r="M52" s="2382"/>
      <c r="N52" s="2382"/>
      <c r="O52" s="2382"/>
      <c r="P52" s="2382"/>
      <c r="Q52" s="2382"/>
      <c r="R52" s="2382"/>
      <c r="S52" s="2382"/>
      <c r="T52" s="2382"/>
      <c r="U52" s="2382"/>
      <c r="V52" s="2382"/>
      <c r="W52" s="2382"/>
      <c r="X52" s="2382"/>
      <c r="Y52" s="2382"/>
      <c r="Z52" s="2382"/>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331</v>
      </c>
      <c r="AB54" s="2352">
        <f>ROUND(IF(ISERROR((AB49/AB50)),0,(AB49/AB50)),0)</f>
        <v>30255200</v>
      </c>
      <c r="AC54" s="2353"/>
      <c r="AD54" s="2353"/>
      <c r="AE54" s="2353"/>
      <c r="AF54" s="2354"/>
    </row>
    <row r="55" spans="1:76" ht="13" customHeight="1">
      <c r="D55" s="404" t="s">
        <v>332</v>
      </c>
      <c r="AB55" s="2352">
        <f>(AB54/10)</f>
        <v>3025520</v>
      </c>
      <c r="AC55" s="2353"/>
      <c r="AD55" s="2353"/>
      <c r="AE55" s="2353"/>
      <c r="AF55" s="2354"/>
    </row>
    <row r="56" spans="1:76" ht="13" customHeight="1">
      <c r="D56" s="404" t="s">
        <v>756</v>
      </c>
      <c r="AB56" s="2352">
        <f>ROUND((IF((Y41&lt;AB55),Y41,AB55)),0)</f>
        <v>3025520</v>
      </c>
      <c r="AC56" s="2353"/>
      <c r="AD56" s="2353"/>
      <c r="AE56" s="2353"/>
      <c r="AF56" s="2354"/>
    </row>
    <row r="57" spans="1:76" ht="13" customHeight="1">
      <c r="D57" s="404" t="s">
        <v>755</v>
      </c>
      <c r="AB57" s="2352">
        <f>ROUND((10*AB56*AB50),0)</f>
        <v>27226955</v>
      </c>
      <c r="AC57" s="2353"/>
      <c r="AD57" s="2353"/>
      <c r="AE57" s="2353"/>
      <c r="AF57" s="2354"/>
    </row>
    <row r="58" spans="1:76" ht="13" customHeight="1">
      <c r="D58" s="404"/>
      <c r="AB58" s="423"/>
      <c r="AC58" s="423"/>
      <c r="AD58" s="423"/>
      <c r="AE58" s="423"/>
      <c r="AF58" s="423"/>
    </row>
    <row r="59" spans="1:76" ht="13" customHeight="1">
      <c r="D59" s="404" t="s">
        <v>754</v>
      </c>
      <c r="AB59" s="2375">
        <f>AB49-AB57</f>
        <v>0</v>
      </c>
      <c r="AC59" s="2375"/>
      <c r="AD59" s="2375"/>
      <c r="AE59" s="2375"/>
      <c r="AF59" s="2375"/>
    </row>
    <row r="60" spans="1:76" ht="13" customHeight="1">
      <c r="D60" s="404"/>
      <c r="AB60" s="423"/>
      <c r="AC60" s="423"/>
      <c r="AD60" s="423"/>
      <c r="AE60" s="423"/>
      <c r="AF60" s="423"/>
    </row>
    <row r="61" spans="1:76" s="204" customFormat="1" ht="13" customHeight="1" thickBot="1">
      <c r="A61" s="2340" t="str">
        <f>IF(Application!AP205="yes","Farmworker State Credit", "State Credit" )</f>
        <v>State Credit</v>
      </c>
      <c r="B61" s="2340"/>
      <c r="C61" s="2340"/>
      <c r="D61" s="2340"/>
      <c r="E61" s="2340"/>
      <c r="F61" s="2340"/>
      <c r="G61" s="2340"/>
      <c r="H61" s="2340"/>
      <c r="I61" s="2340"/>
      <c r="J61" s="2340"/>
      <c r="K61" s="2340"/>
      <c r="L61" s="2340"/>
      <c r="M61" s="2340"/>
      <c r="N61" s="2340"/>
      <c r="O61" s="2340"/>
      <c r="P61" s="2340"/>
      <c r="Q61" s="2340"/>
      <c r="R61" s="2340"/>
      <c r="S61" s="2340"/>
      <c r="T61" s="2340"/>
      <c r="U61" s="2340"/>
      <c r="V61" s="2340"/>
      <c r="W61" s="2340"/>
      <c r="X61" s="2340"/>
      <c r="Y61" s="2340"/>
      <c r="Z61" s="2340"/>
      <c r="AA61" s="2340"/>
      <c r="AB61" s="2340"/>
      <c r="AC61" s="2340"/>
      <c r="AD61" s="2340"/>
      <c r="AE61" s="2340"/>
      <c r="AF61" s="2340"/>
      <c r="AG61" s="2340"/>
      <c r="AH61" s="2340"/>
      <c r="AI61" s="2340"/>
      <c r="AJ61" s="2340"/>
      <c r="AK61" s="2340"/>
      <c r="AL61" s="2340"/>
      <c r="AM61" s="2340"/>
      <c r="AN61" s="2340"/>
      <c r="AO61" s="2340"/>
      <c r="AP61" s="2340"/>
      <c r="AQ61" s="2340"/>
      <c r="AR61" s="2340"/>
      <c r="AS61" s="2340"/>
      <c r="AT61" s="2340"/>
      <c r="AU61" s="2340"/>
      <c r="AV61" s="2340"/>
      <c r="AW61" s="2340"/>
      <c r="AX61" s="2340"/>
      <c r="AY61" s="2340"/>
      <c r="AZ61" s="2340"/>
      <c r="BA61" s="2340"/>
      <c r="BB61" s="2340"/>
      <c r="BC61" s="2340"/>
      <c r="BD61" s="2340"/>
      <c r="BE61" s="2340"/>
      <c r="BF61" s="2340"/>
      <c r="BG61" s="2340"/>
      <c r="BH61" s="2340"/>
      <c r="BI61" s="2340"/>
      <c r="BJ61" s="2340"/>
      <c r="BK61" s="2340"/>
      <c r="BL61" s="2340"/>
      <c r="BM61" s="2340"/>
      <c r="BN61" s="2340"/>
      <c r="BO61" s="2340"/>
      <c r="BP61" s="2340"/>
      <c r="BQ61" s="2340"/>
      <c r="BR61" s="2340"/>
      <c r="BS61" s="2340"/>
      <c r="BT61" s="2340"/>
      <c r="BU61" s="2340"/>
      <c r="BV61" s="2340"/>
      <c r="BW61" s="2340"/>
      <c r="BX61" s="2340"/>
    </row>
    <row r="62" spans="1:76" s="204" customFormat="1" ht="13" customHeight="1" thickTop="1"/>
    <row r="63" spans="1:76" ht="13" customHeight="1">
      <c r="A63" s="404" t="s">
        <v>589</v>
      </c>
      <c r="C63" s="205" t="s">
        <v>1248</v>
      </c>
      <c r="Y63" s="2376" t="s">
        <v>984</v>
      </c>
      <c r="Z63" s="2376"/>
      <c r="AA63" s="2376"/>
      <c r="AB63" s="2376"/>
      <c r="AC63" s="2376"/>
      <c r="AD63" s="2376" t="s">
        <v>368</v>
      </c>
      <c r="AE63" s="2376"/>
      <c r="AF63" s="2376"/>
      <c r="AG63" s="2376"/>
      <c r="AH63" s="2376"/>
    </row>
    <row r="64" spans="1:76" ht="13"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7">
        <f>IF(Application!$Z$205="(select)",0,((T23*T27)+Y28))</f>
        <v>0</v>
      </c>
      <c r="Z64" s="2377"/>
      <c r="AA64" s="2377"/>
      <c r="AB64" s="2377"/>
      <c r="AC64" s="2378"/>
      <c r="AD64" s="2337">
        <f>IF(AND(OR(Application!D211="At-Risk",Application!D211="At-Risk and Special Needs"),Application!M358="yes"),AD28+AI28,0)</f>
        <v>0</v>
      </c>
      <c r="AE64" s="2377"/>
      <c r="AF64" s="2377"/>
      <c r="AG64" s="2377"/>
      <c r="AH64" s="2378"/>
    </row>
    <row r="65" spans="1:36" ht="13"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90">
        <f>IF(OR(Application!Z205="State Farmworker Credit",Application!Z205="$500M (Farmworker Housing)"),0.75,IF(Application!Z205="15% set-aside",0.13,IF(Application!Z205="15% set-aside with qualifying low value rehab",0.95,IF(Application!Z205="$500M",0.3,0))))</f>
        <v>0</v>
      </c>
      <c r="Z67" s="2390"/>
      <c r="AA67" s="2390"/>
      <c r="AB67" s="2390"/>
      <c r="AC67" s="2390"/>
      <c r="AD67" s="2390">
        <f>IF(Application!Z205="15% set-aside with qualifying low value rehab", 0.95,IF(OR(Application!D211="At-Risk",'Points System'!B13="Yes"),0.13,0))</f>
        <v>0</v>
      </c>
      <c r="AE67" s="2390"/>
      <c r="AF67" s="2390"/>
      <c r="AG67" s="2390"/>
      <c r="AH67" s="2390"/>
    </row>
    <row r="68" spans="1:36" ht="13" customHeight="1">
      <c r="C68" s="404"/>
      <c r="D68" s="205" t="s">
        <v>2224</v>
      </c>
      <c r="Y68" s="2336">
        <f>ROUND(Y64*Y67,0)</f>
        <v>0</v>
      </c>
      <c r="Z68" s="2391"/>
      <c r="AA68" s="2391"/>
      <c r="AB68" s="2391"/>
      <c r="AC68" s="2391"/>
      <c r="AD68" s="2336">
        <f>ROUND(AD64*AD67,0)</f>
        <v>0</v>
      </c>
      <c r="AE68" s="2391"/>
      <c r="AF68" s="2391"/>
      <c r="AG68" s="2391"/>
      <c r="AH68" s="2391"/>
    </row>
    <row r="69" spans="1:36" ht="13" customHeight="1">
      <c r="C69" s="404"/>
      <c r="D69" s="205" t="s">
        <v>2225</v>
      </c>
      <c r="Y69" s="2336">
        <f>IF(OR(Application!Z205="State Farmworker Credit",Application!Z205="$500M (Farmworker Housing)"),Y68+AD68,MIN(Y68+AD68,200000*(Application!G753+Application!O777)))</f>
        <v>0</v>
      </c>
      <c r="Z69" s="2336"/>
      <c r="AA69" s="2336"/>
      <c r="AB69" s="2336"/>
      <c r="AC69" s="2336"/>
      <c r="AD69" s="2336"/>
      <c r="AE69" s="2336"/>
      <c r="AF69" s="2336"/>
      <c r="AG69" s="2336"/>
      <c r="AH69" s="2336"/>
    </row>
    <row r="70" spans="1:36" ht="13" customHeight="1">
      <c r="C70" s="404"/>
      <c r="E70" s="404"/>
      <c r="AB70" s="422"/>
      <c r="AC70" s="422"/>
      <c r="AD70" s="422"/>
      <c r="AE70" s="422"/>
      <c r="AF70" s="422"/>
    </row>
    <row r="71" spans="1:36" ht="13" customHeight="1">
      <c r="A71" s="404" t="s">
        <v>590</v>
      </c>
      <c r="C71" s="205" t="s">
        <v>283</v>
      </c>
    </row>
    <row r="72" spans="1:36" ht="13" customHeight="1">
      <c r="A72" s="404"/>
      <c r="C72" s="404"/>
      <c r="D72" s="205" t="s">
        <v>1250</v>
      </c>
      <c r="AB72" s="2379"/>
      <c r="AC72" s="2380"/>
      <c r="AD72" s="2380"/>
      <c r="AE72" s="2380"/>
      <c r="AF72" s="2381"/>
    </row>
    <row r="73" spans="1:36" ht="13" customHeight="1">
      <c r="A73" s="404"/>
      <c r="C73" s="404"/>
      <c r="D73" s="404"/>
      <c r="E73" s="2392" t="s">
        <v>1251</v>
      </c>
      <c r="F73" s="2392"/>
      <c r="G73" s="2392"/>
      <c r="H73" s="2392"/>
      <c r="I73" s="2392"/>
      <c r="J73" s="2392"/>
      <c r="K73" s="2392"/>
      <c r="L73" s="2392"/>
      <c r="M73" s="2392"/>
      <c r="N73" s="2392"/>
      <c r="O73" s="2392"/>
      <c r="P73" s="2392"/>
      <c r="Q73" s="2392"/>
      <c r="R73" s="2392"/>
      <c r="S73" s="2392"/>
      <c r="T73" s="2392"/>
      <c r="U73" s="2392"/>
      <c r="V73" s="2392"/>
      <c r="W73" s="2392"/>
      <c r="X73" s="2392"/>
      <c r="Y73" s="2392"/>
      <c r="Z73" s="2392"/>
      <c r="AA73" s="2392"/>
      <c r="AB73" s="438"/>
      <c r="AC73" s="438"/>
    </row>
    <row r="74" spans="1:36" ht="13" customHeight="1">
      <c r="A74" s="404"/>
      <c r="C74" s="404"/>
      <c r="D74" s="404"/>
      <c r="E74" s="2392"/>
      <c r="F74" s="2392"/>
      <c r="G74" s="2392"/>
      <c r="H74" s="2392"/>
      <c r="I74" s="2392"/>
      <c r="J74" s="2392"/>
      <c r="K74" s="2392"/>
      <c r="L74" s="2392"/>
      <c r="M74" s="2392"/>
      <c r="N74" s="2392"/>
      <c r="O74" s="2392"/>
      <c r="P74" s="2392"/>
      <c r="Q74" s="2392"/>
      <c r="R74" s="2392"/>
      <c r="S74" s="2392"/>
      <c r="T74" s="2392"/>
      <c r="U74" s="2392"/>
      <c r="V74" s="2392"/>
      <c r="W74" s="2392"/>
      <c r="X74" s="2392"/>
      <c r="Y74" s="2392"/>
      <c r="Z74" s="2392"/>
      <c r="AA74" s="2392"/>
      <c r="AB74" s="438"/>
      <c r="AC74" s="438"/>
    </row>
    <row r="75" spans="1:36" ht="13" customHeight="1">
      <c r="A75" s="404"/>
      <c r="C75" s="404"/>
      <c r="D75" s="404"/>
      <c r="E75" s="2392"/>
      <c r="F75" s="2392"/>
      <c r="G75" s="2392"/>
      <c r="H75" s="2392"/>
      <c r="I75" s="2392"/>
      <c r="J75" s="2392"/>
      <c r="K75" s="2392"/>
      <c r="L75" s="2392"/>
      <c r="M75" s="2392"/>
      <c r="N75" s="2392"/>
      <c r="O75" s="2392"/>
      <c r="P75" s="2392"/>
      <c r="Q75" s="2392"/>
      <c r="R75" s="2392"/>
      <c r="S75" s="2392"/>
      <c r="T75" s="2392"/>
      <c r="U75" s="2392"/>
      <c r="V75" s="2392"/>
      <c r="W75" s="2392"/>
      <c r="X75" s="2392"/>
      <c r="Y75" s="2392"/>
      <c r="Z75" s="2392"/>
      <c r="AA75" s="2392"/>
      <c r="AB75" s="438"/>
      <c r="AC75" s="438"/>
    </row>
    <row r="76" spans="1:36"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 customHeight="1">
      <c r="C77" s="404"/>
      <c r="D77" s="205" t="s">
        <v>1252</v>
      </c>
      <c r="AB77" s="2385">
        <f>ROUND(IF(ISERROR((AB59/AB72)),0,(AB59/AB72)),0)</f>
        <v>0</v>
      </c>
      <c r="AC77" s="2385"/>
      <c r="AD77" s="2385"/>
      <c r="AE77" s="2385"/>
      <c r="AF77" s="2385"/>
    </row>
    <row r="78" spans="1:36" ht="13" customHeight="1">
      <c r="C78" s="404"/>
      <c r="D78" s="205" t="s">
        <v>1253</v>
      </c>
      <c r="AB78" s="2386">
        <f>ROUNDUP(MIN(Y69,AB77),0)</f>
        <v>0</v>
      </c>
      <c r="AC78" s="2387"/>
      <c r="AD78" s="2387"/>
      <c r="AE78" s="2387"/>
      <c r="AF78" s="2388"/>
    </row>
    <row r="79" spans="1:36" ht="13" customHeight="1">
      <c r="C79" s="404"/>
      <c r="D79" s="205" t="s">
        <v>1254</v>
      </c>
      <c r="AB79" s="2389">
        <f>AB78*AB72</f>
        <v>0</v>
      </c>
      <c r="AC79" s="2389"/>
      <c r="AD79" s="2389"/>
      <c r="AE79" s="2389"/>
      <c r="AF79" s="2389"/>
    </row>
    <row r="80" spans="1:36" ht="13" customHeight="1">
      <c r="C80" s="404"/>
      <c r="D80" s="404"/>
      <c r="AB80" s="425"/>
      <c r="AC80" s="425"/>
      <c r="AD80" s="425"/>
      <c r="AE80" s="425"/>
      <c r="AF80" s="425"/>
    </row>
    <row r="81" spans="1:78" ht="13" customHeight="1">
      <c r="D81" s="404" t="s">
        <v>754</v>
      </c>
      <c r="AB81" s="2375">
        <f>AB49-(AB57+AB79)</f>
        <v>0</v>
      </c>
      <c r="AC81" s="2375"/>
      <c r="AD81" s="2375"/>
      <c r="AE81" s="2375"/>
      <c r="AF81" s="2375"/>
    </row>
    <row r="82" spans="1:78" ht="13" customHeight="1">
      <c r="F82" s="522"/>
      <c r="J82" s="522" t="str">
        <f>IF(AB81&gt;0,"FUNDING GAP MUST NOT EXCEED ZERO","")</f>
        <v/>
      </c>
    </row>
    <row r="83" spans="1:78" ht="13" customHeight="1">
      <c r="D83" s="523"/>
    </row>
    <row r="84" spans="1:78" ht="13" customHeight="1" thickBot="1">
      <c r="A84" s="2340"/>
      <c r="B84" s="2340"/>
      <c r="C84" s="2340"/>
      <c r="D84" s="2340"/>
      <c r="E84" s="2340"/>
      <c r="F84" s="2340"/>
      <c r="G84" s="2340"/>
      <c r="H84" s="2340"/>
      <c r="I84" s="2340"/>
      <c r="J84" s="2340"/>
      <c r="K84" s="2340"/>
      <c r="L84" s="2340"/>
      <c r="M84" s="2340"/>
      <c r="N84" s="2340"/>
      <c r="O84" s="2340"/>
      <c r="P84" s="2340"/>
      <c r="Q84" s="2340"/>
      <c r="R84" s="2340"/>
      <c r="S84" s="2340"/>
      <c r="T84" s="2340"/>
      <c r="U84" s="2340"/>
      <c r="V84" s="2340"/>
      <c r="W84" s="2340"/>
      <c r="X84" s="2340"/>
      <c r="Y84" s="2340"/>
      <c r="Z84" s="2340"/>
      <c r="AA84" s="2340"/>
      <c r="AB84" s="2340"/>
      <c r="AC84" s="2340"/>
      <c r="AD84" s="2340"/>
      <c r="AE84" s="2340"/>
      <c r="AF84" s="2340"/>
      <c r="AG84" s="2340"/>
      <c r="AH84" s="2340"/>
      <c r="AI84" s="2340"/>
      <c r="AJ84" s="2340"/>
      <c r="AK84" s="2340"/>
      <c r="AL84" s="2340"/>
      <c r="AM84" s="2340"/>
      <c r="AN84" s="2340"/>
      <c r="AO84" s="2340"/>
      <c r="AP84" s="2340"/>
      <c r="AQ84" s="2340"/>
      <c r="AR84" s="2340"/>
      <c r="AS84" s="2340"/>
      <c r="AT84" s="2340"/>
      <c r="AU84" s="2340"/>
      <c r="AV84" s="2340"/>
      <c r="AW84" s="2340"/>
      <c r="AX84" s="2340"/>
      <c r="AY84" s="2340"/>
      <c r="AZ84" s="2340"/>
      <c r="BA84" s="2340"/>
      <c r="BB84" s="2340"/>
      <c r="BC84" s="2340"/>
      <c r="BD84" s="2340"/>
      <c r="BE84" s="2340"/>
      <c r="BF84" s="2340"/>
      <c r="BG84" s="2340"/>
      <c r="BH84" s="2340"/>
      <c r="BI84" s="2340"/>
      <c r="BJ84" s="2340"/>
      <c r="BK84" s="2340"/>
      <c r="BL84" s="2340"/>
      <c r="BM84" s="2340"/>
      <c r="BN84" s="2340"/>
      <c r="BO84" s="2340"/>
      <c r="BP84" s="2340"/>
      <c r="BQ84" s="2340"/>
      <c r="BR84" s="2340"/>
      <c r="BS84" s="2340"/>
      <c r="BT84" s="2340"/>
      <c r="BU84" s="2340"/>
      <c r="BV84" s="2340"/>
      <c r="BW84" s="2340"/>
      <c r="BX84" s="2340"/>
    </row>
    <row r="85" spans="1:78" ht="13" customHeight="1" thickTop="1"/>
    <row r="86" spans="1:78" ht="13" customHeight="1">
      <c r="A86" s="404"/>
      <c r="C86" s="205"/>
    </row>
    <row r="87" spans="1:78" ht="13" customHeight="1">
      <c r="D87" s="205"/>
      <c r="AB87" s="2341"/>
      <c r="AC87" s="2341"/>
      <c r="AD87" s="2341"/>
      <c r="AE87" s="2341"/>
      <c r="AF87" s="2341"/>
    </row>
    <row r="88" spans="1:78" ht="13" customHeight="1" thickBot="1">
      <c r="D88" s="205"/>
      <c r="AB88" s="2339"/>
      <c r="AC88" s="2339"/>
      <c r="AD88" s="2339"/>
      <c r="AE88" s="2339"/>
      <c r="AF88" s="2339"/>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90" workbookViewId="0">
      <selection activeCell="AD200" sqref="AD200:AJ200"/>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534" customWidth="1"/>
    <col min="41" max="41" width="5.5" style="30"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32" hidden="1" customWidth="1"/>
    <col min="61" max="81" width="5.5" style="14" hidden="1" customWidth="1"/>
    <col min="82" max="16384" width="9.1640625" style="14" hidden="1"/>
  </cols>
  <sheetData>
    <row r="1" spans="1:42" ht="15.75" customHeight="1">
      <c r="A1" s="2623" t="s">
        <v>1300</v>
      </c>
      <c r="B1" s="2623"/>
      <c r="C1" s="2623"/>
      <c r="D1" s="2623"/>
      <c r="E1" s="2623"/>
      <c r="F1" s="2623"/>
      <c r="G1" s="2623"/>
      <c r="H1" s="2623"/>
      <c r="I1" s="2623"/>
      <c r="J1" s="2623"/>
      <c r="K1" s="2623"/>
      <c r="L1" s="2623"/>
      <c r="M1" s="2623"/>
      <c r="N1" s="2623"/>
      <c r="O1" s="2623"/>
      <c r="P1" s="2623"/>
      <c r="Q1" s="2623"/>
      <c r="R1" s="2623"/>
      <c r="S1" s="2623"/>
      <c r="T1" s="2623"/>
      <c r="U1" s="2623"/>
      <c r="V1" s="2623"/>
      <c r="W1" s="2623"/>
      <c r="X1" s="2623"/>
      <c r="Y1" s="2623"/>
      <c r="Z1" s="2623"/>
      <c r="AA1" s="2623"/>
      <c r="AB1" s="2623"/>
      <c r="AC1" s="2623"/>
      <c r="AD1" s="2623"/>
      <c r="AE1" s="2623"/>
      <c r="AF1" s="2623"/>
      <c r="AG1" s="2623"/>
      <c r="AH1" s="2623"/>
      <c r="AI1" s="2623"/>
      <c r="AJ1" s="2623"/>
      <c r="AK1" s="2623"/>
      <c r="AL1" s="2623"/>
      <c r="AM1" s="2623"/>
    </row>
    <row r="2" spans="1:42" s="536" customFormat="1" ht="12.75" customHeight="1" thickBot="1">
      <c r="A2" s="2624"/>
      <c r="B2" s="2624"/>
      <c r="C2" s="2624"/>
      <c r="D2" s="2624"/>
      <c r="E2" s="2624"/>
      <c r="F2" s="2624"/>
      <c r="G2" s="2624"/>
      <c r="H2" s="2624"/>
      <c r="I2" s="2624"/>
      <c r="J2" s="2624"/>
      <c r="K2" s="2624"/>
      <c r="L2" s="2624"/>
      <c r="M2" s="2624"/>
      <c r="N2" s="2624"/>
      <c r="O2" s="2624"/>
      <c r="P2" s="2624"/>
      <c r="Q2" s="2624"/>
      <c r="R2" s="2624"/>
      <c r="S2" s="2624"/>
      <c r="T2" s="2624"/>
      <c r="U2" s="2624"/>
      <c r="V2" s="2624"/>
      <c r="W2" s="2624"/>
      <c r="X2" s="2624"/>
      <c r="Y2" s="2624"/>
      <c r="Z2" s="2624"/>
      <c r="AA2" s="2624"/>
      <c r="AB2" s="2624"/>
      <c r="AC2" s="2624"/>
      <c r="AD2" s="2624"/>
      <c r="AE2" s="2624"/>
      <c r="AF2" s="2624"/>
      <c r="AG2" s="2624"/>
      <c r="AH2" s="2624"/>
      <c r="AI2" s="2624"/>
      <c r="AJ2" s="2624"/>
      <c r="AK2" s="2624"/>
      <c r="AL2" s="2624"/>
      <c r="AM2" s="2624"/>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4" t="s">
        <v>1305</v>
      </c>
      <c r="AF7" s="2464"/>
      <c r="AG7" s="2464"/>
      <c r="AH7" s="2464"/>
      <c r="AI7" s="2464"/>
      <c r="AJ7" s="2464"/>
      <c r="AK7" s="2464"/>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2006</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7" t="s">
        <v>591</v>
      </c>
      <c r="C13" s="2617"/>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5"/>
      <c r="AH13" s="2625"/>
      <c r="AI13" s="2625"/>
      <c r="AJ13" s="2626"/>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7" t="s">
        <v>591</v>
      </c>
      <c r="C16" s="2617"/>
      <c r="D16" s="547"/>
      <c r="E16" s="2609" t="s">
        <v>1307</v>
      </c>
      <c r="F16" s="2610"/>
      <c r="G16" s="2610"/>
      <c r="H16" s="2610"/>
      <c r="I16" s="2610"/>
      <c r="J16" s="2610"/>
      <c r="K16" s="2610"/>
      <c r="L16" s="2610"/>
      <c r="M16" s="2610"/>
      <c r="N16" s="2610"/>
      <c r="O16" s="2610"/>
      <c r="P16" s="2610"/>
      <c r="Q16" s="2610"/>
      <c r="R16" s="2610"/>
      <c r="S16" s="2610"/>
      <c r="T16" s="2610"/>
      <c r="U16" s="2610"/>
      <c r="V16" s="2610"/>
      <c r="W16" s="2610"/>
      <c r="X16" s="2610"/>
      <c r="Y16" s="2610"/>
      <c r="Z16" s="2610"/>
      <c r="AA16" s="2610"/>
      <c r="AB16" s="2610"/>
      <c r="AC16" s="2610"/>
      <c r="AD16" s="2610"/>
      <c r="AE16" s="2610"/>
      <c r="AF16" s="2610"/>
      <c r="AG16" s="2610"/>
      <c r="AH16" s="2610"/>
      <c r="AI16" s="2610"/>
      <c r="AJ16" s="2611"/>
      <c r="AK16" s="540"/>
      <c r="AL16" s="540"/>
      <c r="AM16" s="540"/>
      <c r="AN16" s="535"/>
      <c r="AO16" s="550">
        <f>IF($B25="yes",20,0)</f>
        <v>0</v>
      </c>
      <c r="AP16" s="14"/>
    </row>
    <row r="17" spans="1:42" s="536" customFormat="1" ht="12.75" customHeight="1">
      <c r="A17" s="540"/>
      <c r="B17" s="540"/>
      <c r="C17" s="540"/>
      <c r="D17" s="551"/>
      <c r="E17" s="2612"/>
      <c r="F17" s="2613"/>
      <c r="G17" s="2613"/>
      <c r="H17" s="2613"/>
      <c r="I17" s="2613"/>
      <c r="J17" s="2613"/>
      <c r="K17" s="2613"/>
      <c r="L17" s="2613"/>
      <c r="M17" s="2613"/>
      <c r="N17" s="2613"/>
      <c r="O17" s="2613"/>
      <c r="P17" s="2613"/>
      <c r="Q17" s="2613"/>
      <c r="R17" s="2613"/>
      <c r="S17" s="2613"/>
      <c r="T17" s="2613"/>
      <c r="U17" s="2613"/>
      <c r="V17" s="2613"/>
      <c r="W17" s="2613"/>
      <c r="X17" s="2613"/>
      <c r="Y17" s="2613"/>
      <c r="Z17" s="2613"/>
      <c r="AA17" s="2613"/>
      <c r="AB17" s="2613"/>
      <c r="AC17" s="2613"/>
      <c r="AD17" s="2613"/>
      <c r="AE17" s="2613"/>
      <c r="AF17" s="2613"/>
      <c r="AG17" s="2613"/>
      <c r="AH17" s="2613"/>
      <c r="AI17" s="2613"/>
      <c r="AJ17" s="2614"/>
      <c r="AK17" s="540"/>
      <c r="AL17" s="540"/>
      <c r="AM17" s="540"/>
      <c r="AN17" s="535"/>
      <c r="AO17" s="550">
        <f>IF($B28="yes",20,0)</f>
        <v>0</v>
      </c>
    </row>
    <row r="18" spans="1:42" s="536" customFormat="1" ht="12.75" customHeight="1">
      <c r="A18" s="540"/>
      <c r="B18" s="540"/>
      <c r="C18" s="540"/>
      <c r="D18" s="551"/>
      <c r="E18" s="2612"/>
      <c r="F18" s="2613"/>
      <c r="G18" s="2613"/>
      <c r="H18" s="2613"/>
      <c r="I18" s="2613"/>
      <c r="J18" s="2613"/>
      <c r="K18" s="2613"/>
      <c r="L18" s="2613"/>
      <c r="M18" s="2613"/>
      <c r="N18" s="2613"/>
      <c r="O18" s="2613"/>
      <c r="P18" s="2613"/>
      <c r="Q18" s="2613"/>
      <c r="R18" s="2613"/>
      <c r="S18" s="2613"/>
      <c r="T18" s="2613"/>
      <c r="U18" s="2613"/>
      <c r="V18" s="2613"/>
      <c r="W18" s="2613"/>
      <c r="X18" s="2613"/>
      <c r="Y18" s="2613"/>
      <c r="Z18" s="2613"/>
      <c r="AA18" s="2613"/>
      <c r="AB18" s="2613"/>
      <c r="AC18" s="2613"/>
      <c r="AD18" s="2613"/>
      <c r="AE18" s="2613"/>
      <c r="AF18" s="2613"/>
      <c r="AG18" s="2613"/>
      <c r="AH18" s="2613"/>
      <c r="AI18" s="2613"/>
      <c r="AJ18" s="2614"/>
      <c r="AK18" s="540"/>
      <c r="AL18" s="540"/>
      <c r="AM18" s="540"/>
      <c r="AN18" s="535"/>
      <c r="AO18" s="536">
        <f>IF(SUM(AO13:AO17)&gt;20,20,(SUM(AO13:AO17)))</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3"/>
      <c r="F20" s="2634"/>
      <c r="G20" s="2634"/>
      <c r="H20" s="2634"/>
      <c r="I20" s="2634"/>
      <c r="J20" s="2634"/>
      <c r="K20" s="2634"/>
      <c r="L20" s="2634"/>
      <c r="M20" s="2634"/>
      <c r="N20" s="2634"/>
      <c r="O20" s="2634"/>
      <c r="P20" s="2634"/>
      <c r="Q20" s="2634"/>
      <c r="R20" s="2634"/>
      <c r="S20" s="2634"/>
      <c r="T20" s="2634"/>
      <c r="U20" s="2634"/>
      <c r="V20" s="2634"/>
      <c r="W20" s="2634"/>
      <c r="X20" s="2634"/>
      <c r="Y20" s="2634"/>
      <c r="Z20" s="2634"/>
      <c r="AA20" s="2634"/>
      <c r="AB20" s="2634"/>
      <c r="AC20" s="2634"/>
      <c r="AD20" s="2634"/>
      <c r="AE20" s="2634"/>
      <c r="AF20" s="2634"/>
      <c r="AG20" s="2634"/>
      <c r="AH20" s="2634"/>
      <c r="AI20" s="2634"/>
      <c r="AJ20" s="2635"/>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7" t="s">
        <v>591</v>
      </c>
      <c r="C22" s="2617"/>
      <c r="D22" s="547"/>
      <c r="E22" s="2627" t="s">
        <v>1310</v>
      </c>
      <c r="F22" s="2628"/>
      <c r="G22" s="2628"/>
      <c r="H22" s="2628"/>
      <c r="I22" s="2628"/>
      <c r="J22" s="2628"/>
      <c r="K22" s="2628"/>
      <c r="L22" s="2628"/>
      <c r="M22" s="2628"/>
      <c r="N22" s="2628"/>
      <c r="O22" s="2628"/>
      <c r="P22" s="2628"/>
      <c r="Q22" s="2628"/>
      <c r="R22" s="2628"/>
      <c r="S22" s="2628"/>
      <c r="T22" s="2628"/>
      <c r="U22" s="2628"/>
      <c r="V22" s="2628"/>
      <c r="W22" s="2628"/>
      <c r="X22" s="2628"/>
      <c r="Y22" s="2628"/>
      <c r="Z22" s="2628"/>
      <c r="AA22" s="2628"/>
      <c r="AB22" s="2628"/>
      <c r="AC22" s="2628"/>
      <c r="AD22" s="2628"/>
      <c r="AE22" s="2628"/>
      <c r="AF22" s="2628"/>
      <c r="AG22" s="2628"/>
      <c r="AH22" s="2628"/>
      <c r="AI22" s="2628"/>
      <c r="AJ22" s="2629"/>
      <c r="AK22" s="540"/>
      <c r="AL22" s="540"/>
      <c r="AM22" s="540"/>
      <c r="AN22" s="535"/>
      <c r="AO22" s="550">
        <f>IF($B40="yes",14,0)</f>
        <v>0</v>
      </c>
    </row>
    <row r="23" spans="1:42" s="536" customFormat="1" ht="12.75" customHeight="1">
      <c r="A23" s="540"/>
      <c r="B23" s="540"/>
      <c r="C23" s="540"/>
      <c r="D23" s="550"/>
      <c r="E23" s="2630"/>
      <c r="F23" s="2631"/>
      <c r="G23" s="2631"/>
      <c r="H23" s="2631"/>
      <c r="I23" s="2631"/>
      <c r="J23" s="2631"/>
      <c r="K23" s="2631"/>
      <c r="L23" s="2631"/>
      <c r="M23" s="2631"/>
      <c r="N23" s="2631"/>
      <c r="O23" s="2631"/>
      <c r="P23" s="2631"/>
      <c r="Q23" s="2631"/>
      <c r="R23" s="2631"/>
      <c r="S23" s="2631"/>
      <c r="T23" s="2631"/>
      <c r="U23" s="2631"/>
      <c r="V23" s="2631"/>
      <c r="W23" s="2631"/>
      <c r="X23" s="2631"/>
      <c r="Y23" s="2631"/>
      <c r="Z23" s="2631"/>
      <c r="AA23" s="2631"/>
      <c r="AB23" s="2631"/>
      <c r="AC23" s="2631"/>
      <c r="AD23" s="2631"/>
      <c r="AE23" s="2631"/>
      <c r="AF23" s="2631"/>
      <c r="AG23" s="2631"/>
      <c r="AH23" s="2631"/>
      <c r="AI23" s="2631"/>
      <c r="AJ23" s="2632"/>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7" t="s">
        <v>591</v>
      </c>
      <c r="C25" s="2617"/>
      <c r="D25" s="547"/>
      <c r="E25" s="2544" t="s">
        <v>2033</v>
      </c>
      <c r="F25" s="2545"/>
      <c r="G25" s="2545"/>
      <c r="H25" s="2545"/>
      <c r="I25" s="2545"/>
      <c r="J25" s="2545"/>
      <c r="K25" s="2545"/>
      <c r="L25" s="2545"/>
      <c r="M25" s="2545"/>
      <c r="N25" s="2545"/>
      <c r="O25" s="2545"/>
      <c r="P25" s="2545"/>
      <c r="Q25" s="2545"/>
      <c r="R25" s="2545"/>
      <c r="S25" s="2545"/>
      <c r="T25" s="2545"/>
      <c r="U25" s="2545"/>
      <c r="V25" s="2545"/>
      <c r="W25" s="2545"/>
      <c r="X25" s="2545"/>
      <c r="Y25" s="2545"/>
      <c r="Z25" s="2545"/>
      <c r="AA25" s="2545"/>
      <c r="AB25" s="2545"/>
      <c r="AC25" s="2545"/>
      <c r="AD25" s="2545"/>
      <c r="AE25" s="2545"/>
      <c r="AF25" s="2545"/>
      <c r="AG25" s="2545"/>
      <c r="AH25" s="2545"/>
      <c r="AI25" s="2545"/>
      <c r="AJ25" s="2546"/>
      <c r="AK25" s="540"/>
      <c r="AL25" s="540"/>
      <c r="AM25" s="540"/>
      <c r="AN25" s="535"/>
      <c r="AO25" s="550">
        <f>IF($B45="yes",6,0)</f>
        <v>0</v>
      </c>
    </row>
    <row r="26" spans="1:42" s="536" customFormat="1" ht="12.75" customHeight="1">
      <c r="A26" s="540"/>
      <c r="B26" s="540"/>
      <c r="C26" s="540"/>
      <c r="D26" s="550"/>
      <c r="E26" s="2569"/>
      <c r="F26" s="2570"/>
      <c r="G26" s="2570"/>
      <c r="H26" s="2570"/>
      <c r="I26" s="2570"/>
      <c r="J26" s="2570"/>
      <c r="K26" s="2570"/>
      <c r="L26" s="2570"/>
      <c r="M26" s="2570"/>
      <c r="N26" s="2570"/>
      <c r="O26" s="2570"/>
      <c r="P26" s="2570"/>
      <c r="Q26" s="2570"/>
      <c r="R26" s="2570"/>
      <c r="S26" s="2570"/>
      <c r="T26" s="2570"/>
      <c r="U26" s="2570"/>
      <c r="V26" s="2570"/>
      <c r="W26" s="2570"/>
      <c r="X26" s="2570"/>
      <c r="Y26" s="2570"/>
      <c r="Z26" s="2570"/>
      <c r="AA26" s="2570"/>
      <c r="AB26" s="2570"/>
      <c r="AC26" s="2570"/>
      <c r="AD26" s="2570"/>
      <c r="AE26" s="2570"/>
      <c r="AF26" s="2570"/>
      <c r="AG26" s="2570"/>
      <c r="AH26" s="2570"/>
      <c r="AI26" s="2570"/>
      <c r="AJ26" s="2571"/>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7" t="s">
        <v>591</v>
      </c>
      <c r="C28" s="2617"/>
      <c r="D28" s="547"/>
      <c r="E28" s="2646" t="s">
        <v>2248</v>
      </c>
      <c r="F28" s="2647"/>
      <c r="G28" s="2647"/>
      <c r="H28" s="2647"/>
      <c r="I28" s="2647"/>
      <c r="J28" s="2647"/>
      <c r="K28" s="2647"/>
      <c r="L28" s="2647"/>
      <c r="M28" s="2647"/>
      <c r="N28" s="2647"/>
      <c r="O28" s="2647"/>
      <c r="P28" s="2647"/>
      <c r="Q28" s="2647"/>
      <c r="R28" s="2647"/>
      <c r="S28" s="2647"/>
      <c r="T28" s="2647"/>
      <c r="U28" s="2647"/>
      <c r="V28" s="2647"/>
      <c r="W28" s="2647"/>
      <c r="X28" s="2647"/>
      <c r="Y28" s="2647"/>
      <c r="Z28" s="2647"/>
      <c r="AA28" s="2647"/>
      <c r="AB28" s="2647"/>
      <c r="AC28" s="2647"/>
      <c r="AD28" s="2647"/>
      <c r="AE28" s="2647"/>
      <c r="AF28" s="2647"/>
      <c r="AG28" s="2647"/>
      <c r="AH28" s="2647"/>
      <c r="AI28" s="2647"/>
      <c r="AJ28" s="2648"/>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617" t="s">
        <v>591</v>
      </c>
      <c r="C33" s="2617"/>
      <c r="D33" s="547"/>
      <c r="E33" s="2627" t="s">
        <v>2250</v>
      </c>
      <c r="F33" s="2628"/>
      <c r="G33" s="2628"/>
      <c r="H33" s="2628"/>
      <c r="I33" s="2628"/>
      <c r="J33" s="2628"/>
      <c r="K33" s="2628"/>
      <c r="L33" s="2628"/>
      <c r="M33" s="2628"/>
      <c r="N33" s="2628"/>
      <c r="O33" s="2628"/>
      <c r="P33" s="2628"/>
      <c r="Q33" s="2628"/>
      <c r="R33" s="2628"/>
      <c r="S33" s="2628"/>
      <c r="T33" s="2628"/>
      <c r="U33" s="2628"/>
      <c r="V33" s="2628"/>
      <c r="W33" s="2628"/>
      <c r="X33" s="2628"/>
      <c r="Y33" s="2628"/>
      <c r="Z33" s="2628"/>
      <c r="AA33" s="2628"/>
      <c r="AB33" s="2628"/>
      <c r="AC33" s="2628"/>
      <c r="AD33" s="2628"/>
      <c r="AE33" s="2628"/>
      <c r="AF33" s="2628"/>
      <c r="AG33" s="2628"/>
      <c r="AH33" s="2628"/>
      <c r="AI33" s="2628"/>
      <c r="AJ33" s="2629"/>
      <c r="AK33" s="540"/>
      <c r="AL33" s="540"/>
      <c r="AM33" s="540"/>
      <c r="AN33" s="535"/>
      <c r="AO33" s="550"/>
    </row>
    <row r="34" spans="1:41" s="536" customFormat="1" ht="12.75" customHeight="1">
      <c r="A34" s="540"/>
      <c r="B34" s="540"/>
      <c r="C34" s="540"/>
      <c r="E34" s="2630"/>
      <c r="F34" s="2631"/>
      <c r="G34" s="2631"/>
      <c r="H34" s="2631"/>
      <c r="I34" s="2631"/>
      <c r="J34" s="2631"/>
      <c r="K34" s="2631"/>
      <c r="L34" s="2631"/>
      <c r="M34" s="2631"/>
      <c r="N34" s="2631"/>
      <c r="O34" s="2631"/>
      <c r="P34" s="2631"/>
      <c r="Q34" s="2631"/>
      <c r="R34" s="2631"/>
      <c r="S34" s="2631"/>
      <c r="T34" s="2631"/>
      <c r="U34" s="2631"/>
      <c r="V34" s="2631"/>
      <c r="W34" s="2631"/>
      <c r="X34" s="2631"/>
      <c r="Y34" s="2631"/>
      <c r="Z34" s="2631"/>
      <c r="AA34" s="2631"/>
      <c r="AB34" s="2631"/>
      <c r="AC34" s="2631"/>
      <c r="AD34" s="2631"/>
      <c r="AE34" s="2631"/>
      <c r="AF34" s="2631"/>
      <c r="AG34" s="2631"/>
      <c r="AH34" s="2631"/>
      <c r="AI34" s="2631"/>
      <c r="AJ34" s="2632"/>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7" t="s">
        <v>591</v>
      </c>
      <c r="C36" s="2617"/>
      <c r="D36" s="547"/>
      <c r="E36" s="2544" t="s">
        <v>2251</v>
      </c>
      <c r="F36" s="2545"/>
      <c r="G36" s="2545"/>
      <c r="H36" s="2545"/>
      <c r="I36" s="2545"/>
      <c r="J36" s="2545"/>
      <c r="K36" s="2545"/>
      <c r="L36" s="2545"/>
      <c r="M36" s="2545"/>
      <c r="N36" s="2545"/>
      <c r="O36" s="2545"/>
      <c r="P36" s="2545"/>
      <c r="Q36" s="2545"/>
      <c r="R36" s="2545"/>
      <c r="S36" s="2545"/>
      <c r="T36" s="2545"/>
      <c r="U36" s="2545"/>
      <c r="V36" s="2545"/>
      <c r="W36" s="2545"/>
      <c r="X36" s="2545"/>
      <c r="Y36" s="2545"/>
      <c r="Z36" s="2545"/>
      <c r="AA36" s="2545"/>
      <c r="AB36" s="2545"/>
      <c r="AC36" s="2545"/>
      <c r="AD36" s="2545"/>
      <c r="AE36" s="2545"/>
      <c r="AF36" s="2545"/>
      <c r="AG36" s="2545"/>
      <c r="AH36" s="2545"/>
      <c r="AI36" s="2545"/>
      <c r="AJ36" s="2546"/>
      <c r="AK36" s="540"/>
      <c r="AL36" s="540"/>
      <c r="AM36" s="540"/>
      <c r="AN36" s="535"/>
    </row>
    <row r="37" spans="1:41" s="536" customFormat="1" ht="12.75" customHeight="1">
      <c r="A37" s="540"/>
      <c r="B37" s="540"/>
      <c r="C37" s="540"/>
      <c r="E37" s="2547"/>
      <c r="F37" s="2548"/>
      <c r="G37" s="2548"/>
      <c r="H37" s="2548"/>
      <c r="I37" s="2548"/>
      <c r="J37" s="2548"/>
      <c r="K37" s="2548"/>
      <c r="L37" s="2548"/>
      <c r="M37" s="2548"/>
      <c r="N37" s="2548"/>
      <c r="O37" s="2548"/>
      <c r="P37" s="2548"/>
      <c r="Q37" s="2548"/>
      <c r="R37" s="2548"/>
      <c r="S37" s="2548"/>
      <c r="T37" s="2548"/>
      <c r="U37" s="2548"/>
      <c r="V37" s="2548"/>
      <c r="W37" s="2548"/>
      <c r="X37" s="2548"/>
      <c r="Y37" s="2548"/>
      <c r="Z37" s="2548"/>
      <c r="AA37" s="2548"/>
      <c r="AB37" s="2548"/>
      <c r="AC37" s="2548"/>
      <c r="AD37" s="2548"/>
      <c r="AE37" s="2548"/>
      <c r="AF37" s="2548"/>
      <c r="AG37" s="2548"/>
      <c r="AH37" s="2548"/>
      <c r="AI37" s="2548"/>
      <c r="AJ37" s="2549"/>
      <c r="AK37" s="540"/>
      <c r="AL37" s="540"/>
      <c r="AM37" s="540"/>
      <c r="AN37" s="535"/>
    </row>
    <row r="38" spans="1:41" s="536" customFormat="1" ht="12.75" customHeight="1">
      <c r="A38" s="540"/>
      <c r="B38" s="540"/>
      <c r="C38" s="540"/>
      <c r="E38" s="2569"/>
      <c r="F38" s="2570"/>
      <c r="G38" s="2570"/>
      <c r="H38" s="2570"/>
      <c r="I38" s="2570"/>
      <c r="J38" s="2570"/>
      <c r="K38" s="2570"/>
      <c r="L38" s="2570"/>
      <c r="M38" s="2570"/>
      <c r="N38" s="2570"/>
      <c r="O38" s="2570"/>
      <c r="P38" s="2570"/>
      <c r="Q38" s="2570"/>
      <c r="R38" s="2570"/>
      <c r="S38" s="2570"/>
      <c r="T38" s="2570"/>
      <c r="U38" s="2570"/>
      <c r="V38" s="2570"/>
      <c r="W38" s="2570"/>
      <c r="X38" s="2570"/>
      <c r="Y38" s="2570"/>
      <c r="Z38" s="2570"/>
      <c r="AA38" s="2570"/>
      <c r="AB38" s="2570"/>
      <c r="AC38" s="2570"/>
      <c r="AD38" s="2570"/>
      <c r="AE38" s="2570"/>
      <c r="AF38" s="2570"/>
      <c r="AG38" s="2570"/>
      <c r="AH38" s="2570"/>
      <c r="AI38" s="2570"/>
      <c r="AJ38" s="2571"/>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7" t="s">
        <v>591</v>
      </c>
      <c r="C40" s="2617"/>
      <c r="D40" s="547"/>
      <c r="E40" s="2544" t="s">
        <v>2249</v>
      </c>
      <c r="F40" s="2545"/>
      <c r="G40" s="2545"/>
      <c r="H40" s="2545"/>
      <c r="I40" s="2545"/>
      <c r="J40" s="2545"/>
      <c r="K40" s="2545"/>
      <c r="L40" s="2545"/>
      <c r="M40" s="2545"/>
      <c r="N40" s="2545"/>
      <c r="O40" s="2545"/>
      <c r="P40" s="2545"/>
      <c r="Q40" s="2545"/>
      <c r="R40" s="2545"/>
      <c r="S40" s="2545"/>
      <c r="T40" s="2545"/>
      <c r="U40" s="2545"/>
      <c r="V40" s="2545"/>
      <c r="W40" s="2545"/>
      <c r="X40" s="2545"/>
      <c r="Y40" s="2545"/>
      <c r="Z40" s="2545"/>
      <c r="AA40" s="2545"/>
      <c r="AB40" s="2545"/>
      <c r="AC40" s="2545"/>
      <c r="AD40" s="2545"/>
      <c r="AE40" s="2545"/>
      <c r="AF40" s="2545"/>
      <c r="AG40" s="2545"/>
      <c r="AH40" s="2545"/>
      <c r="AI40" s="2545"/>
      <c r="AJ40" s="2546"/>
      <c r="AK40" s="540"/>
      <c r="AL40" s="540"/>
      <c r="AM40" s="540"/>
      <c r="AN40" s="535"/>
    </row>
    <row r="41" spans="1:41" s="536" customFormat="1" ht="12.75" customHeight="1">
      <c r="A41" s="540"/>
      <c r="B41" s="540"/>
      <c r="C41" s="540"/>
      <c r="E41" s="2569"/>
      <c r="F41" s="2570"/>
      <c r="G41" s="2570"/>
      <c r="H41" s="2570"/>
      <c r="I41" s="2570"/>
      <c r="J41" s="2570"/>
      <c r="K41" s="2570"/>
      <c r="L41" s="2570"/>
      <c r="M41" s="2570"/>
      <c r="N41" s="2570"/>
      <c r="O41" s="2570"/>
      <c r="P41" s="2570"/>
      <c r="Q41" s="2570"/>
      <c r="R41" s="2570"/>
      <c r="S41" s="2570"/>
      <c r="T41" s="2570"/>
      <c r="U41" s="2570"/>
      <c r="V41" s="2570"/>
      <c r="W41" s="2570"/>
      <c r="X41" s="2570"/>
      <c r="Y41" s="2570"/>
      <c r="Z41" s="2570"/>
      <c r="AA41" s="2570"/>
      <c r="AB41" s="2570"/>
      <c r="AC41" s="2570"/>
      <c r="AD41" s="2570"/>
      <c r="AE41" s="2570"/>
      <c r="AF41" s="2570"/>
      <c r="AG41" s="2570"/>
      <c r="AH41" s="2570"/>
      <c r="AI41" s="2570"/>
      <c r="AJ41" s="2571"/>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7" t="s">
        <v>591</v>
      </c>
      <c r="C45" s="2617"/>
      <c r="D45" s="1142"/>
      <c r="E45" s="2544" t="s">
        <v>2008</v>
      </c>
      <c r="F45" s="2545"/>
      <c r="G45" s="2545"/>
      <c r="H45" s="2545"/>
      <c r="I45" s="2545"/>
      <c r="J45" s="2545"/>
      <c r="K45" s="2545"/>
      <c r="L45" s="2545"/>
      <c r="M45" s="2545"/>
      <c r="N45" s="2545"/>
      <c r="O45" s="2545"/>
      <c r="P45" s="2545"/>
      <c r="Q45" s="2545"/>
      <c r="R45" s="2545"/>
      <c r="S45" s="2545"/>
      <c r="T45" s="2545"/>
      <c r="U45" s="2545"/>
      <c r="V45" s="2545"/>
      <c r="W45" s="2545"/>
      <c r="X45" s="2545"/>
      <c r="Y45" s="2545"/>
      <c r="Z45" s="2545"/>
      <c r="AA45" s="2545"/>
      <c r="AB45" s="2545"/>
      <c r="AC45" s="2545"/>
      <c r="AD45" s="2545"/>
      <c r="AE45" s="2545"/>
      <c r="AF45" s="2545"/>
      <c r="AG45" s="2545"/>
      <c r="AH45" s="2545"/>
      <c r="AI45" s="2545"/>
      <c r="AJ45" s="2546"/>
      <c r="AK45" s="1142"/>
      <c r="AL45" s="540"/>
      <c r="AM45" s="540"/>
      <c r="AN45" s="535"/>
    </row>
    <row r="46" spans="1:41" s="536" customFormat="1" ht="12.75" customHeight="1">
      <c r="A46" s="540"/>
      <c r="B46" s="540"/>
      <c r="C46" s="540"/>
      <c r="E46" s="2547"/>
      <c r="F46" s="2548"/>
      <c r="G46" s="2548"/>
      <c r="H46" s="2548"/>
      <c r="I46" s="2548"/>
      <c r="J46" s="2548"/>
      <c r="K46" s="2548"/>
      <c r="L46" s="2548"/>
      <c r="M46" s="2548"/>
      <c r="N46" s="2548"/>
      <c r="O46" s="2548"/>
      <c r="P46" s="2548"/>
      <c r="Q46" s="2548"/>
      <c r="R46" s="2548"/>
      <c r="S46" s="2548"/>
      <c r="T46" s="2548"/>
      <c r="U46" s="2548"/>
      <c r="V46" s="2548"/>
      <c r="W46" s="2548"/>
      <c r="X46" s="2548"/>
      <c r="Y46" s="2548"/>
      <c r="Z46" s="2548"/>
      <c r="AA46" s="2548"/>
      <c r="AB46" s="2548"/>
      <c r="AC46" s="2548"/>
      <c r="AD46" s="2548"/>
      <c r="AE46" s="2548"/>
      <c r="AF46" s="2548"/>
      <c r="AG46" s="2548"/>
      <c r="AH46" s="2548"/>
      <c r="AI46" s="2548"/>
      <c r="AJ46" s="2549"/>
      <c r="AK46" s="540"/>
      <c r="AL46" s="540"/>
      <c r="AM46" s="540"/>
      <c r="AN46" s="535"/>
    </row>
    <row r="47" spans="1:41" s="536" customFormat="1" ht="12.75" customHeight="1">
      <c r="A47" s="540"/>
      <c r="D47" s="547"/>
      <c r="E47" s="2569"/>
      <c r="F47" s="2570"/>
      <c r="G47" s="2570"/>
      <c r="H47" s="2570"/>
      <c r="I47" s="2570"/>
      <c r="J47" s="2570"/>
      <c r="K47" s="2570"/>
      <c r="L47" s="2570"/>
      <c r="M47" s="2570"/>
      <c r="N47" s="2570"/>
      <c r="O47" s="2570"/>
      <c r="P47" s="2570"/>
      <c r="Q47" s="2570"/>
      <c r="R47" s="2570"/>
      <c r="S47" s="2570"/>
      <c r="T47" s="2570"/>
      <c r="U47" s="2570"/>
      <c r="V47" s="2570"/>
      <c r="W47" s="2570"/>
      <c r="X47" s="2570"/>
      <c r="Y47" s="2570"/>
      <c r="Z47" s="2570"/>
      <c r="AA47" s="2570"/>
      <c r="AB47" s="2570"/>
      <c r="AC47" s="2570"/>
      <c r="AD47" s="2570"/>
      <c r="AE47" s="2570"/>
      <c r="AF47" s="2570"/>
      <c r="AG47" s="2570"/>
      <c r="AH47" s="2570"/>
      <c r="AI47" s="2570"/>
      <c r="AJ47" s="2571"/>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7" t="s">
        <v>591</v>
      </c>
      <c r="C52" s="2617"/>
      <c r="D52" s="540"/>
      <c r="E52" s="2544" t="s">
        <v>2013</v>
      </c>
      <c r="F52" s="2545"/>
      <c r="G52" s="2545"/>
      <c r="H52" s="2545"/>
      <c r="I52" s="2545"/>
      <c r="J52" s="2545"/>
      <c r="K52" s="2545"/>
      <c r="L52" s="2545"/>
      <c r="M52" s="2545"/>
      <c r="N52" s="2545"/>
      <c r="O52" s="2545"/>
      <c r="P52" s="2545"/>
      <c r="Q52" s="2545"/>
      <c r="R52" s="2545"/>
      <c r="S52" s="2545"/>
      <c r="T52" s="2545"/>
      <c r="U52" s="2545"/>
      <c r="V52" s="2545"/>
      <c r="W52" s="2545"/>
      <c r="X52" s="2545"/>
      <c r="Y52" s="2545"/>
      <c r="Z52" s="2545"/>
      <c r="AA52" s="2545"/>
      <c r="AB52" s="2545"/>
      <c r="AC52" s="2545"/>
      <c r="AD52" s="2545"/>
      <c r="AE52" s="2545"/>
      <c r="AF52" s="2545"/>
      <c r="AG52" s="2545"/>
      <c r="AH52" s="2545"/>
      <c r="AI52" s="2545"/>
      <c r="AJ52" s="2546"/>
      <c r="AK52" s="540"/>
      <c r="AL52" s="540"/>
      <c r="AM52" s="540"/>
      <c r="AN52" s="535"/>
      <c r="AO52" s="559"/>
    </row>
    <row r="53" spans="1:50" s="536" customFormat="1" ht="12.75" customHeight="1">
      <c r="A53" s="540"/>
      <c r="D53" s="547"/>
      <c r="E53" s="2547"/>
      <c r="F53" s="2548"/>
      <c r="G53" s="2548"/>
      <c r="H53" s="2548"/>
      <c r="I53" s="2548"/>
      <c r="J53" s="2548"/>
      <c r="K53" s="2548"/>
      <c r="L53" s="2548"/>
      <c r="M53" s="2548"/>
      <c r="N53" s="2548"/>
      <c r="O53" s="2548"/>
      <c r="P53" s="2548"/>
      <c r="Q53" s="2548"/>
      <c r="R53" s="2548"/>
      <c r="S53" s="2548"/>
      <c r="T53" s="2548"/>
      <c r="U53" s="2548"/>
      <c r="V53" s="2548"/>
      <c r="W53" s="2548"/>
      <c r="X53" s="2548"/>
      <c r="Y53" s="2548"/>
      <c r="Z53" s="2548"/>
      <c r="AA53" s="2548"/>
      <c r="AB53" s="2548"/>
      <c r="AC53" s="2548"/>
      <c r="AD53" s="2548"/>
      <c r="AE53" s="2548"/>
      <c r="AF53" s="2548"/>
      <c r="AG53" s="2548"/>
      <c r="AH53" s="2548"/>
      <c r="AI53" s="2548"/>
      <c r="AJ53" s="2549"/>
      <c r="AK53" s="540"/>
      <c r="AL53" s="540"/>
      <c r="AM53" s="540"/>
      <c r="AN53" s="535"/>
      <c r="AO53" s="559"/>
    </row>
    <row r="54" spans="1:50" s="536" customFormat="1" ht="12.75" customHeight="1">
      <c r="A54" s="540"/>
      <c r="D54" s="540"/>
      <c r="E54" s="2569"/>
      <c r="F54" s="2570"/>
      <c r="G54" s="2570"/>
      <c r="H54" s="2570"/>
      <c r="I54" s="2570"/>
      <c r="J54" s="2570"/>
      <c r="K54" s="2570"/>
      <c r="L54" s="2570"/>
      <c r="M54" s="2570"/>
      <c r="N54" s="2570"/>
      <c r="O54" s="2570"/>
      <c r="P54" s="2570"/>
      <c r="Q54" s="2570"/>
      <c r="R54" s="2570"/>
      <c r="S54" s="2570"/>
      <c r="T54" s="2570"/>
      <c r="U54" s="2570"/>
      <c r="V54" s="2570"/>
      <c r="W54" s="2570"/>
      <c r="X54" s="2570"/>
      <c r="Y54" s="2570"/>
      <c r="Z54" s="2570"/>
      <c r="AA54" s="2570"/>
      <c r="AB54" s="2570"/>
      <c r="AC54" s="2570"/>
      <c r="AD54" s="2570"/>
      <c r="AE54" s="2570"/>
      <c r="AF54" s="2570"/>
      <c r="AG54" s="2570"/>
      <c r="AH54" s="2570"/>
      <c r="AI54" s="2570"/>
      <c r="AJ54" s="2571"/>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7" t="s">
        <v>591</v>
      </c>
      <c r="C56" s="2617"/>
      <c r="D56" s="540"/>
      <c r="E56" s="2643" t="s">
        <v>2014</v>
      </c>
      <c r="F56" s="2644"/>
      <c r="G56" s="2644"/>
      <c r="H56" s="2644"/>
      <c r="I56" s="2644"/>
      <c r="J56" s="2644"/>
      <c r="K56" s="2644"/>
      <c r="L56" s="2644"/>
      <c r="M56" s="2644"/>
      <c r="N56" s="2644"/>
      <c r="O56" s="2644"/>
      <c r="P56" s="2644"/>
      <c r="Q56" s="2644"/>
      <c r="R56" s="2644"/>
      <c r="S56" s="2644"/>
      <c r="T56" s="2644"/>
      <c r="U56" s="2644"/>
      <c r="V56" s="2644"/>
      <c r="W56" s="2644"/>
      <c r="X56" s="2644"/>
      <c r="Y56" s="2644"/>
      <c r="Z56" s="2644"/>
      <c r="AA56" s="2644"/>
      <c r="AB56" s="2644"/>
      <c r="AC56" s="2644"/>
      <c r="AD56" s="2644"/>
      <c r="AE56" s="2644"/>
      <c r="AF56" s="2644"/>
      <c r="AG56" s="2644"/>
      <c r="AH56" s="2644"/>
      <c r="AI56" s="2644"/>
      <c r="AJ56" s="2645"/>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7" t="s">
        <v>591</v>
      </c>
      <c r="C58" s="2617"/>
      <c r="D58" s="540"/>
      <c r="E58" s="2544" t="s">
        <v>2015</v>
      </c>
      <c r="F58" s="2545"/>
      <c r="G58" s="2545"/>
      <c r="H58" s="2545"/>
      <c r="I58" s="2545"/>
      <c r="J58" s="2545"/>
      <c r="K58" s="2545"/>
      <c r="L58" s="2545"/>
      <c r="M58" s="2545"/>
      <c r="N58" s="2545"/>
      <c r="O58" s="2545"/>
      <c r="P58" s="2545"/>
      <c r="Q58" s="2545"/>
      <c r="R58" s="2545"/>
      <c r="S58" s="2545"/>
      <c r="T58" s="2545"/>
      <c r="U58" s="2545"/>
      <c r="V58" s="2545"/>
      <c r="W58" s="2545"/>
      <c r="X58" s="2545"/>
      <c r="Y58" s="2545"/>
      <c r="Z58" s="2545"/>
      <c r="AA58" s="2545"/>
      <c r="AB58" s="2545"/>
      <c r="AC58" s="2545"/>
      <c r="AD58" s="2545"/>
      <c r="AE58" s="2545"/>
      <c r="AF58" s="2545"/>
      <c r="AG58" s="2545"/>
      <c r="AH58" s="2545"/>
      <c r="AI58" s="2545"/>
      <c r="AJ58" s="2546"/>
      <c r="AK58" s="540"/>
      <c r="AL58" s="540"/>
      <c r="AM58" s="540"/>
      <c r="AN58" s="535"/>
    </row>
    <row r="59" spans="1:50" s="536" customFormat="1" ht="12.75" customHeight="1">
      <c r="A59" s="540"/>
      <c r="B59" s="547"/>
      <c r="C59" s="547"/>
      <c r="D59" s="547"/>
      <c r="E59" s="2569"/>
      <c r="F59" s="2570"/>
      <c r="G59" s="2570"/>
      <c r="H59" s="2570"/>
      <c r="I59" s="2570"/>
      <c r="J59" s="2570"/>
      <c r="K59" s="2570"/>
      <c r="L59" s="2570"/>
      <c r="M59" s="2570"/>
      <c r="N59" s="2570"/>
      <c r="O59" s="2570"/>
      <c r="P59" s="2570"/>
      <c r="Q59" s="2570"/>
      <c r="R59" s="2570"/>
      <c r="S59" s="2570"/>
      <c r="T59" s="2570"/>
      <c r="U59" s="2570"/>
      <c r="V59" s="2570"/>
      <c r="W59" s="2570"/>
      <c r="X59" s="2570"/>
      <c r="Y59" s="2570"/>
      <c r="Z59" s="2570"/>
      <c r="AA59" s="2570"/>
      <c r="AB59" s="2570"/>
      <c r="AC59" s="2570"/>
      <c r="AD59" s="2570"/>
      <c r="AE59" s="2570"/>
      <c r="AF59" s="2570"/>
      <c r="AG59" s="2570"/>
      <c r="AH59" s="2570"/>
      <c r="AI59" s="2570"/>
      <c r="AJ59" s="2571"/>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590">
        <f>AO39</f>
        <v>0</v>
      </c>
      <c r="AL62" s="2591"/>
      <c r="AM62" s="2592"/>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4" t="s">
        <v>1314</v>
      </c>
      <c r="AF65" s="2464"/>
      <c r="AG65" s="2464"/>
      <c r="AH65" s="2464"/>
      <c r="AI65" s="2464"/>
      <c r="AJ65" s="2464"/>
      <c r="AK65" s="2464"/>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7" t="s">
        <v>591</v>
      </c>
      <c r="C68" s="2617"/>
      <c r="D68" s="547" t="s">
        <v>1315</v>
      </c>
      <c r="E68" s="2609" t="s">
        <v>2016</v>
      </c>
      <c r="F68" s="2610"/>
      <c r="G68" s="2610"/>
      <c r="H68" s="2610"/>
      <c r="I68" s="2610"/>
      <c r="J68" s="2610"/>
      <c r="K68" s="2610"/>
      <c r="L68" s="2610"/>
      <c r="M68" s="2610"/>
      <c r="N68" s="2610"/>
      <c r="O68" s="2610"/>
      <c r="P68" s="2610"/>
      <c r="Q68" s="2610"/>
      <c r="R68" s="2610"/>
      <c r="S68" s="2610"/>
      <c r="T68" s="2610"/>
      <c r="U68" s="2610"/>
      <c r="V68" s="2610"/>
      <c r="W68" s="2610"/>
      <c r="X68" s="2610"/>
      <c r="Y68" s="2610"/>
      <c r="Z68" s="2610"/>
      <c r="AA68" s="2610"/>
      <c r="AB68" s="2610"/>
      <c r="AC68" s="2610"/>
      <c r="AD68" s="2610"/>
      <c r="AE68" s="2610"/>
      <c r="AF68" s="2610"/>
      <c r="AG68" s="2610"/>
      <c r="AH68" s="2610"/>
      <c r="AI68" s="2610"/>
      <c r="AJ68" s="2611"/>
      <c r="AK68" s="543"/>
      <c r="AL68" s="540"/>
      <c r="AM68" s="540"/>
      <c r="AN68" s="535"/>
      <c r="AO68" s="550">
        <f>IF($B68="yes",10,0)</f>
        <v>0</v>
      </c>
    </row>
    <row r="69" spans="1:42" s="536" customFormat="1" ht="12.75" customHeight="1">
      <c r="A69" s="538"/>
      <c r="B69" s="540"/>
      <c r="C69" s="540"/>
      <c r="D69" s="551"/>
      <c r="E69" s="2612"/>
      <c r="F69" s="2613"/>
      <c r="G69" s="2613"/>
      <c r="H69" s="2613"/>
      <c r="I69" s="2613"/>
      <c r="J69" s="2613"/>
      <c r="K69" s="2613"/>
      <c r="L69" s="2613"/>
      <c r="M69" s="2613"/>
      <c r="N69" s="2613"/>
      <c r="O69" s="2613"/>
      <c r="P69" s="2613"/>
      <c r="Q69" s="2613"/>
      <c r="R69" s="2613"/>
      <c r="S69" s="2613"/>
      <c r="T69" s="2613"/>
      <c r="U69" s="2613"/>
      <c r="V69" s="2613"/>
      <c r="W69" s="2613"/>
      <c r="X69" s="2613"/>
      <c r="Y69" s="2613"/>
      <c r="Z69" s="2613"/>
      <c r="AA69" s="2613"/>
      <c r="AB69" s="2613"/>
      <c r="AC69" s="2613"/>
      <c r="AD69" s="2613"/>
      <c r="AE69" s="2613"/>
      <c r="AF69" s="2613"/>
      <c r="AG69" s="2613"/>
      <c r="AH69" s="2613"/>
      <c r="AI69" s="2613"/>
      <c r="AJ69" s="2614"/>
      <c r="AK69" s="543"/>
      <c r="AL69" s="540"/>
      <c r="AM69" s="540"/>
      <c r="AN69" s="535"/>
      <c r="AO69" s="550">
        <f>IF($B74="yes",10,0)</f>
        <v>10</v>
      </c>
    </row>
    <row r="70" spans="1:42" s="536" customFormat="1" ht="12.75" customHeight="1">
      <c r="A70" s="538"/>
      <c r="B70" s="540"/>
      <c r="C70" s="540"/>
      <c r="D70" s="551"/>
      <c r="E70" s="2612"/>
      <c r="F70" s="2613"/>
      <c r="G70" s="2613"/>
      <c r="H70" s="2613"/>
      <c r="I70" s="2613"/>
      <c r="J70" s="2613"/>
      <c r="K70" s="2613"/>
      <c r="L70" s="2613"/>
      <c r="M70" s="2613"/>
      <c r="N70" s="2613"/>
      <c r="O70" s="2613"/>
      <c r="P70" s="2613"/>
      <c r="Q70" s="2613"/>
      <c r="R70" s="2613"/>
      <c r="S70" s="2613"/>
      <c r="T70" s="2613"/>
      <c r="U70" s="2613"/>
      <c r="V70" s="2613"/>
      <c r="W70" s="2613"/>
      <c r="X70" s="2613"/>
      <c r="Y70" s="2613"/>
      <c r="Z70" s="2613"/>
      <c r="AA70" s="2613"/>
      <c r="AB70" s="2613"/>
      <c r="AC70" s="2613"/>
      <c r="AD70" s="2613"/>
      <c r="AE70" s="2613"/>
      <c r="AF70" s="2613"/>
      <c r="AG70" s="2613"/>
      <c r="AH70" s="2613"/>
      <c r="AI70" s="2613"/>
      <c r="AJ70" s="2614"/>
      <c r="AK70" s="543"/>
      <c r="AL70" s="540"/>
      <c r="AM70" s="540"/>
      <c r="AN70" s="535"/>
      <c r="AO70" s="550">
        <f>IF($B81="yes",10,0)</f>
        <v>0</v>
      </c>
    </row>
    <row r="71" spans="1:42" s="536" customFormat="1" ht="12.75" customHeight="1">
      <c r="A71" s="538"/>
      <c r="B71" s="540"/>
      <c r="C71" s="540"/>
      <c r="D71" s="551"/>
      <c r="E71" s="2612"/>
      <c r="F71" s="2613"/>
      <c r="G71" s="2613"/>
      <c r="H71" s="2613"/>
      <c r="I71" s="2613"/>
      <c r="J71" s="2613"/>
      <c r="K71" s="2613"/>
      <c r="L71" s="2613"/>
      <c r="M71" s="2613"/>
      <c r="N71" s="2613"/>
      <c r="O71" s="2613"/>
      <c r="P71" s="2613"/>
      <c r="Q71" s="2613"/>
      <c r="R71" s="2613"/>
      <c r="S71" s="2613"/>
      <c r="T71" s="2613"/>
      <c r="U71" s="2613"/>
      <c r="V71" s="2613"/>
      <c r="W71" s="2613"/>
      <c r="X71" s="2613"/>
      <c r="Y71" s="2613"/>
      <c r="Z71" s="2613"/>
      <c r="AA71" s="2613"/>
      <c r="AB71" s="2613"/>
      <c r="AC71" s="2613"/>
      <c r="AD71" s="2613"/>
      <c r="AE71" s="2613"/>
      <c r="AF71" s="2613"/>
      <c r="AG71" s="2613"/>
      <c r="AH71" s="2613"/>
      <c r="AI71" s="2613"/>
      <c r="AJ71" s="2614"/>
      <c r="AK71" s="543"/>
      <c r="AL71" s="540"/>
      <c r="AM71" s="540"/>
      <c r="AN71" s="535"/>
      <c r="AO71" s="536">
        <f>IF(SUM(AO68:AO70)&gt;10,10,(SUM(AO68:AO70)))</f>
        <v>10</v>
      </c>
      <c r="AP71" s="574" t="s">
        <v>1316</v>
      </c>
    </row>
    <row r="72" spans="1:42" s="536" customFormat="1" ht="12.75" customHeight="1">
      <c r="A72" s="538"/>
      <c r="B72" s="540"/>
      <c r="C72" s="540"/>
      <c r="D72" s="551"/>
      <c r="E72" s="2639"/>
      <c r="F72" s="2640"/>
      <c r="G72" s="2640"/>
      <c r="H72" s="2640"/>
      <c r="I72" s="2640"/>
      <c r="J72" s="2640"/>
      <c r="K72" s="2640"/>
      <c r="L72" s="2640"/>
      <c r="M72" s="2640"/>
      <c r="N72" s="2640"/>
      <c r="O72" s="2640"/>
      <c r="P72" s="2640"/>
      <c r="Q72" s="2640"/>
      <c r="R72" s="2640"/>
      <c r="S72" s="2640"/>
      <c r="T72" s="2640"/>
      <c r="U72" s="2640"/>
      <c r="V72" s="2640"/>
      <c r="W72" s="2640"/>
      <c r="X72" s="2640"/>
      <c r="Y72" s="2640"/>
      <c r="Z72" s="2640"/>
      <c r="AA72" s="2640"/>
      <c r="AB72" s="2640"/>
      <c r="AC72" s="2640"/>
      <c r="AD72" s="2640"/>
      <c r="AE72" s="2640"/>
      <c r="AF72" s="2640"/>
      <c r="AG72" s="2640"/>
      <c r="AH72" s="2640"/>
      <c r="AI72" s="2640"/>
      <c r="AJ72" s="2641"/>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7" t="s">
        <v>545</v>
      </c>
      <c r="C74" s="2617"/>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42" t="s">
        <v>591</v>
      </c>
      <c r="F75" s="2617"/>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7" t="s">
        <v>545</v>
      </c>
      <c r="F76" s="2638"/>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7" t="s">
        <v>591</v>
      </c>
      <c r="F77" s="2638"/>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42" t="s">
        <v>591</v>
      </c>
      <c r="F79" s="2617"/>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7" t="s">
        <v>591</v>
      </c>
      <c r="C81" s="2617"/>
      <c r="D81" s="547" t="s">
        <v>1320</v>
      </c>
      <c r="E81" s="2544" t="s">
        <v>1740</v>
      </c>
      <c r="F81" s="2545"/>
      <c r="G81" s="2545"/>
      <c r="H81" s="2545"/>
      <c r="I81" s="2545"/>
      <c r="J81" s="2545"/>
      <c r="K81" s="2545"/>
      <c r="L81" s="2545"/>
      <c r="M81" s="2545"/>
      <c r="N81" s="2545"/>
      <c r="O81" s="2545"/>
      <c r="P81" s="2545"/>
      <c r="Q81" s="2545"/>
      <c r="R81" s="2545"/>
      <c r="S81" s="2545"/>
      <c r="T81" s="2545"/>
      <c r="U81" s="2545"/>
      <c r="V81" s="2545"/>
      <c r="W81" s="2545"/>
      <c r="X81" s="2545"/>
      <c r="Y81" s="2545"/>
      <c r="Z81" s="2545"/>
      <c r="AA81" s="2545"/>
      <c r="AB81" s="2545"/>
      <c r="AC81" s="2545"/>
      <c r="AD81" s="2545"/>
      <c r="AE81" s="2545"/>
      <c r="AF81" s="2545"/>
      <c r="AG81" s="2545"/>
      <c r="AH81" s="2545"/>
      <c r="AI81" s="2545"/>
      <c r="AJ81" s="2546"/>
      <c r="AK81" s="543"/>
      <c r="AL81" s="540"/>
      <c r="AM81" s="540"/>
      <c r="AN81" s="535"/>
    </row>
    <row r="82" spans="1:43" s="536" customFormat="1" ht="12.75" customHeight="1">
      <c r="A82" s="538"/>
      <c r="B82" s="540"/>
      <c r="C82" s="540"/>
      <c r="D82" s="550"/>
      <c r="E82" s="2569"/>
      <c r="F82" s="2570"/>
      <c r="G82" s="2570"/>
      <c r="H82" s="2570"/>
      <c r="I82" s="2570"/>
      <c r="J82" s="2570"/>
      <c r="K82" s="2570"/>
      <c r="L82" s="2570"/>
      <c r="M82" s="2570"/>
      <c r="N82" s="2570"/>
      <c r="O82" s="2570"/>
      <c r="P82" s="2570"/>
      <c r="Q82" s="2570"/>
      <c r="R82" s="2570"/>
      <c r="S82" s="2570"/>
      <c r="T82" s="2570"/>
      <c r="U82" s="2570"/>
      <c r="V82" s="2570"/>
      <c r="W82" s="2570"/>
      <c r="X82" s="2570"/>
      <c r="Y82" s="2570"/>
      <c r="Z82" s="2570"/>
      <c r="AA82" s="2570"/>
      <c r="AB82" s="2570"/>
      <c r="AC82" s="2570"/>
      <c r="AD82" s="2570"/>
      <c r="AE82" s="2570"/>
      <c r="AF82" s="2570"/>
      <c r="AG82" s="2570"/>
      <c r="AH82" s="2570"/>
      <c r="AI82" s="2570"/>
      <c r="AJ82" s="2571"/>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590">
        <f>IF(AK62&gt;0,0,AO71)</f>
        <v>10</v>
      </c>
      <c r="AL84" s="2591"/>
      <c r="AM84" s="2592"/>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4" t="s">
        <v>1305</v>
      </c>
      <c r="AF87" s="2464"/>
      <c r="AG87" s="2464"/>
      <c r="AH87" s="2464"/>
      <c r="AI87" s="2464"/>
      <c r="AJ87" s="2464"/>
      <c r="AK87" s="2464"/>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7" t="s">
        <v>591</v>
      </c>
      <c r="C90" s="2617"/>
      <c r="D90" s="547" t="s">
        <v>1315</v>
      </c>
      <c r="E90" s="2609" t="s">
        <v>1325</v>
      </c>
      <c r="F90" s="2610"/>
      <c r="G90" s="2610"/>
      <c r="H90" s="2610"/>
      <c r="I90" s="2610"/>
      <c r="J90" s="2610"/>
      <c r="K90" s="2610"/>
      <c r="L90" s="2610"/>
      <c r="M90" s="2610"/>
      <c r="N90" s="2610"/>
      <c r="O90" s="2610"/>
      <c r="P90" s="2610"/>
      <c r="Q90" s="2610"/>
      <c r="R90" s="2610"/>
      <c r="S90" s="2610"/>
      <c r="T90" s="2610"/>
      <c r="U90" s="2610"/>
      <c r="V90" s="2610"/>
      <c r="W90" s="2610"/>
      <c r="X90" s="2610"/>
      <c r="Y90" s="2610"/>
      <c r="Z90" s="2610"/>
      <c r="AA90" s="2610"/>
      <c r="AB90" s="2610"/>
      <c r="AC90" s="2610"/>
      <c r="AD90" s="2610"/>
      <c r="AE90" s="2610"/>
      <c r="AF90" s="2610"/>
      <c r="AG90" s="2610"/>
      <c r="AH90" s="2610"/>
      <c r="AI90" s="2610"/>
      <c r="AJ90" s="2611"/>
      <c r="AK90" s="543"/>
      <c r="AL90" s="540"/>
      <c r="AM90" s="540"/>
      <c r="AN90" s="535"/>
    </row>
    <row r="91" spans="1:43" s="536" customFormat="1" ht="12.75" customHeight="1">
      <c r="A91" s="538"/>
      <c r="B91" s="539"/>
      <c r="C91" s="539"/>
      <c r="D91" s="539"/>
      <c r="E91" s="2612"/>
      <c r="F91" s="2613"/>
      <c r="G91" s="2613"/>
      <c r="H91" s="2613"/>
      <c r="I91" s="2613"/>
      <c r="J91" s="2613"/>
      <c r="K91" s="2613"/>
      <c r="L91" s="2613"/>
      <c r="M91" s="2613"/>
      <c r="N91" s="2613"/>
      <c r="O91" s="2613"/>
      <c r="P91" s="2613"/>
      <c r="Q91" s="2613"/>
      <c r="R91" s="2613"/>
      <c r="S91" s="2613"/>
      <c r="T91" s="2613"/>
      <c r="U91" s="2613"/>
      <c r="V91" s="2613"/>
      <c r="W91" s="2613"/>
      <c r="X91" s="2613"/>
      <c r="Y91" s="2613"/>
      <c r="Z91" s="2613"/>
      <c r="AA91" s="2613"/>
      <c r="AB91" s="2613"/>
      <c r="AC91" s="2613"/>
      <c r="AD91" s="2613"/>
      <c r="AE91" s="2613"/>
      <c r="AF91" s="2613"/>
      <c r="AG91" s="2613"/>
      <c r="AH91" s="2613"/>
      <c r="AI91" s="2613"/>
      <c r="AJ91" s="2614"/>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5">
        <f>Application!AC753</f>
        <v>0.57580645161290323</v>
      </c>
      <c r="F93" s="2606"/>
      <c r="G93" s="2606"/>
      <c r="H93" s="2606"/>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6">
        <f>0.6-ROUNDUP(E93,2)</f>
        <v>2.0000000000000018E-2</v>
      </c>
      <c r="F94" s="2411"/>
      <c r="G94" s="2411"/>
      <c r="H94" s="2411"/>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21">
        <f>IF(E94*200&gt;20,20,E94*200)</f>
        <v>4.0000000000000036</v>
      </c>
      <c r="F95" s="2622"/>
      <c r="G95" s="2622"/>
      <c r="H95" s="2622"/>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7" t="s">
        <v>545</v>
      </c>
      <c r="C98" s="2617"/>
      <c r="D98" s="547" t="s">
        <v>1317</v>
      </c>
      <c r="E98" s="2609" t="s">
        <v>1725</v>
      </c>
      <c r="F98" s="2610"/>
      <c r="G98" s="2610"/>
      <c r="H98" s="2610"/>
      <c r="I98" s="2610"/>
      <c r="J98" s="2610"/>
      <c r="K98" s="2610"/>
      <c r="L98" s="2610"/>
      <c r="M98" s="2610"/>
      <c r="N98" s="2610"/>
      <c r="O98" s="2610"/>
      <c r="P98" s="2610"/>
      <c r="Q98" s="2610"/>
      <c r="R98" s="2610"/>
      <c r="S98" s="2610"/>
      <c r="T98" s="2610"/>
      <c r="U98" s="2610"/>
      <c r="V98" s="2610"/>
      <c r="W98" s="2610"/>
      <c r="X98" s="2610"/>
      <c r="Y98" s="2610"/>
      <c r="Z98" s="2610"/>
      <c r="AA98" s="2610"/>
      <c r="AB98" s="2610"/>
      <c r="AC98" s="2610"/>
      <c r="AD98" s="2610"/>
      <c r="AE98" s="2610"/>
      <c r="AF98" s="2610"/>
      <c r="AG98" s="2610"/>
      <c r="AH98" s="2610"/>
      <c r="AI98" s="2610"/>
      <c r="AJ98" s="2611"/>
      <c r="AK98" s="543"/>
      <c r="AL98" s="540"/>
      <c r="AM98" s="540"/>
      <c r="AN98" s="535"/>
    </row>
    <row r="99" spans="1:47" s="536" customFormat="1" ht="12.75" customHeight="1">
      <c r="A99" s="538"/>
      <c r="B99" s="539"/>
      <c r="C99" s="539"/>
      <c r="D99" s="539"/>
      <c r="E99" s="2612"/>
      <c r="F99" s="2613"/>
      <c r="G99" s="2613"/>
      <c r="H99" s="2613"/>
      <c r="I99" s="2613"/>
      <c r="J99" s="2613"/>
      <c r="K99" s="2613"/>
      <c r="L99" s="2613"/>
      <c r="M99" s="2613"/>
      <c r="N99" s="2613"/>
      <c r="O99" s="2613"/>
      <c r="P99" s="2613"/>
      <c r="Q99" s="2613"/>
      <c r="R99" s="2613"/>
      <c r="S99" s="2613"/>
      <c r="T99" s="2613"/>
      <c r="U99" s="2613"/>
      <c r="V99" s="2613"/>
      <c r="W99" s="2613"/>
      <c r="X99" s="2613"/>
      <c r="Y99" s="2613"/>
      <c r="Z99" s="2613"/>
      <c r="AA99" s="2613"/>
      <c r="AB99" s="2613"/>
      <c r="AC99" s="2613"/>
      <c r="AD99" s="2613"/>
      <c r="AE99" s="2613"/>
      <c r="AF99" s="2613"/>
      <c r="AG99" s="2613"/>
      <c r="AH99" s="2613"/>
      <c r="AI99" s="2613"/>
      <c r="AJ99" s="2614"/>
      <c r="AK99" s="543"/>
      <c r="AL99" s="540"/>
      <c r="AM99" s="540"/>
      <c r="AN99" s="535"/>
    </row>
    <row r="100" spans="1:47" s="536" customFormat="1" ht="12.75" customHeight="1">
      <c r="A100" s="538"/>
      <c r="B100" s="539"/>
      <c r="C100" s="539"/>
      <c r="D100" s="539"/>
      <c r="E100" s="2612"/>
      <c r="F100" s="2613"/>
      <c r="G100" s="2613"/>
      <c r="H100" s="2613"/>
      <c r="I100" s="2613"/>
      <c r="J100" s="2613"/>
      <c r="K100" s="2613"/>
      <c r="L100" s="2613"/>
      <c r="M100" s="2613"/>
      <c r="N100" s="2613"/>
      <c r="O100" s="2613"/>
      <c r="P100" s="2613"/>
      <c r="Q100" s="2613"/>
      <c r="R100" s="2613"/>
      <c r="S100" s="2613"/>
      <c r="T100" s="2613"/>
      <c r="U100" s="2613"/>
      <c r="V100" s="2613"/>
      <c r="W100" s="2613"/>
      <c r="X100" s="2613"/>
      <c r="Y100" s="2613"/>
      <c r="Z100" s="2613"/>
      <c r="AA100" s="2613"/>
      <c r="AB100" s="2613"/>
      <c r="AC100" s="2613"/>
      <c r="AD100" s="2613"/>
      <c r="AE100" s="2613"/>
      <c r="AF100" s="2613"/>
      <c r="AG100" s="2613"/>
      <c r="AH100" s="2613"/>
      <c r="AI100" s="2613"/>
      <c r="AJ100" s="2614"/>
      <c r="AK100" s="543"/>
      <c r="AL100" s="540"/>
      <c r="AM100" s="540"/>
      <c r="AN100" s="535"/>
    </row>
    <row r="101" spans="1:47" s="536" customFormat="1" ht="12.75" customHeight="1">
      <c r="A101" s="538"/>
      <c r="B101" s="539"/>
      <c r="C101" s="539"/>
      <c r="D101" s="539"/>
      <c r="E101" s="2612"/>
      <c r="F101" s="2613"/>
      <c r="G101" s="2613"/>
      <c r="H101" s="2613"/>
      <c r="I101" s="2613"/>
      <c r="J101" s="2613"/>
      <c r="K101" s="2613"/>
      <c r="L101" s="2613"/>
      <c r="M101" s="2613"/>
      <c r="N101" s="2613"/>
      <c r="O101" s="2613"/>
      <c r="P101" s="2613"/>
      <c r="Q101" s="2613"/>
      <c r="R101" s="2613"/>
      <c r="S101" s="2613"/>
      <c r="T101" s="2613"/>
      <c r="U101" s="2613"/>
      <c r="V101" s="2613"/>
      <c r="W101" s="2613"/>
      <c r="X101" s="2613"/>
      <c r="Y101" s="2613"/>
      <c r="Z101" s="2613"/>
      <c r="AA101" s="2613"/>
      <c r="AB101" s="2613"/>
      <c r="AC101" s="2613"/>
      <c r="AD101" s="2613"/>
      <c r="AE101" s="2613"/>
      <c r="AF101" s="2613"/>
      <c r="AG101" s="2613"/>
      <c r="AH101" s="2613"/>
      <c r="AI101" s="2613"/>
      <c r="AJ101" s="2614"/>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5">
        <f>Application!AC753</f>
        <v>0.57580645161290323</v>
      </c>
      <c r="F103" s="2606"/>
      <c r="G103" s="2606"/>
      <c r="H103" s="2606"/>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5">
        <f ca="1">SUMIF(Application!AC718:AG752,0.2,Application!G718:J752)/Application!G753+SUMIF(Application!AC718:AG752,0.25,Application!G718:J752)/Application!G753+SUMIF(Application!AC718:AG752,0.3,Application!G718:J752)/Application!G753</f>
        <v>0.11290322580645161</v>
      </c>
      <c r="F104" s="2606"/>
      <c r="G104" s="2606"/>
      <c r="H104" s="2606"/>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5">
        <f ca="1">SUMIF(Application!AC718:AG752,0.35,Application!G718:J752)/Application!G753+SUMIF(Application!AC718:AG752,0.4,Application!G718:J752)/Application!G753+SUMIF(Application!AC718:AG752,0.45,Application!G718:J752)/Application!G753+SUMIF(Application!AC718:AG752,0.5,Application!G718:J752)/Application!G753</f>
        <v>0.39516129032258063</v>
      </c>
      <c r="F105" s="2606"/>
      <c r="G105" s="2606"/>
      <c r="H105" s="2606"/>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3">
        <f ca="1">IF(AND(E103&lt;=0.6,OR(AND(E104&gt;=0.1,E105&gt;=0.1),AND(E104&gt;0.1,(E104+E105)&gt;=0.2))),20,0)</f>
        <v>20</v>
      </c>
      <c r="F106" s="2604"/>
      <c r="G106" s="2604"/>
      <c r="H106" s="2604"/>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590">
        <f ca="1">MAX(AP95,AP106)</f>
        <v>20</v>
      </c>
      <c r="AL109" s="2591"/>
      <c r="AM109" s="2592"/>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4" t="s">
        <v>1314</v>
      </c>
      <c r="AF112" s="2464"/>
      <c r="AG112" s="2464"/>
      <c r="AH112" s="2464"/>
      <c r="AI112" s="2464"/>
      <c r="AJ112" s="2464"/>
      <c r="AK112" s="2464"/>
      <c r="AL112" s="540"/>
      <c r="AM112" s="540"/>
      <c r="AN112" s="535"/>
      <c r="AO112" s="536" t="str">
        <f>Application!B718</f>
        <v>1 Bedroom</v>
      </c>
      <c r="AQ112" s="536">
        <f>Application!O718</f>
        <v>1063</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2 Bedrooms</v>
      </c>
      <c r="AQ113" s="536">
        <f>Application!O719</f>
        <v>1225</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3 Bedrooms</v>
      </c>
      <c r="AQ114" s="536">
        <f>Application!O720</f>
        <v>1465</v>
      </c>
    </row>
    <row r="115" spans="1:52" s="536" customFormat="1" ht="12.75" customHeight="1">
      <c r="A115" s="540"/>
      <c r="B115" s="2617" t="s">
        <v>591</v>
      </c>
      <c r="C115" s="2617"/>
      <c r="D115" s="547" t="s">
        <v>1315</v>
      </c>
      <c r="E115" s="2609" t="s">
        <v>1857</v>
      </c>
      <c r="F115" s="2610"/>
      <c r="G115" s="2610"/>
      <c r="H115" s="2610"/>
      <c r="I115" s="2610"/>
      <c r="J115" s="2610"/>
      <c r="K115" s="2610"/>
      <c r="L115" s="2610"/>
      <c r="M115" s="2610"/>
      <c r="N115" s="2610"/>
      <c r="O115" s="2610"/>
      <c r="P115" s="2610"/>
      <c r="Q115" s="2610"/>
      <c r="R115" s="2610"/>
      <c r="S115" s="2610"/>
      <c r="T115" s="2610"/>
      <c r="U115" s="2610"/>
      <c r="V115" s="2610"/>
      <c r="W115" s="2610"/>
      <c r="X115" s="2610"/>
      <c r="Y115" s="2610"/>
      <c r="Z115" s="2610"/>
      <c r="AA115" s="2610"/>
      <c r="AB115" s="2610"/>
      <c r="AC115" s="2610"/>
      <c r="AD115" s="2610"/>
      <c r="AE115" s="2610"/>
      <c r="AF115" s="2610"/>
      <c r="AG115" s="2610"/>
      <c r="AH115" s="2610"/>
      <c r="AI115" s="2610"/>
      <c r="AJ115" s="2611"/>
      <c r="AK115" s="540"/>
      <c r="AL115" s="540"/>
      <c r="AM115" s="540"/>
      <c r="AN115" s="535"/>
      <c r="AO115" s="536" t="str">
        <f>Application!B721</f>
        <v>1 Bedroom</v>
      </c>
      <c r="AQ115" s="536">
        <f>Application!O721</f>
        <v>1788</v>
      </c>
      <c r="AU115" s="536" t="s">
        <v>1840</v>
      </c>
      <c r="AV115" s="595" t="s">
        <v>1841</v>
      </c>
      <c r="AW115" s="536" t="s">
        <v>1842</v>
      </c>
    </row>
    <row r="116" spans="1:52" s="536" customFormat="1" ht="12.75" customHeight="1">
      <c r="A116" s="540"/>
      <c r="B116" s="539"/>
      <c r="C116" s="539"/>
      <c r="D116" s="539"/>
      <c r="E116" s="2612"/>
      <c r="F116" s="2613"/>
      <c r="G116" s="2613"/>
      <c r="H116" s="2613"/>
      <c r="I116" s="2613"/>
      <c r="J116" s="2613"/>
      <c r="K116" s="2613"/>
      <c r="L116" s="2613"/>
      <c r="M116" s="2613"/>
      <c r="N116" s="2613"/>
      <c r="O116" s="2613"/>
      <c r="P116" s="2613"/>
      <c r="Q116" s="2613"/>
      <c r="R116" s="2613"/>
      <c r="S116" s="2613"/>
      <c r="T116" s="2613"/>
      <c r="U116" s="2613"/>
      <c r="V116" s="2613"/>
      <c r="W116" s="2613"/>
      <c r="X116" s="2613"/>
      <c r="Y116" s="2613"/>
      <c r="Z116" s="2613"/>
      <c r="AA116" s="2613"/>
      <c r="AB116" s="2613"/>
      <c r="AC116" s="2613"/>
      <c r="AD116" s="2613"/>
      <c r="AE116" s="2613"/>
      <c r="AF116" s="2613"/>
      <c r="AG116" s="2613"/>
      <c r="AH116" s="2613"/>
      <c r="AI116" s="2613"/>
      <c r="AJ116" s="2614"/>
      <c r="AK116" s="540"/>
      <c r="AL116" s="540"/>
      <c r="AM116" s="540"/>
      <c r="AN116" s="535"/>
      <c r="AO116" s="536" t="str">
        <f>Application!B722</f>
        <v>2 Bedrooms</v>
      </c>
      <c r="AQ116" s="536">
        <f>Application!O722</f>
        <v>2096</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12"/>
      <c r="F117" s="2613"/>
      <c r="G117" s="2613"/>
      <c r="H117" s="2613"/>
      <c r="I117" s="2613"/>
      <c r="J117" s="2613"/>
      <c r="K117" s="2613"/>
      <c r="L117" s="2613"/>
      <c r="M117" s="2613"/>
      <c r="N117" s="2613"/>
      <c r="O117" s="2613"/>
      <c r="P117" s="2613"/>
      <c r="Q117" s="2613"/>
      <c r="R117" s="2613"/>
      <c r="S117" s="2613"/>
      <c r="T117" s="2613"/>
      <c r="U117" s="2613"/>
      <c r="V117" s="2613"/>
      <c r="W117" s="2613"/>
      <c r="X117" s="2613"/>
      <c r="Y117" s="2613"/>
      <c r="Z117" s="2613"/>
      <c r="AA117" s="2613"/>
      <c r="AB117" s="2613"/>
      <c r="AC117" s="2613"/>
      <c r="AD117" s="2613"/>
      <c r="AE117" s="2613"/>
      <c r="AF117" s="2613"/>
      <c r="AG117" s="2613"/>
      <c r="AH117" s="2613"/>
      <c r="AI117" s="2613"/>
      <c r="AJ117" s="2614"/>
      <c r="AK117" s="540"/>
      <c r="AL117" s="540"/>
      <c r="AM117" s="540"/>
      <c r="AN117" s="535"/>
      <c r="AO117" s="536" t="str">
        <f>Application!B723</f>
        <v>3 Bedrooms</v>
      </c>
      <c r="AQ117" s="536">
        <f>Application!O723</f>
        <v>2471</v>
      </c>
      <c r="AU117" s="856" t="str">
        <f>J124</f>
        <v>1-bedroom</v>
      </c>
      <c r="AV117" s="536">
        <f t="array" ref="AV117">SUM(IF(Application!B718:F752="1 Bedroom",Application!G718:J752))</f>
        <v>45</v>
      </c>
      <c r="AW117" s="1011">
        <f>AV117/AV122</f>
        <v>0.36290322580645162</v>
      </c>
    </row>
    <row r="118" spans="1:52" s="536" customFormat="1" ht="12.75" customHeight="1">
      <c r="A118" s="540"/>
      <c r="B118" s="539"/>
      <c r="C118" s="539"/>
      <c r="D118" s="539"/>
      <c r="E118" s="2612"/>
      <c r="F118" s="2613"/>
      <c r="G118" s="2613"/>
      <c r="H118" s="2613"/>
      <c r="I118" s="2613"/>
      <c r="J118" s="2613"/>
      <c r="K118" s="2613"/>
      <c r="L118" s="2613"/>
      <c r="M118" s="2613"/>
      <c r="N118" s="2613"/>
      <c r="O118" s="2613"/>
      <c r="P118" s="2613"/>
      <c r="Q118" s="2613"/>
      <c r="R118" s="2613"/>
      <c r="S118" s="2613"/>
      <c r="T118" s="2613"/>
      <c r="U118" s="2613"/>
      <c r="V118" s="2613"/>
      <c r="W118" s="2613"/>
      <c r="X118" s="2613"/>
      <c r="Y118" s="2613"/>
      <c r="Z118" s="2613"/>
      <c r="AA118" s="2613"/>
      <c r="AB118" s="2613"/>
      <c r="AC118" s="2613"/>
      <c r="AD118" s="2613"/>
      <c r="AE118" s="2613"/>
      <c r="AF118" s="2613"/>
      <c r="AG118" s="2613"/>
      <c r="AH118" s="2613"/>
      <c r="AI118" s="2613"/>
      <c r="AJ118" s="2614"/>
      <c r="AK118" s="540"/>
      <c r="AL118" s="540"/>
      <c r="AM118" s="540"/>
      <c r="AN118" s="535"/>
      <c r="AO118" s="536" t="str">
        <f>Application!B724</f>
        <v>1 Bedroom</v>
      </c>
      <c r="AQ118" s="536">
        <f>Application!O724</f>
        <v>2514</v>
      </c>
      <c r="AU118" s="856" t="str">
        <f>O124</f>
        <v>2-bedroom</v>
      </c>
      <c r="AV118" s="536">
        <f t="array" ref="AV118">SUM(IF(Application!B718:F752="2 Bedrooms",Application!G718:J752))</f>
        <v>47</v>
      </c>
      <c r="AW118" s="1011">
        <f>AV118/AV122</f>
        <v>0.37903225806451613</v>
      </c>
    </row>
    <row r="119" spans="1:52" s="536" customFormat="1" ht="12.75" customHeight="1">
      <c r="A119" s="540"/>
      <c r="B119" s="539"/>
      <c r="C119" s="539"/>
      <c r="D119" s="539"/>
      <c r="E119" s="2612"/>
      <c r="F119" s="2613"/>
      <c r="G119" s="2613"/>
      <c r="H119" s="2613"/>
      <c r="I119" s="2613"/>
      <c r="J119" s="2613"/>
      <c r="K119" s="2613"/>
      <c r="L119" s="2613"/>
      <c r="M119" s="2613"/>
      <c r="N119" s="2613"/>
      <c r="O119" s="2613"/>
      <c r="P119" s="2613"/>
      <c r="Q119" s="2613"/>
      <c r="R119" s="2613"/>
      <c r="S119" s="2613"/>
      <c r="T119" s="2613"/>
      <c r="U119" s="2613"/>
      <c r="V119" s="2613"/>
      <c r="W119" s="2613"/>
      <c r="X119" s="2613"/>
      <c r="Y119" s="2613"/>
      <c r="Z119" s="2613"/>
      <c r="AA119" s="2613"/>
      <c r="AB119" s="2613"/>
      <c r="AC119" s="2613"/>
      <c r="AD119" s="2613"/>
      <c r="AE119" s="2613"/>
      <c r="AF119" s="2613"/>
      <c r="AG119" s="2613"/>
      <c r="AH119" s="2613"/>
      <c r="AI119" s="2613"/>
      <c r="AJ119" s="2614"/>
      <c r="AK119" s="540"/>
      <c r="AL119" s="540"/>
      <c r="AM119" s="540"/>
      <c r="AN119" s="535"/>
      <c r="AO119" s="536" t="str">
        <f>Application!B725</f>
        <v>2 Bedrooms</v>
      </c>
      <c r="AQ119" s="536">
        <f>Application!O725</f>
        <v>2966</v>
      </c>
      <c r="AU119" s="856" t="str">
        <f>T124</f>
        <v>3-bedroom</v>
      </c>
      <c r="AV119" s="536">
        <f t="array" ref="AV119">SUM(IF(Application!B718:F752="3 Bedrooms",Application!G718:J752))</f>
        <v>32</v>
      </c>
      <c r="AW119" s="1011">
        <f>AV119/AV122</f>
        <v>0.25806451612903225</v>
      </c>
    </row>
    <row r="120" spans="1:52" s="536" customFormat="1" ht="12.75" customHeight="1">
      <c r="A120" s="540"/>
      <c r="B120" s="539"/>
      <c r="C120" s="539"/>
      <c r="D120" s="539"/>
      <c r="E120" s="2612"/>
      <c r="F120" s="2613"/>
      <c r="G120" s="2613"/>
      <c r="H120" s="2613"/>
      <c r="I120" s="2613"/>
      <c r="J120" s="2613"/>
      <c r="K120" s="2613"/>
      <c r="L120" s="2613"/>
      <c r="M120" s="2613"/>
      <c r="N120" s="2613"/>
      <c r="O120" s="2613"/>
      <c r="P120" s="2613"/>
      <c r="Q120" s="2613"/>
      <c r="R120" s="2613"/>
      <c r="S120" s="2613"/>
      <c r="T120" s="2613"/>
      <c r="U120" s="2613"/>
      <c r="V120" s="2613"/>
      <c r="W120" s="2613"/>
      <c r="X120" s="2613"/>
      <c r="Y120" s="2613"/>
      <c r="Z120" s="2613"/>
      <c r="AA120" s="2613"/>
      <c r="AB120" s="2613"/>
      <c r="AC120" s="2613"/>
      <c r="AD120" s="2613"/>
      <c r="AE120" s="2613"/>
      <c r="AF120" s="2613"/>
      <c r="AG120" s="2613"/>
      <c r="AH120" s="2613"/>
      <c r="AI120" s="2613"/>
      <c r="AJ120" s="2614"/>
      <c r="AK120" s="540"/>
      <c r="AL120" s="540"/>
      <c r="AM120" s="540"/>
      <c r="AN120" s="535"/>
      <c r="AO120" s="536" t="str">
        <f>Application!B726</f>
        <v>3 Bedrooms</v>
      </c>
      <c r="AQ120" s="536">
        <f>Application!O726</f>
        <v>3477</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12"/>
      <c r="F121" s="2613"/>
      <c r="G121" s="2613"/>
      <c r="H121" s="2613"/>
      <c r="I121" s="2613"/>
      <c r="J121" s="2613"/>
      <c r="K121" s="2613"/>
      <c r="L121" s="2613"/>
      <c r="M121" s="2613"/>
      <c r="N121" s="2613"/>
      <c r="O121" s="2613"/>
      <c r="P121" s="2613"/>
      <c r="Q121" s="2613"/>
      <c r="R121" s="2613"/>
      <c r="S121" s="2613"/>
      <c r="T121" s="2613"/>
      <c r="U121" s="2613"/>
      <c r="V121" s="2613"/>
      <c r="W121" s="2613"/>
      <c r="X121" s="2613"/>
      <c r="Y121" s="2613"/>
      <c r="Z121" s="2613"/>
      <c r="AA121" s="2613"/>
      <c r="AB121" s="2613"/>
      <c r="AC121" s="2613"/>
      <c r="AD121" s="2613"/>
      <c r="AE121" s="2613"/>
      <c r="AF121" s="2613"/>
      <c r="AG121" s="2613"/>
      <c r="AH121" s="2613"/>
      <c r="AI121" s="2613"/>
      <c r="AJ121" s="2614"/>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12"/>
      <c r="F122" s="2613"/>
      <c r="G122" s="2613"/>
      <c r="H122" s="2613"/>
      <c r="I122" s="2613"/>
      <c r="J122" s="2613"/>
      <c r="K122" s="2613"/>
      <c r="L122" s="2613"/>
      <c r="M122" s="2613"/>
      <c r="N122" s="2613"/>
      <c r="O122" s="2613"/>
      <c r="P122" s="2613"/>
      <c r="Q122" s="2613"/>
      <c r="R122" s="2613"/>
      <c r="S122" s="2613"/>
      <c r="T122" s="2613"/>
      <c r="U122" s="2613"/>
      <c r="V122" s="2613"/>
      <c r="W122" s="2613"/>
      <c r="X122" s="2613"/>
      <c r="Y122" s="2613"/>
      <c r="Z122" s="2613"/>
      <c r="AA122" s="2613"/>
      <c r="AB122" s="2613"/>
      <c r="AC122" s="2613"/>
      <c r="AD122" s="2613"/>
      <c r="AE122" s="2613"/>
      <c r="AF122" s="2613"/>
      <c r="AG122" s="2613"/>
      <c r="AH122" s="2613"/>
      <c r="AI122" s="2613"/>
      <c r="AJ122" s="2614"/>
      <c r="AK122" s="540"/>
      <c r="AL122" s="540"/>
      <c r="AM122" s="540"/>
      <c r="AN122" s="535"/>
      <c r="AO122" s="536">
        <f>Application!B728</f>
        <v>0</v>
      </c>
      <c r="AQ122" s="536">
        <f>Application!O728</f>
        <v>0</v>
      </c>
      <c r="AV122" s="536">
        <f>SUM(AV116:AV121)</f>
        <v>124</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605" t="s">
        <v>1588</v>
      </c>
      <c r="F124" s="2606"/>
      <c r="G124" s="2606"/>
      <c r="H124" s="2606"/>
      <c r="I124" s="577"/>
      <c r="J124" s="2606" t="s">
        <v>1631</v>
      </c>
      <c r="K124" s="2606"/>
      <c r="L124" s="2606"/>
      <c r="M124" s="2606"/>
      <c r="N124" s="577"/>
      <c r="O124" s="2606" t="s">
        <v>1632</v>
      </c>
      <c r="P124" s="2606"/>
      <c r="Q124" s="2606"/>
      <c r="R124" s="2606"/>
      <c r="S124" s="577"/>
      <c r="T124" s="2606" t="s">
        <v>1334</v>
      </c>
      <c r="U124" s="2606"/>
      <c r="V124" s="2606"/>
      <c r="W124" s="2606"/>
      <c r="X124" s="577"/>
      <c r="Y124" s="2606" t="s">
        <v>1633</v>
      </c>
      <c r="Z124" s="2606"/>
      <c r="AA124" s="2606"/>
      <c r="AB124" s="2606"/>
      <c r="AC124" s="577"/>
      <c r="AD124" s="2606" t="s">
        <v>1634</v>
      </c>
      <c r="AE124" s="2606"/>
      <c r="AF124" s="2606"/>
      <c r="AG124" s="2606"/>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7"/>
      <c r="F127" s="2608"/>
      <c r="G127" s="2608"/>
      <c r="H127" s="2608"/>
      <c r="I127" s="864"/>
      <c r="J127" s="2608">
        <v>2870</v>
      </c>
      <c r="K127" s="2608"/>
      <c r="L127" s="2608"/>
      <c r="M127" s="2608"/>
      <c r="N127" s="864"/>
      <c r="O127" s="2608">
        <v>3765</v>
      </c>
      <c r="P127" s="2608"/>
      <c r="Q127" s="2608"/>
      <c r="R127" s="2608"/>
      <c r="S127" s="864"/>
      <c r="T127" s="2608">
        <v>4205</v>
      </c>
      <c r="U127" s="2608"/>
      <c r="V127" s="2608"/>
      <c r="W127" s="2608"/>
      <c r="X127" s="864"/>
      <c r="Y127" s="2608"/>
      <c r="Z127" s="2608"/>
      <c r="AA127" s="2608"/>
      <c r="AB127" s="2608"/>
      <c r="AC127" s="864"/>
      <c r="AD127" s="2608"/>
      <c r="AE127" s="2608"/>
      <c r="AF127" s="2608"/>
      <c r="AG127" s="2608"/>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5">
        <f>Application!DX670</f>
        <v>0</v>
      </c>
      <c r="F130" s="2616"/>
      <c r="G130" s="2616"/>
      <c r="H130" s="2616"/>
      <c r="I130" s="864"/>
      <c r="J130" s="2616">
        <f>Application!EC670</f>
        <v>2046.2444444444445</v>
      </c>
      <c r="K130" s="2616"/>
      <c r="L130" s="2616"/>
      <c r="M130" s="2616"/>
      <c r="N130" s="864"/>
      <c r="O130" s="2616">
        <f>Application!EH670</f>
        <v>2392.0425531914893</v>
      </c>
      <c r="P130" s="2616"/>
      <c r="Q130" s="2616"/>
      <c r="R130" s="2616"/>
      <c r="S130" s="868"/>
      <c r="T130" s="2616">
        <f>Application!EM670</f>
        <v>2942.5625</v>
      </c>
      <c r="U130" s="2616"/>
      <c r="V130" s="2616"/>
      <c r="W130" s="2616"/>
      <c r="X130" s="868"/>
      <c r="Y130" s="2616">
        <f>Application!ER670</f>
        <v>0</v>
      </c>
      <c r="Z130" s="2616"/>
      <c r="AA130" s="2616"/>
      <c r="AB130" s="2616"/>
      <c r="AC130" s="868"/>
      <c r="AD130" s="2616">
        <f>Application!EW670</f>
        <v>0</v>
      </c>
      <c r="AE130" s="2616"/>
      <c r="AF130" s="2616"/>
      <c r="AG130" s="2616"/>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10" t="e">
        <f>(E127-E130)/E127</f>
        <v>#DIV/0!</v>
      </c>
      <c r="F133" s="2411"/>
      <c r="G133" s="2411"/>
      <c r="H133" s="2412"/>
      <c r="I133" s="577"/>
      <c r="J133" s="2410">
        <f>(J127-J130)/J127</f>
        <v>0.28702284165698799</v>
      </c>
      <c r="K133" s="2411"/>
      <c r="L133" s="2411"/>
      <c r="M133" s="2412"/>
      <c r="N133" s="577"/>
      <c r="O133" s="2410">
        <f>(O127-O130)/O127</f>
        <v>0.36466333248566019</v>
      </c>
      <c r="P133" s="2411"/>
      <c r="Q133" s="2411"/>
      <c r="R133" s="2412"/>
      <c r="S133" s="577"/>
      <c r="T133" s="2410">
        <f>(T127-T130)/T127</f>
        <v>0.30022294887039241</v>
      </c>
      <c r="U133" s="2411"/>
      <c r="V133" s="2411"/>
      <c r="W133" s="2412"/>
      <c r="X133" s="577"/>
      <c r="Y133" s="2410" t="e">
        <f>(Y127-Y130)/Y127</f>
        <v>#DIV/0!</v>
      </c>
      <c r="Z133" s="2411"/>
      <c r="AA133" s="2411"/>
      <c r="AB133" s="2412"/>
      <c r="AC133" s="577"/>
      <c r="AD133" s="2410" t="e">
        <f>(AD127-AD130)/AD127</f>
        <v>#DIV/0!</v>
      </c>
      <c r="AE133" s="2411"/>
      <c r="AF133" s="2411"/>
      <c r="AG133" s="2412"/>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8" t="e">
        <f>IF(((E133-0.1)*AW116)&gt;0,((E133-0.1)*AW116),0)</f>
        <v>#DIV/0!</v>
      </c>
      <c r="F136" s="2619"/>
      <c r="G136" s="2619"/>
      <c r="H136" s="2620"/>
      <c r="I136" s="577"/>
      <c r="J136" s="2618">
        <f>IF(((J133-0.1)*AW117)&gt;0,((J133-0.1)*AW117),0)</f>
        <v>6.7871192536810163E-2</v>
      </c>
      <c r="K136" s="2619"/>
      <c r="L136" s="2619"/>
      <c r="M136" s="2620"/>
      <c r="N136" s="577"/>
      <c r="O136" s="2618">
        <f>IF(((O133-0.1)*AW118)&gt;0,((O133-0.1)*AW118),0)</f>
        <v>0.1003159405389196</v>
      </c>
      <c r="P136" s="2619"/>
      <c r="Q136" s="2619"/>
      <c r="R136" s="2620"/>
      <c r="S136" s="577"/>
      <c r="T136" s="2618">
        <f>IF(((T133-0.1)*AW119)&gt;0,((T133-0.1)*AW119),0)</f>
        <v>5.1670438418165779E-2</v>
      </c>
      <c r="U136" s="2619"/>
      <c r="V136" s="2619"/>
      <c r="W136" s="2620"/>
      <c r="X136" s="577"/>
      <c r="Y136" s="2618" t="e">
        <f>IF(((Y133-0.1)*AW120)&gt;0,((Y133-0.1)*AW120),0)</f>
        <v>#DIV/0!</v>
      </c>
      <c r="Z136" s="2619"/>
      <c r="AA136" s="2619"/>
      <c r="AB136" s="2620"/>
      <c r="AC136" s="577"/>
      <c r="AD136" s="2618" t="e">
        <f>IF(((AD133-0.1)*AW121)&gt;0,((AD133-0.1)*AW121),0)</f>
        <v>#DIV/0!</v>
      </c>
      <c r="AE136" s="2619"/>
      <c r="AF136" s="2619"/>
      <c r="AG136" s="2620"/>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10">
        <f>ROUNDDOWN(SUMIF(E136:AG136,"&gt;0"),2)</f>
        <v>0.21</v>
      </c>
      <c r="F138" s="2411"/>
      <c r="G138" s="2411"/>
      <c r="H138" s="2412"/>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90">
        <f>IF((E138*100)&gt;10,10,E138*100)</f>
        <v>10</v>
      </c>
      <c r="F139" s="2591"/>
      <c r="G139" s="2591"/>
      <c r="H139" s="2592"/>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590">
        <f>E139</f>
        <v>10</v>
      </c>
      <c r="AL143" s="2591"/>
      <c r="AM143" s="2592"/>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64" t="s">
        <v>1314</v>
      </c>
      <c r="AF146" s="2464"/>
      <c r="AG146" s="2464"/>
      <c r="AH146" s="2464"/>
      <c r="AI146" s="2464"/>
      <c r="AJ146" s="2464"/>
      <c r="AK146" s="2464"/>
      <c r="AL146" s="591"/>
      <c r="AN146" s="592"/>
      <c r="AO146" s="536"/>
    </row>
    <row r="147" spans="1:42" s="539" customFormat="1" ht="13"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4" t="s">
        <v>1338</v>
      </c>
      <c r="AG148" s="2524"/>
      <c r="AH148" s="2524"/>
      <c r="AI148" s="2524"/>
      <c r="AJ148" s="2524"/>
      <c r="AK148" s="2524"/>
      <c r="AL148" s="2524"/>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4" t="str">
        <f>[1]Application!M251</f>
        <v>PACH San Jose Holding LLC</v>
      </c>
      <c r="C150" s="2594"/>
      <c r="D150" s="2594"/>
      <c r="E150" s="2594"/>
      <c r="F150" s="2594"/>
      <c r="G150" s="2594"/>
      <c r="H150" s="2594"/>
      <c r="I150" s="2594"/>
      <c r="J150" s="2594"/>
      <c r="K150" s="2594"/>
      <c r="L150" s="2594"/>
      <c r="M150" s="2594"/>
      <c r="N150" s="2594"/>
      <c r="O150" s="2594"/>
      <c r="P150" s="2594"/>
      <c r="Q150" s="2594"/>
      <c r="R150" s="2594"/>
      <c r="S150" s="2594"/>
      <c r="T150" s="2594"/>
      <c r="U150" s="2594"/>
      <c r="V150" s="2594"/>
      <c r="W150" s="2594"/>
      <c r="X150" s="2594"/>
      <c r="Y150" s="2594"/>
      <c r="Z150" s="2594"/>
      <c r="AA150" s="2594"/>
      <c r="AB150" s="2594"/>
      <c r="AC150" s="2594"/>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595" t="s">
        <v>1341</v>
      </c>
      <c r="C153" s="2595"/>
      <c r="D153" s="2595"/>
      <c r="E153" s="2595"/>
      <c r="F153" s="2595"/>
      <c r="G153" s="2595"/>
      <c r="H153" s="2595"/>
      <c r="I153" s="2595"/>
      <c r="J153" s="2595"/>
      <c r="K153" s="2595"/>
      <c r="L153" s="2595"/>
      <c r="M153" s="2595"/>
      <c r="N153" s="2595"/>
      <c r="O153" s="2595"/>
      <c r="P153" s="2595"/>
      <c r="Q153" s="2595"/>
      <c r="R153" s="2595"/>
      <c r="S153" s="2595"/>
      <c r="T153" s="2595"/>
      <c r="U153" s="2595"/>
      <c r="V153" s="2595"/>
      <c r="W153" s="2595"/>
      <c r="X153" s="2595"/>
      <c r="Y153" s="2595"/>
      <c r="Z153" s="2595"/>
      <c r="AA153" s="2595"/>
      <c r="AB153" s="2595"/>
      <c r="AC153" s="2595"/>
      <c r="AD153" s="2595"/>
      <c r="AE153" s="2595"/>
      <c r="AF153" s="2595"/>
      <c r="AG153" s="2595"/>
      <c r="AH153" s="2595"/>
      <c r="AI153" s="2595"/>
      <c r="AM153" s="539"/>
      <c r="AN153" s="535"/>
      <c r="AO153" s="476" t="s">
        <v>1341</v>
      </c>
      <c r="AP153" s="489">
        <v>7</v>
      </c>
    </row>
    <row r="154" spans="1:42" s="536" customFormat="1" ht="13"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2252</v>
      </c>
      <c r="AP154" s="489">
        <v>7</v>
      </c>
    </row>
    <row r="155" spans="1:42" s="536" customFormat="1" ht="12.75" customHeight="1">
      <c r="A155" s="538"/>
      <c r="B155" s="539" t="s">
        <v>1342</v>
      </c>
      <c r="AB155" s="2396" t="s">
        <v>591</v>
      </c>
      <c r="AC155" s="2396"/>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595" t="s">
        <v>1343</v>
      </c>
      <c r="C158" s="2595"/>
      <c r="D158" s="2595"/>
      <c r="E158" s="2595"/>
      <c r="F158" s="2595"/>
      <c r="G158" s="2595"/>
      <c r="H158" s="2595"/>
      <c r="I158" s="2595"/>
      <c r="J158" s="2595"/>
      <c r="K158" s="2595"/>
      <c r="L158" s="2595"/>
      <c r="M158" s="2595"/>
      <c r="N158" s="2595"/>
      <c r="O158" s="2595"/>
      <c r="P158" s="2595"/>
      <c r="Q158" s="2595"/>
      <c r="R158" s="2595"/>
      <c r="S158" s="2595"/>
      <c r="T158" s="2595"/>
      <c r="U158" s="2595"/>
      <c r="V158" s="2595"/>
      <c r="W158" s="2595"/>
      <c r="X158" s="2595"/>
      <c r="Y158" s="2595"/>
      <c r="Z158" s="2595"/>
      <c r="AA158" s="2595"/>
      <c r="AB158" s="2595"/>
      <c r="AC158" s="2595"/>
      <c r="AD158" s="2595"/>
      <c r="AE158" s="2595"/>
      <c r="AF158" s="2595"/>
      <c r="AG158" s="2595"/>
      <c r="AH158" s="2595"/>
      <c r="AI158" s="2595"/>
      <c r="AJ158" s="2595"/>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3" t="s">
        <v>2471</v>
      </c>
      <c r="C161" s="2393"/>
      <c r="D161" s="2393"/>
      <c r="E161" s="2393"/>
      <c r="F161" s="2393"/>
      <c r="G161" s="2393"/>
      <c r="H161" s="2393"/>
      <c r="I161" s="2393"/>
      <c r="J161" s="2393"/>
      <c r="K161" s="2393"/>
      <c r="L161" s="2393"/>
      <c r="M161" s="2393"/>
      <c r="N161" s="2393"/>
      <c r="O161" s="2393"/>
      <c r="P161" s="2393"/>
      <c r="Q161" s="2393"/>
      <c r="R161" s="2393"/>
      <c r="S161" s="2393"/>
      <c r="T161" s="2393"/>
      <c r="U161" s="2393"/>
      <c r="V161" s="2393"/>
      <c r="W161" s="2393"/>
      <c r="X161" s="2393"/>
      <c r="Y161" s="2393"/>
      <c r="Z161" s="2393"/>
      <c r="AA161" s="2393"/>
      <c r="AB161" s="2393"/>
      <c r="AC161" s="2393"/>
      <c r="AD161" s="2393"/>
      <c r="AE161" s="2393"/>
      <c r="AF161" s="2393"/>
      <c r="AG161" s="2393"/>
      <c r="AH161" s="2393"/>
      <c r="AI161" s="2393"/>
      <c r="AJ161" s="2393"/>
      <c r="AK161" s="1180"/>
      <c r="AM161" s="539"/>
      <c r="AN161" s="535"/>
      <c r="AO161" s="476"/>
      <c r="AP161" s="489"/>
    </row>
    <row r="162" spans="1:42" s="536" customFormat="1" ht="12.75" customHeight="1">
      <c r="B162" s="2393"/>
      <c r="C162" s="2393"/>
      <c r="D162" s="2393"/>
      <c r="E162" s="2393"/>
      <c r="F162" s="2393"/>
      <c r="G162" s="2393"/>
      <c r="H162" s="2393"/>
      <c r="I162" s="2393"/>
      <c r="J162" s="2393"/>
      <c r="K162" s="2393"/>
      <c r="L162" s="2393"/>
      <c r="M162" s="2393"/>
      <c r="N162" s="2393"/>
      <c r="O162" s="2393"/>
      <c r="P162" s="2393"/>
      <c r="Q162" s="2393"/>
      <c r="R162" s="2393"/>
      <c r="S162" s="2393"/>
      <c r="T162" s="2393"/>
      <c r="U162" s="2393"/>
      <c r="V162" s="2393"/>
      <c r="W162" s="2393"/>
      <c r="X162" s="2393"/>
      <c r="Y162" s="2393"/>
      <c r="Z162" s="2393"/>
      <c r="AA162" s="2393"/>
      <c r="AB162" s="2393"/>
      <c r="AC162" s="2393"/>
      <c r="AD162" s="2393"/>
      <c r="AE162" s="2393"/>
      <c r="AF162" s="2393"/>
      <c r="AG162" s="2393"/>
      <c r="AH162" s="2393"/>
      <c r="AI162" s="2393"/>
      <c r="AJ162" s="2393"/>
      <c r="AK162" s="1180"/>
      <c r="AM162" s="539"/>
      <c r="AN162" s="535"/>
      <c r="AO162" s="476"/>
      <c r="AP162" s="489"/>
    </row>
    <row r="163" spans="1:42" s="536" customFormat="1" ht="12.75" customHeight="1">
      <c r="C163" s="2394" t="s">
        <v>2472</v>
      </c>
      <c r="D163" s="2394"/>
      <c r="E163" s="2394"/>
      <c r="F163" s="2394"/>
      <c r="G163" s="2394"/>
      <c r="H163" s="2394"/>
      <c r="I163" s="2394"/>
      <c r="J163" s="2394"/>
      <c r="K163" s="2394"/>
      <c r="L163" s="2394"/>
      <c r="M163" s="2394"/>
      <c r="N163" s="2394"/>
      <c r="O163" s="2394"/>
      <c r="P163" s="2394"/>
      <c r="Q163" s="2394"/>
      <c r="R163" s="2394"/>
      <c r="S163" s="2394"/>
      <c r="T163" s="2394"/>
      <c r="U163" s="2394"/>
      <c r="V163" s="2394"/>
      <c r="W163" s="2394"/>
      <c r="X163" s="2394"/>
      <c r="Y163" s="2394"/>
      <c r="Z163" s="2394"/>
      <c r="AA163" s="2394"/>
      <c r="AB163" s="2394"/>
      <c r="AC163" s="2394"/>
      <c r="AD163" s="2394"/>
      <c r="AE163" s="2394"/>
      <c r="AF163" s="2394"/>
      <c r="AG163" s="2394"/>
      <c r="AH163" s="2394"/>
      <c r="AI163" s="2394"/>
      <c r="AJ163" s="2394"/>
      <c r="AK163" s="1180"/>
      <c r="AM163" s="539"/>
      <c r="AN163" s="535"/>
      <c r="AO163" s="476"/>
      <c r="AP163" s="489"/>
    </row>
    <row r="164" spans="1:42" s="536" customFormat="1" ht="12.75" customHeight="1">
      <c r="B164" s="1180"/>
      <c r="C164" s="2395" t="s">
        <v>2470</v>
      </c>
      <c r="D164" s="2395"/>
      <c r="E164" s="2395"/>
      <c r="F164" s="2395"/>
      <c r="G164" s="2395"/>
      <c r="H164" s="2395"/>
      <c r="I164" s="2395"/>
      <c r="J164" s="2395"/>
      <c r="K164" s="2395"/>
      <c r="L164" s="2395"/>
      <c r="M164" s="2395"/>
      <c r="N164" s="2395"/>
      <c r="O164" s="2395"/>
      <c r="P164" s="2395"/>
      <c r="Q164" s="2395"/>
      <c r="R164" s="2395"/>
      <c r="S164" s="2395"/>
      <c r="T164" s="2395"/>
      <c r="U164" s="2395"/>
      <c r="V164" s="2395"/>
      <c r="W164" s="2395"/>
      <c r="X164" s="2395"/>
      <c r="Y164" s="2395"/>
      <c r="Z164" s="2395"/>
      <c r="AA164" s="1170"/>
      <c r="AB164" s="1170"/>
      <c r="AC164" s="1170"/>
      <c r="AD164" s="1170"/>
      <c r="AE164" s="1170"/>
      <c r="AF164" s="1170"/>
      <c r="AG164" s="1170"/>
      <c r="AH164" s="1170"/>
      <c r="AJ164" s="2396" t="s">
        <v>591</v>
      </c>
      <c r="AK164" s="2396"/>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84">
        <f>IF($AB$155="N/A",VLOOKUP($B$153,$AO$151:$AP$154,2,FALSE),VLOOKUP($B$158,$AO$156:$AP$158,2,FALSE))</f>
        <v>7</v>
      </c>
      <c r="AK166" s="2484"/>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4" t="s">
        <v>1352</v>
      </c>
      <c r="AG168" s="2524"/>
      <c r="AH168" s="2524"/>
      <c r="AI168" s="2524"/>
      <c r="AJ168" s="2524"/>
      <c r="AK168" s="2524"/>
      <c r="AL168" s="2524"/>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5" t="s">
        <v>1350</v>
      </c>
      <c r="D170" s="2595"/>
      <c r="E170" s="2595"/>
      <c r="F170" s="2595"/>
      <c r="G170" s="2595"/>
      <c r="H170" s="2595"/>
      <c r="I170" s="2595"/>
      <c r="J170" s="2595"/>
      <c r="K170" s="2595"/>
      <c r="L170" s="2595"/>
      <c r="M170" s="2595"/>
      <c r="N170" s="2595"/>
      <c r="O170" s="2595"/>
      <c r="P170" s="2595"/>
      <c r="Q170" s="2595"/>
      <c r="R170" s="2595"/>
      <c r="S170" s="2595"/>
      <c r="T170" s="2595"/>
      <c r="U170" s="2595"/>
      <c r="V170" s="2595"/>
      <c r="W170" s="2595"/>
      <c r="X170" s="2595"/>
      <c r="Y170" s="2595"/>
      <c r="Z170" s="2595"/>
      <c r="AA170" s="2595"/>
      <c r="AB170" s="2595"/>
      <c r="AC170" s="2595"/>
      <c r="AD170" s="2595"/>
      <c r="AE170" s="2595"/>
      <c r="AF170" s="2595"/>
      <c r="AG170" s="2595"/>
      <c r="AH170" s="2595"/>
      <c r="AI170" s="2595"/>
      <c r="AJ170" s="536"/>
      <c r="AK170" s="536"/>
      <c r="AL170" s="536"/>
      <c r="AM170" s="603"/>
      <c r="AN170" s="597"/>
      <c r="AO170" s="476" t="s">
        <v>306</v>
      </c>
      <c r="AP170" s="476"/>
    </row>
    <row r="171" spans="1:42" s="550" customFormat="1" ht="13"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6" t="s">
        <v>591</v>
      </c>
      <c r="AG172" s="2396"/>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595" t="s">
        <v>1343</v>
      </c>
      <c r="D174" s="2595"/>
      <c r="E174" s="2595"/>
      <c r="F174" s="2595"/>
      <c r="G174" s="2595"/>
      <c r="H174" s="2595"/>
      <c r="I174" s="2595"/>
      <c r="J174" s="2595"/>
      <c r="K174" s="2595"/>
      <c r="L174" s="2595"/>
      <c r="M174" s="2595"/>
      <c r="N174" s="2595"/>
      <c r="O174" s="2595"/>
      <c r="P174" s="2595"/>
      <c r="Q174" s="2595"/>
      <c r="R174" s="2595"/>
      <c r="S174" s="2595"/>
      <c r="T174" s="2595"/>
      <c r="U174" s="2595"/>
      <c r="V174" s="2595"/>
      <c r="W174" s="2595"/>
      <c r="X174" s="2595"/>
      <c r="Y174" s="2595"/>
      <c r="Z174" s="2595"/>
      <c r="AA174" s="2595"/>
      <c r="AB174" s="2595"/>
      <c r="AC174" s="2595"/>
      <c r="AD174" s="2595"/>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596" t="str">
        <f>Application!AA335</f>
        <v xml:space="preserve">Aperto Property Management, Inc.										</v>
      </c>
      <c r="D178" s="2596"/>
      <c r="E178" s="2596"/>
      <c r="F178" s="2596"/>
      <c r="G178" s="2596"/>
      <c r="H178" s="2596"/>
      <c r="I178" s="2596"/>
      <c r="J178" s="2596"/>
      <c r="K178" s="2596"/>
      <c r="L178" s="2596"/>
      <c r="M178" s="2596"/>
      <c r="N178" s="2596"/>
      <c r="O178" s="2596"/>
      <c r="P178" s="2596"/>
      <c r="Q178" s="2596"/>
      <c r="R178" s="2596"/>
      <c r="S178" s="2596"/>
      <c r="T178" s="2596"/>
      <c r="U178" s="2596"/>
      <c r="V178" s="2596"/>
      <c r="W178" s="2596"/>
      <c r="X178" s="2596"/>
      <c r="Y178" s="2596"/>
      <c r="Z178" s="2596"/>
      <c r="AA178" s="2596"/>
      <c r="AB178" s="2596"/>
      <c r="AC178" s="2596"/>
      <c r="AD178" s="2596"/>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83">
        <f>IF($AF$172="N/A",VLOOKUP($C$170,$AO$170:$AP$173,2,FALSE),VLOOKUP($C$174,$AO$177:$AP$179,2,FALSE))</f>
        <v>3</v>
      </c>
      <c r="AK180" s="2483"/>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590">
        <f>$AJ$166+$AJ$180</f>
        <v>10</v>
      </c>
      <c r="AL183" s="2591"/>
      <c r="AM183" s="2592"/>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4" t="s">
        <v>1314</v>
      </c>
      <c r="AF186" s="2464"/>
      <c r="AG186" s="2464"/>
      <c r="AH186" s="2464"/>
      <c r="AI186" s="2464"/>
      <c r="AJ186" s="2464"/>
      <c r="AK186" s="2464"/>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593" t="s">
        <v>1041</v>
      </c>
      <c r="C188" s="2593"/>
      <c r="D188" s="2593"/>
      <c r="E188" s="2593"/>
      <c r="F188" s="2593"/>
      <c r="G188" s="2593"/>
      <c r="H188" s="2593"/>
      <c r="I188" s="2593"/>
      <c r="J188" s="2593"/>
      <c r="K188" s="2593"/>
      <c r="L188" s="2593"/>
      <c r="M188" s="2593"/>
      <c r="N188" s="2593"/>
      <c r="O188" s="2593"/>
      <c r="P188" s="2593"/>
      <c r="Q188" s="2593"/>
      <c r="R188" s="2593"/>
      <c r="S188" s="2593"/>
      <c r="T188" s="2593"/>
      <c r="U188" s="2593"/>
      <c r="V188" s="2593"/>
      <c r="W188" s="2593"/>
      <c r="X188" s="2593"/>
      <c r="Y188" s="2593"/>
      <c r="Z188" s="2593"/>
      <c r="AA188" s="2593"/>
      <c r="AB188" s="2593"/>
      <c r="AC188" s="2593"/>
      <c r="AD188" s="536"/>
      <c r="AE188" s="536"/>
      <c r="AF188" s="2524" t="s">
        <v>1363</v>
      </c>
      <c r="AG188" s="2524"/>
      <c r="AH188" s="2524"/>
      <c r="AI188" s="2524"/>
      <c r="AJ188" s="2524"/>
      <c r="AK188" s="2524"/>
      <c r="AL188" s="2524"/>
      <c r="AN188" s="597"/>
      <c r="AP188" s="550" t="s">
        <v>1043</v>
      </c>
      <c r="AQ188" s="550">
        <v>10</v>
      </c>
    </row>
    <row r="189" spans="1:73" s="550" customFormat="1" ht="12.75" customHeight="1">
      <c r="A189" s="536"/>
      <c r="B189" s="2395" t="s">
        <v>1726</v>
      </c>
      <c r="C189" s="2395"/>
      <c r="D189" s="2395"/>
      <c r="E189" s="2395"/>
      <c r="F189" s="2395"/>
      <c r="G189" s="2395"/>
      <c r="H189" s="2395"/>
      <c r="I189" s="2395"/>
      <c r="J189" s="2395"/>
      <c r="K189" s="2395"/>
      <c r="L189" s="2395"/>
      <c r="M189" s="2395"/>
      <c r="N189" s="2395"/>
      <c r="O189" s="2395"/>
      <c r="P189" s="2395"/>
      <c r="Q189" s="2395"/>
      <c r="R189" s="2395"/>
      <c r="S189" s="2395"/>
      <c r="T189" s="2594" t="s">
        <v>591</v>
      </c>
      <c r="U189" s="2594"/>
      <c r="V189" s="2594"/>
      <c r="W189" s="2594"/>
      <c r="X189" s="2594"/>
      <c r="Y189" s="2594"/>
      <c r="Z189" s="2594"/>
      <c r="AA189" s="2594"/>
      <c r="AB189" s="2594"/>
      <c r="AC189" s="2594"/>
      <c r="AD189" s="536"/>
      <c r="AE189" s="536"/>
      <c r="AF189" s="536"/>
      <c r="AG189" s="536"/>
      <c r="AH189" s="536"/>
      <c r="AI189" s="536"/>
      <c r="AJ189" s="543"/>
      <c r="AK189" s="595"/>
      <c r="AL189" s="595"/>
      <c r="AM189" s="595"/>
      <c r="AN189" s="597"/>
      <c r="AP189" s="550" t="s">
        <v>1364</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31">
        <f>IF(AK84&gt;0,VLOOKUP($B$188,AP185:AQ191,2,FALSE),0)</f>
        <v>10</v>
      </c>
      <c r="AL191" s="2432"/>
      <c r="AM191" s="2433"/>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4" t="s">
        <v>1372</v>
      </c>
      <c r="AF194" s="2464"/>
      <c r="AG194" s="2464"/>
      <c r="AH194" s="2464"/>
      <c r="AI194" s="2464"/>
      <c r="AJ194" s="2464"/>
      <c r="AK194" s="2464"/>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7" t="s">
        <v>2785</v>
      </c>
      <c r="C199" s="2587"/>
      <c r="D199" s="2587"/>
      <c r="E199" s="2587"/>
      <c r="F199" s="2587"/>
      <c r="G199" s="2587"/>
      <c r="H199" s="2587"/>
      <c r="I199" s="2587"/>
      <c r="J199" s="2587"/>
      <c r="K199" s="2587"/>
      <c r="L199" s="2587"/>
      <c r="M199" s="2587"/>
      <c r="N199" s="2587"/>
      <c r="O199" s="2587"/>
      <c r="P199" s="2587"/>
      <c r="Q199" s="2587"/>
      <c r="R199" s="2587"/>
      <c r="S199" s="2587"/>
      <c r="T199" s="2587"/>
      <c r="U199" s="2587"/>
      <c r="V199" s="2587"/>
      <c r="W199" s="2587"/>
      <c r="X199" s="2587"/>
      <c r="Y199" s="2587"/>
      <c r="Z199" s="2587"/>
      <c r="AA199" s="2587"/>
      <c r="AB199" s="2587"/>
      <c r="AC199" s="846"/>
      <c r="AD199" s="2577">
        <v>7500000</v>
      </c>
      <c r="AE199" s="2577"/>
      <c r="AF199" s="2577"/>
      <c r="AG199" s="2577"/>
      <c r="AH199" s="2577"/>
      <c r="AI199" s="2577"/>
      <c r="AJ199" s="2577"/>
      <c r="AK199" s="610"/>
    </row>
    <row r="200" spans="1:40">
      <c r="A200" s="605"/>
      <c r="B200" s="2587" t="s">
        <v>2515</v>
      </c>
      <c r="C200" s="2587"/>
      <c r="D200" s="2587"/>
      <c r="E200" s="2587"/>
      <c r="F200" s="2587"/>
      <c r="G200" s="2587"/>
      <c r="H200" s="2587"/>
      <c r="I200" s="2587"/>
      <c r="J200" s="2587"/>
      <c r="K200" s="2587"/>
      <c r="L200" s="2587"/>
      <c r="M200" s="2587"/>
      <c r="N200" s="2587"/>
      <c r="O200" s="2587"/>
      <c r="P200" s="2587"/>
      <c r="Q200" s="2587"/>
      <c r="R200" s="2587"/>
      <c r="S200" s="2587"/>
      <c r="T200" s="2587"/>
      <c r="U200" s="2587"/>
      <c r="V200" s="2587"/>
      <c r="W200" s="2587"/>
      <c r="X200" s="2587"/>
      <c r="Y200" s="2587"/>
      <c r="Z200" s="2587"/>
      <c r="AA200" s="2587"/>
      <c r="AB200" s="2587"/>
      <c r="AC200" s="846"/>
      <c r="AD200" s="2577">
        <v>4000000</v>
      </c>
      <c r="AE200" s="2577"/>
      <c r="AF200" s="2577"/>
      <c r="AG200" s="2577"/>
      <c r="AH200" s="2577"/>
      <c r="AI200" s="2577"/>
      <c r="AJ200" s="2577"/>
      <c r="AK200" s="610"/>
    </row>
    <row r="201" spans="1:40">
      <c r="A201" s="605"/>
      <c r="B201" s="2587"/>
      <c r="C201" s="2587"/>
      <c r="D201" s="2587"/>
      <c r="E201" s="2587"/>
      <c r="F201" s="2587"/>
      <c r="G201" s="2587"/>
      <c r="H201" s="2587"/>
      <c r="I201" s="2587"/>
      <c r="J201" s="2587"/>
      <c r="K201" s="2587"/>
      <c r="L201" s="2587"/>
      <c r="M201" s="2587"/>
      <c r="N201" s="2587"/>
      <c r="O201" s="2587"/>
      <c r="P201" s="2587"/>
      <c r="Q201" s="2587"/>
      <c r="R201" s="2587"/>
      <c r="S201" s="2587"/>
      <c r="T201" s="2587"/>
      <c r="U201" s="2587"/>
      <c r="V201" s="2587"/>
      <c r="W201" s="2587"/>
      <c r="X201" s="2587"/>
      <c r="Y201" s="2587"/>
      <c r="Z201" s="2587"/>
      <c r="AA201" s="2587"/>
      <c r="AB201" s="2587"/>
      <c r="AC201" s="846"/>
      <c r="AD201" s="2577"/>
      <c r="AE201" s="2577"/>
      <c r="AF201" s="2577"/>
      <c r="AG201" s="2577"/>
      <c r="AH201" s="2577"/>
      <c r="AI201" s="2577"/>
      <c r="AJ201" s="2577"/>
      <c r="AK201" s="610"/>
    </row>
    <row r="202" spans="1:40">
      <c r="A202" s="605"/>
      <c r="B202" s="2587"/>
      <c r="C202" s="2587"/>
      <c r="D202" s="2587"/>
      <c r="E202" s="2587"/>
      <c r="F202" s="2587"/>
      <c r="G202" s="2587"/>
      <c r="H202" s="2587"/>
      <c r="I202" s="2587"/>
      <c r="J202" s="2587"/>
      <c r="K202" s="2587"/>
      <c r="L202" s="2587"/>
      <c r="M202" s="2587"/>
      <c r="N202" s="2587"/>
      <c r="O202" s="2587"/>
      <c r="P202" s="2587"/>
      <c r="Q202" s="2587"/>
      <c r="R202" s="2587"/>
      <c r="S202" s="2587"/>
      <c r="T202" s="2587"/>
      <c r="U202" s="2587"/>
      <c r="V202" s="2587"/>
      <c r="W202" s="2587"/>
      <c r="X202" s="2587"/>
      <c r="Y202" s="2587"/>
      <c r="Z202" s="2587"/>
      <c r="AA202" s="2587"/>
      <c r="AB202" s="2587"/>
      <c r="AC202" s="846"/>
      <c r="AD202" s="2577"/>
      <c r="AE202" s="2577"/>
      <c r="AF202" s="2577"/>
      <c r="AG202" s="2577"/>
      <c r="AH202" s="2577"/>
      <c r="AI202" s="2577"/>
      <c r="AJ202" s="2577"/>
      <c r="AK202" s="610"/>
    </row>
    <row r="203" spans="1:40">
      <c r="A203" s="605"/>
      <c r="B203" s="2587"/>
      <c r="C203" s="2587"/>
      <c r="D203" s="2587"/>
      <c r="E203" s="2587"/>
      <c r="F203" s="2587"/>
      <c r="G203" s="2587"/>
      <c r="H203" s="2587"/>
      <c r="I203" s="2587"/>
      <c r="J203" s="2587"/>
      <c r="K203" s="2587"/>
      <c r="L203" s="2587"/>
      <c r="M203" s="2587"/>
      <c r="N203" s="2587"/>
      <c r="O203" s="2587"/>
      <c r="P203" s="2587"/>
      <c r="Q203" s="2587"/>
      <c r="R203" s="2587"/>
      <c r="S203" s="2587"/>
      <c r="T203" s="2587"/>
      <c r="U203" s="2587"/>
      <c r="V203" s="2587"/>
      <c r="W203" s="2587"/>
      <c r="X203" s="2587"/>
      <c r="Y203" s="2587"/>
      <c r="Z203" s="2587"/>
      <c r="AA203" s="2587"/>
      <c r="AB203" s="2587"/>
      <c r="AC203" s="846"/>
      <c r="AD203" s="2577"/>
      <c r="AE203" s="2577"/>
      <c r="AF203" s="2577"/>
      <c r="AG203" s="2577"/>
      <c r="AH203" s="2577"/>
      <c r="AI203" s="2577"/>
      <c r="AJ203" s="2577"/>
      <c r="AK203" s="610"/>
    </row>
    <row r="204" spans="1:40">
      <c r="A204" s="605"/>
      <c r="B204" s="2587"/>
      <c r="C204" s="2587"/>
      <c r="D204" s="2587"/>
      <c r="E204" s="2587"/>
      <c r="F204" s="2587"/>
      <c r="G204" s="2587"/>
      <c r="H204" s="2587"/>
      <c r="I204" s="2587"/>
      <c r="J204" s="2587"/>
      <c r="K204" s="2587"/>
      <c r="L204" s="2587"/>
      <c r="M204" s="2587"/>
      <c r="N204" s="2587"/>
      <c r="O204" s="2587"/>
      <c r="P204" s="2587"/>
      <c r="Q204" s="2587"/>
      <c r="R204" s="2587"/>
      <c r="S204" s="2587"/>
      <c r="T204" s="2587"/>
      <c r="U204" s="2587"/>
      <c r="V204" s="2587"/>
      <c r="W204" s="2587"/>
      <c r="X204" s="2587"/>
      <c r="Y204" s="2587"/>
      <c r="Z204" s="2587"/>
      <c r="AA204" s="2587"/>
      <c r="AB204" s="2587"/>
      <c r="AC204" s="846"/>
      <c r="AD204" s="2577"/>
      <c r="AE204" s="2577"/>
      <c r="AF204" s="2577"/>
      <c r="AG204" s="2577"/>
      <c r="AH204" s="2577"/>
      <c r="AI204" s="2577"/>
      <c r="AJ204" s="2577"/>
      <c r="AK204" s="610"/>
    </row>
    <row r="205" spans="1:40">
      <c r="A205" s="605"/>
      <c r="B205" s="2587"/>
      <c r="C205" s="2587"/>
      <c r="D205" s="2587"/>
      <c r="E205" s="2587"/>
      <c r="F205" s="2587"/>
      <c r="G205" s="2587"/>
      <c r="H205" s="2587"/>
      <c r="I205" s="2587"/>
      <c r="J205" s="2587"/>
      <c r="K205" s="2587"/>
      <c r="L205" s="2587"/>
      <c r="M205" s="2587"/>
      <c r="N205" s="2587"/>
      <c r="O205" s="2587"/>
      <c r="P205" s="2587"/>
      <c r="Q205" s="2587"/>
      <c r="R205" s="2587"/>
      <c r="S205" s="2587"/>
      <c r="T205" s="2587"/>
      <c r="U205" s="2587"/>
      <c r="V205" s="2587"/>
      <c r="W205" s="2587"/>
      <c r="X205" s="2587"/>
      <c r="Y205" s="2587"/>
      <c r="Z205" s="2587"/>
      <c r="AA205" s="2587"/>
      <c r="AB205" s="2587"/>
      <c r="AC205" s="846"/>
      <c r="AD205" s="2577"/>
      <c r="AE205" s="2577"/>
      <c r="AF205" s="2577"/>
      <c r="AG205" s="2577"/>
      <c r="AH205" s="2577"/>
      <c r="AI205" s="2577"/>
      <c r="AJ205" s="2577"/>
      <c r="AK205" s="610"/>
    </row>
    <row r="206" spans="1:40">
      <c r="A206" s="605"/>
      <c r="B206" s="2587"/>
      <c r="C206" s="2587"/>
      <c r="D206" s="2587"/>
      <c r="E206" s="2587"/>
      <c r="F206" s="2587"/>
      <c r="G206" s="2587"/>
      <c r="H206" s="2587"/>
      <c r="I206" s="2587"/>
      <c r="J206" s="2587"/>
      <c r="K206" s="2587"/>
      <c r="L206" s="2587"/>
      <c r="M206" s="2587"/>
      <c r="N206" s="2587"/>
      <c r="O206" s="2587"/>
      <c r="P206" s="2587"/>
      <c r="Q206" s="2587"/>
      <c r="R206" s="2587"/>
      <c r="S206" s="2587"/>
      <c r="T206" s="2587"/>
      <c r="U206" s="2587"/>
      <c r="V206" s="2587"/>
      <c r="W206" s="2587"/>
      <c r="X206" s="2587"/>
      <c r="Y206" s="2587"/>
      <c r="Z206" s="2587"/>
      <c r="AA206" s="2587"/>
      <c r="AB206" s="2587"/>
      <c r="AC206" s="846"/>
      <c r="AD206" s="2577"/>
      <c r="AE206" s="2577"/>
      <c r="AF206" s="2577"/>
      <c r="AG206" s="2577"/>
      <c r="AH206" s="2577"/>
      <c r="AI206" s="2577"/>
      <c r="AJ206" s="2577"/>
      <c r="AK206" s="610"/>
    </row>
    <row r="207" spans="1:40">
      <c r="A207" s="605"/>
      <c r="B207" s="2587"/>
      <c r="C207" s="2587"/>
      <c r="D207" s="2587"/>
      <c r="E207" s="2587"/>
      <c r="F207" s="2587"/>
      <c r="G207" s="2587"/>
      <c r="H207" s="2587"/>
      <c r="I207" s="2587"/>
      <c r="J207" s="2587"/>
      <c r="K207" s="2587"/>
      <c r="L207" s="2587"/>
      <c r="M207" s="2587"/>
      <c r="N207" s="2587"/>
      <c r="O207" s="2587"/>
      <c r="P207" s="2587"/>
      <c r="Q207" s="2587"/>
      <c r="R207" s="2587"/>
      <c r="S207" s="2587"/>
      <c r="T207" s="2587"/>
      <c r="U207" s="2587"/>
      <c r="V207" s="2587"/>
      <c r="W207" s="2587"/>
      <c r="X207" s="2587"/>
      <c r="Y207" s="2587"/>
      <c r="Z207" s="2587"/>
      <c r="AA207" s="2587"/>
      <c r="AB207" s="2587"/>
      <c r="AC207" s="846"/>
      <c r="AD207" s="2577"/>
      <c r="AE207" s="2577"/>
      <c r="AF207" s="2577"/>
      <c r="AG207" s="2577"/>
      <c r="AH207" s="2577"/>
      <c r="AI207" s="2577"/>
      <c r="AJ207" s="2577"/>
      <c r="AK207" s="610"/>
    </row>
    <row r="208" spans="1:40">
      <c r="A208" s="605"/>
      <c r="B208" s="2587"/>
      <c r="C208" s="2587"/>
      <c r="D208" s="2587"/>
      <c r="E208" s="2587"/>
      <c r="F208" s="2587"/>
      <c r="G208" s="2587"/>
      <c r="H208" s="2587"/>
      <c r="I208" s="2587"/>
      <c r="J208" s="2587"/>
      <c r="K208" s="2587"/>
      <c r="L208" s="2587"/>
      <c r="M208" s="2587"/>
      <c r="N208" s="2587"/>
      <c r="O208" s="2587"/>
      <c r="P208" s="2587"/>
      <c r="Q208" s="2587"/>
      <c r="R208" s="2587"/>
      <c r="S208" s="2587"/>
      <c r="T208" s="2587"/>
      <c r="U208" s="2587"/>
      <c r="V208" s="2587"/>
      <c r="W208" s="2587"/>
      <c r="X208" s="2587"/>
      <c r="Y208" s="2587"/>
      <c r="Z208" s="2587"/>
      <c r="AA208" s="2587"/>
      <c r="AB208" s="2587"/>
      <c r="AC208" s="846"/>
      <c r="AD208" s="2577"/>
      <c r="AE208" s="2577"/>
      <c r="AF208" s="2577"/>
      <c r="AG208" s="2577"/>
      <c r="AH208" s="2577"/>
      <c r="AI208" s="2577"/>
      <c r="AJ208" s="2577"/>
      <c r="AK208" s="610"/>
    </row>
    <row r="209" spans="1:37">
      <c r="A209" s="605"/>
      <c r="B209" s="2602" t="s">
        <v>1627</v>
      </c>
      <c r="C209" s="2602"/>
      <c r="D209" s="2602"/>
      <c r="E209" s="2602"/>
      <c r="F209" s="2602"/>
      <c r="G209" s="2602"/>
      <c r="H209" s="2602"/>
      <c r="I209" s="2602"/>
      <c r="J209" s="2602"/>
      <c r="K209" s="2602"/>
      <c r="L209" s="2602"/>
      <c r="M209" s="2602"/>
      <c r="N209" s="2602"/>
      <c r="O209" s="2602"/>
      <c r="P209" s="2602"/>
      <c r="Q209" s="2602"/>
      <c r="R209" s="2602"/>
      <c r="S209" s="2602"/>
      <c r="T209" s="2602"/>
      <c r="U209" s="2602"/>
      <c r="V209" s="2602"/>
      <c r="W209" s="2602"/>
      <c r="X209" s="2602"/>
      <c r="Y209" s="2602"/>
      <c r="Z209" s="2602"/>
      <c r="AA209" s="2602"/>
      <c r="AB209" s="2602"/>
      <c r="AC209" s="536"/>
      <c r="AD209" s="2575">
        <f>AB260</f>
        <v>0</v>
      </c>
      <c r="AE209" s="2575"/>
      <c r="AF209" s="2575"/>
      <c r="AG209" s="2575"/>
      <c r="AH209" s="2575"/>
      <c r="AI209" s="2575"/>
      <c r="AJ209" s="2575"/>
      <c r="AK209" s="610"/>
    </row>
    <row r="210" spans="1:37">
      <c r="A210" s="605"/>
      <c r="B210" s="2449" t="s">
        <v>1590</v>
      </c>
      <c r="C210" s="2449"/>
      <c r="D210" s="2449"/>
      <c r="E210" s="2449"/>
      <c r="F210" s="2449"/>
      <c r="G210" s="2449"/>
      <c r="H210" s="2449"/>
      <c r="I210" s="2449"/>
      <c r="J210" s="2449"/>
      <c r="K210" s="2449"/>
      <c r="L210" s="2449"/>
      <c r="M210" s="2449"/>
      <c r="N210" s="2449"/>
      <c r="O210" s="2449"/>
      <c r="P210" s="2449"/>
      <c r="Q210" s="2449"/>
      <c r="R210" s="2449"/>
      <c r="S210" s="2449"/>
      <c r="T210" s="2449"/>
      <c r="U210" s="2449"/>
      <c r="V210" s="2449"/>
      <c r="W210" s="2449"/>
      <c r="X210" s="2449"/>
      <c r="Y210" s="2449"/>
      <c r="Z210" s="2449"/>
      <c r="AA210" s="2449"/>
      <c r="AB210" s="2449"/>
      <c r="AC210" s="846"/>
      <c r="AD210" s="2576">
        <f>'Sources and Uses Budget'!B15</f>
        <v>0</v>
      </c>
      <c r="AE210" s="2576"/>
      <c r="AF210" s="2576"/>
      <c r="AG210" s="2576"/>
      <c r="AH210" s="2576"/>
      <c r="AI210" s="2576"/>
      <c r="AJ210" s="2576"/>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581">
        <f>SUM(AD199:AJ209)-AD210</f>
        <v>11500000</v>
      </c>
      <c r="AE211" s="2581"/>
      <c r="AF211" s="2581"/>
      <c r="AG211" s="2581"/>
      <c r="AH211" s="2581"/>
      <c r="AI211" s="2581"/>
      <c r="AJ211" s="2581"/>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600" t="s">
        <v>1607</v>
      </c>
      <c r="J222" s="2600"/>
      <c r="K222" s="2600"/>
      <c r="L222" s="536"/>
      <c r="M222" s="536"/>
      <c r="N222" s="536"/>
      <c r="O222" s="536"/>
      <c r="P222" s="536"/>
      <c r="Q222" s="536"/>
      <c r="R222" s="536"/>
      <c r="S222" s="536"/>
      <c r="T222" s="2415" t="s">
        <v>1601</v>
      </c>
      <c r="U222" s="2415"/>
      <c r="V222" s="2415"/>
      <c r="W222" s="2415"/>
      <c r="X222" s="2415"/>
      <c r="Y222" s="2415"/>
      <c r="Z222" s="849"/>
      <c r="AA222" s="489"/>
      <c r="AB222" s="2597" t="s">
        <v>1602</v>
      </c>
      <c r="AC222" s="2597"/>
      <c r="AD222" s="2597"/>
      <c r="AE222" s="2597"/>
      <c r="AF222" s="2597"/>
      <c r="AG222" s="2597"/>
      <c r="AH222" s="827"/>
      <c r="AI222" s="827"/>
      <c r="AJ222" s="827"/>
      <c r="AK222" s="610"/>
    </row>
    <row r="223" spans="1:37">
      <c r="A223" s="605"/>
      <c r="B223" s="2598" t="s">
        <v>1587</v>
      </c>
      <c r="C223" s="2598"/>
      <c r="D223" s="2598"/>
      <c r="E223" s="2598"/>
      <c r="F223" s="2598"/>
      <c r="G223" s="2598"/>
      <c r="I223" s="2599" t="s">
        <v>1608</v>
      </c>
      <c r="J223" s="2599"/>
      <c r="K223" s="2599"/>
      <c r="L223" s="1008"/>
      <c r="N223" s="2450" t="s">
        <v>1603</v>
      </c>
      <c r="O223" s="2450"/>
      <c r="P223" s="2450"/>
      <c r="Q223" s="2450"/>
      <c r="R223" s="2450"/>
      <c r="T223" s="2450" t="s">
        <v>1604</v>
      </c>
      <c r="U223" s="2450"/>
      <c r="V223" s="2450"/>
      <c r="W223" s="2450"/>
      <c r="X223" s="2450"/>
      <c r="Y223" s="2450"/>
      <c r="Z223" s="850"/>
      <c r="AA223" s="489"/>
      <c r="AB223" s="2465" t="s">
        <v>1605</v>
      </c>
      <c r="AC223" s="2465"/>
      <c r="AD223" s="2465"/>
      <c r="AE223" s="2465"/>
      <c r="AF223" s="2465"/>
      <c r="AG223" s="2465"/>
      <c r="AH223" s="827"/>
      <c r="AI223" s="827"/>
      <c r="AJ223" s="827"/>
      <c r="AK223" s="610"/>
    </row>
    <row r="224" spans="1:37">
      <c r="A224" s="605"/>
      <c r="B224" s="2466" t="s">
        <v>1184</v>
      </c>
      <c r="C224" s="2466"/>
      <c r="D224" s="2466"/>
      <c r="E224" s="2466"/>
      <c r="F224" s="2466"/>
      <c r="G224" s="2466"/>
      <c r="H224" s="852"/>
      <c r="I224" s="2419"/>
      <c r="J224" s="2419"/>
      <c r="K224" s="2419"/>
      <c r="L224" s="1008"/>
      <c r="N224" s="2417"/>
      <c r="O224" s="2417"/>
      <c r="P224" s="2417"/>
      <c r="Q224" s="2417"/>
      <c r="R224" s="2417"/>
      <c r="T224" s="2416"/>
      <c r="U224" s="2416"/>
      <c r="V224" s="2416"/>
      <c r="W224" s="2416"/>
      <c r="X224" s="2416"/>
      <c r="Y224" s="2416"/>
      <c r="Z224" s="851"/>
      <c r="AA224" s="851"/>
      <c r="AB224" s="2414">
        <f t="shared" ref="AB224:AB233" si="0">MAX(($T224-$N224)*$I224*12,0)</f>
        <v>0</v>
      </c>
      <c r="AC224" s="2414"/>
      <c r="AD224" s="2414"/>
      <c r="AE224" s="2414"/>
      <c r="AF224" s="2414"/>
      <c r="AG224" s="2414"/>
      <c r="AH224" s="827"/>
      <c r="AI224" s="827"/>
      <c r="AJ224" s="827"/>
      <c r="AK224" s="610"/>
    </row>
    <row r="225" spans="1:37">
      <c r="A225" s="605"/>
      <c r="B225" s="2466" t="s">
        <v>1184</v>
      </c>
      <c r="C225" s="2466"/>
      <c r="D225" s="2466"/>
      <c r="E225" s="2466"/>
      <c r="F225" s="2466"/>
      <c r="G225" s="2466"/>
      <c r="I225" s="2419"/>
      <c r="J225" s="2419"/>
      <c r="K225" s="2419"/>
      <c r="L225" s="1008"/>
      <c r="N225" s="2417"/>
      <c r="O225" s="2417"/>
      <c r="P225" s="2417"/>
      <c r="Q225" s="2417"/>
      <c r="R225" s="2417"/>
      <c r="T225" s="2416"/>
      <c r="U225" s="2416"/>
      <c r="V225" s="2416"/>
      <c r="W225" s="2416"/>
      <c r="X225" s="2416"/>
      <c r="Y225" s="2416"/>
      <c r="Z225" s="851"/>
      <c r="AA225" s="851"/>
      <c r="AB225" s="2414">
        <f t="shared" si="0"/>
        <v>0</v>
      </c>
      <c r="AC225" s="2414"/>
      <c r="AD225" s="2414"/>
      <c r="AE225" s="2414"/>
      <c r="AF225" s="2414"/>
      <c r="AG225" s="2414"/>
      <c r="AH225" s="827"/>
      <c r="AI225" s="827"/>
      <c r="AJ225" s="827"/>
      <c r="AK225" s="610"/>
    </row>
    <row r="226" spans="1:37">
      <c r="A226" s="605"/>
      <c r="B226" s="2466" t="s">
        <v>1184</v>
      </c>
      <c r="C226" s="2466"/>
      <c r="D226" s="2466"/>
      <c r="E226" s="2466"/>
      <c r="F226" s="2466"/>
      <c r="G226" s="2466"/>
      <c r="I226" s="2419"/>
      <c r="J226" s="2419"/>
      <c r="K226" s="2419"/>
      <c r="L226" s="1008"/>
      <c r="N226" s="2417"/>
      <c r="O226" s="2417"/>
      <c r="P226" s="2417"/>
      <c r="Q226" s="2417"/>
      <c r="R226" s="2417"/>
      <c r="T226" s="2416"/>
      <c r="U226" s="2416"/>
      <c r="V226" s="2416"/>
      <c r="W226" s="2416"/>
      <c r="X226" s="2416"/>
      <c r="Y226" s="2416"/>
      <c r="Z226" s="851"/>
      <c r="AA226" s="851"/>
      <c r="AB226" s="2414">
        <f t="shared" si="0"/>
        <v>0</v>
      </c>
      <c r="AC226" s="2414"/>
      <c r="AD226" s="2414"/>
      <c r="AE226" s="2414"/>
      <c r="AF226" s="2414"/>
      <c r="AG226" s="2414"/>
      <c r="AH226" s="827"/>
      <c r="AI226" s="827"/>
      <c r="AJ226" s="827"/>
      <c r="AK226" s="610"/>
    </row>
    <row r="227" spans="1:37">
      <c r="A227" s="605"/>
      <c r="B227" s="2466" t="s">
        <v>1184</v>
      </c>
      <c r="C227" s="2466"/>
      <c r="D227" s="2466"/>
      <c r="E227" s="2466"/>
      <c r="F227" s="2466"/>
      <c r="G227" s="2466"/>
      <c r="I227" s="2419"/>
      <c r="J227" s="2419"/>
      <c r="K227" s="2419"/>
      <c r="L227" s="1008"/>
      <c r="N227" s="2417"/>
      <c r="O227" s="2417"/>
      <c r="P227" s="2417"/>
      <c r="Q227" s="2417"/>
      <c r="R227" s="2417"/>
      <c r="T227" s="2416"/>
      <c r="U227" s="2416"/>
      <c r="V227" s="2416"/>
      <c r="W227" s="2416"/>
      <c r="X227" s="2416"/>
      <c r="Y227" s="2416"/>
      <c r="Z227" s="851"/>
      <c r="AA227" s="851"/>
      <c r="AB227" s="2414">
        <f t="shared" si="0"/>
        <v>0</v>
      </c>
      <c r="AC227" s="2414"/>
      <c r="AD227" s="2414"/>
      <c r="AE227" s="2414"/>
      <c r="AF227" s="2414"/>
      <c r="AG227" s="2414"/>
      <c r="AH227" s="827"/>
      <c r="AI227" s="827"/>
      <c r="AJ227" s="827"/>
      <c r="AK227" s="610"/>
    </row>
    <row r="228" spans="1:37">
      <c r="A228" s="605"/>
      <c r="B228" s="2466" t="s">
        <v>1184</v>
      </c>
      <c r="C228" s="2466"/>
      <c r="D228" s="2466"/>
      <c r="E228" s="2466"/>
      <c r="F228" s="2466"/>
      <c r="G228" s="2466"/>
      <c r="I228" s="2419"/>
      <c r="J228" s="2419"/>
      <c r="K228" s="2419"/>
      <c r="L228" s="1015"/>
      <c r="N228" s="2417"/>
      <c r="O228" s="2417"/>
      <c r="P228" s="2417"/>
      <c r="Q228" s="2417"/>
      <c r="R228" s="2417"/>
      <c r="T228" s="2416"/>
      <c r="U228" s="2416"/>
      <c r="V228" s="2416"/>
      <c r="W228" s="2416"/>
      <c r="X228" s="2416"/>
      <c r="Y228" s="2416"/>
      <c r="Z228" s="851"/>
      <c r="AA228" s="851"/>
      <c r="AB228" s="2414">
        <f t="shared" si="0"/>
        <v>0</v>
      </c>
      <c r="AC228" s="2414"/>
      <c r="AD228" s="2414"/>
      <c r="AE228" s="2414"/>
      <c r="AF228" s="2414"/>
      <c r="AG228" s="2414"/>
      <c r="AH228" s="827"/>
      <c r="AI228" s="827"/>
      <c r="AJ228" s="827"/>
      <c r="AK228" s="610"/>
    </row>
    <row r="229" spans="1:37">
      <c r="A229" s="605"/>
      <c r="B229" s="2466" t="s">
        <v>1184</v>
      </c>
      <c r="C229" s="2466"/>
      <c r="D229" s="2466"/>
      <c r="E229" s="2466"/>
      <c r="F229" s="2466"/>
      <c r="G229" s="2466"/>
      <c r="I229" s="2419"/>
      <c r="J229" s="2419"/>
      <c r="K229" s="2419"/>
      <c r="L229" s="1015"/>
      <c r="N229" s="2417"/>
      <c r="O229" s="2417"/>
      <c r="P229" s="2417"/>
      <c r="Q229" s="2417"/>
      <c r="R229" s="2417"/>
      <c r="T229" s="2416"/>
      <c r="U229" s="2416"/>
      <c r="V229" s="2416"/>
      <c r="W229" s="2416"/>
      <c r="X229" s="2416"/>
      <c r="Y229" s="2416"/>
      <c r="Z229" s="851"/>
      <c r="AA229" s="851"/>
      <c r="AB229" s="2414">
        <f t="shared" si="0"/>
        <v>0</v>
      </c>
      <c r="AC229" s="2414"/>
      <c r="AD229" s="2414"/>
      <c r="AE229" s="2414"/>
      <c r="AF229" s="2414"/>
      <c r="AG229" s="2414"/>
      <c r="AH229" s="827"/>
      <c r="AI229" s="827"/>
      <c r="AJ229" s="827"/>
      <c r="AK229" s="610"/>
    </row>
    <row r="230" spans="1:37">
      <c r="A230" s="605"/>
      <c r="B230" s="2466" t="s">
        <v>1184</v>
      </c>
      <c r="C230" s="2466"/>
      <c r="D230" s="2466"/>
      <c r="E230" s="2466"/>
      <c r="F230" s="2466"/>
      <c r="G230" s="2466"/>
      <c r="I230" s="2419"/>
      <c r="J230" s="2419"/>
      <c r="K230" s="2419"/>
      <c r="L230" s="1015"/>
      <c r="N230" s="2417"/>
      <c r="O230" s="2417"/>
      <c r="P230" s="2417"/>
      <c r="Q230" s="2417"/>
      <c r="R230" s="2417"/>
      <c r="T230" s="2416"/>
      <c r="U230" s="2416"/>
      <c r="V230" s="2416"/>
      <c r="W230" s="2416"/>
      <c r="X230" s="2416"/>
      <c r="Y230" s="2416"/>
      <c r="Z230" s="851"/>
      <c r="AA230" s="851"/>
      <c r="AB230" s="2414">
        <f t="shared" si="0"/>
        <v>0</v>
      </c>
      <c r="AC230" s="2414"/>
      <c r="AD230" s="2414"/>
      <c r="AE230" s="2414"/>
      <c r="AF230" s="2414"/>
      <c r="AG230" s="2414"/>
      <c r="AH230" s="827"/>
      <c r="AI230" s="827"/>
      <c r="AJ230" s="827"/>
      <c r="AK230" s="610"/>
    </row>
    <row r="231" spans="1:37">
      <c r="A231" s="605"/>
      <c r="B231" s="2466" t="s">
        <v>1184</v>
      </c>
      <c r="C231" s="2466"/>
      <c r="D231" s="2466"/>
      <c r="E231" s="2466"/>
      <c r="F231" s="2466"/>
      <c r="G231" s="2466"/>
      <c r="I231" s="2419"/>
      <c r="J231" s="2419"/>
      <c r="K231" s="2419"/>
      <c r="L231" s="1015"/>
      <c r="N231" s="2417"/>
      <c r="O231" s="2417"/>
      <c r="P231" s="2417"/>
      <c r="Q231" s="2417"/>
      <c r="R231" s="2417"/>
      <c r="T231" s="2416"/>
      <c r="U231" s="2416"/>
      <c r="V231" s="2416"/>
      <c r="W231" s="2416"/>
      <c r="X231" s="2416"/>
      <c r="Y231" s="2416"/>
      <c r="Z231" s="851"/>
      <c r="AA231" s="851"/>
      <c r="AB231" s="2414">
        <f t="shared" si="0"/>
        <v>0</v>
      </c>
      <c r="AC231" s="2414"/>
      <c r="AD231" s="2414"/>
      <c r="AE231" s="2414"/>
      <c r="AF231" s="2414"/>
      <c r="AG231" s="2414"/>
      <c r="AH231" s="827"/>
      <c r="AI231" s="827"/>
      <c r="AJ231" s="827"/>
      <c r="AK231" s="610"/>
    </row>
    <row r="232" spans="1:37">
      <c r="A232" s="605"/>
      <c r="B232" s="2466" t="s">
        <v>1184</v>
      </c>
      <c r="C232" s="2466"/>
      <c r="D232" s="2466"/>
      <c r="E232" s="2466"/>
      <c r="F232" s="2466"/>
      <c r="G232" s="2466"/>
      <c r="I232" s="2419"/>
      <c r="J232" s="2419"/>
      <c r="K232" s="2419"/>
      <c r="L232" s="1015"/>
      <c r="N232" s="2417"/>
      <c r="O232" s="2417"/>
      <c r="P232" s="2417"/>
      <c r="Q232" s="2417"/>
      <c r="R232" s="2417"/>
      <c r="T232" s="2416"/>
      <c r="U232" s="2416"/>
      <c r="V232" s="2416"/>
      <c r="W232" s="2416"/>
      <c r="X232" s="2416"/>
      <c r="Y232" s="2416"/>
      <c r="Z232" s="851"/>
      <c r="AA232" s="851"/>
      <c r="AB232" s="2414">
        <f t="shared" si="0"/>
        <v>0</v>
      </c>
      <c r="AC232" s="2414"/>
      <c r="AD232" s="2414"/>
      <c r="AE232" s="2414"/>
      <c r="AF232" s="2414"/>
      <c r="AG232" s="2414"/>
      <c r="AH232" s="827"/>
      <c r="AI232" s="827"/>
      <c r="AJ232" s="827"/>
      <c r="AK232" s="610"/>
    </row>
    <row r="233" spans="1:37">
      <c r="A233" s="605"/>
      <c r="B233" s="2466" t="s">
        <v>1184</v>
      </c>
      <c r="C233" s="2466"/>
      <c r="D233" s="2466"/>
      <c r="E233" s="2466"/>
      <c r="F233" s="2466"/>
      <c r="G233" s="2466"/>
      <c r="I233" s="2601"/>
      <c r="J233" s="2601"/>
      <c r="K233" s="2601"/>
      <c r="L233" s="1015"/>
      <c r="N233" s="2417"/>
      <c r="O233" s="2417"/>
      <c r="P233" s="2417"/>
      <c r="Q233" s="2417"/>
      <c r="R233" s="2417"/>
      <c r="T233" s="2416"/>
      <c r="U233" s="2416"/>
      <c r="V233" s="2416"/>
      <c r="W233" s="2416"/>
      <c r="X233" s="2416"/>
      <c r="Y233" s="2416"/>
      <c r="Z233" s="851"/>
      <c r="AA233" s="851"/>
      <c r="AB233" s="2420">
        <f t="shared" si="0"/>
        <v>0</v>
      </c>
      <c r="AC233" s="2420"/>
      <c r="AD233" s="2420"/>
      <c r="AE233" s="2420"/>
      <c r="AF233" s="2420"/>
      <c r="AG233" s="2420"/>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14">
        <f>SUM(AB224:AB233)</f>
        <v>0</v>
      </c>
      <c r="AC234" s="2414"/>
      <c r="AD234" s="2414"/>
      <c r="AE234" s="2414"/>
      <c r="AF234" s="2414"/>
      <c r="AG234" s="2414"/>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51"/>
      <c r="AC240" s="2451"/>
      <c r="AD240" s="2451"/>
      <c r="AE240" s="2451"/>
      <c r="AF240" s="2451"/>
      <c r="AG240" s="2451"/>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51"/>
      <c r="AC243" s="2451"/>
      <c r="AD243" s="2451"/>
      <c r="AE243" s="2451"/>
      <c r="AF243" s="2451"/>
      <c r="AG243" s="2451"/>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3"/>
      <c r="AC244" s="2413"/>
      <c r="AD244" s="2413"/>
      <c r="AE244" s="2413"/>
      <c r="AF244" s="2413"/>
      <c r="AG244" s="2413"/>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21">
        <f>IFERROR(AB243/AB244,0)</f>
        <v>0</v>
      </c>
      <c r="AC245" s="2421"/>
      <c r="AD245" s="2421"/>
      <c r="AE245" s="2421"/>
      <c r="AF245" s="2421"/>
      <c r="AG245" s="2421"/>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20">
        <f>MAX(AB240,AB245)</f>
        <v>0</v>
      </c>
      <c r="AC247" s="2420"/>
      <c r="AD247" s="2420"/>
      <c r="AE247" s="2420"/>
      <c r="AF247" s="2420"/>
      <c r="AG247" s="2420"/>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4">
        <f>AB234+AB247</f>
        <v>0</v>
      </c>
      <c r="AC250" s="2414"/>
      <c r="AD250" s="2414"/>
      <c r="AE250" s="2414"/>
      <c r="AF250" s="2414"/>
      <c r="AG250" s="2414"/>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5">
        <v>0.05</v>
      </c>
      <c r="AC251" s="2585"/>
      <c r="AD251" s="2585"/>
      <c r="AE251" s="2585"/>
      <c r="AF251" s="2585"/>
      <c r="AG251" s="2585"/>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6">
        <f>AB250-(AB250*AB251)</f>
        <v>0</v>
      </c>
      <c r="AC252" s="2586"/>
      <c r="AD252" s="2586"/>
      <c r="AE252" s="2586"/>
      <c r="AF252" s="2586"/>
      <c r="AG252" s="2586"/>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4">
        <f>AB252/AB258</f>
        <v>0</v>
      </c>
      <c r="AC254" s="2414"/>
      <c r="AD254" s="2414"/>
      <c r="AE254" s="2414"/>
      <c r="AF254" s="2414"/>
      <c r="AG254" s="2414"/>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7">
        <v>15</v>
      </c>
      <c r="AC256" s="2597"/>
      <c r="AD256" s="2597"/>
      <c r="AE256" s="2597"/>
      <c r="AF256" s="2597"/>
      <c r="AG256" s="2597"/>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8">
        <v>0.04</v>
      </c>
      <c r="AC257" s="2588"/>
      <c r="AD257" s="2588"/>
      <c r="AE257" s="2588"/>
      <c r="AF257" s="2588"/>
      <c r="AG257" s="2588"/>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9">
        <v>1.1499999999999999</v>
      </c>
      <c r="AC258" s="2589"/>
      <c r="AD258" s="2589"/>
      <c r="AE258" s="2589"/>
      <c r="AF258" s="2589"/>
      <c r="AG258" s="2589"/>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8">
        <f>PV(AB257/12,AB256*12,-AB254/12, ,0)</f>
        <v>0</v>
      </c>
      <c r="AC260" s="2579"/>
      <c r="AD260" s="2579"/>
      <c r="AE260" s="2579"/>
      <c r="AF260" s="2579"/>
      <c r="AG260" s="2580"/>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82">
        <f>IFERROR(('Sources and Uses Budget'!D105/'Sources and Uses Budget'!B105),0)</f>
        <v>2.1035072533698044E-3</v>
      </c>
      <c r="AC266" s="2583"/>
      <c r="AD266" s="2583"/>
      <c r="AE266" s="2583"/>
      <c r="AF266" s="2583"/>
      <c r="AG266" s="2584"/>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8">
        <f>AD211*(1-AB266)</f>
        <v>11475809.666586246</v>
      </c>
      <c r="AH268" s="2428"/>
      <c r="AI268" s="2428"/>
      <c r="AJ268" s="2428"/>
      <c r="AK268" s="2428"/>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8">
        <f>'Sources and Uses Budget'!C105</f>
        <v>71159476</v>
      </c>
      <c r="AH269" s="2428"/>
      <c r="AI269" s="2428"/>
      <c r="AJ269" s="2428"/>
      <c r="AK269" s="2428"/>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4">
        <f>ROUNDDOWN(IF(AND(C292="Yes",AK84=10),((AG268*2)/AG269),AG268/AG269),2)</f>
        <v>0.32</v>
      </c>
      <c r="AH270" s="2574"/>
      <c r="AI270" s="2574"/>
      <c r="AJ270" s="2574"/>
      <c r="AK270" s="2574"/>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563">
        <f>IFERROR(IF(AG270=0,0,IF((AG270*100)&gt;8,8,(AG270*100))),0)</f>
        <v>8</v>
      </c>
      <c r="AL273" s="2563"/>
      <c r="AM273" s="2564"/>
    </row>
    <row r="274" spans="1:52" ht="14"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5" customHeight="1">
      <c r="A278" s="550"/>
      <c r="B278" s="596"/>
      <c r="C278" s="2445" t="s">
        <v>545</v>
      </c>
      <c r="D278" s="2445"/>
      <c r="E278" s="547"/>
      <c r="F278" s="2397" t="s">
        <v>2024</v>
      </c>
      <c r="G278" s="2398"/>
      <c r="H278" s="2398"/>
      <c r="I278" s="2398"/>
      <c r="J278" s="2398"/>
      <c r="K278" s="2398"/>
      <c r="L278" s="2398"/>
      <c r="M278" s="2398"/>
      <c r="N278" s="2398"/>
      <c r="O278" s="2398"/>
      <c r="P278" s="2398"/>
      <c r="Q278" s="2398"/>
      <c r="R278" s="2398"/>
      <c r="S278" s="2398"/>
      <c r="T278" s="2398"/>
      <c r="U278" s="2398"/>
      <c r="V278" s="2398"/>
      <c r="W278" s="2398"/>
      <c r="X278" s="2398"/>
      <c r="Y278" s="2398"/>
      <c r="Z278" s="2398"/>
      <c r="AA278" s="2398"/>
      <c r="AB278" s="2398"/>
      <c r="AC278" s="2398"/>
      <c r="AD278" s="2399"/>
      <c r="AE278" s="550"/>
      <c r="AF278" s="635"/>
      <c r="AG278" s="2572" t="s">
        <v>1363</v>
      </c>
      <c r="AH278" s="2572"/>
      <c r="AI278" s="2572"/>
      <c r="AJ278" s="2572"/>
      <c r="AK278" s="550"/>
      <c r="AL278" s="550"/>
      <c r="AM278" s="550"/>
      <c r="AO278" s="550"/>
    </row>
    <row r="279" spans="1:52" ht="13.75" customHeight="1">
      <c r="A279" s="550"/>
      <c r="B279" s="596"/>
      <c r="C279" s="636"/>
      <c r="D279" s="550"/>
      <c r="E279" s="547"/>
      <c r="F279" s="2400"/>
      <c r="G279" s="2401"/>
      <c r="H279" s="2401"/>
      <c r="I279" s="2401"/>
      <c r="J279" s="2401"/>
      <c r="K279" s="2401"/>
      <c r="L279" s="2401"/>
      <c r="M279" s="2401"/>
      <c r="N279" s="2401"/>
      <c r="O279" s="2401"/>
      <c r="P279" s="2401"/>
      <c r="Q279" s="2401"/>
      <c r="R279" s="2401"/>
      <c r="S279" s="2401"/>
      <c r="T279" s="2401"/>
      <c r="U279" s="2401"/>
      <c r="V279" s="2401"/>
      <c r="W279" s="2401"/>
      <c r="X279" s="2401"/>
      <c r="Y279" s="2401"/>
      <c r="Z279" s="2401"/>
      <c r="AA279" s="2401"/>
      <c r="AB279" s="2401"/>
      <c r="AC279" s="2401"/>
      <c r="AD279" s="2402"/>
      <c r="AE279" s="550"/>
      <c r="AF279" s="635"/>
      <c r="AG279" s="635"/>
      <c r="AH279" s="635"/>
      <c r="AI279" s="635"/>
      <c r="AJ279" s="550"/>
      <c r="AK279" s="550"/>
      <c r="AL279" s="550"/>
      <c r="AM279" s="550"/>
      <c r="AO279" s="550"/>
    </row>
    <row r="280" spans="1:52">
      <c r="A280" s="550"/>
      <c r="B280" s="596"/>
      <c r="C280" s="636"/>
      <c r="D280" s="550"/>
      <c r="E280" s="547"/>
      <c r="F280" s="2400"/>
      <c r="G280" s="2401"/>
      <c r="H280" s="2401"/>
      <c r="I280" s="2401"/>
      <c r="J280" s="2401"/>
      <c r="K280" s="2401"/>
      <c r="L280" s="2401"/>
      <c r="M280" s="2401"/>
      <c r="N280" s="2401"/>
      <c r="O280" s="2401"/>
      <c r="P280" s="2401"/>
      <c r="Q280" s="2401"/>
      <c r="R280" s="2401"/>
      <c r="S280" s="2401"/>
      <c r="T280" s="2401"/>
      <c r="U280" s="2401"/>
      <c r="V280" s="2401"/>
      <c r="W280" s="2401"/>
      <c r="X280" s="2401"/>
      <c r="Y280" s="2401"/>
      <c r="Z280" s="2401"/>
      <c r="AA280" s="2401"/>
      <c r="AB280" s="2401"/>
      <c r="AC280" s="2401"/>
      <c r="AD280" s="2402"/>
      <c r="AE280" s="550"/>
      <c r="AF280" s="635"/>
      <c r="AG280" s="635"/>
      <c r="AH280" s="635"/>
      <c r="AI280" s="635"/>
      <c r="AJ280" s="550"/>
      <c r="AK280" s="550"/>
      <c r="AL280" s="550"/>
      <c r="AM280" s="550"/>
      <c r="AO280" s="550"/>
      <c r="AP280" s="637"/>
    </row>
    <row r="281" spans="1:52">
      <c r="A281" s="550"/>
      <c r="B281" s="596"/>
      <c r="C281" s="636"/>
      <c r="D281" s="550"/>
      <c r="E281" s="547"/>
      <c r="F281" s="2400"/>
      <c r="G281" s="2401"/>
      <c r="H281" s="2401"/>
      <c r="I281" s="2401"/>
      <c r="J281" s="2401"/>
      <c r="K281" s="2401"/>
      <c r="L281" s="2401"/>
      <c r="M281" s="2401"/>
      <c r="N281" s="2401"/>
      <c r="O281" s="2401"/>
      <c r="P281" s="2401"/>
      <c r="Q281" s="2401"/>
      <c r="R281" s="2401"/>
      <c r="S281" s="2401"/>
      <c r="T281" s="2401"/>
      <c r="U281" s="2401"/>
      <c r="V281" s="2401"/>
      <c r="W281" s="2401"/>
      <c r="X281" s="2401"/>
      <c r="Y281" s="2401"/>
      <c r="Z281" s="2401"/>
      <c r="AA281" s="2401"/>
      <c r="AB281" s="2401"/>
      <c r="AC281" s="2401"/>
      <c r="AD281" s="2402"/>
      <c r="AE281" s="550"/>
      <c r="AF281" s="635"/>
      <c r="AG281" s="635"/>
      <c r="AH281" s="635"/>
      <c r="AI281" s="635"/>
      <c r="AJ281" s="550"/>
      <c r="AK281" s="550"/>
      <c r="AL281" s="550"/>
      <c r="AM281" s="550"/>
      <c r="AO281" s="550"/>
      <c r="AP281" s="637"/>
    </row>
    <row r="282" spans="1:52" ht="13.75" customHeight="1">
      <c r="A282" s="550"/>
      <c r="B282" s="596"/>
      <c r="C282" s="2573"/>
      <c r="D282" s="2573"/>
      <c r="E282" s="547"/>
      <c r="F282" s="2403"/>
      <c r="G282" s="2404"/>
      <c r="H282" s="2404"/>
      <c r="I282" s="2404"/>
      <c r="J282" s="2404"/>
      <c r="K282" s="2404"/>
      <c r="L282" s="2404"/>
      <c r="M282" s="2404"/>
      <c r="N282" s="2404"/>
      <c r="O282" s="2404"/>
      <c r="P282" s="2404"/>
      <c r="Q282" s="2404"/>
      <c r="R282" s="2404"/>
      <c r="S282" s="2404"/>
      <c r="T282" s="2404"/>
      <c r="U282" s="2404"/>
      <c r="V282" s="2404"/>
      <c r="W282" s="2404"/>
      <c r="X282" s="2404"/>
      <c r="Y282" s="2404"/>
      <c r="Z282" s="2404"/>
      <c r="AA282" s="2404"/>
      <c r="AB282" s="2404"/>
      <c r="AC282" s="2404"/>
      <c r="AD282" s="2405"/>
      <c r="AE282" s="550"/>
      <c r="AF282" s="635"/>
      <c r="AG282" s="2572"/>
      <c r="AH282" s="2572"/>
      <c r="AI282" s="2572"/>
      <c r="AJ282" s="2572"/>
      <c r="AK282" s="550"/>
      <c r="AL282" s="550"/>
      <c r="AM282" s="550"/>
    </row>
    <row r="283" spans="1:52" ht="13.7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563">
        <f>IF($C$278="yes",10,0)</f>
        <v>10</v>
      </c>
      <c r="AL285" s="2563"/>
      <c r="AM285" s="2564"/>
      <c r="AN285" s="73"/>
    </row>
    <row r="286" spans="1:52" ht="14" thickBot="1"/>
    <row r="287" spans="1:52" ht="14"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1853</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14" t="s">
        <v>1382</v>
      </c>
      <c r="B292" s="1614"/>
      <c r="C292" s="2396" t="s">
        <v>545</v>
      </c>
      <c r="D292" s="2445"/>
      <c r="E292" s="547"/>
      <c r="F292" s="2565" t="s">
        <v>1383</v>
      </c>
      <c r="G292" s="2566"/>
      <c r="H292" s="2566"/>
      <c r="I292" s="2566"/>
      <c r="J292" s="2566"/>
      <c r="K292" s="2566"/>
      <c r="L292" s="2566"/>
      <c r="M292" s="2566"/>
      <c r="N292" s="2566"/>
      <c r="O292" s="2566"/>
      <c r="P292" s="2566"/>
      <c r="Q292" s="2566"/>
      <c r="R292" s="2566"/>
      <c r="S292" s="2566"/>
      <c r="T292" s="2566"/>
      <c r="U292" s="2566"/>
      <c r="V292" s="2566"/>
      <c r="W292" s="2566"/>
      <c r="X292" s="2566"/>
      <c r="Y292" s="2566"/>
      <c r="Z292" s="2566"/>
      <c r="AA292" s="2566"/>
      <c r="AB292" s="2566"/>
      <c r="AC292" s="2566"/>
      <c r="AD292" s="2567"/>
      <c r="AE292" s="642"/>
      <c r="AF292" s="550"/>
      <c r="AG292" s="2568" t="s">
        <v>2017</v>
      </c>
      <c r="AH292" s="2568"/>
      <c r="AI292" s="2568"/>
      <c r="AJ292" s="2568"/>
      <c r="AK292" s="2568"/>
      <c r="AL292" s="550"/>
      <c r="AM292" s="550"/>
      <c r="AN292" s="73"/>
      <c r="AO292" s="14"/>
      <c r="AP292" s="30"/>
      <c r="AS292" s="570"/>
      <c r="AT292" s="570"/>
      <c r="AU292" s="570"/>
      <c r="AV292" s="32"/>
      <c r="AW292" s="32"/>
    </row>
    <row r="293" spans="1:49">
      <c r="A293" s="640"/>
      <c r="B293" s="596"/>
      <c r="F293" s="2423"/>
      <c r="G293" s="2424"/>
      <c r="H293" s="2424"/>
      <c r="I293" s="2424"/>
      <c r="J293" s="2424"/>
      <c r="K293" s="2424"/>
      <c r="L293" s="2424"/>
      <c r="M293" s="2424"/>
      <c r="N293" s="2424"/>
      <c r="O293" s="2424"/>
      <c r="P293" s="2424"/>
      <c r="Q293" s="2424"/>
      <c r="R293" s="2424"/>
      <c r="S293" s="2424"/>
      <c r="T293" s="2424"/>
      <c r="U293" s="2424"/>
      <c r="V293" s="2424"/>
      <c r="W293" s="2424"/>
      <c r="X293" s="2424"/>
      <c r="Y293" s="2424"/>
      <c r="Z293" s="2424"/>
      <c r="AA293" s="2424"/>
      <c r="AB293" s="2424"/>
      <c r="AC293" s="2424"/>
      <c r="AD293" s="2425"/>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23"/>
      <c r="G294" s="2424"/>
      <c r="H294" s="2424"/>
      <c r="I294" s="2424"/>
      <c r="J294" s="2424"/>
      <c r="K294" s="2424"/>
      <c r="L294" s="2424"/>
      <c r="M294" s="2424"/>
      <c r="N294" s="2424"/>
      <c r="O294" s="2424"/>
      <c r="P294" s="2424"/>
      <c r="Q294" s="2424"/>
      <c r="R294" s="2424"/>
      <c r="S294" s="2424"/>
      <c r="T294" s="2424"/>
      <c r="U294" s="2424"/>
      <c r="V294" s="2424"/>
      <c r="W294" s="2424"/>
      <c r="X294" s="2424"/>
      <c r="Y294" s="2424"/>
      <c r="Z294" s="2424"/>
      <c r="AA294" s="2424"/>
      <c r="AB294" s="2424"/>
      <c r="AC294" s="2424"/>
      <c r="AD294" s="2425"/>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23" t="s">
        <v>2025</v>
      </c>
      <c r="G295" s="2424"/>
      <c r="H295" s="2424"/>
      <c r="I295" s="2424"/>
      <c r="J295" s="2424"/>
      <c r="K295" s="2424"/>
      <c r="L295" s="2424"/>
      <c r="M295" s="2424"/>
      <c r="N295" s="2424"/>
      <c r="O295" s="2424"/>
      <c r="P295" s="2424"/>
      <c r="Q295" s="2424"/>
      <c r="R295" s="2424"/>
      <c r="S295" s="2424"/>
      <c r="T295" s="2424"/>
      <c r="U295" s="2424"/>
      <c r="V295" s="2424"/>
      <c r="W295" s="2424"/>
      <c r="X295" s="2424"/>
      <c r="Y295" s="2424"/>
      <c r="Z295" s="2424"/>
      <c r="AA295" s="2424"/>
      <c r="AB295" s="2424"/>
      <c r="AC295" s="2424"/>
      <c r="AD295" s="2425"/>
      <c r="AE295" s="642"/>
      <c r="AF295" s="551"/>
      <c r="AH295" s="551"/>
      <c r="AI295" s="551"/>
      <c r="AJ295" s="550"/>
      <c r="AK295" s="550"/>
      <c r="AL295" s="550"/>
      <c r="AM295" s="550"/>
      <c r="AN295" s="73"/>
      <c r="AO295" s="14"/>
      <c r="AP295" s="611">
        <f>MAX(AP293,AP294)</f>
        <v>10</v>
      </c>
      <c r="AQ295" s="574" t="s">
        <v>1316</v>
      </c>
      <c r="AS295" s="570"/>
      <c r="AT295" s="570"/>
      <c r="AU295" s="570"/>
      <c r="AV295" s="32"/>
      <c r="AW295" s="32"/>
    </row>
    <row r="296" spans="1:49">
      <c r="A296" s="640"/>
      <c r="B296" s="596"/>
      <c r="F296" s="2423"/>
      <c r="G296" s="2424"/>
      <c r="H296" s="2424"/>
      <c r="I296" s="2424"/>
      <c r="J296" s="2424"/>
      <c r="K296" s="2424"/>
      <c r="L296" s="2424"/>
      <c r="M296" s="2424"/>
      <c r="N296" s="2424"/>
      <c r="O296" s="2424"/>
      <c r="P296" s="2424"/>
      <c r="Q296" s="2424"/>
      <c r="R296" s="2424"/>
      <c r="S296" s="2424"/>
      <c r="T296" s="2424"/>
      <c r="U296" s="2424"/>
      <c r="V296" s="2424"/>
      <c r="W296" s="2424"/>
      <c r="X296" s="2424"/>
      <c r="Y296" s="2424"/>
      <c r="Z296" s="2424"/>
      <c r="AA296" s="2424"/>
      <c r="AB296" s="2424"/>
      <c r="AC296" s="2424"/>
      <c r="AD296" s="2425"/>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3" t="s">
        <v>1384</v>
      </c>
      <c r="G297" s="2424"/>
      <c r="H297" s="2424"/>
      <c r="I297" s="2424"/>
      <c r="J297" s="2424"/>
      <c r="K297" s="2424"/>
      <c r="L297" s="2424"/>
      <c r="M297" s="2424"/>
      <c r="N297" s="2424"/>
      <c r="O297" s="2424"/>
      <c r="P297" s="2424"/>
      <c r="Q297" s="2424"/>
      <c r="R297" s="2424"/>
      <c r="S297" s="2424"/>
      <c r="T297" s="2424"/>
      <c r="U297" s="2424"/>
      <c r="V297" s="2424"/>
      <c r="W297" s="2424"/>
      <c r="X297" s="2424"/>
      <c r="Y297" s="2424"/>
      <c r="Z297" s="2424"/>
      <c r="AA297" s="2424"/>
      <c r="AB297" s="2424"/>
      <c r="AC297" s="2424"/>
      <c r="AD297" s="2425"/>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3"/>
      <c r="G298" s="2424"/>
      <c r="H298" s="2424"/>
      <c r="I298" s="2424"/>
      <c r="J298" s="2424"/>
      <c r="K298" s="2424"/>
      <c r="L298" s="2424"/>
      <c r="M298" s="2424"/>
      <c r="N298" s="2424"/>
      <c r="O298" s="2424"/>
      <c r="P298" s="2424"/>
      <c r="Q298" s="2424"/>
      <c r="R298" s="2424"/>
      <c r="S298" s="2424"/>
      <c r="T298" s="2424"/>
      <c r="U298" s="2424"/>
      <c r="V298" s="2424"/>
      <c r="W298" s="2424"/>
      <c r="X298" s="2424"/>
      <c r="Y298" s="2424"/>
      <c r="Z298" s="2424"/>
      <c r="AA298" s="2424"/>
      <c r="AB298" s="2424"/>
      <c r="AC298" s="2424"/>
      <c r="AD298" s="2425"/>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3" t="s">
        <v>1385</v>
      </c>
      <c r="G299" s="2424"/>
      <c r="H299" s="2424"/>
      <c r="I299" s="2424"/>
      <c r="J299" s="2424"/>
      <c r="K299" s="2424"/>
      <c r="L299" s="2424"/>
      <c r="M299" s="2424"/>
      <c r="N299" s="2424"/>
      <c r="O299" s="2424"/>
      <c r="P299" s="2424"/>
      <c r="Q299" s="2424"/>
      <c r="R299" s="2424"/>
      <c r="S299" s="2424"/>
      <c r="T299" s="2424"/>
      <c r="U299" s="2424"/>
      <c r="V299" s="2424"/>
      <c r="W299" s="2424"/>
      <c r="X299" s="2424"/>
      <c r="Y299" s="2424"/>
      <c r="Z299" s="2424"/>
      <c r="AA299" s="2424"/>
      <c r="AB299" s="2424"/>
      <c r="AC299" s="2424"/>
      <c r="AD299" s="2425"/>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6"/>
      <c r="G300" s="2427"/>
      <c r="H300" s="2427"/>
      <c r="I300" s="2427"/>
      <c r="J300" s="2427"/>
      <c r="K300" s="2427"/>
      <c r="L300" s="2427"/>
      <c r="M300" s="2427"/>
      <c r="N300" s="2427"/>
      <c r="O300" s="2427"/>
      <c r="P300" s="2427"/>
      <c r="Q300" s="2427"/>
      <c r="R300" s="2427"/>
      <c r="S300" s="2427"/>
      <c r="T300" s="2427"/>
      <c r="U300" s="2427"/>
      <c r="V300" s="2427"/>
      <c r="W300" s="2427"/>
      <c r="X300" s="2427"/>
      <c r="Y300" s="2427"/>
      <c r="Z300" s="2427"/>
      <c r="AA300" s="2427"/>
      <c r="AB300" s="2427"/>
      <c r="AC300" s="2427"/>
      <c r="AD300" s="2562"/>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14" t="s">
        <v>1386</v>
      </c>
      <c r="B302" s="1614"/>
      <c r="C302" s="2445" t="s">
        <v>591</v>
      </c>
      <c r="D302" s="2445"/>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547" t="s">
        <v>2019</v>
      </c>
      <c r="G303" s="2548"/>
      <c r="H303" s="2548"/>
      <c r="I303" s="2548"/>
      <c r="J303" s="2548"/>
      <c r="K303" s="2548"/>
      <c r="L303" s="2548"/>
      <c r="M303" s="2548"/>
      <c r="N303" s="2548"/>
      <c r="O303" s="2548"/>
      <c r="P303" s="2548"/>
      <c r="Q303" s="2548"/>
      <c r="R303" s="2548"/>
      <c r="S303" s="2548"/>
      <c r="T303" s="2548"/>
      <c r="U303" s="2548"/>
      <c r="V303" s="2548"/>
      <c r="W303" s="2548"/>
      <c r="X303" s="2548"/>
      <c r="Y303" s="2548"/>
      <c r="Z303" s="2548"/>
      <c r="AA303" s="2548"/>
      <c r="AB303" s="2548"/>
      <c r="AC303" s="2548"/>
      <c r="AD303" s="2549"/>
      <c r="AE303" s="551"/>
      <c r="AF303" s="551"/>
      <c r="AG303" s="551"/>
      <c r="AH303" s="551"/>
      <c r="AI303" s="551"/>
      <c r="AJ303" s="550"/>
      <c r="AK303" s="550"/>
      <c r="AL303" s="550"/>
      <c r="AM303" s="550"/>
      <c r="AR303" s="648"/>
    </row>
    <row r="304" spans="1:49" ht="15" customHeight="1">
      <c r="A304" s="550"/>
      <c r="B304" s="551"/>
      <c r="C304" s="550"/>
      <c r="D304" s="551"/>
      <c r="E304" s="550"/>
      <c r="F304" s="2547"/>
      <c r="G304" s="2548"/>
      <c r="H304" s="2548"/>
      <c r="I304" s="2548"/>
      <c r="J304" s="2548"/>
      <c r="K304" s="2548"/>
      <c r="L304" s="2548"/>
      <c r="M304" s="2548"/>
      <c r="N304" s="2548"/>
      <c r="O304" s="2548"/>
      <c r="P304" s="2548"/>
      <c r="Q304" s="2548"/>
      <c r="R304" s="2548"/>
      <c r="S304" s="2548"/>
      <c r="T304" s="2548"/>
      <c r="U304" s="2548"/>
      <c r="V304" s="2548"/>
      <c r="W304" s="2548"/>
      <c r="X304" s="2548"/>
      <c r="Y304" s="2548"/>
      <c r="Z304" s="2548"/>
      <c r="AA304" s="2548"/>
      <c r="AB304" s="2548"/>
      <c r="AC304" s="2548"/>
      <c r="AD304" s="2549"/>
      <c r="AE304" s="551"/>
      <c r="AF304" s="551"/>
      <c r="AG304" s="551"/>
      <c r="AH304" s="551"/>
      <c r="AI304" s="551"/>
      <c r="AJ304" s="550"/>
      <c r="AK304" s="550"/>
      <c r="AL304" s="550"/>
      <c r="AM304" s="550"/>
      <c r="AR304" s="648"/>
    </row>
    <row r="305" spans="1:44">
      <c r="A305" s="550"/>
      <c r="B305" s="551"/>
      <c r="C305" s="550"/>
      <c r="D305" s="551"/>
      <c r="E305" s="550"/>
      <c r="F305" s="2547"/>
      <c r="G305" s="2548"/>
      <c r="H305" s="2548"/>
      <c r="I305" s="2548"/>
      <c r="J305" s="2548"/>
      <c r="K305" s="2548"/>
      <c r="L305" s="2548"/>
      <c r="M305" s="2548"/>
      <c r="N305" s="2548"/>
      <c r="O305" s="2548"/>
      <c r="P305" s="2548"/>
      <c r="Q305" s="2548"/>
      <c r="R305" s="2548"/>
      <c r="S305" s="2548"/>
      <c r="T305" s="2548"/>
      <c r="U305" s="2548"/>
      <c r="V305" s="2548"/>
      <c r="W305" s="2548"/>
      <c r="X305" s="2548"/>
      <c r="Y305" s="2548"/>
      <c r="Z305" s="2548"/>
      <c r="AA305" s="2548"/>
      <c r="AB305" s="2548"/>
      <c r="AC305" s="2548"/>
      <c r="AD305" s="2549"/>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9"/>
      <c r="G306" s="2570"/>
      <c r="H306" s="2570"/>
      <c r="I306" s="2570"/>
      <c r="J306" s="2570"/>
      <c r="K306" s="2570"/>
      <c r="L306" s="2570"/>
      <c r="M306" s="2570"/>
      <c r="N306" s="2570"/>
      <c r="O306" s="2570"/>
      <c r="P306" s="2570"/>
      <c r="Q306" s="2570"/>
      <c r="R306" s="2570"/>
      <c r="S306" s="2570"/>
      <c r="T306" s="2570"/>
      <c r="U306" s="2570"/>
      <c r="V306" s="2570"/>
      <c r="W306" s="2570"/>
      <c r="X306" s="2570"/>
      <c r="Y306" s="2570"/>
      <c r="Z306" s="2570"/>
      <c r="AA306" s="2570"/>
      <c r="AB306" s="2570"/>
      <c r="AC306" s="2570"/>
      <c r="AD306" s="2571"/>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14" t="s">
        <v>1389</v>
      </c>
      <c r="B310" s="1614"/>
      <c r="C310" s="2445" t="s">
        <v>591</v>
      </c>
      <c r="D310" s="2445"/>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423" t="s">
        <v>2026</v>
      </c>
      <c r="G311" s="2424"/>
      <c r="H311" s="2424"/>
      <c r="I311" s="2424"/>
      <c r="J311" s="2424"/>
      <c r="K311" s="2424"/>
      <c r="L311" s="2424"/>
      <c r="M311" s="2424"/>
      <c r="N311" s="2424"/>
      <c r="O311" s="2424"/>
      <c r="P311" s="2424"/>
      <c r="Q311" s="2424"/>
      <c r="R311" s="2424"/>
      <c r="S311" s="2424"/>
      <c r="T311" s="2424"/>
      <c r="U311" s="2424"/>
      <c r="V311" s="2424"/>
      <c r="W311" s="2424"/>
      <c r="X311" s="2424"/>
      <c r="Y311" s="2424"/>
      <c r="Z311" s="2424"/>
      <c r="AA311" s="2424"/>
      <c r="AB311" s="2424"/>
      <c r="AC311" s="2424"/>
      <c r="AD311" s="2425"/>
      <c r="AE311" s="551"/>
      <c r="AF311" s="551"/>
      <c r="AG311" s="539"/>
      <c r="AH311" s="551"/>
      <c r="AI311" s="551"/>
      <c r="AJ311" s="550"/>
      <c r="AK311" s="550"/>
      <c r="AL311" s="550"/>
      <c r="AM311" s="550"/>
      <c r="AN311" s="73"/>
      <c r="AO311" s="14"/>
      <c r="AP311" s="557" t="s">
        <v>1184</v>
      </c>
    </row>
    <row r="312" spans="1:44" hidden="1">
      <c r="F312" s="2423"/>
      <c r="G312" s="2424"/>
      <c r="H312" s="2424"/>
      <c r="I312" s="2424"/>
      <c r="J312" s="2424"/>
      <c r="K312" s="2424"/>
      <c r="L312" s="2424"/>
      <c r="M312" s="2424"/>
      <c r="N312" s="2424"/>
      <c r="O312" s="2424"/>
      <c r="P312" s="2424"/>
      <c r="Q312" s="2424"/>
      <c r="R312" s="2424"/>
      <c r="S312" s="2424"/>
      <c r="T312" s="2424"/>
      <c r="U312" s="2424"/>
      <c r="V312" s="2424"/>
      <c r="W312" s="2424"/>
      <c r="X312" s="2424"/>
      <c r="Y312" s="2424"/>
      <c r="Z312" s="2424"/>
      <c r="AA312" s="2424"/>
      <c r="AB312" s="2424"/>
      <c r="AC312" s="2424"/>
      <c r="AD312" s="2425"/>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50" t="s">
        <v>1184</v>
      </c>
      <c r="G316" s="2551"/>
      <c r="H316" s="2551"/>
      <c r="I316" s="2551"/>
      <c r="J316" s="2551"/>
      <c r="K316" s="2551"/>
      <c r="L316" s="2551"/>
      <c r="M316" s="2551"/>
      <c r="N316" s="2551"/>
      <c r="O316" s="2551"/>
      <c r="P316" s="2551"/>
      <c r="Q316" s="2551"/>
      <c r="R316" s="2551"/>
      <c r="S316" s="2551"/>
      <c r="T316" s="2551"/>
      <c r="U316" s="2551"/>
      <c r="V316" s="2551"/>
      <c r="W316" s="2551"/>
      <c r="X316" s="2551"/>
      <c r="Y316" s="2551"/>
      <c r="Z316" s="2551"/>
      <c r="AA316" s="2551"/>
      <c r="AB316" s="2551"/>
      <c r="AC316" s="2551"/>
      <c r="AD316" s="2552"/>
      <c r="AE316" s="642"/>
      <c r="AF316" s="642"/>
      <c r="AG316" s="642"/>
      <c r="AH316" s="642"/>
      <c r="AI316" s="642"/>
      <c r="AJ316" s="642"/>
      <c r="AK316" s="642"/>
      <c r="AL316" s="550"/>
      <c r="AM316" s="550"/>
      <c r="AN316" s="73"/>
      <c r="AO316" s="14"/>
      <c r="AP316" s="30"/>
    </row>
    <row r="317" spans="1:44" hidden="1">
      <c r="A317" s="550"/>
      <c r="B317" s="551"/>
      <c r="C317" s="730"/>
      <c r="D317" s="730"/>
      <c r="E317" s="547"/>
      <c r="F317" s="2550"/>
      <c r="G317" s="2551"/>
      <c r="H317" s="2551"/>
      <c r="I317" s="2551"/>
      <c r="J317" s="2551"/>
      <c r="K317" s="2551"/>
      <c r="L317" s="2551"/>
      <c r="M317" s="2551"/>
      <c r="N317" s="2551"/>
      <c r="O317" s="2551"/>
      <c r="P317" s="2551"/>
      <c r="Q317" s="2551"/>
      <c r="R317" s="2551"/>
      <c r="S317" s="2551"/>
      <c r="T317" s="2551"/>
      <c r="U317" s="2551"/>
      <c r="V317" s="2551"/>
      <c r="W317" s="2551"/>
      <c r="X317" s="2551"/>
      <c r="Y317" s="2551"/>
      <c r="Z317" s="2551"/>
      <c r="AA317" s="2551"/>
      <c r="AB317" s="2551"/>
      <c r="AC317" s="2551"/>
      <c r="AD317" s="2552"/>
      <c r="AE317" s="551"/>
      <c r="AF317" s="551"/>
      <c r="AG317" s="539"/>
      <c r="AH317" s="551"/>
      <c r="AI317" s="551"/>
      <c r="AJ317" s="550"/>
      <c r="AK317" s="550"/>
      <c r="AL317" s="550"/>
      <c r="AM317" s="550"/>
      <c r="AN317" s="73"/>
      <c r="AO317" s="14"/>
      <c r="AP317" s="30"/>
    </row>
    <row r="318" spans="1:44" hidden="1">
      <c r="A318" s="550"/>
      <c r="B318" s="551"/>
      <c r="C318" s="730"/>
      <c r="D318" s="730"/>
      <c r="E318" s="547"/>
      <c r="F318" s="2550"/>
      <c r="G318" s="2551"/>
      <c r="H318" s="2551"/>
      <c r="I318" s="2551"/>
      <c r="J318" s="2551"/>
      <c r="K318" s="2551"/>
      <c r="L318" s="2551"/>
      <c r="M318" s="2551"/>
      <c r="N318" s="2551"/>
      <c r="O318" s="2551"/>
      <c r="P318" s="2551"/>
      <c r="Q318" s="2551"/>
      <c r="R318" s="2551"/>
      <c r="S318" s="2551"/>
      <c r="T318" s="2551"/>
      <c r="U318" s="2551"/>
      <c r="V318" s="2551"/>
      <c r="W318" s="2551"/>
      <c r="X318" s="2551"/>
      <c r="Y318" s="2551"/>
      <c r="Z318" s="2551"/>
      <c r="AA318" s="2551"/>
      <c r="AB318" s="2551"/>
      <c r="AC318" s="2551"/>
      <c r="AD318" s="2552"/>
      <c r="AE318" s="551"/>
      <c r="AF318" s="551"/>
      <c r="AG318" s="539"/>
      <c r="AH318" s="551"/>
      <c r="AI318" s="551"/>
      <c r="AJ318" s="550"/>
      <c r="AK318" s="550"/>
      <c r="AL318" s="550"/>
      <c r="AM318" s="550"/>
      <c r="AN318" s="73"/>
      <c r="AO318" s="14"/>
      <c r="AP318" s="30"/>
    </row>
    <row r="319" spans="1:44" hidden="1">
      <c r="A319" s="550"/>
      <c r="B319" s="551"/>
      <c r="C319" s="730"/>
      <c r="D319" s="730"/>
      <c r="E319" s="547"/>
      <c r="F319" s="2550"/>
      <c r="G319" s="2551"/>
      <c r="H319" s="2551"/>
      <c r="I319" s="2551"/>
      <c r="J319" s="2551"/>
      <c r="K319" s="2551"/>
      <c r="L319" s="2551"/>
      <c r="M319" s="2551"/>
      <c r="N319" s="2551"/>
      <c r="O319" s="2551"/>
      <c r="P319" s="2551"/>
      <c r="Q319" s="2551"/>
      <c r="R319" s="2551"/>
      <c r="S319" s="2551"/>
      <c r="T319" s="2551"/>
      <c r="U319" s="2551"/>
      <c r="V319" s="2551"/>
      <c r="W319" s="2551"/>
      <c r="X319" s="2551"/>
      <c r="Y319" s="2551"/>
      <c r="Z319" s="2551"/>
      <c r="AA319" s="2551"/>
      <c r="AB319" s="2551"/>
      <c r="AC319" s="2551"/>
      <c r="AD319" s="2552"/>
      <c r="AE319" s="551"/>
      <c r="AF319" s="551"/>
      <c r="AG319" s="539"/>
      <c r="AH319" s="551"/>
      <c r="AI319" s="551"/>
      <c r="AJ319" s="550"/>
      <c r="AK319" s="550"/>
      <c r="AL319" s="550"/>
      <c r="AM319" s="550"/>
      <c r="AN319" s="73"/>
      <c r="AO319" s="14"/>
      <c r="AP319" s="30"/>
    </row>
    <row r="320" spans="1:44" hidden="1">
      <c r="A320" s="550"/>
      <c r="B320" s="551"/>
      <c r="C320" s="730"/>
      <c r="D320" s="730"/>
      <c r="E320" s="547"/>
      <c r="F320" s="2553"/>
      <c r="G320" s="2554"/>
      <c r="H320" s="2554"/>
      <c r="I320" s="2554"/>
      <c r="J320" s="2554"/>
      <c r="K320" s="2554"/>
      <c r="L320" s="2554"/>
      <c r="M320" s="2554"/>
      <c r="N320" s="2554"/>
      <c r="O320" s="2554"/>
      <c r="P320" s="2554"/>
      <c r="Q320" s="2554"/>
      <c r="R320" s="2554"/>
      <c r="S320" s="2554"/>
      <c r="T320" s="2554"/>
      <c r="U320" s="2554"/>
      <c r="V320" s="2554"/>
      <c r="W320" s="2554"/>
      <c r="X320" s="2554"/>
      <c r="Y320" s="2554"/>
      <c r="Z320" s="2554"/>
      <c r="AA320" s="2554"/>
      <c r="AB320" s="2554"/>
      <c r="AC320" s="2554"/>
      <c r="AD320" s="2555"/>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56" t="s">
        <v>1184</v>
      </c>
      <c r="J324" s="2556"/>
      <c r="K324" s="2556"/>
      <c r="L324" s="2556"/>
      <c r="M324" s="2556"/>
      <c r="N324" s="2556"/>
      <c r="O324" s="2556"/>
      <c r="P324" s="2556"/>
      <c r="Q324" s="2556"/>
      <c r="R324" s="2556"/>
      <c r="S324" s="2556"/>
      <c r="T324" s="2556"/>
      <c r="U324" s="2556"/>
      <c r="V324" s="2556"/>
      <c r="W324" s="2556"/>
      <c r="X324" s="2556"/>
      <c r="Y324" s="2556"/>
      <c r="Z324" s="2556"/>
      <c r="AA324" s="2556"/>
      <c r="AB324" s="2556"/>
      <c r="AC324" s="2556"/>
      <c r="AD324" s="2557"/>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56"/>
      <c r="J325" s="2556"/>
      <c r="K325" s="2556"/>
      <c r="L325" s="2556"/>
      <c r="M325" s="2556"/>
      <c r="N325" s="2556"/>
      <c r="O325" s="2556"/>
      <c r="P325" s="2556"/>
      <c r="Q325" s="2556"/>
      <c r="R325" s="2556"/>
      <c r="S325" s="2556"/>
      <c r="T325" s="2556"/>
      <c r="U325" s="2556"/>
      <c r="V325" s="2556"/>
      <c r="W325" s="2556"/>
      <c r="X325" s="2556"/>
      <c r="Y325" s="2556"/>
      <c r="Z325" s="2556"/>
      <c r="AA325" s="2556"/>
      <c r="AB325" s="2556"/>
      <c r="AC325" s="2556"/>
      <c r="AD325" s="2557"/>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56"/>
      <c r="J326" s="2556"/>
      <c r="K326" s="2556"/>
      <c r="L326" s="2556"/>
      <c r="M326" s="2556"/>
      <c r="N326" s="2556"/>
      <c r="O326" s="2556"/>
      <c r="P326" s="2556"/>
      <c r="Q326" s="2556"/>
      <c r="R326" s="2556"/>
      <c r="S326" s="2556"/>
      <c r="T326" s="2556"/>
      <c r="U326" s="2556"/>
      <c r="V326" s="2556"/>
      <c r="W326" s="2556"/>
      <c r="X326" s="2556"/>
      <c r="Y326" s="2556"/>
      <c r="Z326" s="2556"/>
      <c r="AA326" s="2556"/>
      <c r="AB326" s="2556"/>
      <c r="AC326" s="2556"/>
      <c r="AD326" s="2557"/>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58"/>
      <c r="J327" s="2558"/>
      <c r="K327" s="2558"/>
      <c r="L327" s="2558"/>
      <c r="M327" s="2558"/>
      <c r="N327" s="2558"/>
      <c r="O327" s="2558"/>
      <c r="P327" s="2558"/>
      <c r="Q327" s="2558"/>
      <c r="R327" s="2558"/>
      <c r="S327" s="2558"/>
      <c r="T327" s="2558"/>
      <c r="U327" s="2558"/>
      <c r="V327" s="2558"/>
      <c r="W327" s="2558"/>
      <c r="X327" s="2558"/>
      <c r="Y327" s="2558"/>
      <c r="Z327" s="2558"/>
      <c r="AA327" s="2558"/>
      <c r="AB327" s="2558"/>
      <c r="AC327" s="2558"/>
      <c r="AD327" s="2559"/>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56" t="s">
        <v>1184</v>
      </c>
      <c r="J329" s="2556"/>
      <c r="K329" s="2556"/>
      <c r="L329" s="2556"/>
      <c r="M329" s="2556"/>
      <c r="N329" s="2556"/>
      <c r="O329" s="2556"/>
      <c r="P329" s="2556"/>
      <c r="Q329" s="2556"/>
      <c r="R329" s="2556"/>
      <c r="S329" s="2556"/>
      <c r="T329" s="2556"/>
      <c r="U329" s="2556"/>
      <c r="V329" s="2556"/>
      <c r="W329" s="2556"/>
      <c r="X329" s="2556"/>
      <c r="Y329" s="2556"/>
      <c r="Z329" s="2556"/>
      <c r="AA329" s="2556"/>
      <c r="AB329" s="2556"/>
      <c r="AC329" s="2556"/>
      <c r="AD329" s="2557"/>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6"/>
      <c r="J330" s="2556"/>
      <c r="K330" s="2556"/>
      <c r="L330" s="2556"/>
      <c r="M330" s="2556"/>
      <c r="N330" s="2556"/>
      <c r="O330" s="2556"/>
      <c r="P330" s="2556"/>
      <c r="Q330" s="2556"/>
      <c r="R330" s="2556"/>
      <c r="S330" s="2556"/>
      <c r="T330" s="2556"/>
      <c r="U330" s="2556"/>
      <c r="V330" s="2556"/>
      <c r="W330" s="2556"/>
      <c r="X330" s="2556"/>
      <c r="Y330" s="2556"/>
      <c r="Z330" s="2556"/>
      <c r="AA330" s="2556"/>
      <c r="AB330" s="2556"/>
      <c r="AC330" s="2556"/>
      <c r="AD330" s="2557"/>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58"/>
      <c r="J331" s="2558"/>
      <c r="K331" s="2558"/>
      <c r="L331" s="2558"/>
      <c r="M331" s="2558"/>
      <c r="N331" s="2558"/>
      <c r="O331" s="2558"/>
      <c r="P331" s="2558"/>
      <c r="Q331" s="2558"/>
      <c r="R331" s="2558"/>
      <c r="S331" s="2558"/>
      <c r="T331" s="2558"/>
      <c r="U331" s="2558"/>
      <c r="V331" s="2558"/>
      <c r="W331" s="2558"/>
      <c r="X331" s="2558"/>
      <c r="Y331" s="2558"/>
      <c r="Z331" s="2558"/>
      <c r="AA331" s="2558"/>
      <c r="AB331" s="2558"/>
      <c r="AC331" s="2558"/>
      <c r="AD331" s="2559"/>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14" t="s">
        <v>1392</v>
      </c>
      <c r="B333" s="1614"/>
      <c r="C333" s="2445" t="s">
        <v>591</v>
      </c>
      <c r="D333" s="2445"/>
      <c r="E333" s="547"/>
      <c r="F333" s="2544" t="s">
        <v>2027</v>
      </c>
      <c r="G333" s="2545"/>
      <c r="H333" s="2545"/>
      <c r="I333" s="2545"/>
      <c r="J333" s="2545"/>
      <c r="K333" s="2545"/>
      <c r="L333" s="2545"/>
      <c r="M333" s="2545"/>
      <c r="N333" s="2545"/>
      <c r="O333" s="2545"/>
      <c r="P333" s="2545"/>
      <c r="Q333" s="2545"/>
      <c r="R333" s="2545"/>
      <c r="S333" s="2545"/>
      <c r="T333" s="2545"/>
      <c r="U333" s="2545"/>
      <c r="V333" s="2545"/>
      <c r="W333" s="2545"/>
      <c r="X333" s="2545"/>
      <c r="Y333" s="2545"/>
      <c r="Z333" s="2545"/>
      <c r="AA333" s="2545"/>
      <c r="AB333" s="2545"/>
      <c r="AC333" s="2545"/>
      <c r="AD333" s="2546"/>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547"/>
      <c r="G334" s="2548"/>
      <c r="H334" s="2548"/>
      <c r="I334" s="2548"/>
      <c r="J334" s="2548"/>
      <c r="K334" s="2548"/>
      <c r="L334" s="2548"/>
      <c r="M334" s="2548"/>
      <c r="N334" s="2548"/>
      <c r="O334" s="2548"/>
      <c r="P334" s="2548"/>
      <c r="Q334" s="2548"/>
      <c r="R334" s="2548"/>
      <c r="S334" s="2548"/>
      <c r="T334" s="2548"/>
      <c r="U334" s="2548"/>
      <c r="V334" s="2548"/>
      <c r="W334" s="2548"/>
      <c r="X334" s="2548"/>
      <c r="Y334" s="2548"/>
      <c r="Z334" s="2548"/>
      <c r="AA334" s="2548"/>
      <c r="AB334" s="2548"/>
      <c r="AC334" s="2548"/>
      <c r="AD334" s="2549"/>
      <c r="AE334" s="551"/>
      <c r="AF334" s="551"/>
      <c r="AG334" s="551"/>
      <c r="AH334" s="551"/>
      <c r="AI334" s="551"/>
      <c r="AJ334" s="550"/>
      <c r="AK334" s="550"/>
      <c r="AL334" s="550"/>
      <c r="AM334" s="550"/>
      <c r="AN334" s="73"/>
      <c r="AO334" s="14"/>
    </row>
    <row r="335" spans="1:42" ht="15" hidden="1" customHeight="1">
      <c r="A335" s="550"/>
      <c r="B335" s="551"/>
      <c r="C335" s="551"/>
      <c r="D335" s="551"/>
      <c r="E335" s="551"/>
      <c r="F335" s="2547"/>
      <c r="G335" s="2548"/>
      <c r="H335" s="2548"/>
      <c r="I335" s="2548"/>
      <c r="J335" s="2548"/>
      <c r="K335" s="2548"/>
      <c r="L335" s="2548"/>
      <c r="M335" s="2548"/>
      <c r="N335" s="2548"/>
      <c r="O335" s="2548"/>
      <c r="P335" s="2548"/>
      <c r="Q335" s="2548"/>
      <c r="R335" s="2548"/>
      <c r="S335" s="2548"/>
      <c r="T335" s="2548"/>
      <c r="U335" s="2548"/>
      <c r="V335" s="2548"/>
      <c r="W335" s="2548"/>
      <c r="X335" s="2548"/>
      <c r="Y335" s="2548"/>
      <c r="Z335" s="2548"/>
      <c r="AA335" s="2548"/>
      <c r="AB335" s="2548"/>
      <c r="AC335" s="2548"/>
      <c r="AD335" s="2549"/>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31">
        <f>IF(NOT(OR(Application!M355="Yes",Application!M356="Yes")),0,AP295)</f>
        <v>10</v>
      </c>
      <c r="AL338" s="2432"/>
      <c r="AM338" s="2433"/>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64" t="s">
        <v>1314</v>
      </c>
      <c r="AF341" s="2464"/>
      <c r="AG341" s="2464"/>
      <c r="AH341" s="2464"/>
      <c r="AI341" s="2464"/>
      <c r="AJ341" s="2464"/>
      <c r="AK341" s="2464"/>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40" t="s">
        <v>1454</v>
      </c>
      <c r="D343" s="2440"/>
      <c r="E343" s="2440"/>
      <c r="F343" s="2440"/>
      <c r="G343" s="2440"/>
      <c r="H343" s="2440"/>
      <c r="I343" s="2440"/>
      <c r="J343" s="2440"/>
      <c r="K343" s="2440"/>
      <c r="L343" s="2440"/>
      <c r="M343" s="2440"/>
      <c r="N343" s="2440"/>
      <c r="O343" s="2440"/>
      <c r="P343" s="2440"/>
      <c r="Q343" s="2440"/>
      <c r="R343" s="2440"/>
      <c r="S343" s="2440"/>
      <c r="T343" s="2440"/>
      <c r="U343" s="2440"/>
      <c r="V343" s="2440"/>
      <c r="W343" s="2440"/>
      <c r="X343" s="2440"/>
      <c r="Y343" s="2440"/>
      <c r="Z343" s="2440"/>
      <c r="AA343" s="2440"/>
      <c r="AB343" s="2440"/>
      <c r="AC343" s="2440"/>
      <c r="AD343" s="2440"/>
      <c r="AE343" s="2440"/>
      <c r="AF343" s="2440"/>
      <c r="AG343" s="2440"/>
      <c r="AH343" s="2440"/>
      <c r="AI343" s="2440"/>
      <c r="AJ343" s="2440"/>
      <c r="AK343" s="603"/>
      <c r="AL343" s="603"/>
      <c r="AM343" s="603"/>
      <c r="AN343" s="597"/>
    </row>
    <row r="344" spans="1:44" s="550" customFormat="1" ht="12.75" customHeight="1">
      <c r="A344" s="603"/>
      <c r="B344" s="611"/>
      <c r="C344" s="2440"/>
      <c r="D344" s="2440"/>
      <c r="E344" s="2440"/>
      <c r="F344" s="2440"/>
      <c r="G344" s="2440"/>
      <c r="H344" s="2440"/>
      <c r="I344" s="2440"/>
      <c r="J344" s="2440"/>
      <c r="K344" s="2440"/>
      <c r="L344" s="2440"/>
      <c r="M344" s="2440"/>
      <c r="N344" s="2440"/>
      <c r="O344" s="2440"/>
      <c r="P344" s="2440"/>
      <c r="Q344" s="2440"/>
      <c r="R344" s="2440"/>
      <c r="S344" s="2440"/>
      <c r="T344" s="2440"/>
      <c r="U344" s="2440"/>
      <c r="V344" s="2440"/>
      <c r="W344" s="2440"/>
      <c r="X344" s="2440"/>
      <c r="Y344" s="2440"/>
      <c r="Z344" s="2440"/>
      <c r="AA344" s="2440"/>
      <c r="AB344" s="2440"/>
      <c r="AC344" s="2440"/>
      <c r="AD344" s="2440"/>
      <c r="AE344" s="2440"/>
      <c r="AF344" s="2440"/>
      <c r="AG344" s="2440"/>
      <c r="AH344" s="2440"/>
      <c r="AI344" s="2440"/>
      <c r="AJ344" s="2440"/>
      <c r="AK344" s="603"/>
      <c r="AL344" s="603"/>
      <c r="AM344" s="603"/>
      <c r="AN344" s="597"/>
    </row>
    <row r="345" spans="1:44" s="550" customFormat="1" ht="12.75" customHeight="1">
      <c r="A345" s="603"/>
      <c r="B345" s="611"/>
      <c r="C345" s="2440"/>
      <c r="D345" s="2440"/>
      <c r="E345" s="2440"/>
      <c r="F345" s="2440"/>
      <c r="G345" s="2440"/>
      <c r="H345" s="2440"/>
      <c r="I345" s="2440"/>
      <c r="J345" s="2440"/>
      <c r="K345" s="2440"/>
      <c r="L345" s="2440"/>
      <c r="M345" s="2440"/>
      <c r="N345" s="2440"/>
      <c r="O345" s="2440"/>
      <c r="P345" s="2440"/>
      <c r="Q345" s="2440"/>
      <c r="R345" s="2440"/>
      <c r="S345" s="2440"/>
      <c r="T345" s="2440"/>
      <c r="U345" s="2440"/>
      <c r="V345" s="2440"/>
      <c r="W345" s="2440"/>
      <c r="X345" s="2440"/>
      <c r="Y345" s="2440"/>
      <c r="Z345" s="2440"/>
      <c r="AA345" s="2440"/>
      <c r="AB345" s="2440"/>
      <c r="AC345" s="2440"/>
      <c r="AD345" s="2440"/>
      <c r="AE345" s="2440"/>
      <c r="AF345" s="2440"/>
      <c r="AG345" s="2440"/>
      <c r="AH345" s="2440"/>
      <c r="AI345" s="2440"/>
      <c r="AJ345" s="2440"/>
      <c r="AK345" s="603"/>
      <c r="AL345" s="603"/>
      <c r="AM345" s="603"/>
      <c r="AN345" s="597"/>
      <c r="AQ345" s="570"/>
    </row>
    <row r="346" spans="1:44" s="550" customFormat="1" ht="12.75" customHeight="1">
      <c r="A346" s="603"/>
      <c r="B346" s="611"/>
      <c r="C346" s="2440"/>
      <c r="D346" s="2440"/>
      <c r="E346" s="2440"/>
      <c r="F346" s="2440"/>
      <c r="G346" s="2440"/>
      <c r="H346" s="2440"/>
      <c r="I346" s="2440"/>
      <c r="J346" s="2440"/>
      <c r="K346" s="2440"/>
      <c r="L346" s="2440"/>
      <c r="M346" s="2440"/>
      <c r="N346" s="2440"/>
      <c r="O346" s="2440"/>
      <c r="P346" s="2440"/>
      <c r="Q346" s="2440"/>
      <c r="R346" s="2440"/>
      <c r="S346" s="2440"/>
      <c r="T346" s="2440"/>
      <c r="U346" s="2440"/>
      <c r="V346" s="2440"/>
      <c r="W346" s="2440"/>
      <c r="X346" s="2440"/>
      <c r="Y346" s="2440"/>
      <c r="Z346" s="2440"/>
      <c r="AA346" s="2440"/>
      <c r="AB346" s="2440"/>
      <c r="AC346" s="2440"/>
      <c r="AD346" s="2440"/>
      <c r="AE346" s="2440"/>
      <c r="AF346" s="2440"/>
      <c r="AG346" s="2440"/>
      <c r="AH346" s="2440"/>
      <c r="AI346" s="2440"/>
      <c r="AJ346" s="2440"/>
      <c r="AK346" s="603"/>
      <c r="AL346" s="603"/>
      <c r="AM346" s="603"/>
      <c r="AN346" s="597"/>
      <c r="AQ346" s="570"/>
    </row>
    <row r="347" spans="1:44" s="550" customFormat="1" ht="12.5" customHeight="1">
      <c r="A347" s="603"/>
      <c r="B347" s="611"/>
      <c r="C347" s="2440"/>
      <c r="D347" s="2440"/>
      <c r="E347" s="2440"/>
      <c r="F347" s="2440"/>
      <c r="G347" s="2440"/>
      <c r="H347" s="2440"/>
      <c r="I347" s="2440"/>
      <c r="J347" s="2440"/>
      <c r="K347" s="2440"/>
      <c r="L347" s="2440"/>
      <c r="M347" s="2440"/>
      <c r="N347" s="2440"/>
      <c r="O347" s="2440"/>
      <c r="P347" s="2440"/>
      <c r="Q347" s="2440"/>
      <c r="R347" s="2440"/>
      <c r="S347" s="2440"/>
      <c r="T347" s="2440"/>
      <c r="U347" s="2440"/>
      <c r="V347" s="2440"/>
      <c r="W347" s="2440"/>
      <c r="X347" s="2440"/>
      <c r="Y347" s="2440"/>
      <c r="Z347" s="2440"/>
      <c r="AA347" s="2440"/>
      <c r="AB347" s="2440"/>
      <c r="AC347" s="2440"/>
      <c r="AD347" s="2440"/>
      <c r="AE347" s="2440"/>
      <c r="AF347" s="2440"/>
      <c r="AG347" s="2440"/>
      <c r="AH347" s="2440"/>
      <c r="AI347" s="2440"/>
      <c r="AJ347" s="2440"/>
      <c r="AK347" s="603"/>
      <c r="AL347" s="603"/>
      <c r="AM347" s="603"/>
      <c r="AN347" s="597"/>
      <c r="AQ347" s="570"/>
      <c r="AR347" s="570"/>
    </row>
    <row r="348" spans="1:44" s="550" customFormat="1" ht="45.75" customHeight="1">
      <c r="A348" s="603"/>
      <c r="B348" s="611"/>
      <c r="C348" s="2440" t="s">
        <v>2092</v>
      </c>
      <c r="D348" s="2440"/>
      <c r="E348" s="2440"/>
      <c r="F348" s="2440"/>
      <c r="G348" s="2440"/>
      <c r="H348" s="2440"/>
      <c r="I348" s="2440"/>
      <c r="J348" s="2440"/>
      <c r="K348" s="2440"/>
      <c r="L348" s="2440"/>
      <c r="M348" s="2440"/>
      <c r="N348" s="2440"/>
      <c r="O348" s="2440"/>
      <c r="P348" s="2440"/>
      <c r="Q348" s="2440"/>
      <c r="R348" s="2440"/>
      <c r="S348" s="2440"/>
      <c r="T348" s="2440"/>
      <c r="U348" s="2440"/>
      <c r="V348" s="2440"/>
      <c r="W348" s="2440"/>
      <c r="X348" s="2440"/>
      <c r="Y348" s="2440"/>
      <c r="Z348" s="2440"/>
      <c r="AA348" s="2440"/>
      <c r="AB348" s="2440"/>
      <c r="AC348" s="2440"/>
      <c r="AD348" s="2440"/>
      <c r="AE348" s="2440"/>
      <c r="AF348" s="2440"/>
      <c r="AG348" s="2440"/>
      <c r="AH348" s="2440"/>
      <c r="AI348" s="2440"/>
      <c r="AJ348" s="2440"/>
      <c r="AK348" s="603"/>
      <c r="AL348" s="603"/>
      <c r="AM348" s="603"/>
      <c r="AN348" s="597"/>
      <c r="AQ348" s="570"/>
      <c r="AR348" s="570"/>
    </row>
    <row r="349" spans="1:44" s="550" customFormat="1" ht="12.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40" t="s">
        <v>2207</v>
      </c>
      <c r="D350" s="2440"/>
      <c r="E350" s="2440"/>
      <c r="F350" s="2440"/>
      <c r="G350" s="2440"/>
      <c r="H350" s="2440"/>
      <c r="I350" s="2440"/>
      <c r="J350" s="2440"/>
      <c r="K350" s="2440"/>
      <c r="L350" s="2440"/>
      <c r="M350" s="2440"/>
      <c r="N350" s="2440"/>
      <c r="O350" s="2440"/>
      <c r="P350" s="2440"/>
      <c r="Q350" s="2440"/>
      <c r="R350" s="2440"/>
      <c r="S350" s="2440"/>
      <c r="T350" s="2440"/>
      <c r="U350" s="2440"/>
      <c r="V350" s="2440"/>
      <c r="W350" s="2440"/>
      <c r="X350" s="2440"/>
      <c r="Y350" s="2440"/>
      <c r="Z350" s="2440"/>
      <c r="AA350" s="2440"/>
      <c r="AB350" s="2440"/>
      <c r="AC350" s="2440"/>
      <c r="AD350" s="2440"/>
      <c r="AE350" s="2440"/>
      <c r="AF350" s="2440"/>
      <c r="AG350" s="2440"/>
      <c r="AH350" s="2440"/>
      <c r="AI350" s="2440"/>
      <c r="AJ350" s="2440"/>
      <c r="AK350" s="603"/>
      <c r="AL350" s="603"/>
      <c r="AM350" s="603"/>
      <c r="AN350" s="597"/>
      <c r="AQ350" s="570"/>
      <c r="AR350" s="570"/>
    </row>
    <row r="351" spans="1:44" s="550" customFormat="1" ht="30" customHeight="1">
      <c r="A351" s="603"/>
      <c r="B351" s="611"/>
      <c r="C351" s="2440"/>
      <c r="D351" s="2440"/>
      <c r="E351" s="2440"/>
      <c r="F351" s="2440"/>
      <c r="G351" s="2440"/>
      <c r="H351" s="2440"/>
      <c r="I351" s="2440"/>
      <c r="J351" s="2440"/>
      <c r="K351" s="2440"/>
      <c r="L351" s="2440"/>
      <c r="M351" s="2440"/>
      <c r="N351" s="2440"/>
      <c r="O351" s="2440"/>
      <c r="P351" s="2440"/>
      <c r="Q351" s="2440"/>
      <c r="R351" s="2440"/>
      <c r="S351" s="2440"/>
      <c r="T351" s="2440"/>
      <c r="U351" s="2440"/>
      <c r="V351" s="2440"/>
      <c r="W351" s="2440"/>
      <c r="X351" s="2440"/>
      <c r="Y351" s="2440"/>
      <c r="Z351" s="2440"/>
      <c r="AA351" s="2440"/>
      <c r="AB351" s="2440"/>
      <c r="AC351" s="2440"/>
      <c r="AD351" s="2440"/>
      <c r="AE351" s="2440"/>
      <c r="AF351" s="2440"/>
      <c r="AG351" s="2440"/>
      <c r="AH351" s="2440"/>
      <c r="AI351" s="2440"/>
      <c r="AJ351" s="2440"/>
      <c r="AK351" s="603"/>
      <c r="AL351" s="603"/>
      <c r="AM351" s="603"/>
      <c r="AN351" s="597"/>
      <c r="AR351" s="570"/>
    </row>
    <row r="352" spans="1:44" s="550" customFormat="1" ht="12.75" customHeight="1">
      <c r="A352" s="603"/>
      <c r="B352" s="611"/>
      <c r="C352" s="2440"/>
      <c r="D352" s="2440"/>
      <c r="E352" s="2440"/>
      <c r="F352" s="2440"/>
      <c r="G352" s="2440"/>
      <c r="H352" s="2440"/>
      <c r="I352" s="2440"/>
      <c r="J352" s="2440"/>
      <c r="K352" s="2440"/>
      <c r="L352" s="2440"/>
      <c r="M352" s="2440"/>
      <c r="N352" s="2440"/>
      <c r="O352" s="2440"/>
      <c r="P352" s="2440"/>
      <c r="Q352" s="2440"/>
      <c r="R352" s="2440"/>
      <c r="S352" s="2440"/>
      <c r="T352" s="2440"/>
      <c r="U352" s="2440"/>
      <c r="V352" s="2440"/>
      <c r="W352" s="2440"/>
      <c r="X352" s="2440"/>
      <c r="Y352" s="2440"/>
      <c r="Z352" s="2440"/>
      <c r="AA352" s="2440"/>
      <c r="AB352" s="2440"/>
      <c r="AC352" s="2440"/>
      <c r="AD352" s="2440"/>
      <c r="AE352" s="2440"/>
      <c r="AF352" s="2440"/>
      <c r="AG352" s="2440"/>
      <c r="AH352" s="2440"/>
      <c r="AI352" s="2440"/>
      <c r="AJ352" s="2440"/>
      <c r="AK352" s="603"/>
      <c r="AL352" s="603"/>
      <c r="AM352" s="603"/>
      <c r="AN352" s="597"/>
      <c r="AR352" s="570"/>
    </row>
    <row r="353" spans="1:46" s="550" customFormat="1" ht="12.75" customHeight="1">
      <c r="A353" s="603"/>
      <c r="B353" s="611"/>
      <c r="C353" s="2440" t="s">
        <v>1455</v>
      </c>
      <c r="D353" s="2440"/>
      <c r="E353" s="2440"/>
      <c r="F353" s="2440"/>
      <c r="G353" s="2440"/>
      <c r="H353" s="2440"/>
      <c r="I353" s="2440"/>
      <c r="J353" s="2440"/>
      <c r="K353" s="2440"/>
      <c r="L353" s="2440"/>
      <c r="M353" s="2440"/>
      <c r="N353" s="2440"/>
      <c r="O353" s="2440"/>
      <c r="P353" s="2440"/>
      <c r="Q353" s="2440"/>
      <c r="R353" s="2440"/>
      <c r="S353" s="2440"/>
      <c r="T353" s="2440"/>
      <c r="U353" s="2440"/>
      <c r="V353" s="2440"/>
      <c r="W353" s="2440"/>
      <c r="X353" s="2440"/>
      <c r="Y353" s="2440"/>
      <c r="Z353" s="2440"/>
      <c r="AA353" s="2440"/>
      <c r="AB353" s="2440"/>
      <c r="AC353" s="2440"/>
      <c r="AD353" s="2440"/>
      <c r="AE353" s="2440"/>
      <c r="AF353" s="2440"/>
      <c r="AG353" s="2440"/>
      <c r="AH353" s="2440"/>
      <c r="AI353" s="2440"/>
      <c r="AJ353" s="2440"/>
      <c r="AK353" s="603"/>
      <c r="AL353" s="603"/>
      <c r="AM353" s="603"/>
      <c r="AN353" s="597"/>
      <c r="AQ353" s="570"/>
      <c r="AR353" s="570"/>
    </row>
    <row r="354" spans="1:46" s="550" customFormat="1" ht="12.75" customHeight="1">
      <c r="A354" s="603"/>
      <c r="B354" s="611"/>
      <c r="C354" s="2440"/>
      <c r="D354" s="2440"/>
      <c r="E354" s="2440"/>
      <c r="F354" s="2440"/>
      <c r="G354" s="2440"/>
      <c r="H354" s="2440"/>
      <c r="I354" s="2440"/>
      <c r="J354" s="2440"/>
      <c r="K354" s="2440"/>
      <c r="L354" s="2440"/>
      <c r="M354" s="2440"/>
      <c r="N354" s="2440"/>
      <c r="O354" s="2440"/>
      <c r="P354" s="2440"/>
      <c r="Q354" s="2440"/>
      <c r="R354" s="2440"/>
      <c r="S354" s="2440"/>
      <c r="T354" s="2440"/>
      <c r="U354" s="2440"/>
      <c r="V354" s="2440"/>
      <c r="W354" s="2440"/>
      <c r="X354" s="2440"/>
      <c r="Y354" s="2440"/>
      <c r="Z354" s="2440"/>
      <c r="AA354" s="2440"/>
      <c r="AB354" s="2440"/>
      <c r="AC354" s="2440"/>
      <c r="AD354" s="2440"/>
      <c r="AE354" s="2440"/>
      <c r="AF354" s="2440"/>
      <c r="AG354" s="2440"/>
      <c r="AH354" s="2440"/>
      <c r="AI354" s="2440"/>
      <c r="AJ354" s="2440"/>
      <c r="AK354" s="603"/>
      <c r="AL354" s="603"/>
      <c r="AM354" s="603"/>
      <c r="AN354" s="597"/>
      <c r="AQ354" s="570"/>
      <c r="AR354" s="570"/>
    </row>
    <row r="355" spans="1:46" s="550" customFormat="1" ht="13.25" customHeight="1">
      <c r="A355" s="603"/>
      <c r="B355" s="611"/>
      <c r="C355" s="2440"/>
      <c r="D355" s="2440"/>
      <c r="E355" s="2440"/>
      <c r="F355" s="2440"/>
      <c r="G355" s="2440"/>
      <c r="H355" s="2440"/>
      <c r="I355" s="2440"/>
      <c r="J355" s="2440"/>
      <c r="K355" s="2440"/>
      <c r="L355" s="2440"/>
      <c r="M355" s="2440"/>
      <c r="N355" s="2440"/>
      <c r="O355" s="2440"/>
      <c r="P355" s="2440"/>
      <c r="Q355" s="2440"/>
      <c r="R355" s="2440"/>
      <c r="S355" s="2440"/>
      <c r="T355" s="2440"/>
      <c r="U355" s="2440"/>
      <c r="V355" s="2440"/>
      <c r="W355" s="2440"/>
      <c r="X355" s="2440"/>
      <c r="Y355" s="2440"/>
      <c r="Z355" s="2440"/>
      <c r="AA355" s="2440"/>
      <c r="AB355" s="2440"/>
      <c r="AC355" s="2440"/>
      <c r="AD355" s="2440"/>
      <c r="AE355" s="2440"/>
      <c r="AF355" s="2440"/>
      <c r="AG355" s="2440"/>
      <c r="AH355" s="2440"/>
      <c r="AI355" s="2440"/>
      <c r="AJ355" s="2440"/>
      <c r="AK355" s="603"/>
      <c r="AL355" s="603"/>
      <c r="AM355" s="603"/>
      <c r="AN355" s="597"/>
      <c r="AQ355" s="570"/>
      <c r="AR355" s="570"/>
    </row>
    <row r="356" spans="1:46" s="550" customFormat="1" ht="12.75" customHeight="1">
      <c r="A356" s="603"/>
      <c r="B356" s="611"/>
      <c r="C356" s="2440"/>
      <c r="D356" s="2440"/>
      <c r="E356" s="2440"/>
      <c r="F356" s="2440"/>
      <c r="G356" s="2440"/>
      <c r="H356" s="2440"/>
      <c r="I356" s="2440"/>
      <c r="J356" s="2440"/>
      <c r="K356" s="2440"/>
      <c r="L356" s="2440"/>
      <c r="M356" s="2440"/>
      <c r="N356" s="2440"/>
      <c r="O356" s="2440"/>
      <c r="P356" s="2440"/>
      <c r="Q356" s="2440"/>
      <c r="R356" s="2440"/>
      <c r="S356" s="2440"/>
      <c r="T356" s="2440"/>
      <c r="U356" s="2440"/>
      <c r="V356" s="2440"/>
      <c r="W356" s="2440"/>
      <c r="X356" s="2440"/>
      <c r="Y356" s="2440"/>
      <c r="Z356" s="2440"/>
      <c r="AA356" s="2440"/>
      <c r="AB356" s="2440"/>
      <c r="AC356" s="2440"/>
      <c r="AD356" s="2440"/>
      <c r="AE356" s="2440"/>
      <c r="AF356" s="2440"/>
      <c r="AG356" s="2440"/>
      <c r="AH356" s="2440"/>
      <c r="AI356" s="2440"/>
      <c r="AJ356" s="2440"/>
      <c r="AK356" s="603"/>
      <c r="AL356" s="603"/>
      <c r="AM356" s="603"/>
      <c r="AN356" s="597"/>
      <c r="AO356" s="694"/>
      <c r="AP356" s="694"/>
      <c r="AQ356" s="570"/>
    </row>
    <row r="357" spans="1:46" s="550" customFormat="1" ht="11.75" customHeight="1">
      <c r="A357" s="603"/>
      <c r="B357" s="611"/>
      <c r="C357" s="2440"/>
      <c r="D357" s="2440"/>
      <c r="E357" s="2440"/>
      <c r="F357" s="2440"/>
      <c r="G357" s="2440"/>
      <c r="H357" s="2440"/>
      <c r="I357" s="2440"/>
      <c r="J357" s="2440"/>
      <c r="K357" s="2440"/>
      <c r="L357" s="2440"/>
      <c r="M357" s="2440"/>
      <c r="N357" s="2440"/>
      <c r="O357" s="2440"/>
      <c r="P357" s="2440"/>
      <c r="Q357" s="2440"/>
      <c r="R357" s="2440"/>
      <c r="S357" s="2440"/>
      <c r="T357" s="2440"/>
      <c r="U357" s="2440"/>
      <c r="V357" s="2440"/>
      <c r="W357" s="2440"/>
      <c r="X357" s="2440"/>
      <c r="Y357" s="2440"/>
      <c r="Z357" s="2440"/>
      <c r="AA357" s="2440"/>
      <c r="AB357" s="2440"/>
      <c r="AC357" s="2440"/>
      <c r="AD357" s="2440"/>
      <c r="AE357" s="2440"/>
      <c r="AF357" s="2440"/>
      <c r="AG357" s="2440"/>
      <c r="AH357" s="2440"/>
      <c r="AI357" s="2440"/>
      <c r="AJ357" s="2440"/>
      <c r="AK357" s="603"/>
      <c r="AL357" s="603"/>
      <c r="AM357" s="603"/>
      <c r="AN357" s="597"/>
      <c r="AO357" s="695" t="s">
        <v>112</v>
      </c>
      <c r="AP357" s="696">
        <f>IF(C381="Yes",5,0)</f>
        <v>0</v>
      </c>
      <c r="AS357" s="539" t="s">
        <v>1456</v>
      </c>
    </row>
    <row r="358" spans="1:46" s="550" customFormat="1" ht="12.75" customHeight="1">
      <c r="A358" s="603"/>
      <c r="B358" s="611"/>
      <c r="C358" s="2440"/>
      <c r="D358" s="2440"/>
      <c r="E358" s="2440"/>
      <c r="F358" s="2440"/>
      <c r="G358" s="2440"/>
      <c r="H358" s="2440"/>
      <c r="I358" s="2440"/>
      <c r="J358" s="2440"/>
      <c r="K358" s="2440"/>
      <c r="L358" s="2440"/>
      <c r="M358" s="2440"/>
      <c r="N358" s="2440"/>
      <c r="O358" s="2440"/>
      <c r="P358" s="2440"/>
      <c r="Q358" s="2440"/>
      <c r="R358" s="2440"/>
      <c r="S358" s="2440"/>
      <c r="T358" s="2440"/>
      <c r="U358" s="2440"/>
      <c r="V358" s="2440"/>
      <c r="W358" s="2440"/>
      <c r="X358" s="2440"/>
      <c r="Y358" s="2440"/>
      <c r="Z358" s="2440"/>
      <c r="AA358" s="2440"/>
      <c r="AB358" s="2440"/>
      <c r="AC358" s="2440"/>
      <c r="AD358" s="2440"/>
      <c r="AE358" s="2440"/>
      <c r="AF358" s="2440"/>
      <c r="AG358" s="2440"/>
      <c r="AH358" s="2440"/>
      <c r="AI358" s="2440"/>
      <c r="AJ358" s="2440"/>
      <c r="AK358" s="603"/>
      <c r="AL358" s="603"/>
      <c r="AM358" s="603"/>
      <c r="AN358" s="597"/>
      <c r="AO358" s="695" t="s">
        <v>113</v>
      </c>
      <c r="AP358" s="696">
        <f>IF(C389="Yes",5,0)</f>
        <v>0</v>
      </c>
      <c r="AS358" s="2406">
        <f>IF(Application!D211="Non-Targeted",(SUM(AQ366+AQ375)),AS362)</f>
        <v>12</v>
      </c>
      <c r="AT358" s="2406"/>
    </row>
    <row r="359" spans="1:46" s="550" customFormat="1" ht="12.75" customHeight="1">
      <c r="A359" s="603"/>
      <c r="B359" s="611"/>
      <c r="C359" s="2440"/>
      <c r="D359" s="2440"/>
      <c r="E359" s="2440"/>
      <c r="F359" s="2440"/>
      <c r="G359" s="2440"/>
      <c r="H359" s="2440"/>
      <c r="I359" s="2440"/>
      <c r="J359" s="2440"/>
      <c r="K359" s="2440"/>
      <c r="L359" s="2440"/>
      <c r="M359" s="2440"/>
      <c r="N359" s="2440"/>
      <c r="O359" s="2440"/>
      <c r="P359" s="2440"/>
      <c r="Q359" s="2440"/>
      <c r="R359" s="2440"/>
      <c r="S359" s="2440"/>
      <c r="T359" s="2440"/>
      <c r="U359" s="2440"/>
      <c r="V359" s="2440"/>
      <c r="W359" s="2440"/>
      <c r="X359" s="2440"/>
      <c r="Y359" s="2440"/>
      <c r="Z359" s="2440"/>
      <c r="AA359" s="2440"/>
      <c r="AB359" s="2440"/>
      <c r="AC359" s="2440"/>
      <c r="AD359" s="2440"/>
      <c r="AE359" s="2440"/>
      <c r="AF359" s="2440"/>
      <c r="AG359" s="2440"/>
      <c r="AH359" s="2440"/>
      <c r="AI359" s="2440"/>
      <c r="AJ359" s="2440"/>
      <c r="AK359" s="603"/>
      <c r="AL359" s="603"/>
      <c r="AM359" s="603"/>
      <c r="AN359" s="597"/>
      <c r="AO359" s="695" t="s">
        <v>119</v>
      </c>
      <c r="AP359" s="696">
        <f>IF(C397="Yes",7,0)</f>
        <v>7</v>
      </c>
      <c r="AS359" s="539" t="s">
        <v>1457</v>
      </c>
    </row>
    <row r="360" spans="1:46" s="550" customFormat="1" ht="12.75" customHeight="1">
      <c r="A360" s="603"/>
      <c r="B360" s="611"/>
      <c r="C360" s="2440"/>
      <c r="D360" s="2440"/>
      <c r="E360" s="2440"/>
      <c r="F360" s="2440"/>
      <c r="G360" s="2440"/>
      <c r="H360" s="2440"/>
      <c r="I360" s="2440"/>
      <c r="J360" s="2440"/>
      <c r="K360" s="2440"/>
      <c r="L360" s="2440"/>
      <c r="M360" s="2440"/>
      <c r="N360" s="2440"/>
      <c r="O360" s="2440"/>
      <c r="P360" s="2440"/>
      <c r="Q360" s="2440"/>
      <c r="R360" s="2440"/>
      <c r="S360" s="2440"/>
      <c r="T360" s="2440"/>
      <c r="U360" s="2440"/>
      <c r="V360" s="2440"/>
      <c r="W360" s="2440"/>
      <c r="X360" s="2440"/>
      <c r="Y360" s="2440"/>
      <c r="Z360" s="2440"/>
      <c r="AA360" s="2440"/>
      <c r="AB360" s="2440"/>
      <c r="AC360" s="2440"/>
      <c r="AD360" s="2440"/>
      <c r="AE360" s="2440"/>
      <c r="AF360" s="2440"/>
      <c r="AG360" s="2440"/>
      <c r="AH360" s="2440"/>
      <c r="AI360" s="2440"/>
      <c r="AJ360" s="2440"/>
      <c r="AK360" s="603"/>
      <c r="AL360" s="603"/>
      <c r="AM360" s="603"/>
      <c r="AN360" s="597"/>
      <c r="AO360" s="597"/>
      <c r="AP360" s="696">
        <f>IF(C399="Yes",5,0)</f>
        <v>0</v>
      </c>
      <c r="AS360" s="2406">
        <f>IF(AND(AQ366&gt;0,AQ375&gt;0),(AQ366+AQ375)/2,0)</f>
        <v>0</v>
      </c>
      <c r="AT360" s="2406"/>
    </row>
    <row r="361" spans="1:46" s="550" customFormat="1" ht="12.75" customHeight="1">
      <c r="A361" s="603"/>
      <c r="B361" s="611"/>
      <c r="C361" s="2440"/>
      <c r="D361" s="2440"/>
      <c r="E361" s="2440"/>
      <c r="F361" s="2440"/>
      <c r="G361" s="2440"/>
      <c r="H361" s="2440"/>
      <c r="I361" s="2440"/>
      <c r="J361" s="2440"/>
      <c r="K361" s="2440"/>
      <c r="L361" s="2440"/>
      <c r="M361" s="2440"/>
      <c r="N361" s="2440"/>
      <c r="O361" s="2440"/>
      <c r="P361" s="2440"/>
      <c r="Q361" s="2440"/>
      <c r="R361" s="2440"/>
      <c r="S361" s="2440"/>
      <c r="T361" s="2440"/>
      <c r="U361" s="2440"/>
      <c r="V361" s="2440"/>
      <c r="W361" s="2440"/>
      <c r="X361" s="2440"/>
      <c r="Y361" s="2440"/>
      <c r="Z361" s="2440"/>
      <c r="AA361" s="2440"/>
      <c r="AB361" s="2440"/>
      <c r="AC361" s="2440"/>
      <c r="AD361" s="2440"/>
      <c r="AE361" s="2440"/>
      <c r="AF361" s="2440"/>
      <c r="AG361" s="2440"/>
      <c r="AH361" s="2440"/>
      <c r="AI361" s="2440"/>
      <c r="AJ361" s="2440"/>
      <c r="AK361" s="603"/>
      <c r="AL361" s="603"/>
      <c r="AM361" s="603"/>
      <c r="AN361" s="597"/>
      <c r="AO361" s="695" t="s">
        <v>581</v>
      </c>
      <c r="AP361" s="696">
        <f>IF(C407="Yes",5,0)</f>
        <v>0</v>
      </c>
      <c r="AS361" s="539" t="s">
        <v>1878</v>
      </c>
    </row>
    <row r="362" spans="1:46" s="550" customFormat="1" ht="12.75" customHeight="1">
      <c r="A362" s="603"/>
      <c r="B362" s="611"/>
      <c r="C362" s="2534" t="s">
        <v>2231</v>
      </c>
      <c r="D362" s="2534"/>
      <c r="E362" s="2534"/>
      <c r="F362" s="2534"/>
      <c r="G362" s="2534"/>
      <c r="H362" s="2534"/>
      <c r="I362" s="2534"/>
      <c r="J362" s="2534"/>
      <c r="K362" s="2534"/>
      <c r="L362" s="2534"/>
      <c r="M362" s="2534"/>
      <c r="N362" s="2534"/>
      <c r="O362" s="2534"/>
      <c r="P362" s="2534"/>
      <c r="Q362" s="2534"/>
      <c r="R362" s="2534"/>
      <c r="S362" s="2534"/>
      <c r="T362" s="2534"/>
      <c r="U362" s="2534"/>
      <c r="V362" s="2534"/>
      <c r="W362" s="2534"/>
      <c r="X362" s="2534"/>
      <c r="Y362" s="2534"/>
      <c r="Z362" s="2534"/>
      <c r="AA362" s="2534"/>
      <c r="AB362" s="2534"/>
      <c r="AC362" s="2534"/>
      <c r="AD362" s="2534"/>
      <c r="AE362" s="2534"/>
      <c r="AF362" s="2534"/>
      <c r="AG362" s="2534"/>
      <c r="AH362" s="2534"/>
      <c r="AI362" s="2534"/>
      <c r="AJ362" s="2534"/>
      <c r="AK362" s="603"/>
      <c r="AL362" s="603"/>
      <c r="AM362" s="603"/>
      <c r="AN362" s="597"/>
      <c r="AO362" s="597"/>
      <c r="AP362" s="696">
        <f>IF(C409="Yes",3,0)</f>
        <v>0</v>
      </c>
      <c r="AS362" s="2406">
        <f>IF(AQ366=0,AQ375,AQ366)</f>
        <v>12</v>
      </c>
      <c r="AT362" s="2406"/>
    </row>
    <row r="363" spans="1:46" s="550" customFormat="1" ht="12.75" customHeight="1">
      <c r="A363" s="603"/>
      <c r="B363" s="611"/>
      <c r="C363" s="2534"/>
      <c r="D363" s="2534"/>
      <c r="E363" s="2534"/>
      <c r="F363" s="2534"/>
      <c r="G363" s="2534"/>
      <c r="H363" s="2534"/>
      <c r="I363" s="2534"/>
      <c r="J363" s="2534"/>
      <c r="K363" s="2534"/>
      <c r="L363" s="2534"/>
      <c r="M363" s="2534"/>
      <c r="N363" s="2534"/>
      <c r="O363" s="2534"/>
      <c r="P363" s="2534"/>
      <c r="Q363" s="2534"/>
      <c r="R363" s="2534"/>
      <c r="S363" s="2534"/>
      <c r="T363" s="2534"/>
      <c r="U363" s="2534"/>
      <c r="V363" s="2534"/>
      <c r="W363" s="2534"/>
      <c r="X363" s="2534"/>
      <c r="Y363" s="2534"/>
      <c r="Z363" s="2534"/>
      <c r="AA363" s="2534"/>
      <c r="AB363" s="2534"/>
      <c r="AC363" s="2534"/>
      <c r="AD363" s="2534"/>
      <c r="AE363" s="2534"/>
      <c r="AF363" s="2534"/>
      <c r="AG363" s="2534"/>
      <c r="AH363" s="2534"/>
      <c r="AI363" s="2534"/>
      <c r="AJ363" s="2534"/>
      <c r="AK363" s="603"/>
      <c r="AL363" s="603"/>
      <c r="AM363" s="603"/>
      <c r="AN363" s="597"/>
      <c r="AO363" s="695" t="s">
        <v>763</v>
      </c>
      <c r="AP363" s="696">
        <f>IF(C412="Yes",5,0)</f>
        <v>0</v>
      </c>
    </row>
    <row r="364" spans="1:46" s="550" customFormat="1" ht="12.75" customHeight="1">
      <c r="A364" s="603"/>
      <c r="B364" s="611"/>
      <c r="C364" s="2534"/>
      <c r="D364" s="2534"/>
      <c r="E364" s="2534"/>
      <c r="F364" s="2534"/>
      <c r="G364" s="2534"/>
      <c r="H364" s="2534"/>
      <c r="I364" s="2534"/>
      <c r="J364" s="2534"/>
      <c r="K364" s="2534"/>
      <c r="L364" s="2534"/>
      <c r="M364" s="2534"/>
      <c r="N364" s="2534"/>
      <c r="O364" s="2534"/>
      <c r="P364" s="2534"/>
      <c r="Q364" s="2534"/>
      <c r="R364" s="2534"/>
      <c r="S364" s="2534"/>
      <c r="T364" s="2534"/>
      <c r="U364" s="2534"/>
      <c r="V364" s="2534"/>
      <c r="W364" s="2534"/>
      <c r="X364" s="2534"/>
      <c r="Y364" s="2534"/>
      <c r="Z364" s="2534"/>
      <c r="AA364" s="2534"/>
      <c r="AB364" s="2534"/>
      <c r="AC364" s="2534"/>
      <c r="AD364" s="2534"/>
      <c r="AE364" s="2534"/>
      <c r="AF364" s="2534"/>
      <c r="AG364" s="2534"/>
      <c r="AH364" s="2534"/>
      <c r="AI364" s="2534"/>
      <c r="AJ364" s="2534"/>
      <c r="AK364" s="603"/>
      <c r="AL364" s="603"/>
      <c r="AM364" s="603"/>
      <c r="AN364" s="597"/>
      <c r="AO364" s="695" t="s">
        <v>584</v>
      </c>
      <c r="AP364" s="696">
        <f>IF(C421="Yes",5,0)</f>
        <v>5</v>
      </c>
    </row>
    <row r="365" spans="1:46" s="550" customFormat="1" ht="11.75" customHeight="1">
      <c r="A365" s="603"/>
      <c r="B365" s="611"/>
      <c r="C365" s="2534"/>
      <c r="D365" s="2534"/>
      <c r="E365" s="2534"/>
      <c r="F365" s="2534"/>
      <c r="G365" s="2534"/>
      <c r="H365" s="2534"/>
      <c r="I365" s="2534"/>
      <c r="J365" s="2534"/>
      <c r="K365" s="2534"/>
      <c r="L365" s="2534"/>
      <c r="M365" s="2534"/>
      <c r="N365" s="2534"/>
      <c r="O365" s="2534"/>
      <c r="P365" s="2534"/>
      <c r="Q365" s="2534"/>
      <c r="R365" s="2534"/>
      <c r="S365" s="2534"/>
      <c r="T365" s="2534"/>
      <c r="U365" s="2534"/>
      <c r="V365" s="2534"/>
      <c r="W365" s="2534"/>
      <c r="X365" s="2534"/>
      <c r="Y365" s="2534"/>
      <c r="Z365" s="2534"/>
      <c r="AA365" s="2534"/>
      <c r="AB365" s="2534"/>
      <c r="AC365" s="2534"/>
      <c r="AD365" s="2534"/>
      <c r="AE365" s="2534"/>
      <c r="AF365" s="2534"/>
      <c r="AG365" s="2534"/>
      <c r="AH365" s="2534"/>
      <c r="AI365" s="2534"/>
      <c r="AJ365" s="2534"/>
      <c r="AK365" s="603"/>
      <c r="AL365" s="603"/>
      <c r="AM365" s="603"/>
      <c r="AN365" s="597"/>
      <c r="AO365" s="697"/>
      <c r="AP365" s="698">
        <f>IF(C423="Yes",3,0)</f>
        <v>0</v>
      </c>
    </row>
    <row r="366" spans="1:46" s="550" customFormat="1" ht="12.5" customHeight="1">
      <c r="A366" s="603"/>
      <c r="B366" s="611"/>
      <c r="C366" s="2534"/>
      <c r="D366" s="2534"/>
      <c r="E366" s="2534"/>
      <c r="F366" s="2534"/>
      <c r="G366" s="2534"/>
      <c r="H366" s="2534"/>
      <c r="I366" s="2534"/>
      <c r="J366" s="2534"/>
      <c r="K366" s="2534"/>
      <c r="L366" s="2534"/>
      <c r="M366" s="2534"/>
      <c r="N366" s="2534"/>
      <c r="O366" s="2534"/>
      <c r="P366" s="2534"/>
      <c r="Q366" s="2534"/>
      <c r="R366" s="2534"/>
      <c r="S366" s="2534"/>
      <c r="T366" s="2534"/>
      <c r="U366" s="2534"/>
      <c r="V366" s="2534"/>
      <c r="W366" s="2534"/>
      <c r="X366" s="2534"/>
      <c r="Y366" s="2534"/>
      <c r="Z366" s="2534"/>
      <c r="AA366" s="2534"/>
      <c r="AB366" s="2534"/>
      <c r="AC366" s="2534"/>
      <c r="AD366" s="2534"/>
      <c r="AE366" s="2534"/>
      <c r="AF366" s="2534"/>
      <c r="AG366" s="2534"/>
      <c r="AH366" s="2534"/>
      <c r="AI366" s="2534"/>
      <c r="AJ366" s="2534"/>
      <c r="AK366" s="603"/>
      <c r="AL366" s="603"/>
      <c r="AM366" s="603"/>
      <c r="AN366" s="597"/>
      <c r="AO366" s="699" t="s">
        <v>226</v>
      </c>
      <c r="AP366" s="700">
        <f>SUM(AP357:AP365)</f>
        <v>12</v>
      </c>
      <c r="AQ366" s="2443">
        <f>IF(AP366&gt;0,AP366,0)</f>
        <v>12</v>
      </c>
      <c r="AR366" s="2443"/>
    </row>
    <row r="367" spans="1:46" s="550" customFormat="1" ht="12.75" customHeight="1">
      <c r="A367" s="603"/>
      <c r="B367" s="611"/>
      <c r="C367" s="2534"/>
      <c r="D367" s="2534"/>
      <c r="E367" s="2534"/>
      <c r="F367" s="2534"/>
      <c r="G367" s="2534"/>
      <c r="H367" s="2534"/>
      <c r="I367" s="2534"/>
      <c r="J367" s="2534"/>
      <c r="K367" s="2534"/>
      <c r="L367" s="2534"/>
      <c r="M367" s="2534"/>
      <c r="N367" s="2534"/>
      <c r="O367" s="2534"/>
      <c r="P367" s="2534"/>
      <c r="Q367" s="2534"/>
      <c r="R367" s="2534"/>
      <c r="S367" s="2534"/>
      <c r="T367" s="2534"/>
      <c r="U367" s="2534"/>
      <c r="V367" s="2534"/>
      <c r="W367" s="2534"/>
      <c r="X367" s="2534"/>
      <c r="Y367" s="2534"/>
      <c r="Z367" s="2534"/>
      <c r="AA367" s="2534"/>
      <c r="AB367" s="2534"/>
      <c r="AC367" s="2534"/>
      <c r="AD367" s="2534"/>
      <c r="AE367" s="2534"/>
      <c r="AF367" s="2534"/>
      <c r="AG367" s="2534"/>
      <c r="AH367" s="2534"/>
      <c r="AI367" s="2534"/>
      <c r="AJ367" s="2534"/>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440" t="s">
        <v>1458</v>
      </c>
      <c r="D369" s="2440"/>
      <c r="E369" s="2440"/>
      <c r="F369" s="2440"/>
      <c r="G369" s="2440"/>
      <c r="H369" s="2440"/>
      <c r="I369" s="2440"/>
      <c r="J369" s="2440"/>
      <c r="K369" s="2440"/>
      <c r="L369" s="2440"/>
      <c r="M369" s="2440"/>
      <c r="N369" s="2440"/>
      <c r="O369" s="2440"/>
      <c r="P369" s="2440"/>
      <c r="Q369" s="2440"/>
      <c r="R369" s="2440"/>
      <c r="S369" s="2440"/>
      <c r="T369" s="2440"/>
      <c r="U369" s="2440"/>
      <c r="V369" s="2440"/>
      <c r="W369" s="2440"/>
      <c r="X369" s="2440"/>
      <c r="Y369" s="2440"/>
      <c r="Z369" s="2440"/>
      <c r="AA369" s="2440"/>
      <c r="AB369" s="2440"/>
      <c r="AC369" s="2440"/>
      <c r="AD369" s="2440"/>
      <c r="AE369" s="2440"/>
      <c r="AF369" s="2440"/>
      <c r="AG369" s="2440"/>
      <c r="AH369" s="2440"/>
      <c r="AI369" s="2440"/>
      <c r="AJ369" s="2440"/>
      <c r="AK369" s="603"/>
      <c r="AL369" s="603"/>
      <c r="AM369" s="603"/>
      <c r="AN369" s="597"/>
      <c r="AO369" s="695" t="s">
        <v>456</v>
      </c>
      <c r="AP369" s="696">
        <f>IF(C442="Yes",5,0)</f>
        <v>0</v>
      </c>
    </row>
    <row r="370" spans="1:81" s="550" customFormat="1" ht="12.75" customHeight="1">
      <c r="A370" s="603"/>
      <c r="B370" s="611"/>
      <c r="C370" s="2440"/>
      <c r="D370" s="2440"/>
      <c r="E370" s="2440"/>
      <c r="F370" s="2440"/>
      <c r="G370" s="2440"/>
      <c r="H370" s="2440"/>
      <c r="I370" s="2440"/>
      <c r="J370" s="2440"/>
      <c r="K370" s="2440"/>
      <c r="L370" s="2440"/>
      <c r="M370" s="2440"/>
      <c r="N370" s="2440"/>
      <c r="O370" s="2440"/>
      <c r="P370" s="2440"/>
      <c r="Q370" s="2440"/>
      <c r="R370" s="2440"/>
      <c r="S370" s="2440"/>
      <c r="T370" s="2440"/>
      <c r="U370" s="2440"/>
      <c r="V370" s="2440"/>
      <c r="W370" s="2440"/>
      <c r="X370" s="2440"/>
      <c r="Y370" s="2440"/>
      <c r="Z370" s="2440"/>
      <c r="AA370" s="2440"/>
      <c r="AB370" s="2440"/>
      <c r="AC370" s="2440"/>
      <c r="AD370" s="2440"/>
      <c r="AE370" s="2440"/>
      <c r="AF370" s="2440"/>
      <c r="AG370" s="2440"/>
      <c r="AH370" s="2440"/>
      <c r="AI370" s="2440"/>
      <c r="AJ370" s="2440"/>
      <c r="AK370" s="603"/>
      <c r="AL370" s="603"/>
      <c r="AM370" s="603"/>
      <c r="AN370" s="597"/>
      <c r="AO370" s="695" t="s">
        <v>461</v>
      </c>
      <c r="AP370" s="696">
        <f>IF(C449="Yes",5,0)</f>
        <v>0</v>
      </c>
    </row>
    <row r="371" spans="1:81" s="550" customFormat="1" ht="68" customHeight="1">
      <c r="A371" s="603"/>
      <c r="B371" s="611"/>
      <c r="C371" s="2440"/>
      <c r="D371" s="2440"/>
      <c r="E371" s="2440"/>
      <c r="F371" s="2440"/>
      <c r="G371" s="2440"/>
      <c r="H371" s="2440"/>
      <c r="I371" s="2440"/>
      <c r="J371" s="2440"/>
      <c r="K371" s="2440"/>
      <c r="L371" s="2440"/>
      <c r="M371" s="2440"/>
      <c r="N371" s="2440"/>
      <c r="O371" s="2440"/>
      <c r="P371" s="2440"/>
      <c r="Q371" s="2440"/>
      <c r="R371" s="2440"/>
      <c r="S371" s="2440"/>
      <c r="T371" s="2440"/>
      <c r="U371" s="2440"/>
      <c r="V371" s="2440"/>
      <c r="W371" s="2440"/>
      <c r="X371" s="2440"/>
      <c r="Y371" s="2440"/>
      <c r="Z371" s="2440"/>
      <c r="AA371" s="2440"/>
      <c r="AB371" s="2440"/>
      <c r="AC371" s="2440"/>
      <c r="AD371" s="2440"/>
      <c r="AE371" s="2440"/>
      <c r="AF371" s="2440"/>
      <c r="AG371" s="2440"/>
      <c r="AH371" s="2440"/>
      <c r="AI371" s="2440"/>
      <c r="AJ371" s="2440"/>
      <c r="AK371" s="603"/>
      <c r="AL371" s="603"/>
      <c r="AM371" s="603"/>
      <c r="AN371" s="597"/>
      <c r="AO371" s="695" t="s">
        <v>646</v>
      </c>
      <c r="AP371" s="701">
        <f>IF(C453="Yes",5,0)</f>
        <v>0</v>
      </c>
    </row>
    <row r="372" spans="1:81" s="550" customFormat="1" ht="12.5" customHeight="1">
      <c r="A372" s="603"/>
      <c r="B372" s="611"/>
      <c r="C372" s="550" t="s">
        <v>1459</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441">
        <f>Application!DU802-U374</f>
        <v>235</v>
      </c>
      <c r="V373" s="2441"/>
      <c r="W373" s="2441"/>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442">
        <f>IF(Application!D211="SRO",Application!DU755,Application!AG756)</f>
        <v>0</v>
      </c>
      <c r="V374" s="2442"/>
      <c r="W374" s="2442"/>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443">
        <f>IF(AP375&gt;0,AP375,0)</f>
        <v>0</v>
      </c>
      <c r="AR375" s="2443"/>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434" t="s">
        <v>1460</v>
      </c>
      <c r="G377" s="2434"/>
      <c r="H377" s="2434"/>
      <c r="I377" s="2434"/>
      <c r="J377" s="2434"/>
      <c r="K377" s="2434"/>
      <c r="L377" s="2434"/>
      <c r="M377" s="2434"/>
      <c r="N377" s="2434"/>
      <c r="O377" s="2434"/>
      <c r="P377" s="2434"/>
      <c r="Q377" s="2434"/>
      <c r="R377" s="2434"/>
      <c r="S377" s="2434"/>
      <c r="T377" s="2434"/>
      <c r="U377" s="2434"/>
      <c r="V377" s="2434"/>
      <c r="W377" s="2434"/>
      <c r="X377" s="2434"/>
      <c r="Y377" s="2434"/>
      <c r="Z377" s="2434"/>
      <c r="AA377" s="2434"/>
      <c r="AB377" s="2434"/>
      <c r="AC377" s="2434"/>
      <c r="AD377" s="2434"/>
      <c r="AE377" s="2434"/>
      <c r="AF377" s="2434"/>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5"/>
      <c r="G378" s="2435"/>
      <c r="H378" s="2435"/>
      <c r="I378" s="2435"/>
      <c r="J378" s="2435"/>
      <c r="K378" s="2435"/>
      <c r="L378" s="2435"/>
      <c r="M378" s="2435"/>
      <c r="N378" s="2435"/>
      <c r="O378" s="2435"/>
      <c r="P378" s="2435"/>
      <c r="Q378" s="2435"/>
      <c r="R378" s="2435"/>
      <c r="S378" s="2435"/>
      <c r="T378" s="2435"/>
      <c r="U378" s="2435"/>
      <c r="V378" s="2435"/>
      <c r="W378" s="2435"/>
      <c r="X378" s="2435"/>
      <c r="Y378" s="2435"/>
      <c r="Z378" s="2435"/>
      <c r="AA378" s="2435"/>
      <c r="AB378" s="2435"/>
      <c r="AC378" s="2435"/>
      <c r="AD378" s="2435"/>
      <c r="AE378" s="2435"/>
      <c r="AF378" s="2435"/>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5"/>
      <c r="G379" s="2435"/>
      <c r="H379" s="2435"/>
      <c r="I379" s="2435"/>
      <c r="J379" s="2435"/>
      <c r="K379" s="2435"/>
      <c r="L379" s="2435"/>
      <c r="M379" s="2435"/>
      <c r="N379" s="2435"/>
      <c r="O379" s="2435"/>
      <c r="P379" s="2435"/>
      <c r="Q379" s="2435"/>
      <c r="R379" s="2435"/>
      <c r="S379" s="2435"/>
      <c r="T379" s="2435"/>
      <c r="U379" s="2435"/>
      <c r="V379" s="2435"/>
      <c r="W379" s="2435"/>
      <c r="X379" s="2435"/>
      <c r="Y379" s="2435"/>
      <c r="Z379" s="2435"/>
      <c r="AA379" s="2435"/>
      <c r="AB379" s="2435"/>
      <c r="AC379" s="2435"/>
      <c r="AD379" s="2435"/>
      <c r="AE379" s="2435"/>
      <c r="AF379" s="2435"/>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5"/>
      <c r="G380" s="2435"/>
      <c r="H380" s="2435"/>
      <c r="I380" s="2435"/>
      <c r="J380" s="2435"/>
      <c r="K380" s="2435"/>
      <c r="L380" s="2435"/>
      <c r="M380" s="2435"/>
      <c r="N380" s="2435"/>
      <c r="O380" s="2435"/>
      <c r="P380" s="2435"/>
      <c r="Q380" s="2435"/>
      <c r="R380" s="2435"/>
      <c r="S380" s="2435"/>
      <c r="T380" s="2435"/>
      <c r="U380" s="2435"/>
      <c r="V380" s="2435"/>
      <c r="W380" s="2435"/>
      <c r="X380" s="2435"/>
      <c r="Y380" s="2435"/>
      <c r="Z380" s="2435"/>
      <c r="AA380" s="2435"/>
      <c r="AB380" s="2435"/>
      <c r="AC380" s="2435"/>
      <c r="AD380" s="2435"/>
      <c r="AE380" s="2435"/>
      <c r="AF380" s="2435"/>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4" t="s">
        <v>591</v>
      </c>
      <c r="D381" s="2445"/>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6" t="s">
        <v>1462</v>
      </c>
      <c r="AG381" s="2446"/>
      <c r="AH381" s="2446"/>
      <c r="AI381" s="2446"/>
      <c r="AJ381" s="2446"/>
      <c r="AK381" s="2446"/>
      <c r="AL381" s="2447"/>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434" t="s">
        <v>1463</v>
      </c>
      <c r="G384" s="2434"/>
      <c r="H384" s="2434"/>
      <c r="I384" s="2434"/>
      <c r="J384" s="2434"/>
      <c r="K384" s="2434"/>
      <c r="L384" s="2434"/>
      <c r="M384" s="2434"/>
      <c r="N384" s="2434"/>
      <c r="O384" s="2434"/>
      <c r="P384" s="2434"/>
      <c r="Q384" s="2434"/>
      <c r="R384" s="2434"/>
      <c r="S384" s="2434"/>
      <c r="T384" s="2434"/>
      <c r="U384" s="2434"/>
      <c r="V384" s="2434"/>
      <c r="W384" s="2434"/>
      <c r="X384" s="2434"/>
      <c r="Y384" s="2434"/>
      <c r="Z384" s="2434"/>
      <c r="AA384" s="2434"/>
      <c r="AB384" s="2434"/>
      <c r="AC384" s="2434"/>
      <c r="AD384" s="2434"/>
      <c r="AE384" s="2434"/>
      <c r="AF384" s="2434"/>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5"/>
      <c r="G385" s="2435"/>
      <c r="H385" s="2435"/>
      <c r="I385" s="2435"/>
      <c r="J385" s="2435"/>
      <c r="K385" s="2435"/>
      <c r="L385" s="2435"/>
      <c r="M385" s="2435"/>
      <c r="N385" s="2435"/>
      <c r="O385" s="2435"/>
      <c r="P385" s="2435"/>
      <c r="Q385" s="2435"/>
      <c r="R385" s="2435"/>
      <c r="S385" s="2435"/>
      <c r="T385" s="2435"/>
      <c r="U385" s="2435"/>
      <c r="V385" s="2435"/>
      <c r="W385" s="2435"/>
      <c r="X385" s="2435"/>
      <c r="Y385" s="2435"/>
      <c r="Z385" s="2435"/>
      <c r="AA385" s="2435"/>
      <c r="AB385" s="2435"/>
      <c r="AC385" s="2435"/>
      <c r="AD385" s="2435"/>
      <c r="AE385" s="2435"/>
      <c r="AF385" s="2435"/>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5"/>
      <c r="G386" s="2435"/>
      <c r="H386" s="2435"/>
      <c r="I386" s="2435"/>
      <c r="J386" s="2435"/>
      <c r="K386" s="2435"/>
      <c r="L386" s="2435"/>
      <c r="M386" s="2435"/>
      <c r="N386" s="2435"/>
      <c r="O386" s="2435"/>
      <c r="P386" s="2435"/>
      <c r="Q386" s="2435"/>
      <c r="R386" s="2435"/>
      <c r="S386" s="2435"/>
      <c r="T386" s="2435"/>
      <c r="U386" s="2435"/>
      <c r="V386" s="2435"/>
      <c r="W386" s="2435"/>
      <c r="X386" s="2435"/>
      <c r="Y386" s="2435"/>
      <c r="Z386" s="2435"/>
      <c r="AA386" s="2435"/>
      <c r="AB386" s="2435"/>
      <c r="AC386" s="2435"/>
      <c r="AD386" s="2435"/>
      <c r="AE386" s="2435"/>
      <c r="AF386" s="2435"/>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5"/>
      <c r="G387" s="2435"/>
      <c r="H387" s="2435"/>
      <c r="I387" s="2435"/>
      <c r="J387" s="2435"/>
      <c r="K387" s="2435"/>
      <c r="L387" s="2435"/>
      <c r="M387" s="2435"/>
      <c r="N387" s="2435"/>
      <c r="O387" s="2435"/>
      <c r="P387" s="2435"/>
      <c r="Q387" s="2435"/>
      <c r="R387" s="2435"/>
      <c r="S387" s="2435"/>
      <c r="T387" s="2435"/>
      <c r="U387" s="2435"/>
      <c r="V387" s="2435"/>
      <c r="W387" s="2435"/>
      <c r="X387" s="2435"/>
      <c r="Y387" s="2435"/>
      <c r="Z387" s="2435"/>
      <c r="AA387" s="2435"/>
      <c r="AB387" s="2435"/>
      <c r="AC387" s="2435"/>
      <c r="AD387" s="2435"/>
      <c r="AE387" s="2435"/>
      <c r="AF387" s="2435"/>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5"/>
      <c r="G388" s="2435"/>
      <c r="H388" s="2435"/>
      <c r="I388" s="2435"/>
      <c r="J388" s="2435"/>
      <c r="K388" s="2435"/>
      <c r="L388" s="2435"/>
      <c r="M388" s="2435"/>
      <c r="N388" s="2435"/>
      <c r="O388" s="2435"/>
      <c r="P388" s="2435"/>
      <c r="Q388" s="2435"/>
      <c r="R388" s="2435"/>
      <c r="S388" s="2435"/>
      <c r="T388" s="2435"/>
      <c r="U388" s="2435"/>
      <c r="V388" s="2435"/>
      <c r="W388" s="2435"/>
      <c r="X388" s="2435"/>
      <c r="Y388" s="2435"/>
      <c r="Z388" s="2435"/>
      <c r="AA388" s="2435"/>
      <c r="AB388" s="2435"/>
      <c r="AC388" s="2435"/>
      <c r="AD388" s="2435"/>
      <c r="AE388" s="2435"/>
      <c r="AF388" s="2435"/>
      <c r="AL388" s="732"/>
      <c r="AN388" s="597"/>
      <c r="BS388" s="30"/>
      <c r="BT388" s="30"/>
      <c r="BU388" s="14"/>
      <c r="BV388" s="14"/>
      <c r="BW388" s="14"/>
      <c r="BX388" s="14"/>
      <c r="BY388" s="14"/>
      <c r="BZ388" s="14"/>
      <c r="CA388" s="14"/>
      <c r="CB388" s="14"/>
      <c r="CC388" s="14"/>
    </row>
    <row r="389" spans="1:81" s="550" customFormat="1" ht="12.75" customHeight="1">
      <c r="A389" s="536"/>
      <c r="B389" s="14"/>
      <c r="C389" s="2444" t="s">
        <v>591</v>
      </c>
      <c r="D389" s="2445"/>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6" t="s">
        <v>1462</v>
      </c>
      <c r="AG389" s="2446"/>
      <c r="AH389" s="2446"/>
      <c r="AI389" s="2446"/>
      <c r="AJ389" s="2446"/>
      <c r="AK389" s="2446"/>
      <c r="AL389" s="2447"/>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434" t="s">
        <v>1465</v>
      </c>
      <c r="G392" s="2434"/>
      <c r="H392" s="2434"/>
      <c r="I392" s="2434"/>
      <c r="J392" s="2434"/>
      <c r="K392" s="2434"/>
      <c r="L392" s="2434"/>
      <c r="M392" s="2434"/>
      <c r="N392" s="2434"/>
      <c r="O392" s="2434"/>
      <c r="P392" s="2434"/>
      <c r="Q392" s="2434"/>
      <c r="R392" s="2434"/>
      <c r="S392" s="2434"/>
      <c r="T392" s="2434"/>
      <c r="U392" s="2434"/>
      <c r="V392" s="2434"/>
      <c r="W392" s="2434"/>
      <c r="X392" s="2434"/>
      <c r="Y392" s="2434"/>
      <c r="Z392" s="2434"/>
      <c r="AA392" s="2434"/>
      <c r="AB392" s="2434"/>
      <c r="AC392" s="2434"/>
      <c r="AD392" s="2434"/>
      <c r="AE392" s="2434"/>
      <c r="AF392" s="2434"/>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5"/>
      <c r="G393" s="2435"/>
      <c r="H393" s="2435"/>
      <c r="I393" s="2435"/>
      <c r="J393" s="2435"/>
      <c r="K393" s="2435"/>
      <c r="L393" s="2435"/>
      <c r="M393" s="2435"/>
      <c r="N393" s="2435"/>
      <c r="O393" s="2435"/>
      <c r="P393" s="2435"/>
      <c r="Q393" s="2435"/>
      <c r="R393" s="2435"/>
      <c r="S393" s="2435"/>
      <c r="T393" s="2435"/>
      <c r="U393" s="2435"/>
      <c r="V393" s="2435"/>
      <c r="W393" s="2435"/>
      <c r="X393" s="2435"/>
      <c r="Y393" s="2435"/>
      <c r="Z393" s="2435"/>
      <c r="AA393" s="2435"/>
      <c r="AB393" s="2435"/>
      <c r="AC393" s="2435"/>
      <c r="AD393" s="2435"/>
      <c r="AE393" s="2435"/>
      <c r="AF393" s="2435"/>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5"/>
      <c r="G394" s="2435"/>
      <c r="H394" s="2435"/>
      <c r="I394" s="2435"/>
      <c r="J394" s="2435"/>
      <c r="K394" s="2435"/>
      <c r="L394" s="2435"/>
      <c r="M394" s="2435"/>
      <c r="N394" s="2435"/>
      <c r="O394" s="2435"/>
      <c r="P394" s="2435"/>
      <c r="Q394" s="2435"/>
      <c r="R394" s="2435"/>
      <c r="S394" s="2435"/>
      <c r="T394" s="2435"/>
      <c r="U394" s="2435"/>
      <c r="V394" s="2435"/>
      <c r="W394" s="2435"/>
      <c r="X394" s="2435"/>
      <c r="Y394" s="2435"/>
      <c r="Z394" s="2435"/>
      <c r="AA394" s="2435"/>
      <c r="AB394" s="2435"/>
      <c r="AC394" s="2435"/>
      <c r="AD394" s="2435"/>
      <c r="AE394" s="2435"/>
      <c r="AF394" s="2435"/>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5"/>
      <c r="G395" s="2435"/>
      <c r="H395" s="2435"/>
      <c r="I395" s="2435"/>
      <c r="J395" s="2435"/>
      <c r="K395" s="2435"/>
      <c r="L395" s="2435"/>
      <c r="M395" s="2435"/>
      <c r="N395" s="2435"/>
      <c r="O395" s="2435"/>
      <c r="P395" s="2435"/>
      <c r="Q395" s="2435"/>
      <c r="R395" s="2435"/>
      <c r="S395" s="2435"/>
      <c r="T395" s="2435"/>
      <c r="U395" s="2435"/>
      <c r="V395" s="2435"/>
      <c r="W395" s="2435"/>
      <c r="X395" s="2435"/>
      <c r="Y395" s="2435"/>
      <c r="Z395" s="2435"/>
      <c r="AA395" s="2435"/>
      <c r="AB395" s="2435"/>
      <c r="AC395" s="2435"/>
      <c r="AD395" s="2435"/>
      <c r="AE395" s="2435"/>
      <c r="AF395" s="2435"/>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5"/>
      <c r="G396" s="2435"/>
      <c r="H396" s="2435"/>
      <c r="I396" s="2435"/>
      <c r="J396" s="2435"/>
      <c r="K396" s="2435"/>
      <c r="L396" s="2435"/>
      <c r="M396" s="2435"/>
      <c r="N396" s="2435"/>
      <c r="O396" s="2435"/>
      <c r="P396" s="2435"/>
      <c r="Q396" s="2435"/>
      <c r="R396" s="2435"/>
      <c r="S396" s="2435"/>
      <c r="T396" s="2435"/>
      <c r="U396" s="2435"/>
      <c r="V396" s="2435"/>
      <c r="W396" s="2435"/>
      <c r="X396" s="2435"/>
      <c r="Y396" s="2435"/>
      <c r="Z396" s="2435"/>
      <c r="AA396" s="2435"/>
      <c r="AB396" s="2435"/>
      <c r="AC396" s="2435"/>
      <c r="AD396" s="2435"/>
      <c r="AE396" s="2435"/>
      <c r="AF396" s="2435"/>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4" t="s">
        <v>545</v>
      </c>
      <c r="D397" s="2445"/>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6" t="s">
        <v>1467</v>
      </c>
      <c r="AG397" s="2446"/>
      <c r="AH397" s="2446"/>
      <c r="AI397" s="2446"/>
      <c r="AJ397" s="2446"/>
      <c r="AK397" s="2446"/>
      <c r="AL397" s="2447"/>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4" t="s">
        <v>591</v>
      </c>
      <c r="D399" s="2445"/>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6" t="s">
        <v>1462</v>
      </c>
      <c r="AG399" s="2446"/>
      <c r="AH399" s="2446"/>
      <c r="AI399" s="2446"/>
      <c r="AJ399" s="2446"/>
      <c r="AK399" s="2446"/>
      <c r="AL399" s="2447"/>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434" t="s">
        <v>1471</v>
      </c>
      <c r="G403" s="2434"/>
      <c r="H403" s="2434"/>
      <c r="I403" s="2434"/>
      <c r="J403" s="2434"/>
      <c r="K403" s="2434"/>
      <c r="L403" s="2434"/>
      <c r="M403" s="2434"/>
      <c r="N403" s="2434"/>
      <c r="O403" s="2434"/>
      <c r="P403" s="2434"/>
      <c r="Q403" s="2434"/>
      <c r="R403" s="2434"/>
      <c r="S403" s="2434"/>
      <c r="T403" s="2434"/>
      <c r="U403" s="2434"/>
      <c r="V403" s="2434"/>
      <c r="W403" s="2434"/>
      <c r="X403" s="2434"/>
      <c r="Y403" s="2434"/>
      <c r="Z403" s="2434"/>
      <c r="AA403" s="2434"/>
      <c r="AB403" s="2434"/>
      <c r="AC403" s="2434"/>
      <c r="AD403" s="2434"/>
      <c r="AE403" s="2434"/>
      <c r="AF403" s="2434"/>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5"/>
      <c r="G404" s="2435"/>
      <c r="H404" s="2435"/>
      <c r="I404" s="2435"/>
      <c r="J404" s="2435"/>
      <c r="K404" s="2435"/>
      <c r="L404" s="2435"/>
      <c r="M404" s="2435"/>
      <c r="N404" s="2435"/>
      <c r="O404" s="2435"/>
      <c r="P404" s="2435"/>
      <c r="Q404" s="2435"/>
      <c r="R404" s="2435"/>
      <c r="S404" s="2435"/>
      <c r="T404" s="2435"/>
      <c r="U404" s="2435"/>
      <c r="V404" s="2435"/>
      <c r="W404" s="2435"/>
      <c r="X404" s="2435"/>
      <c r="Y404" s="2435"/>
      <c r="Z404" s="2435"/>
      <c r="AA404" s="2435"/>
      <c r="AB404" s="2435"/>
      <c r="AC404" s="2435"/>
      <c r="AD404" s="2435"/>
      <c r="AE404" s="2435"/>
      <c r="AF404" s="2435"/>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5"/>
      <c r="G405" s="2435"/>
      <c r="H405" s="2435"/>
      <c r="I405" s="2435"/>
      <c r="J405" s="2435"/>
      <c r="K405" s="2435"/>
      <c r="L405" s="2435"/>
      <c r="M405" s="2435"/>
      <c r="N405" s="2435"/>
      <c r="O405" s="2435"/>
      <c r="P405" s="2435"/>
      <c r="Q405" s="2435"/>
      <c r="R405" s="2435"/>
      <c r="S405" s="2435"/>
      <c r="T405" s="2435"/>
      <c r="U405" s="2435"/>
      <c r="V405" s="2435"/>
      <c r="W405" s="2435"/>
      <c r="X405" s="2435"/>
      <c r="Y405" s="2435"/>
      <c r="Z405" s="2435"/>
      <c r="AA405" s="2435"/>
      <c r="AB405" s="2435"/>
      <c r="AC405" s="2435"/>
      <c r="AD405" s="2435"/>
      <c r="AE405" s="2435"/>
      <c r="AF405" s="2435"/>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5"/>
      <c r="G406" s="2435"/>
      <c r="H406" s="2435"/>
      <c r="I406" s="2435"/>
      <c r="J406" s="2435"/>
      <c r="K406" s="2435"/>
      <c r="L406" s="2435"/>
      <c r="M406" s="2435"/>
      <c r="N406" s="2435"/>
      <c r="O406" s="2435"/>
      <c r="P406" s="2435"/>
      <c r="Q406" s="2435"/>
      <c r="R406" s="2435"/>
      <c r="S406" s="2435"/>
      <c r="T406" s="2435"/>
      <c r="U406" s="2435"/>
      <c r="V406" s="2435"/>
      <c r="W406" s="2435"/>
      <c r="X406" s="2435"/>
      <c r="Y406" s="2435"/>
      <c r="Z406" s="2435"/>
      <c r="AA406" s="2435"/>
      <c r="AB406" s="2435"/>
      <c r="AC406" s="2435"/>
      <c r="AD406" s="2435"/>
      <c r="AE406" s="2435"/>
      <c r="AF406" s="2435"/>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4" t="s">
        <v>591</v>
      </c>
      <c r="D407" s="2445"/>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6" t="s">
        <v>1462</v>
      </c>
      <c r="AG407" s="2446"/>
      <c r="AH407" s="2446"/>
      <c r="AI407" s="2446"/>
      <c r="AJ407" s="2446"/>
      <c r="AK407" s="2446"/>
      <c r="AL407" s="2447"/>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4" t="s">
        <v>591</v>
      </c>
      <c r="D409" s="2445"/>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6" t="s">
        <v>1474</v>
      </c>
      <c r="AG409" s="2446"/>
      <c r="AH409" s="2446"/>
      <c r="AI409" s="2446"/>
      <c r="AJ409" s="2446"/>
      <c r="AK409" s="2446"/>
      <c r="AL409" s="2447"/>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4" t="s">
        <v>591</v>
      </c>
      <c r="D412" s="2445"/>
      <c r="E412" s="715" t="s">
        <v>1475</v>
      </c>
      <c r="F412" s="2434" t="s">
        <v>1476</v>
      </c>
      <c r="G412" s="2434"/>
      <c r="H412" s="2434"/>
      <c r="I412" s="2434"/>
      <c r="J412" s="2434"/>
      <c r="K412" s="2434"/>
      <c r="L412" s="2434"/>
      <c r="M412" s="2434"/>
      <c r="N412" s="2434"/>
      <c r="O412" s="2434"/>
      <c r="P412" s="2434"/>
      <c r="Q412" s="2434"/>
      <c r="R412" s="2434"/>
      <c r="S412" s="2434"/>
      <c r="T412" s="2434"/>
      <c r="U412" s="2434"/>
      <c r="V412" s="2434"/>
      <c r="W412" s="2434"/>
      <c r="X412" s="2434"/>
      <c r="Y412" s="2434"/>
      <c r="Z412" s="2434"/>
      <c r="AA412" s="2434"/>
      <c r="AB412" s="2434"/>
      <c r="AC412" s="2434"/>
      <c r="AD412" s="2434"/>
      <c r="AE412" s="2434"/>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5"/>
      <c r="G413" s="2435"/>
      <c r="H413" s="2435"/>
      <c r="I413" s="2435"/>
      <c r="J413" s="2435"/>
      <c r="K413" s="2435"/>
      <c r="L413" s="2435"/>
      <c r="M413" s="2435"/>
      <c r="N413" s="2435"/>
      <c r="O413" s="2435"/>
      <c r="P413" s="2435"/>
      <c r="Q413" s="2435"/>
      <c r="R413" s="2435"/>
      <c r="S413" s="2435"/>
      <c r="T413" s="2435"/>
      <c r="U413" s="2435"/>
      <c r="V413" s="2435"/>
      <c r="W413" s="2435"/>
      <c r="X413" s="2435"/>
      <c r="Y413" s="2435"/>
      <c r="Z413" s="2435"/>
      <c r="AA413" s="2435"/>
      <c r="AB413" s="2435"/>
      <c r="AC413" s="2435"/>
      <c r="AD413" s="2435"/>
      <c r="AE413" s="2435"/>
      <c r="AF413" s="2524" t="s">
        <v>1462</v>
      </c>
      <c r="AG413" s="2524"/>
      <c r="AH413" s="2524"/>
      <c r="AI413" s="2524"/>
      <c r="AJ413" s="2524"/>
      <c r="AK413" s="2524"/>
      <c r="AL413" s="2533"/>
      <c r="AM413" s="570"/>
      <c r="AN413" s="597"/>
      <c r="BS413" s="570"/>
      <c r="BT413" s="570"/>
      <c r="BY413" s="570"/>
      <c r="BZ413" s="570"/>
      <c r="CA413" s="570"/>
      <c r="CB413" s="570"/>
      <c r="CC413" s="570"/>
    </row>
    <row r="414" spans="1:81" s="550" customFormat="1" ht="12.75" customHeight="1">
      <c r="A414" s="536"/>
      <c r="B414" s="14"/>
      <c r="C414" s="731"/>
      <c r="D414" s="14"/>
      <c r="E414" s="691"/>
      <c r="F414" s="2435"/>
      <c r="G414" s="2435"/>
      <c r="H414" s="2435"/>
      <c r="I414" s="2435"/>
      <c r="J414" s="2435"/>
      <c r="K414" s="2435"/>
      <c r="L414" s="2435"/>
      <c r="M414" s="2435"/>
      <c r="N414" s="2435"/>
      <c r="O414" s="2435"/>
      <c r="P414" s="2435"/>
      <c r="Q414" s="2435"/>
      <c r="R414" s="2435"/>
      <c r="S414" s="2435"/>
      <c r="T414" s="2435"/>
      <c r="U414" s="2435"/>
      <c r="V414" s="2435"/>
      <c r="W414" s="2435"/>
      <c r="X414" s="2435"/>
      <c r="Y414" s="2435"/>
      <c r="Z414" s="2435"/>
      <c r="AA414" s="2435"/>
      <c r="AB414" s="2435"/>
      <c r="AC414" s="2435"/>
      <c r="AD414" s="2435"/>
      <c r="AE414" s="2435"/>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6"/>
      <c r="G415" s="2436"/>
      <c r="H415" s="2436"/>
      <c r="I415" s="2436"/>
      <c r="J415" s="2436"/>
      <c r="K415" s="2436"/>
      <c r="L415" s="2436"/>
      <c r="M415" s="2436"/>
      <c r="N415" s="2436"/>
      <c r="O415" s="2436"/>
      <c r="P415" s="2436"/>
      <c r="Q415" s="2436"/>
      <c r="R415" s="2436"/>
      <c r="S415" s="2436"/>
      <c r="T415" s="2436"/>
      <c r="U415" s="2436"/>
      <c r="V415" s="2436"/>
      <c r="W415" s="2436"/>
      <c r="X415" s="2436"/>
      <c r="Y415" s="2436"/>
      <c r="Z415" s="2436"/>
      <c r="AA415" s="2436"/>
      <c r="AB415" s="2436"/>
      <c r="AC415" s="2436"/>
      <c r="AD415" s="2436"/>
      <c r="AE415" s="2436"/>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434" t="s">
        <v>1478</v>
      </c>
      <c r="G417" s="2434"/>
      <c r="H417" s="2434"/>
      <c r="I417" s="2434"/>
      <c r="J417" s="2434"/>
      <c r="K417" s="2434"/>
      <c r="L417" s="2434"/>
      <c r="M417" s="2434"/>
      <c r="N417" s="2434"/>
      <c r="O417" s="2434"/>
      <c r="P417" s="2434"/>
      <c r="Q417" s="2434"/>
      <c r="R417" s="2434"/>
      <c r="S417" s="2434"/>
      <c r="T417" s="2434"/>
      <c r="U417" s="2434"/>
      <c r="V417" s="2434"/>
      <c r="W417" s="2434"/>
      <c r="X417" s="2434"/>
      <c r="Y417" s="2434"/>
      <c r="Z417" s="2434"/>
      <c r="AA417" s="2434"/>
      <c r="AB417" s="2434"/>
      <c r="AC417" s="2434"/>
      <c r="AD417" s="2434"/>
      <c r="AE417" s="2434"/>
      <c r="AF417" s="747"/>
      <c r="AG417" s="747"/>
      <c r="AH417" s="747"/>
      <c r="AI417" s="747"/>
      <c r="AJ417" s="747"/>
      <c r="AK417" s="747"/>
      <c r="AL417" s="748"/>
      <c r="AM417" s="570"/>
    </row>
    <row r="418" spans="1:55">
      <c r="A418" s="536"/>
      <c r="C418" s="731"/>
      <c r="E418" s="691"/>
      <c r="F418" s="2435"/>
      <c r="G418" s="2435"/>
      <c r="H418" s="2435"/>
      <c r="I418" s="2435"/>
      <c r="J418" s="2435"/>
      <c r="K418" s="2435"/>
      <c r="L418" s="2435"/>
      <c r="M418" s="2435"/>
      <c r="N418" s="2435"/>
      <c r="O418" s="2435"/>
      <c r="P418" s="2435"/>
      <c r="Q418" s="2435"/>
      <c r="R418" s="2435"/>
      <c r="S418" s="2435"/>
      <c r="T418" s="2435"/>
      <c r="U418" s="2435"/>
      <c r="V418" s="2435"/>
      <c r="W418" s="2435"/>
      <c r="X418" s="2435"/>
      <c r="Y418" s="2435"/>
      <c r="Z418" s="2435"/>
      <c r="AA418" s="2435"/>
      <c r="AB418" s="2435"/>
      <c r="AC418" s="2435"/>
      <c r="AD418" s="2435"/>
      <c r="AE418" s="2435"/>
      <c r="AF418" s="539"/>
      <c r="AG418" s="536"/>
      <c r="AH418" s="550"/>
      <c r="AI418" s="550"/>
      <c r="AJ418" s="550"/>
      <c r="AK418" s="550"/>
      <c r="AL418" s="732"/>
      <c r="AM418" s="570"/>
    </row>
    <row r="419" spans="1:55" s="550" customFormat="1" ht="12.75" customHeight="1">
      <c r="A419" s="536"/>
      <c r="B419" s="14"/>
      <c r="C419" s="731"/>
      <c r="D419" s="14"/>
      <c r="E419" s="691"/>
      <c r="F419" s="2435"/>
      <c r="G419" s="2435"/>
      <c r="H419" s="2435"/>
      <c r="I419" s="2435"/>
      <c r="J419" s="2435"/>
      <c r="K419" s="2435"/>
      <c r="L419" s="2435"/>
      <c r="M419" s="2435"/>
      <c r="N419" s="2435"/>
      <c r="O419" s="2435"/>
      <c r="P419" s="2435"/>
      <c r="Q419" s="2435"/>
      <c r="R419" s="2435"/>
      <c r="S419" s="2435"/>
      <c r="T419" s="2435"/>
      <c r="U419" s="2435"/>
      <c r="V419" s="2435"/>
      <c r="W419" s="2435"/>
      <c r="X419" s="2435"/>
      <c r="Y419" s="2435"/>
      <c r="Z419" s="2435"/>
      <c r="AA419" s="2435"/>
      <c r="AB419" s="2435"/>
      <c r="AC419" s="2435"/>
      <c r="AD419" s="2435"/>
      <c r="AE419" s="2435"/>
      <c r="AL419" s="732"/>
      <c r="AM419" s="570"/>
      <c r="AN419" s="597"/>
    </row>
    <row r="420" spans="1:55" s="550" customFormat="1" ht="12.75" customHeight="1">
      <c r="A420" s="536"/>
      <c r="B420" s="14"/>
      <c r="C420" s="739"/>
      <c r="F420" s="2435"/>
      <c r="G420" s="2435"/>
      <c r="H420" s="2435"/>
      <c r="I420" s="2435"/>
      <c r="J420" s="2435"/>
      <c r="K420" s="2435"/>
      <c r="L420" s="2435"/>
      <c r="M420" s="2435"/>
      <c r="N420" s="2435"/>
      <c r="O420" s="2435"/>
      <c r="P420" s="2435"/>
      <c r="Q420" s="2435"/>
      <c r="R420" s="2435"/>
      <c r="S420" s="2435"/>
      <c r="T420" s="2435"/>
      <c r="U420" s="2435"/>
      <c r="V420" s="2435"/>
      <c r="W420" s="2435"/>
      <c r="X420" s="2435"/>
      <c r="Y420" s="2435"/>
      <c r="Z420" s="2435"/>
      <c r="AA420" s="2435"/>
      <c r="AB420" s="2435"/>
      <c r="AC420" s="2435"/>
      <c r="AD420" s="2435"/>
      <c r="AE420" s="2435"/>
      <c r="AL420" s="732"/>
      <c r="AM420" s="570"/>
      <c r="AN420" s="597"/>
    </row>
    <row r="421" spans="1:55" s="550" customFormat="1" ht="12.75" customHeight="1">
      <c r="A421" s="536"/>
      <c r="B421" s="14"/>
      <c r="C421" s="2444" t="s">
        <v>545</v>
      </c>
      <c r="D421" s="2445"/>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4" t="s">
        <v>1462</v>
      </c>
      <c r="AG421" s="2524"/>
      <c r="AH421" s="2524"/>
      <c r="AI421" s="2524"/>
      <c r="AJ421" s="2524"/>
      <c r="AK421" s="2524"/>
      <c r="AL421" s="2533"/>
      <c r="AM421" s="570"/>
      <c r="AN421" s="597"/>
    </row>
    <row r="422" spans="1:55" s="550" customFormat="1" ht="12.75" customHeight="1">
      <c r="A422" s="536"/>
      <c r="B422" s="14"/>
      <c r="C422" s="739"/>
      <c r="AL422" s="732"/>
      <c r="AM422" s="570"/>
      <c r="AN422" s="597"/>
    </row>
    <row r="423" spans="1:55" s="550" customFormat="1" ht="12.75" customHeight="1">
      <c r="A423" s="536"/>
      <c r="B423" s="14"/>
      <c r="C423" s="2444" t="s">
        <v>591</v>
      </c>
      <c r="D423" s="2445"/>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4" t="s">
        <v>1474</v>
      </c>
      <c r="AG423" s="2524"/>
      <c r="AH423" s="2524"/>
      <c r="AI423" s="2524"/>
      <c r="AJ423" s="2524"/>
      <c r="AK423" s="2524"/>
      <c r="AL423" s="2533"/>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434" t="s">
        <v>1482</v>
      </c>
      <c r="G427" s="2434"/>
      <c r="H427" s="2434"/>
      <c r="I427" s="2434"/>
      <c r="J427" s="2434"/>
      <c r="K427" s="2434"/>
      <c r="L427" s="2434"/>
      <c r="M427" s="2434"/>
      <c r="N427" s="2434"/>
      <c r="O427" s="2434"/>
      <c r="P427" s="2434"/>
      <c r="Q427" s="2434"/>
      <c r="R427" s="2434"/>
      <c r="S427" s="2434"/>
      <c r="T427" s="2434"/>
      <c r="U427" s="2434"/>
      <c r="V427" s="2434"/>
      <c r="W427" s="2434"/>
      <c r="X427" s="2434"/>
      <c r="Y427" s="2434"/>
      <c r="Z427" s="2434"/>
      <c r="AA427" s="2434"/>
      <c r="AB427" s="2434"/>
      <c r="AC427" s="2434"/>
      <c r="AD427" s="2434"/>
      <c r="AE427" s="2434"/>
      <c r="AF427" s="714"/>
      <c r="AG427" s="714"/>
      <c r="AH427" s="714"/>
      <c r="AI427" s="714"/>
      <c r="AJ427" s="714"/>
      <c r="AK427" s="714"/>
      <c r="AL427" s="745"/>
      <c r="AM427" s="570"/>
      <c r="AN427" s="597"/>
    </row>
    <row r="428" spans="1:55" s="550" customFormat="1" ht="12.75" customHeight="1">
      <c r="A428" s="536"/>
      <c r="B428" s="14"/>
      <c r="C428" s="731"/>
      <c r="D428" s="14"/>
      <c r="E428" s="691"/>
      <c r="F428" s="2435"/>
      <c r="G428" s="2435"/>
      <c r="H428" s="2435"/>
      <c r="I428" s="2435"/>
      <c r="J428" s="2435"/>
      <c r="K428" s="2435"/>
      <c r="L428" s="2435"/>
      <c r="M428" s="2435"/>
      <c r="N428" s="2435"/>
      <c r="O428" s="2435"/>
      <c r="P428" s="2435"/>
      <c r="Q428" s="2435"/>
      <c r="R428" s="2435"/>
      <c r="S428" s="2435"/>
      <c r="T428" s="2435"/>
      <c r="U428" s="2435"/>
      <c r="V428" s="2435"/>
      <c r="W428" s="2435"/>
      <c r="X428" s="2435"/>
      <c r="Y428" s="2435"/>
      <c r="Z428" s="2435"/>
      <c r="AA428" s="2435"/>
      <c r="AB428" s="2435"/>
      <c r="AC428" s="2435"/>
      <c r="AD428" s="2435"/>
      <c r="AE428" s="2435"/>
      <c r="AF428" s="539"/>
      <c r="AG428" s="536"/>
      <c r="AL428" s="732"/>
      <c r="AM428" s="570"/>
      <c r="AN428" s="597"/>
    </row>
    <row r="429" spans="1:55" s="550" customFormat="1" ht="12.5" customHeight="1">
      <c r="A429" s="536"/>
      <c r="B429" s="14"/>
      <c r="C429" s="731"/>
      <c r="D429" s="14"/>
      <c r="E429" s="691"/>
      <c r="F429" s="2435"/>
      <c r="G429" s="2435"/>
      <c r="H429" s="2435"/>
      <c r="I429" s="2435"/>
      <c r="J429" s="2435"/>
      <c r="K429" s="2435"/>
      <c r="L429" s="2435"/>
      <c r="M429" s="2435"/>
      <c r="N429" s="2435"/>
      <c r="O429" s="2435"/>
      <c r="P429" s="2435"/>
      <c r="Q429" s="2435"/>
      <c r="R429" s="2435"/>
      <c r="S429" s="2435"/>
      <c r="T429" s="2435"/>
      <c r="U429" s="2435"/>
      <c r="V429" s="2435"/>
      <c r="W429" s="2435"/>
      <c r="X429" s="2435"/>
      <c r="Y429" s="2435"/>
      <c r="Z429" s="2435"/>
      <c r="AA429" s="2435"/>
      <c r="AB429" s="2435"/>
      <c r="AC429" s="2435"/>
      <c r="AD429" s="2435"/>
      <c r="AE429" s="2435"/>
      <c r="AL429" s="732"/>
      <c r="AM429" s="570"/>
      <c r="AN429" s="597"/>
    </row>
    <row r="430" spans="1:55" s="550" customFormat="1" ht="12.75" customHeight="1">
      <c r="A430" s="536"/>
      <c r="B430" s="14"/>
      <c r="C430" s="2444" t="s">
        <v>591</v>
      </c>
      <c r="D430" s="2445"/>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4" t="s">
        <v>1462</v>
      </c>
      <c r="AG430" s="2524"/>
      <c r="AH430" s="2524"/>
      <c r="AI430" s="2524"/>
      <c r="AJ430" s="2524"/>
      <c r="AK430" s="2524"/>
      <c r="AL430" s="2533"/>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25" customHeight="1">
      <c r="A433" s="536"/>
      <c r="C433" s="746"/>
      <c r="D433" s="747"/>
      <c r="E433" s="715" t="s">
        <v>1484</v>
      </c>
      <c r="F433" s="2434" t="s">
        <v>1485</v>
      </c>
      <c r="G433" s="2434"/>
      <c r="H433" s="2434"/>
      <c r="I433" s="2434"/>
      <c r="J433" s="2434"/>
      <c r="K433" s="2434"/>
      <c r="L433" s="2434"/>
      <c r="M433" s="2434"/>
      <c r="N433" s="2434"/>
      <c r="O433" s="2434"/>
      <c r="P433" s="2434"/>
      <c r="Q433" s="2434"/>
      <c r="R433" s="2434"/>
      <c r="S433" s="2434"/>
      <c r="T433" s="2434"/>
      <c r="U433" s="2434"/>
      <c r="V433" s="2434"/>
      <c r="W433" s="2434"/>
      <c r="X433" s="2434"/>
      <c r="Y433" s="2434"/>
      <c r="Z433" s="2434"/>
      <c r="AA433" s="2434"/>
      <c r="AB433" s="2434"/>
      <c r="AC433" s="2434"/>
      <c r="AD433" s="2434"/>
      <c r="AE433" s="2434"/>
      <c r="AF433" s="747"/>
      <c r="AG433" s="747"/>
      <c r="AH433" s="747"/>
      <c r="AI433" s="747"/>
      <c r="AJ433" s="747"/>
      <c r="AK433" s="747"/>
      <c r="AL433" s="748"/>
      <c r="AM433" s="570"/>
      <c r="AO433" s="550"/>
      <c r="AP433" s="550"/>
      <c r="BD433" s="14"/>
      <c r="BE433" s="14"/>
      <c r="BF433" s="14"/>
      <c r="BG433" s="14"/>
      <c r="BH433" s="14"/>
    </row>
    <row r="434" spans="1:60">
      <c r="A434" s="536"/>
      <c r="C434" s="731"/>
      <c r="E434" s="691"/>
      <c r="F434" s="2435"/>
      <c r="G434" s="2435"/>
      <c r="H434" s="2435"/>
      <c r="I434" s="2435"/>
      <c r="J434" s="2435"/>
      <c r="K434" s="2435"/>
      <c r="L434" s="2435"/>
      <c r="M434" s="2435"/>
      <c r="N434" s="2435"/>
      <c r="O434" s="2435"/>
      <c r="P434" s="2435"/>
      <c r="Q434" s="2435"/>
      <c r="R434" s="2435"/>
      <c r="S434" s="2435"/>
      <c r="T434" s="2435"/>
      <c r="U434" s="2435"/>
      <c r="V434" s="2435"/>
      <c r="W434" s="2435"/>
      <c r="X434" s="2435"/>
      <c r="Y434" s="2435"/>
      <c r="Z434" s="2435"/>
      <c r="AA434" s="2435"/>
      <c r="AB434" s="2435"/>
      <c r="AC434" s="2435"/>
      <c r="AD434" s="2435"/>
      <c r="AE434" s="2435"/>
      <c r="AF434" s="594"/>
      <c r="AG434" s="594"/>
      <c r="AH434" s="594"/>
      <c r="AI434" s="594"/>
      <c r="AJ434" s="594"/>
      <c r="AK434" s="594"/>
      <c r="AL434" s="750"/>
      <c r="AM434" s="570"/>
      <c r="AO434" s="550"/>
      <c r="AP434" s="550"/>
    </row>
    <row r="435" spans="1:60" s="550" customFormat="1" ht="12.75" customHeight="1">
      <c r="A435" s="536"/>
      <c r="B435" s="14"/>
      <c r="C435" s="731"/>
      <c r="D435" s="14"/>
      <c r="E435" s="691"/>
      <c r="F435" s="2435"/>
      <c r="G435" s="2435"/>
      <c r="H435" s="2435"/>
      <c r="I435" s="2435"/>
      <c r="J435" s="2435"/>
      <c r="K435" s="2435"/>
      <c r="L435" s="2435"/>
      <c r="M435" s="2435"/>
      <c r="N435" s="2435"/>
      <c r="O435" s="2435"/>
      <c r="P435" s="2435"/>
      <c r="Q435" s="2435"/>
      <c r="R435" s="2435"/>
      <c r="S435" s="2435"/>
      <c r="T435" s="2435"/>
      <c r="U435" s="2435"/>
      <c r="V435" s="2435"/>
      <c r="W435" s="2435"/>
      <c r="X435" s="2435"/>
      <c r="Y435" s="2435"/>
      <c r="Z435" s="2435"/>
      <c r="AA435" s="2435"/>
      <c r="AB435" s="2435"/>
      <c r="AC435" s="2435"/>
      <c r="AD435" s="2435"/>
      <c r="AE435" s="2435"/>
      <c r="AF435" s="594"/>
      <c r="AG435" s="594"/>
      <c r="AH435" s="594"/>
      <c r="AI435" s="594"/>
      <c r="AJ435" s="594"/>
      <c r="AK435" s="594"/>
      <c r="AL435" s="750"/>
      <c r="AM435" s="570"/>
      <c r="AN435" s="597"/>
    </row>
    <row r="436" spans="1:60" s="550" customFormat="1" ht="12.75" customHeight="1">
      <c r="A436" s="536"/>
      <c r="B436" s="14"/>
      <c r="C436" s="751"/>
      <c r="D436" s="730"/>
      <c r="E436" s="719"/>
      <c r="F436" s="2435"/>
      <c r="G436" s="2435"/>
      <c r="H436" s="2435"/>
      <c r="I436" s="2435"/>
      <c r="J436" s="2435"/>
      <c r="K436" s="2435"/>
      <c r="L436" s="2435"/>
      <c r="M436" s="2435"/>
      <c r="N436" s="2435"/>
      <c r="O436" s="2435"/>
      <c r="P436" s="2435"/>
      <c r="Q436" s="2435"/>
      <c r="R436" s="2435"/>
      <c r="S436" s="2435"/>
      <c r="T436" s="2435"/>
      <c r="U436" s="2435"/>
      <c r="V436" s="2435"/>
      <c r="W436" s="2435"/>
      <c r="X436" s="2435"/>
      <c r="Y436" s="2435"/>
      <c r="Z436" s="2435"/>
      <c r="AA436" s="2435"/>
      <c r="AB436" s="2435"/>
      <c r="AC436" s="2435"/>
      <c r="AD436" s="2435"/>
      <c r="AE436" s="2435"/>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5"/>
      <c r="G437" s="2435"/>
      <c r="H437" s="2435"/>
      <c r="I437" s="2435"/>
      <c r="J437" s="2435"/>
      <c r="K437" s="2435"/>
      <c r="L437" s="2435"/>
      <c r="M437" s="2435"/>
      <c r="N437" s="2435"/>
      <c r="O437" s="2435"/>
      <c r="P437" s="2435"/>
      <c r="Q437" s="2435"/>
      <c r="R437" s="2435"/>
      <c r="S437" s="2435"/>
      <c r="T437" s="2435"/>
      <c r="U437" s="2435"/>
      <c r="V437" s="2435"/>
      <c r="W437" s="2435"/>
      <c r="X437" s="2435"/>
      <c r="Y437" s="2435"/>
      <c r="Z437" s="2435"/>
      <c r="AA437" s="2435"/>
      <c r="AB437" s="2435"/>
      <c r="AC437" s="2435"/>
      <c r="AD437" s="2435"/>
      <c r="AE437" s="2435"/>
      <c r="AF437" s="594"/>
      <c r="AG437" s="594"/>
      <c r="AH437" s="594"/>
      <c r="AI437" s="594"/>
      <c r="AJ437" s="594"/>
      <c r="AK437" s="594"/>
      <c r="AL437" s="750"/>
      <c r="AM437" s="570"/>
      <c r="AN437" s="597"/>
    </row>
    <row r="438" spans="1:60" s="550" customFormat="1" ht="12.75" customHeight="1">
      <c r="A438" s="536"/>
      <c r="B438" s="14"/>
      <c r="C438" s="751"/>
      <c r="D438" s="730"/>
      <c r="E438" s="719"/>
      <c r="F438" s="2435"/>
      <c r="G438" s="2435"/>
      <c r="H438" s="2435"/>
      <c r="I438" s="2435"/>
      <c r="J438" s="2435"/>
      <c r="K438" s="2435"/>
      <c r="L438" s="2435"/>
      <c r="M438" s="2435"/>
      <c r="N438" s="2435"/>
      <c r="O438" s="2435"/>
      <c r="P438" s="2435"/>
      <c r="Q438" s="2435"/>
      <c r="R438" s="2435"/>
      <c r="S438" s="2435"/>
      <c r="T438" s="2435"/>
      <c r="U438" s="2435"/>
      <c r="V438" s="2435"/>
      <c r="W438" s="2435"/>
      <c r="X438" s="2435"/>
      <c r="Y438" s="2435"/>
      <c r="Z438" s="2435"/>
      <c r="AA438" s="2435"/>
      <c r="AB438" s="2435"/>
      <c r="AC438" s="2435"/>
      <c r="AD438" s="2435"/>
      <c r="AE438" s="2435"/>
      <c r="AF438" s="594"/>
      <c r="AG438" s="594"/>
      <c r="AH438" s="594"/>
      <c r="AI438" s="594"/>
      <c r="AJ438" s="594"/>
      <c r="AK438" s="594"/>
      <c r="AL438" s="750"/>
      <c r="AM438" s="570"/>
      <c r="AN438" s="597"/>
    </row>
    <row r="439" spans="1:60" s="550" customFormat="1" ht="12.75" customHeight="1">
      <c r="A439" s="536"/>
      <c r="B439" s="14"/>
      <c r="C439" s="751"/>
      <c r="D439" s="730"/>
      <c r="E439" s="719"/>
      <c r="F439" s="2435"/>
      <c r="G439" s="2435"/>
      <c r="H439" s="2435"/>
      <c r="I439" s="2435"/>
      <c r="J439" s="2435"/>
      <c r="K439" s="2435"/>
      <c r="L439" s="2435"/>
      <c r="M439" s="2435"/>
      <c r="N439" s="2435"/>
      <c r="O439" s="2435"/>
      <c r="P439" s="2435"/>
      <c r="Q439" s="2435"/>
      <c r="R439" s="2435"/>
      <c r="S439" s="2435"/>
      <c r="T439" s="2435"/>
      <c r="U439" s="2435"/>
      <c r="V439" s="2435"/>
      <c r="W439" s="2435"/>
      <c r="X439" s="2435"/>
      <c r="Y439" s="2435"/>
      <c r="Z439" s="2435"/>
      <c r="AA439" s="2435"/>
      <c r="AB439" s="2435"/>
      <c r="AC439" s="2435"/>
      <c r="AD439" s="2435"/>
      <c r="AE439" s="2435"/>
      <c r="AF439" s="594"/>
      <c r="AG439" s="594"/>
      <c r="AH439" s="594"/>
      <c r="AI439" s="594"/>
      <c r="AJ439" s="594"/>
      <c r="AK439" s="594"/>
      <c r="AL439" s="750"/>
      <c r="AM439" s="570"/>
      <c r="AN439" s="597"/>
    </row>
    <row r="440" spans="1:60" s="550" customFormat="1" ht="12.75" customHeight="1">
      <c r="A440" s="536"/>
      <c r="B440" s="14"/>
      <c r="C440" s="751"/>
      <c r="D440" s="730"/>
      <c r="E440" s="719"/>
      <c r="F440" s="2435"/>
      <c r="G440" s="2435"/>
      <c r="H440" s="2435"/>
      <c r="I440" s="2435"/>
      <c r="J440" s="2435"/>
      <c r="K440" s="2435"/>
      <c r="L440" s="2435"/>
      <c r="M440" s="2435"/>
      <c r="N440" s="2435"/>
      <c r="O440" s="2435"/>
      <c r="P440" s="2435"/>
      <c r="Q440" s="2435"/>
      <c r="R440" s="2435"/>
      <c r="S440" s="2435"/>
      <c r="T440" s="2435"/>
      <c r="U440" s="2435"/>
      <c r="V440" s="2435"/>
      <c r="W440" s="2435"/>
      <c r="X440" s="2435"/>
      <c r="Y440" s="2435"/>
      <c r="Z440" s="2435"/>
      <c r="AA440" s="2435"/>
      <c r="AB440" s="2435"/>
      <c r="AC440" s="2435"/>
      <c r="AD440" s="2435"/>
      <c r="AE440" s="2435"/>
      <c r="AF440" s="594"/>
      <c r="AG440" s="594"/>
      <c r="AH440" s="594"/>
      <c r="AI440" s="594"/>
      <c r="AJ440" s="594"/>
      <c r="AK440" s="594"/>
      <c r="AL440" s="750"/>
      <c r="AM440" s="570"/>
      <c r="AN440" s="597"/>
    </row>
    <row r="441" spans="1:60" s="550" customFormat="1" ht="17.25" customHeight="1">
      <c r="A441" s="536"/>
      <c r="B441" s="14"/>
      <c r="C441" s="751"/>
      <c r="D441" s="730"/>
      <c r="E441" s="719"/>
      <c r="F441" s="2435"/>
      <c r="G441" s="2435"/>
      <c r="H441" s="2435"/>
      <c r="I441" s="2435"/>
      <c r="J441" s="2435"/>
      <c r="K441" s="2435"/>
      <c r="L441" s="2435"/>
      <c r="M441" s="2435"/>
      <c r="N441" s="2435"/>
      <c r="O441" s="2435"/>
      <c r="P441" s="2435"/>
      <c r="Q441" s="2435"/>
      <c r="R441" s="2435"/>
      <c r="S441" s="2435"/>
      <c r="T441" s="2435"/>
      <c r="U441" s="2435"/>
      <c r="V441" s="2435"/>
      <c r="W441" s="2435"/>
      <c r="X441" s="2435"/>
      <c r="Y441" s="2435"/>
      <c r="Z441" s="2435"/>
      <c r="AA441" s="2435"/>
      <c r="AB441" s="2435"/>
      <c r="AC441" s="2435"/>
      <c r="AD441" s="2435"/>
      <c r="AE441" s="2435"/>
      <c r="AL441" s="732"/>
      <c r="AM441" s="570"/>
      <c r="AN441" s="597"/>
    </row>
    <row r="442" spans="1:60" s="550" customFormat="1" ht="12.75" customHeight="1">
      <c r="A442" s="536"/>
      <c r="B442" s="14"/>
      <c r="C442" s="2444" t="s">
        <v>591</v>
      </c>
      <c r="D442" s="2445"/>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4" t="s">
        <v>1462</v>
      </c>
      <c r="AG442" s="2524"/>
      <c r="AH442" s="2524"/>
      <c r="AI442" s="2524"/>
      <c r="AJ442" s="2524"/>
      <c r="AK442" s="2524"/>
      <c r="AL442" s="2533"/>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434" t="s">
        <v>1488</v>
      </c>
      <c r="G445" s="2434"/>
      <c r="H445" s="2434"/>
      <c r="I445" s="2434"/>
      <c r="J445" s="2434"/>
      <c r="K445" s="2434"/>
      <c r="L445" s="2434"/>
      <c r="M445" s="2434"/>
      <c r="N445" s="2434"/>
      <c r="O445" s="2434"/>
      <c r="P445" s="2434"/>
      <c r="Q445" s="2434"/>
      <c r="R445" s="2434"/>
      <c r="S445" s="2434"/>
      <c r="T445" s="2434"/>
      <c r="U445" s="2434"/>
      <c r="V445" s="2434"/>
      <c r="W445" s="2434"/>
      <c r="X445" s="2434"/>
      <c r="Y445" s="2434"/>
      <c r="Z445" s="2434"/>
      <c r="AA445" s="2434"/>
      <c r="AB445" s="2434"/>
      <c r="AC445" s="2434"/>
      <c r="AD445" s="2434"/>
      <c r="AE445" s="2434"/>
      <c r="AF445" s="714"/>
      <c r="AG445" s="714"/>
      <c r="AH445" s="714"/>
      <c r="AI445" s="714"/>
      <c r="AJ445" s="714"/>
      <c r="AK445" s="714"/>
      <c r="AL445" s="745"/>
      <c r="AM445" s="570"/>
      <c r="AN445" s="597"/>
    </row>
    <row r="446" spans="1:60" s="550" customFormat="1" ht="12.75" customHeight="1">
      <c r="A446" s="536"/>
      <c r="B446" s="14"/>
      <c r="C446" s="751"/>
      <c r="D446" s="730"/>
      <c r="E446" s="719"/>
      <c r="F446" s="2435"/>
      <c r="G446" s="2435"/>
      <c r="H446" s="2435"/>
      <c r="I446" s="2435"/>
      <c r="J446" s="2435"/>
      <c r="K446" s="2435"/>
      <c r="L446" s="2435"/>
      <c r="M446" s="2435"/>
      <c r="N446" s="2435"/>
      <c r="O446" s="2435"/>
      <c r="P446" s="2435"/>
      <c r="Q446" s="2435"/>
      <c r="R446" s="2435"/>
      <c r="S446" s="2435"/>
      <c r="T446" s="2435"/>
      <c r="U446" s="2435"/>
      <c r="V446" s="2435"/>
      <c r="W446" s="2435"/>
      <c r="X446" s="2435"/>
      <c r="Y446" s="2435"/>
      <c r="Z446" s="2435"/>
      <c r="AA446" s="2435"/>
      <c r="AB446" s="2435"/>
      <c r="AC446" s="2435"/>
      <c r="AD446" s="2435"/>
      <c r="AE446" s="2435"/>
      <c r="AF446" s="591"/>
      <c r="AG446" s="591"/>
      <c r="AH446" s="591"/>
      <c r="AI446" s="591"/>
      <c r="AJ446" s="591"/>
      <c r="AK446" s="591"/>
      <c r="AL446" s="720"/>
      <c r="AM446" s="570"/>
      <c r="AN446" s="597"/>
    </row>
    <row r="447" spans="1:60" s="550" customFormat="1" ht="12.75" customHeight="1">
      <c r="A447" s="536"/>
      <c r="B447" s="14"/>
      <c r="C447" s="751"/>
      <c r="D447" s="730"/>
      <c r="E447" s="719"/>
      <c r="F447" s="2435"/>
      <c r="G447" s="2435"/>
      <c r="H447" s="2435"/>
      <c r="I447" s="2435"/>
      <c r="J447" s="2435"/>
      <c r="K447" s="2435"/>
      <c r="L447" s="2435"/>
      <c r="M447" s="2435"/>
      <c r="N447" s="2435"/>
      <c r="O447" s="2435"/>
      <c r="P447" s="2435"/>
      <c r="Q447" s="2435"/>
      <c r="R447" s="2435"/>
      <c r="S447" s="2435"/>
      <c r="T447" s="2435"/>
      <c r="U447" s="2435"/>
      <c r="V447" s="2435"/>
      <c r="W447" s="2435"/>
      <c r="X447" s="2435"/>
      <c r="Y447" s="2435"/>
      <c r="Z447" s="2435"/>
      <c r="AA447" s="2435"/>
      <c r="AB447" s="2435"/>
      <c r="AC447" s="2435"/>
      <c r="AD447" s="2435"/>
      <c r="AE447" s="2435"/>
      <c r="AF447" s="591"/>
      <c r="AG447" s="591"/>
      <c r="AH447" s="591"/>
      <c r="AI447" s="591"/>
      <c r="AJ447" s="591"/>
      <c r="AK447" s="591"/>
      <c r="AL447" s="720"/>
      <c r="AM447" s="570"/>
      <c r="AN447" s="597"/>
    </row>
    <row r="448" spans="1:60" s="550" customFormat="1" ht="12.75" customHeight="1">
      <c r="A448" s="536"/>
      <c r="B448" s="14"/>
      <c r="C448" s="751"/>
      <c r="D448" s="730"/>
      <c r="E448" s="719"/>
      <c r="F448" s="2435"/>
      <c r="G448" s="2435"/>
      <c r="H448" s="2435"/>
      <c r="I448" s="2435"/>
      <c r="J448" s="2435"/>
      <c r="K448" s="2435"/>
      <c r="L448" s="2435"/>
      <c r="M448" s="2435"/>
      <c r="N448" s="2435"/>
      <c r="O448" s="2435"/>
      <c r="P448" s="2435"/>
      <c r="Q448" s="2435"/>
      <c r="R448" s="2435"/>
      <c r="S448" s="2435"/>
      <c r="T448" s="2435"/>
      <c r="U448" s="2435"/>
      <c r="V448" s="2435"/>
      <c r="W448" s="2435"/>
      <c r="X448" s="2435"/>
      <c r="Y448" s="2435"/>
      <c r="Z448" s="2435"/>
      <c r="AA448" s="2435"/>
      <c r="AB448" s="2435"/>
      <c r="AC448" s="2435"/>
      <c r="AD448" s="2435"/>
      <c r="AE448" s="2435"/>
      <c r="AL448" s="732"/>
      <c r="AM448" s="570"/>
      <c r="AN448" s="597"/>
    </row>
    <row r="449" spans="1:40" s="550" customFormat="1" ht="12.75" customHeight="1">
      <c r="A449" s="536"/>
      <c r="B449" s="14"/>
      <c r="C449" s="2444" t="s">
        <v>591</v>
      </c>
      <c r="D449" s="2445"/>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4" t="s">
        <v>1462</v>
      </c>
      <c r="AG449" s="2524"/>
      <c r="AH449" s="2524"/>
      <c r="AI449" s="2524"/>
      <c r="AJ449" s="2524"/>
      <c r="AK449" s="2524"/>
      <c r="AL449" s="2533"/>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60" t="s">
        <v>591</v>
      </c>
      <c r="D453" s="2561"/>
      <c r="E453" s="715" t="s">
        <v>1497</v>
      </c>
      <c r="F453" s="2434" t="s">
        <v>1498</v>
      </c>
      <c r="G453" s="2434"/>
      <c r="H453" s="2434"/>
      <c r="I453" s="2434"/>
      <c r="J453" s="2434"/>
      <c r="K453" s="2434"/>
      <c r="L453" s="2434"/>
      <c r="M453" s="2434"/>
      <c r="N453" s="2434"/>
      <c r="O453" s="2434"/>
      <c r="P453" s="2434"/>
      <c r="Q453" s="2434"/>
      <c r="R453" s="2434"/>
      <c r="S453" s="2434"/>
      <c r="T453" s="2434"/>
      <c r="U453" s="2434"/>
      <c r="V453" s="2434"/>
      <c r="W453" s="2434"/>
      <c r="X453" s="2434"/>
      <c r="Y453" s="2434"/>
      <c r="Z453" s="2434"/>
      <c r="AA453" s="2434"/>
      <c r="AB453" s="2434"/>
      <c r="AC453" s="2434"/>
      <c r="AD453" s="2434"/>
      <c r="AE453" s="2434"/>
      <c r="AF453" s="2462" t="s">
        <v>1462</v>
      </c>
      <c r="AG453" s="2462"/>
      <c r="AH453" s="2462"/>
      <c r="AI453" s="2462"/>
      <c r="AJ453" s="2462"/>
      <c r="AK453" s="2462"/>
      <c r="AL453" s="2463"/>
      <c r="AM453" s="570"/>
      <c r="AN453" s="753"/>
    </row>
    <row r="454" spans="1:40" s="550" customFormat="1" ht="12.75" customHeight="1">
      <c r="A454" s="536"/>
      <c r="B454" s="14"/>
      <c r="C454" s="751"/>
      <c r="D454" s="730"/>
      <c r="E454" s="719"/>
      <c r="F454" s="2435"/>
      <c r="G454" s="2435"/>
      <c r="H454" s="2435"/>
      <c r="I454" s="2435"/>
      <c r="J454" s="2435"/>
      <c r="K454" s="2435"/>
      <c r="L454" s="2435"/>
      <c r="M454" s="2435"/>
      <c r="N454" s="2435"/>
      <c r="O454" s="2435"/>
      <c r="P454" s="2435"/>
      <c r="Q454" s="2435"/>
      <c r="R454" s="2435"/>
      <c r="S454" s="2435"/>
      <c r="T454" s="2435"/>
      <c r="U454" s="2435"/>
      <c r="V454" s="2435"/>
      <c r="W454" s="2435"/>
      <c r="X454" s="2435"/>
      <c r="Y454" s="2435"/>
      <c r="Z454" s="2435"/>
      <c r="AA454" s="2435"/>
      <c r="AB454" s="2435"/>
      <c r="AC454" s="2435"/>
      <c r="AD454" s="2435"/>
      <c r="AE454" s="2435"/>
      <c r="AF454" s="591"/>
      <c r="AG454" s="591"/>
      <c r="AH454" s="591"/>
      <c r="AI454" s="591"/>
      <c r="AJ454" s="591"/>
      <c r="AK454" s="591"/>
      <c r="AL454" s="720"/>
      <c r="AM454" s="570"/>
      <c r="AN454" s="754"/>
    </row>
    <row r="455" spans="1:40" s="550" customFormat="1" ht="17.75" customHeight="1">
      <c r="A455" s="536"/>
      <c r="B455" s="14"/>
      <c r="C455" s="756"/>
      <c r="D455" s="723"/>
      <c r="E455" s="724"/>
      <c r="F455" s="2436"/>
      <c r="G455" s="2436"/>
      <c r="H455" s="2436"/>
      <c r="I455" s="2436"/>
      <c r="J455" s="2436"/>
      <c r="K455" s="2436"/>
      <c r="L455" s="2436"/>
      <c r="M455" s="2436"/>
      <c r="N455" s="2436"/>
      <c r="O455" s="2436"/>
      <c r="P455" s="2436"/>
      <c r="Q455" s="2436"/>
      <c r="R455" s="2436"/>
      <c r="S455" s="2436"/>
      <c r="T455" s="2436"/>
      <c r="U455" s="2436"/>
      <c r="V455" s="2436"/>
      <c r="W455" s="2436"/>
      <c r="X455" s="2436"/>
      <c r="Y455" s="2436"/>
      <c r="Z455" s="2436"/>
      <c r="AA455" s="2436"/>
      <c r="AB455" s="2436"/>
      <c r="AC455" s="2436"/>
      <c r="AD455" s="2436"/>
      <c r="AE455" s="2436"/>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4" t="s">
        <v>591</v>
      </c>
      <c r="D457" s="2445"/>
      <c r="E457" s="715" t="s">
        <v>1503</v>
      </c>
      <c r="F457" s="2434" t="s">
        <v>1504</v>
      </c>
      <c r="G457" s="2434"/>
      <c r="H457" s="2434"/>
      <c r="I457" s="2434"/>
      <c r="J457" s="2434"/>
      <c r="K457" s="2434"/>
      <c r="L457" s="2434"/>
      <c r="M457" s="2434"/>
      <c r="N457" s="2434"/>
      <c r="O457" s="2434"/>
      <c r="P457" s="2434"/>
      <c r="Q457" s="2434"/>
      <c r="R457" s="2434"/>
      <c r="S457" s="2434"/>
      <c r="T457" s="2434"/>
      <c r="U457" s="2434"/>
      <c r="V457" s="2434"/>
      <c r="W457" s="2434"/>
      <c r="X457" s="2434"/>
      <c r="Y457" s="2434"/>
      <c r="Z457" s="2434"/>
      <c r="AA457" s="2434"/>
      <c r="AB457" s="2434"/>
      <c r="AC457" s="2434"/>
      <c r="AD457" s="2434"/>
      <c r="AE457" s="2434"/>
      <c r="AF457" s="2462" t="s">
        <v>1462</v>
      </c>
      <c r="AG457" s="2462"/>
      <c r="AH457" s="2462"/>
      <c r="AI457" s="2462"/>
      <c r="AJ457" s="2462"/>
      <c r="AK457" s="2462"/>
      <c r="AL457" s="2463"/>
      <c r="AM457" s="570"/>
      <c r="AN457" s="535"/>
    </row>
    <row r="458" spans="1:40" s="550" customFormat="1" ht="12.75" customHeight="1">
      <c r="A458" s="536"/>
      <c r="B458" s="14"/>
      <c r="C458" s="731"/>
      <c r="D458" s="14"/>
      <c r="E458" s="691"/>
      <c r="F458" s="2435"/>
      <c r="G458" s="2435"/>
      <c r="H458" s="2435"/>
      <c r="I458" s="2435"/>
      <c r="J458" s="2435"/>
      <c r="K458" s="2435"/>
      <c r="L458" s="2435"/>
      <c r="M458" s="2435"/>
      <c r="N458" s="2435"/>
      <c r="O458" s="2435"/>
      <c r="P458" s="2435"/>
      <c r="Q458" s="2435"/>
      <c r="R458" s="2435"/>
      <c r="S458" s="2435"/>
      <c r="T458" s="2435"/>
      <c r="U458" s="2435"/>
      <c r="V458" s="2435"/>
      <c r="W458" s="2435"/>
      <c r="X458" s="2435"/>
      <c r="Y458" s="2435"/>
      <c r="Z458" s="2435"/>
      <c r="AA458" s="2435"/>
      <c r="AB458" s="2435"/>
      <c r="AC458" s="2435"/>
      <c r="AD458" s="2435"/>
      <c r="AE458" s="2435"/>
      <c r="AF458" s="539"/>
      <c r="AG458" s="536"/>
      <c r="AL458" s="732"/>
      <c r="AM458" s="570"/>
      <c r="AN458" s="535"/>
    </row>
    <row r="459" spans="1:40" s="550" customFormat="1" ht="12.75" customHeight="1">
      <c r="A459" s="536"/>
      <c r="B459" s="14"/>
      <c r="C459" s="731"/>
      <c r="D459" s="14"/>
      <c r="E459" s="691"/>
      <c r="F459" s="2435"/>
      <c r="G459" s="2435"/>
      <c r="H459" s="2435"/>
      <c r="I459" s="2435"/>
      <c r="J459" s="2435"/>
      <c r="K459" s="2435"/>
      <c r="L459" s="2435"/>
      <c r="M459" s="2435"/>
      <c r="N459" s="2435"/>
      <c r="O459" s="2435"/>
      <c r="P459" s="2435"/>
      <c r="Q459" s="2435"/>
      <c r="R459" s="2435"/>
      <c r="S459" s="2435"/>
      <c r="T459" s="2435"/>
      <c r="U459" s="2435"/>
      <c r="V459" s="2435"/>
      <c r="W459" s="2435"/>
      <c r="X459" s="2435"/>
      <c r="Y459" s="2435"/>
      <c r="Z459" s="2435"/>
      <c r="AA459" s="2435"/>
      <c r="AB459" s="2435"/>
      <c r="AC459" s="2435"/>
      <c r="AD459" s="2435"/>
      <c r="AE459" s="2435"/>
      <c r="AF459" s="539"/>
      <c r="AG459" s="536"/>
      <c r="AL459" s="732"/>
      <c r="AM459" s="570"/>
      <c r="AN459" s="535"/>
    </row>
    <row r="460" spans="1:40" s="550" customFormat="1" ht="12.75" customHeight="1">
      <c r="A460" s="536"/>
      <c r="B460" s="14"/>
      <c r="C460" s="756"/>
      <c r="D460" s="723"/>
      <c r="E460" s="724"/>
      <c r="F460" s="2436"/>
      <c r="G460" s="2436"/>
      <c r="H460" s="2436"/>
      <c r="I460" s="2436"/>
      <c r="J460" s="2436"/>
      <c r="K460" s="2436"/>
      <c r="L460" s="2436"/>
      <c r="M460" s="2436"/>
      <c r="N460" s="2436"/>
      <c r="O460" s="2436"/>
      <c r="P460" s="2436"/>
      <c r="Q460" s="2436"/>
      <c r="R460" s="2436"/>
      <c r="S460" s="2436"/>
      <c r="T460" s="2436"/>
      <c r="U460" s="2436"/>
      <c r="V460" s="2436"/>
      <c r="W460" s="2436"/>
      <c r="X460" s="2436"/>
      <c r="Y460" s="2436"/>
      <c r="Z460" s="2436"/>
      <c r="AA460" s="2436"/>
      <c r="AB460" s="2436"/>
      <c r="AC460" s="2436"/>
      <c r="AD460" s="2436"/>
      <c r="AE460" s="2436"/>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434" t="s">
        <v>1507</v>
      </c>
      <c r="G462" s="2434"/>
      <c r="H462" s="2434"/>
      <c r="I462" s="2434"/>
      <c r="J462" s="2434"/>
      <c r="K462" s="2434"/>
      <c r="L462" s="2434"/>
      <c r="M462" s="2434"/>
      <c r="N462" s="2434"/>
      <c r="O462" s="2434"/>
      <c r="P462" s="2434"/>
      <c r="Q462" s="2434"/>
      <c r="R462" s="2434"/>
      <c r="S462" s="2434"/>
      <c r="T462" s="2434"/>
      <c r="U462" s="2434"/>
      <c r="V462" s="2434"/>
      <c r="W462" s="2434"/>
      <c r="X462" s="2434"/>
      <c r="Y462" s="2434"/>
      <c r="Z462" s="2434"/>
      <c r="AA462" s="2434"/>
      <c r="AB462" s="2434"/>
      <c r="AC462" s="2434"/>
      <c r="AD462" s="2434"/>
      <c r="AE462" s="2434"/>
      <c r="AF462" s="2434"/>
      <c r="AG462" s="744"/>
      <c r="AH462" s="714"/>
      <c r="AI462" s="714"/>
      <c r="AJ462" s="714"/>
      <c r="AK462" s="714"/>
      <c r="AL462" s="745"/>
      <c r="AM462" s="570"/>
      <c r="AN462" s="597"/>
    </row>
    <row r="463" spans="1:40" s="550" customFormat="1" ht="12.75" customHeight="1">
      <c r="A463" s="536"/>
      <c r="B463" s="14"/>
      <c r="C463" s="731"/>
      <c r="D463" s="14"/>
      <c r="E463" s="691"/>
      <c r="F463" s="2435"/>
      <c r="G463" s="2435"/>
      <c r="H463" s="2435"/>
      <c r="I463" s="2435"/>
      <c r="J463" s="2435"/>
      <c r="K463" s="2435"/>
      <c r="L463" s="2435"/>
      <c r="M463" s="2435"/>
      <c r="N463" s="2435"/>
      <c r="O463" s="2435"/>
      <c r="P463" s="2435"/>
      <c r="Q463" s="2435"/>
      <c r="R463" s="2435"/>
      <c r="S463" s="2435"/>
      <c r="T463" s="2435"/>
      <c r="U463" s="2435"/>
      <c r="V463" s="2435"/>
      <c r="W463" s="2435"/>
      <c r="X463" s="2435"/>
      <c r="Y463" s="2435"/>
      <c r="Z463" s="2435"/>
      <c r="AA463" s="2435"/>
      <c r="AB463" s="2435"/>
      <c r="AC463" s="2435"/>
      <c r="AD463" s="2435"/>
      <c r="AE463" s="2435"/>
      <c r="AF463" s="2435"/>
      <c r="AL463" s="732"/>
      <c r="AM463" s="570"/>
      <c r="AN463" s="597"/>
    </row>
    <row r="464" spans="1:40" s="550" customFormat="1" ht="12.75" customHeight="1">
      <c r="A464" s="536"/>
      <c r="B464" s="14"/>
      <c r="C464" s="739"/>
      <c r="F464" s="2435"/>
      <c r="G464" s="2435"/>
      <c r="H464" s="2435"/>
      <c r="I464" s="2435"/>
      <c r="J464" s="2435"/>
      <c r="K464" s="2435"/>
      <c r="L464" s="2435"/>
      <c r="M464" s="2435"/>
      <c r="N464" s="2435"/>
      <c r="O464" s="2435"/>
      <c r="P464" s="2435"/>
      <c r="Q464" s="2435"/>
      <c r="R464" s="2435"/>
      <c r="S464" s="2435"/>
      <c r="T464" s="2435"/>
      <c r="U464" s="2435"/>
      <c r="V464" s="2435"/>
      <c r="W464" s="2435"/>
      <c r="X464" s="2435"/>
      <c r="Y464" s="2435"/>
      <c r="Z464" s="2435"/>
      <c r="AA464" s="2435"/>
      <c r="AB464" s="2435"/>
      <c r="AC464" s="2435"/>
      <c r="AD464" s="2435"/>
      <c r="AE464" s="2435"/>
      <c r="AF464" s="2435"/>
      <c r="AL464" s="732"/>
      <c r="AM464" s="570"/>
      <c r="AN464" s="597"/>
    </row>
    <row r="465" spans="1:58" s="550" customFormat="1" ht="12.75" customHeight="1">
      <c r="A465" s="536"/>
      <c r="B465" s="14"/>
      <c r="C465" s="739"/>
      <c r="F465" s="2435"/>
      <c r="G465" s="2435"/>
      <c r="H465" s="2435"/>
      <c r="I465" s="2435"/>
      <c r="J465" s="2435"/>
      <c r="K465" s="2435"/>
      <c r="L465" s="2435"/>
      <c r="M465" s="2435"/>
      <c r="N465" s="2435"/>
      <c r="O465" s="2435"/>
      <c r="P465" s="2435"/>
      <c r="Q465" s="2435"/>
      <c r="R465" s="2435"/>
      <c r="S465" s="2435"/>
      <c r="T465" s="2435"/>
      <c r="U465" s="2435"/>
      <c r="V465" s="2435"/>
      <c r="W465" s="2435"/>
      <c r="X465" s="2435"/>
      <c r="Y465" s="2435"/>
      <c r="Z465" s="2435"/>
      <c r="AA465" s="2435"/>
      <c r="AB465" s="2435"/>
      <c r="AC465" s="2435"/>
      <c r="AD465" s="2435"/>
      <c r="AE465" s="2435"/>
      <c r="AF465" s="2435"/>
      <c r="AL465" s="732"/>
      <c r="AM465" s="570"/>
      <c r="AN465" s="597"/>
    </row>
    <row r="466" spans="1:58" s="550" customFormat="1" ht="12.75" customHeight="1">
      <c r="A466" s="536"/>
      <c r="B466" s="14"/>
      <c r="C466" s="2444" t="s">
        <v>591</v>
      </c>
      <c r="D466" s="2445"/>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6" t="s">
        <v>1462</v>
      </c>
      <c r="AG466" s="2446"/>
      <c r="AH466" s="2446"/>
      <c r="AI466" s="2446"/>
      <c r="AJ466" s="2446"/>
      <c r="AK466" s="2446"/>
      <c r="AL466" s="2447"/>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31">
        <f>IF(Application!D214="N/A",AS358,AS360)</f>
        <v>12</v>
      </c>
      <c r="AL469" s="2432"/>
      <c r="AM469" s="2433"/>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1510</v>
      </c>
      <c r="C472" s="539"/>
      <c r="E472" s="596"/>
      <c r="AE472" s="2446" t="s">
        <v>1511</v>
      </c>
      <c r="AF472" s="2446"/>
      <c r="AG472" s="2446"/>
      <c r="AH472" s="2446"/>
      <c r="AI472" s="2446"/>
      <c r="AJ472" s="2446"/>
      <c r="AK472" s="2446"/>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453" t="s">
        <v>591</v>
      </c>
      <c r="D478" s="2454"/>
      <c r="E478" s="761" t="s">
        <v>507</v>
      </c>
      <c r="F478" s="2531" t="s">
        <v>1517</v>
      </c>
      <c r="G478" s="2531"/>
      <c r="H478" s="2531"/>
      <c r="I478" s="2531"/>
      <c r="J478" s="2531"/>
      <c r="K478" s="2531"/>
      <c r="L478" s="2531"/>
      <c r="M478" s="2531"/>
      <c r="N478" s="2531"/>
      <c r="O478" s="2531"/>
      <c r="P478" s="2531"/>
      <c r="Q478" s="2531"/>
      <c r="R478" s="2531"/>
      <c r="S478" s="2531"/>
      <c r="T478" s="2531"/>
      <c r="U478" s="2531"/>
      <c r="V478" s="2531"/>
      <c r="W478" s="2531"/>
      <c r="X478" s="2531"/>
      <c r="Y478" s="2531"/>
      <c r="Z478" s="2531"/>
      <c r="AA478" s="2531"/>
      <c r="AB478" s="2531"/>
      <c r="AC478" s="2531"/>
      <c r="AD478" s="2531"/>
      <c r="AE478" s="2531"/>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32"/>
      <c r="G479" s="2532"/>
      <c r="H479" s="2532"/>
      <c r="I479" s="2532"/>
      <c r="J479" s="2532"/>
      <c r="K479" s="2532"/>
      <c r="L479" s="2532"/>
      <c r="M479" s="2532"/>
      <c r="N479" s="2532"/>
      <c r="O479" s="2532"/>
      <c r="P479" s="2532"/>
      <c r="Q479" s="2532"/>
      <c r="R479" s="2532"/>
      <c r="S479" s="2532"/>
      <c r="T479" s="2532"/>
      <c r="U479" s="2532"/>
      <c r="V479" s="2532"/>
      <c r="W479" s="2532"/>
      <c r="X479" s="2532"/>
      <c r="Y479" s="2532"/>
      <c r="Z479" s="2532"/>
      <c r="AA479" s="2532"/>
      <c r="AB479" s="2532"/>
      <c r="AC479" s="2532"/>
      <c r="AD479" s="2532"/>
      <c r="AE479" s="2532"/>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459" t="s">
        <v>591</v>
      </c>
      <c r="G480" s="2459"/>
      <c r="H480" s="2459"/>
      <c r="I480" s="2459"/>
      <c r="J480" s="2459"/>
      <c r="K480" s="2459"/>
      <c r="L480" s="2459"/>
      <c r="M480" s="2459"/>
      <c r="N480" s="2459"/>
      <c r="O480" s="2459"/>
      <c r="P480" s="2459"/>
      <c r="Q480" s="2459"/>
      <c r="R480" s="2459"/>
      <c r="S480" s="2459"/>
      <c r="T480" s="2459"/>
      <c r="U480" s="2459"/>
      <c r="V480" s="2459"/>
      <c r="W480" s="2459"/>
      <c r="X480" s="2459"/>
      <c r="Y480" s="2459"/>
      <c r="Z480" s="2459"/>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460" t="s">
        <v>545</v>
      </c>
      <c r="D482" s="2461"/>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439" t="s">
        <v>591</v>
      </c>
      <c r="W485" s="2439"/>
      <c r="X485" s="2439"/>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439" t="s">
        <v>591</v>
      </c>
      <c r="W487" s="2439"/>
      <c r="X487" s="2439"/>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439" t="s">
        <v>591</v>
      </c>
      <c r="W492" s="2439"/>
      <c r="X492" s="2439"/>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458"/>
      <c r="E495" s="2458"/>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439" t="s">
        <v>591</v>
      </c>
      <c r="W496" s="2439"/>
      <c r="X496" s="2439"/>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439" t="s">
        <v>591</v>
      </c>
      <c r="W498" s="2439"/>
      <c r="X498" s="2439"/>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3" t="s">
        <v>591</v>
      </c>
      <c r="D501" s="2454"/>
      <c r="E501" s="761" t="s">
        <v>507</v>
      </c>
      <c r="F501" s="2531" t="s">
        <v>1517</v>
      </c>
      <c r="G501" s="2531"/>
      <c r="H501" s="2531"/>
      <c r="I501" s="2531"/>
      <c r="J501" s="2531"/>
      <c r="K501" s="2531"/>
      <c r="L501" s="2531"/>
      <c r="M501" s="2531"/>
      <c r="N501" s="2531"/>
      <c r="O501" s="2531"/>
      <c r="P501" s="2531"/>
      <c r="Q501" s="2531"/>
      <c r="R501" s="2531"/>
      <c r="S501" s="2531"/>
      <c r="T501" s="2531"/>
      <c r="U501" s="2531"/>
      <c r="V501" s="2531"/>
      <c r="W501" s="2531"/>
      <c r="X501" s="2531"/>
      <c r="Y501" s="2531"/>
      <c r="Z501" s="2531"/>
      <c r="AA501" s="2531"/>
      <c r="AB501" s="2531"/>
      <c r="AC501" s="2531"/>
      <c r="AD501" s="2531"/>
      <c r="AE501" s="2531"/>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32"/>
      <c r="G502" s="2532"/>
      <c r="H502" s="2532"/>
      <c r="I502" s="2532"/>
      <c r="J502" s="2532"/>
      <c r="K502" s="2532"/>
      <c r="L502" s="2532"/>
      <c r="M502" s="2532"/>
      <c r="N502" s="2532"/>
      <c r="O502" s="2532"/>
      <c r="P502" s="2532"/>
      <c r="Q502" s="2532"/>
      <c r="R502" s="2532"/>
      <c r="S502" s="2532"/>
      <c r="T502" s="2532"/>
      <c r="U502" s="2532"/>
      <c r="V502" s="2532"/>
      <c r="W502" s="2532"/>
      <c r="X502" s="2532"/>
      <c r="Y502" s="2532"/>
      <c r="Z502" s="2532"/>
      <c r="AA502" s="2532"/>
      <c r="AB502" s="2532"/>
      <c r="AC502" s="2532"/>
      <c r="AD502" s="2532"/>
      <c r="AE502" s="2532"/>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52" t="s">
        <v>591</v>
      </c>
      <c r="G503" s="2452"/>
      <c r="H503" s="2452"/>
      <c r="I503" s="2452"/>
      <c r="J503" s="2452"/>
      <c r="K503" s="2452"/>
      <c r="L503" s="2452"/>
      <c r="M503" s="2452"/>
      <c r="N503" s="2452"/>
      <c r="O503" s="2452"/>
      <c r="P503" s="2452"/>
      <c r="Q503" s="2452"/>
      <c r="R503" s="2452"/>
      <c r="S503" s="2452"/>
      <c r="T503" s="2452"/>
      <c r="U503" s="2452"/>
      <c r="V503" s="2452"/>
      <c r="W503" s="2452"/>
      <c r="X503" s="2452"/>
      <c r="Y503" s="2452"/>
      <c r="Z503" s="2452"/>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3" t="s">
        <v>591</v>
      </c>
      <c r="D505" s="2454"/>
      <c r="E505" s="761" t="s">
        <v>757</v>
      </c>
      <c r="F505" s="2455" t="s">
        <v>1539</v>
      </c>
      <c r="G505" s="2455"/>
      <c r="H505" s="2455"/>
      <c r="I505" s="2455"/>
      <c r="J505" s="2455"/>
      <c r="K505" s="2455"/>
      <c r="L505" s="2455"/>
      <c r="M505" s="2455"/>
      <c r="N505" s="2455"/>
      <c r="O505" s="2455"/>
      <c r="P505" s="2455"/>
      <c r="Q505" s="2455"/>
      <c r="R505" s="2455"/>
      <c r="S505" s="2455"/>
      <c r="T505" s="2455"/>
      <c r="U505" s="2455"/>
      <c r="V505" s="2455"/>
      <c r="W505" s="2455"/>
      <c r="X505" s="2455"/>
      <c r="Y505" s="2455"/>
      <c r="Z505" s="2455"/>
      <c r="AA505" s="2455"/>
      <c r="AB505" s="2455"/>
      <c r="AC505" s="2455"/>
      <c r="AD505" s="2455"/>
      <c r="AE505" s="2455"/>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6"/>
      <c r="G506" s="2456"/>
      <c r="H506" s="2456"/>
      <c r="I506" s="2456"/>
      <c r="J506" s="2456"/>
      <c r="K506" s="2456"/>
      <c r="L506" s="2456"/>
      <c r="M506" s="2456"/>
      <c r="N506" s="2456"/>
      <c r="O506" s="2456"/>
      <c r="P506" s="2456"/>
      <c r="Q506" s="2456"/>
      <c r="R506" s="2456"/>
      <c r="S506" s="2456"/>
      <c r="T506" s="2456"/>
      <c r="U506" s="2456"/>
      <c r="V506" s="2456"/>
      <c r="W506" s="2456"/>
      <c r="X506" s="2456"/>
      <c r="Y506" s="2456"/>
      <c r="Z506" s="2456"/>
      <c r="AA506" s="2456"/>
      <c r="AB506" s="2456"/>
      <c r="AC506" s="2456"/>
      <c r="AD506" s="2456"/>
      <c r="AE506" s="2456"/>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7" t="s">
        <v>591</v>
      </c>
      <c r="G508" s="2457"/>
      <c r="H508" s="2457"/>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53" t="s">
        <v>591</v>
      </c>
      <c r="D510" s="2454"/>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73"/>
      <c r="D512" s="2458"/>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4" t="s">
        <v>591</v>
      </c>
      <c r="H513" s="2474"/>
      <c r="I513" s="2474"/>
      <c r="J513" s="2474"/>
      <c r="K513" s="2474"/>
      <c r="L513" s="2474"/>
      <c r="M513" s="2474"/>
      <c r="N513" s="2474"/>
      <c r="O513" s="2474"/>
      <c r="P513" s="2474"/>
      <c r="Q513" s="2474"/>
      <c r="R513" s="2474"/>
      <c r="S513" s="2474"/>
      <c r="T513" s="2474"/>
      <c r="U513" s="2474"/>
      <c r="V513" s="2474"/>
      <c r="W513" s="2474"/>
      <c r="X513" s="2474"/>
      <c r="Y513" s="2474"/>
      <c r="Z513" s="2474"/>
      <c r="AA513" s="2474"/>
      <c r="AB513" s="2474"/>
      <c r="AC513" s="2474"/>
      <c r="AD513" s="2474"/>
      <c r="AE513" s="2474"/>
      <c r="AF513" s="2474"/>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5" t="s">
        <v>591</v>
      </c>
      <c r="D515" s="2526"/>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5" t="s">
        <v>591</v>
      </c>
      <c r="D519" s="2526"/>
      <c r="F519" s="795" t="s">
        <v>1547</v>
      </c>
      <c r="G519" s="2435" t="s">
        <v>1548</v>
      </c>
      <c r="H519" s="2435"/>
      <c r="I519" s="2435"/>
      <c r="J519" s="2435"/>
      <c r="K519" s="2435"/>
      <c r="L519" s="2435"/>
      <c r="M519" s="2435"/>
      <c r="N519" s="2435"/>
      <c r="O519" s="2435"/>
      <c r="P519" s="2435"/>
      <c r="Q519" s="2435"/>
      <c r="R519" s="2435"/>
      <c r="S519" s="2435"/>
      <c r="T519" s="2435"/>
      <c r="U519" s="2435"/>
      <c r="V519" s="2435"/>
      <c r="W519" s="2435"/>
      <c r="X519" s="2435"/>
      <c r="Y519" s="2435"/>
      <c r="Z519" s="2435"/>
      <c r="AA519" s="2435"/>
      <c r="AB519" s="2435"/>
      <c r="AC519" s="2435"/>
      <c r="AD519" s="2435"/>
      <c r="AE519" s="2435"/>
      <c r="AF519" s="2435"/>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6"/>
      <c r="H520" s="2436"/>
      <c r="I520" s="2436"/>
      <c r="J520" s="2436"/>
      <c r="K520" s="2436"/>
      <c r="L520" s="2436"/>
      <c r="M520" s="2436"/>
      <c r="N520" s="2436"/>
      <c r="O520" s="2436"/>
      <c r="P520" s="2436"/>
      <c r="Q520" s="2436"/>
      <c r="R520" s="2436"/>
      <c r="S520" s="2436"/>
      <c r="T520" s="2436"/>
      <c r="U520" s="2436"/>
      <c r="V520" s="2436"/>
      <c r="W520" s="2436"/>
      <c r="X520" s="2436"/>
      <c r="Y520" s="2436"/>
      <c r="Z520" s="2436"/>
      <c r="AA520" s="2436"/>
      <c r="AB520" s="2436"/>
      <c r="AC520" s="2436"/>
      <c r="AD520" s="2436"/>
      <c r="AE520" s="2436"/>
      <c r="AF520" s="2436"/>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7" t="s">
        <v>591</v>
      </c>
      <c r="D523" s="2528"/>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9" t="s">
        <v>591</v>
      </c>
      <c r="G524" s="2529"/>
      <c r="H524" s="2529"/>
      <c r="I524" s="2529"/>
      <c r="J524" s="2529"/>
      <c r="K524" s="2529"/>
      <c r="L524" s="2529"/>
      <c r="M524" s="2529"/>
      <c r="N524" s="2529"/>
      <c r="O524" s="2529"/>
      <c r="P524" s="2529"/>
      <c r="Q524" s="2529"/>
      <c r="R524" s="2529"/>
      <c r="S524" s="2529"/>
      <c r="T524" s="2529"/>
      <c r="U524" s="2529"/>
      <c r="V524" s="2529"/>
      <c r="W524" s="2529"/>
      <c r="X524" s="2529"/>
      <c r="Y524" s="2529"/>
      <c r="Z524" s="2529"/>
      <c r="AA524" s="2529"/>
      <c r="AB524" s="2529"/>
      <c r="AC524" s="2529"/>
      <c r="AD524" s="2529"/>
      <c r="AE524" s="2529"/>
      <c r="AF524" s="2529"/>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30"/>
      <c r="G525" s="2530"/>
      <c r="H525" s="2530"/>
      <c r="I525" s="2530"/>
      <c r="J525" s="2530"/>
      <c r="K525" s="2530"/>
      <c r="L525" s="2530"/>
      <c r="M525" s="2530"/>
      <c r="N525" s="2530"/>
      <c r="O525" s="2530"/>
      <c r="P525" s="2530"/>
      <c r="Q525" s="2530"/>
      <c r="R525" s="2530"/>
      <c r="S525" s="2530"/>
      <c r="T525" s="2530"/>
      <c r="U525" s="2530"/>
      <c r="V525" s="2530"/>
      <c r="W525" s="2530"/>
      <c r="X525" s="2530"/>
      <c r="Y525" s="2530"/>
      <c r="Z525" s="2530"/>
      <c r="AA525" s="2530"/>
      <c r="AB525" s="2530"/>
      <c r="AC525" s="2530"/>
      <c r="AD525" s="2530"/>
      <c r="AE525" s="2530"/>
      <c r="AF525" s="2530"/>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31">
        <f>SUM(AG479:AG524)</f>
        <v>0</v>
      </c>
      <c r="AL535" s="2432"/>
      <c r="AM535" s="2433"/>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4"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4" t="s">
        <v>1560</v>
      </c>
      <c r="AF538" s="2464"/>
      <c r="AG538" s="2464"/>
      <c r="AH538" s="2464"/>
      <c r="AI538" s="2464"/>
      <c r="AJ538" s="2464"/>
      <c r="AK538" s="2464"/>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5" t="s">
        <v>545</v>
      </c>
      <c r="D541" s="2445"/>
      <c r="E541" s="551"/>
      <c r="F541" s="2467" t="s">
        <v>1561</v>
      </c>
      <c r="G541" s="2468"/>
      <c r="H541" s="2468"/>
      <c r="I541" s="2468"/>
      <c r="J541" s="2468"/>
      <c r="K541" s="2468"/>
      <c r="L541" s="2468"/>
      <c r="M541" s="2468"/>
      <c r="N541" s="2468"/>
      <c r="O541" s="2468"/>
      <c r="P541" s="2468"/>
      <c r="Q541" s="2468"/>
      <c r="R541" s="2468"/>
      <c r="S541" s="2468"/>
      <c r="T541" s="2468"/>
      <c r="U541" s="2468"/>
      <c r="V541" s="2468"/>
      <c r="W541" s="2468"/>
      <c r="X541" s="2468"/>
      <c r="Y541" s="2468"/>
      <c r="Z541" s="2468"/>
      <c r="AA541" s="2468"/>
      <c r="AB541" s="2468"/>
      <c r="AC541" s="2468"/>
      <c r="AD541" s="2468"/>
      <c r="AE541" s="2468"/>
      <c r="AF541" s="2468"/>
      <c r="AG541" s="2468"/>
      <c r="AH541" s="2468"/>
      <c r="AI541" s="2468"/>
      <c r="AJ541" s="2468"/>
      <c r="AK541" s="2468"/>
      <c r="AL541" s="2469"/>
      <c r="AM541" s="595"/>
      <c r="AN541" s="597"/>
    </row>
    <row r="542" spans="1:81" s="550" customFormat="1" ht="12.75" customHeight="1">
      <c r="A542" s="539"/>
      <c r="B542" s="539"/>
      <c r="C542" s="551"/>
      <c r="D542" s="551"/>
      <c r="E542" s="551"/>
      <c r="F542" s="2470"/>
      <c r="G542" s="2471"/>
      <c r="H542" s="2471"/>
      <c r="I542" s="2471"/>
      <c r="J542" s="2471"/>
      <c r="K542" s="2471"/>
      <c r="L542" s="2471"/>
      <c r="M542" s="2471"/>
      <c r="N542" s="2471"/>
      <c r="O542" s="2471"/>
      <c r="P542" s="2471"/>
      <c r="Q542" s="2471"/>
      <c r="R542" s="2471"/>
      <c r="S542" s="2471"/>
      <c r="T542" s="2471"/>
      <c r="U542" s="2471"/>
      <c r="V542" s="2471"/>
      <c r="W542" s="2471"/>
      <c r="X542" s="2471"/>
      <c r="Y542" s="2471"/>
      <c r="Z542" s="2471"/>
      <c r="AA542" s="2471"/>
      <c r="AB542" s="2471"/>
      <c r="AC542" s="2471"/>
      <c r="AD542" s="2471"/>
      <c r="AE542" s="2471"/>
      <c r="AF542" s="2471"/>
      <c r="AG542" s="2471"/>
      <c r="AH542" s="2471"/>
      <c r="AI542" s="2471"/>
      <c r="AJ542" s="2471"/>
      <c r="AK542" s="2471"/>
      <c r="AL542" s="2472"/>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5" t="s">
        <v>591</v>
      </c>
      <c r="D544" s="2445"/>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3" t="s">
        <v>1563</v>
      </c>
      <c r="G545" s="2424"/>
      <c r="H545" s="2424"/>
      <c r="I545" s="2424"/>
      <c r="J545" s="2424"/>
      <c r="K545" s="2424"/>
      <c r="L545" s="2424"/>
      <c r="M545" s="2424"/>
      <c r="N545" s="2424"/>
      <c r="O545" s="2424"/>
      <c r="P545" s="2424"/>
      <c r="Q545" s="2424"/>
      <c r="R545" s="2424"/>
      <c r="S545" s="2424"/>
      <c r="T545" s="2424"/>
      <c r="U545" s="2424"/>
      <c r="V545" s="2424"/>
      <c r="W545" s="2424"/>
      <c r="X545" s="2424"/>
      <c r="Y545" s="2424"/>
      <c r="Z545" s="2424"/>
      <c r="AA545" s="2424"/>
      <c r="AB545" s="2424"/>
      <c r="AC545" s="2424"/>
      <c r="AD545" s="2424"/>
      <c r="AE545" s="2424"/>
      <c r="AF545" s="2424"/>
      <c r="AG545" s="2424"/>
      <c r="AH545" s="2424"/>
      <c r="AI545" s="2424"/>
      <c r="AJ545" s="2424"/>
      <c r="AK545" s="2424"/>
      <c r="AL545" s="2425"/>
      <c r="AM545" s="595"/>
      <c r="AN545" s="597"/>
      <c r="AS545" s="870"/>
      <c r="AT545" s="870"/>
      <c r="AU545" s="870"/>
      <c r="AV545" s="870"/>
      <c r="AW545" s="870"/>
    </row>
    <row r="546" spans="1:49" s="550" customFormat="1" ht="12.75" customHeight="1">
      <c r="B546" s="806"/>
      <c r="C546" s="806"/>
      <c r="D546" s="806"/>
      <c r="E546" s="806"/>
      <c r="F546" s="2423"/>
      <c r="G546" s="2424"/>
      <c r="H546" s="2424"/>
      <c r="I546" s="2424"/>
      <c r="J546" s="2424"/>
      <c r="K546" s="2424"/>
      <c r="L546" s="2424"/>
      <c r="M546" s="2424"/>
      <c r="N546" s="2424"/>
      <c r="O546" s="2424"/>
      <c r="P546" s="2424"/>
      <c r="Q546" s="2424"/>
      <c r="R546" s="2424"/>
      <c r="S546" s="2424"/>
      <c r="T546" s="2424"/>
      <c r="U546" s="2424"/>
      <c r="V546" s="2424"/>
      <c r="W546" s="2424"/>
      <c r="X546" s="2424"/>
      <c r="Y546" s="2424"/>
      <c r="Z546" s="2424"/>
      <c r="AA546" s="2424"/>
      <c r="AB546" s="2424"/>
      <c r="AC546" s="2424"/>
      <c r="AD546" s="2424"/>
      <c r="AE546" s="2424"/>
      <c r="AF546" s="2424"/>
      <c r="AG546" s="2424"/>
      <c r="AH546" s="2424"/>
      <c r="AI546" s="2424"/>
      <c r="AJ546" s="2424"/>
      <c r="AK546" s="2424"/>
      <c r="AL546" s="2425"/>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3" t="s">
        <v>1564</v>
      </c>
      <c r="G548" s="2424"/>
      <c r="H548" s="2424"/>
      <c r="I548" s="2424"/>
      <c r="J548" s="2424"/>
      <c r="K548" s="2424"/>
      <c r="L548" s="2424"/>
      <c r="M548" s="2424"/>
      <c r="N548" s="2424"/>
      <c r="O548" s="2424"/>
      <c r="P548" s="2424"/>
      <c r="Q548" s="2424"/>
      <c r="R548" s="2424"/>
      <c r="S548" s="2424"/>
      <c r="T548" s="2424"/>
      <c r="U548" s="2424"/>
      <c r="V548" s="2424"/>
      <c r="W548" s="2424"/>
      <c r="X548" s="2424"/>
      <c r="Y548" s="2424"/>
      <c r="Z548" s="2424"/>
      <c r="AA548" s="2424"/>
      <c r="AB548" s="2424"/>
      <c r="AC548" s="2424"/>
      <c r="AD548" s="2424"/>
      <c r="AE548" s="2424"/>
      <c r="AF548" s="2424"/>
      <c r="AG548" s="2424"/>
      <c r="AH548" s="2424"/>
      <c r="AI548" s="2424"/>
      <c r="AJ548" s="2424"/>
      <c r="AK548" s="2424"/>
      <c r="AL548" s="813"/>
      <c r="AM548" s="595"/>
      <c r="AN548" s="597"/>
    </row>
    <row r="549" spans="1:49" s="550" customFormat="1" ht="12.75" customHeight="1">
      <c r="B549" s="806"/>
      <c r="C549" s="806"/>
      <c r="D549" s="806"/>
      <c r="E549" s="806"/>
      <c r="F549" s="2426"/>
      <c r="G549" s="2427"/>
      <c r="H549" s="2427"/>
      <c r="I549" s="2427"/>
      <c r="J549" s="2427"/>
      <c r="K549" s="2427"/>
      <c r="L549" s="2427"/>
      <c r="M549" s="2427"/>
      <c r="N549" s="2427"/>
      <c r="O549" s="2427"/>
      <c r="P549" s="2427"/>
      <c r="Q549" s="2427"/>
      <c r="R549" s="2427"/>
      <c r="S549" s="2427"/>
      <c r="T549" s="2427"/>
      <c r="U549" s="2427"/>
      <c r="V549" s="2427"/>
      <c r="W549" s="2427"/>
      <c r="X549" s="2427"/>
      <c r="Y549" s="2427"/>
      <c r="Z549" s="2427"/>
      <c r="AA549" s="2427"/>
      <c r="AB549" s="2427"/>
      <c r="AC549" s="2427"/>
      <c r="AD549" s="2427"/>
      <c r="AE549" s="2427"/>
      <c r="AF549" s="2427"/>
      <c r="AG549" s="2427"/>
      <c r="AH549" s="2427"/>
      <c r="AI549" s="2427"/>
      <c r="AJ549" s="2427"/>
      <c r="AK549" s="2427"/>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22">
        <f>Application!AJ992</f>
        <v>67476034</v>
      </c>
      <c r="AQ550" s="2422"/>
      <c r="AR550" s="2422"/>
      <c r="AS550" s="550" t="s">
        <v>2169</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8">
        <f>'Sources and Uses Budget'!S107+'Sources and Uses Budget'!T107</f>
        <v>58183073</v>
      </c>
      <c r="AG551" s="2428"/>
      <c r="AH551" s="2428"/>
      <c r="AI551" s="2428"/>
      <c r="AJ551" s="2428"/>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9">
        <f>IFERROR(AP559,0)</f>
        <v>130989139.53999999</v>
      </c>
      <c r="AG552" s="2429"/>
      <c r="AH552" s="2429"/>
      <c r="AI552" s="2429"/>
      <c r="AJ552" s="2429"/>
      <c r="AK552" s="595"/>
      <c r="AL552" s="595"/>
      <c r="AM552" s="595"/>
      <c r="AN552" s="597"/>
      <c r="AP552" s="2422">
        <f>Application!AJ1045</f>
        <v>26315653.260000002</v>
      </c>
      <c r="AQ552" s="2422"/>
      <c r="AR552" s="2422"/>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30">
        <f>IFERROR(ROUNDDOWN(IF(C544="YES",((1-(AF551/AF552))*2),(1-(AF551/AF552))),2),0)</f>
        <v>0.55000000000000004</v>
      </c>
      <c r="AG553" s="2430"/>
      <c r="AH553" s="2430"/>
      <c r="AI553" s="2430"/>
      <c r="AJ553" s="2430"/>
      <c r="AK553" s="595"/>
      <c r="AL553" s="595"/>
      <c r="AM553" s="595"/>
      <c r="AN553" s="597"/>
      <c r="AP553" s="2418">
        <f>Application!AJ1049</f>
        <v>14844727.48</v>
      </c>
      <c r="AQ553" s="2418"/>
      <c r="AR553" s="2418"/>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7">
        <f>IF(((AP552+AP553)/AP550)&gt;0.8,0.8,((AP552+AP553)/AP550))</f>
        <v>0.61</v>
      </c>
      <c r="AQ554" s="2437"/>
      <c r="AR554" s="2437"/>
      <c r="AS554" s="550" t="s">
        <v>2171</v>
      </c>
    </row>
    <row r="555" spans="1:49" s="550" customFormat="1" ht="12.75" customHeight="1">
      <c r="A555" s="624"/>
      <c r="B555" s="2504" t="s">
        <v>2031</v>
      </c>
      <c r="C555" s="2505"/>
      <c r="D555" s="2505"/>
      <c r="E555" s="2505"/>
      <c r="F555" s="2505"/>
      <c r="G555" s="2505"/>
      <c r="H555" s="2505"/>
      <c r="I555" s="2505"/>
      <c r="J555" s="2505"/>
      <c r="K555" s="2505"/>
      <c r="L555" s="2505"/>
      <c r="M555" s="2505"/>
      <c r="N555" s="2505"/>
      <c r="O555" s="2505"/>
      <c r="P555" s="2505"/>
      <c r="Q555" s="2505"/>
      <c r="R555" s="2505"/>
      <c r="S555" s="2505"/>
      <c r="T555" s="2505"/>
      <c r="U555" s="2505"/>
      <c r="V555" s="2505"/>
      <c r="W555" s="2505"/>
      <c r="X555" s="2505"/>
      <c r="Y555" s="2505"/>
      <c r="Z555" s="2505"/>
      <c r="AA555" s="2505"/>
      <c r="AB555" s="2505"/>
      <c r="AC555" s="2505"/>
      <c r="AD555" s="2505"/>
      <c r="AE555" s="2505"/>
      <c r="AF555" s="2505"/>
      <c r="AG555" s="2505"/>
      <c r="AH555" s="2505"/>
      <c r="AI555" s="2505"/>
      <c r="AJ555" s="2506"/>
      <c r="AK555" s="595"/>
      <c r="AL555" s="595"/>
      <c r="AM555" s="595"/>
      <c r="AN555" s="597"/>
    </row>
    <row r="556" spans="1:49" s="550" customFormat="1" ht="12.75" customHeight="1">
      <c r="A556" s="624"/>
      <c r="B556" s="2507"/>
      <c r="C556" s="2508"/>
      <c r="D556" s="2508"/>
      <c r="E556" s="2508"/>
      <c r="F556" s="2508"/>
      <c r="G556" s="2508"/>
      <c r="H556" s="2508"/>
      <c r="I556" s="2508"/>
      <c r="J556" s="2508"/>
      <c r="K556" s="2508"/>
      <c r="L556" s="2508"/>
      <c r="M556" s="2508"/>
      <c r="N556" s="2508"/>
      <c r="O556" s="2508"/>
      <c r="P556" s="2508"/>
      <c r="Q556" s="2508"/>
      <c r="R556" s="2508"/>
      <c r="S556" s="2508"/>
      <c r="T556" s="2508"/>
      <c r="U556" s="2508"/>
      <c r="V556" s="2508"/>
      <c r="W556" s="2508"/>
      <c r="X556" s="2508"/>
      <c r="Y556" s="2508"/>
      <c r="Z556" s="2508"/>
      <c r="AA556" s="2508"/>
      <c r="AB556" s="2508"/>
      <c r="AC556" s="2508"/>
      <c r="AD556" s="2508"/>
      <c r="AE556" s="2508"/>
      <c r="AF556" s="2508"/>
      <c r="AG556" s="2508"/>
      <c r="AH556" s="2508"/>
      <c r="AI556" s="2508"/>
      <c r="AJ556" s="2509"/>
      <c r="AK556" s="595"/>
      <c r="AL556" s="595"/>
      <c r="AM556" s="595"/>
      <c r="AN556" s="597"/>
      <c r="AP556" s="2422">
        <f>AP557-AP552-AP553</f>
        <v>89828758.799999997</v>
      </c>
      <c r="AQ556" s="2438"/>
      <c r="AR556" s="2438"/>
      <c r="AS556" s="550" t="s">
        <v>2173</v>
      </c>
    </row>
    <row r="557" spans="1:49" s="550" customFormat="1" ht="12.75" customHeight="1">
      <c r="A557" s="624"/>
      <c r="B557" s="2510"/>
      <c r="C557" s="2511"/>
      <c r="D557" s="2511"/>
      <c r="E557" s="2511"/>
      <c r="F557" s="2511"/>
      <c r="G557" s="2511"/>
      <c r="H557" s="2511"/>
      <c r="I557" s="2511"/>
      <c r="J557" s="2511"/>
      <c r="K557" s="2511"/>
      <c r="L557" s="2511"/>
      <c r="M557" s="2511"/>
      <c r="N557" s="2511"/>
      <c r="O557" s="2511"/>
      <c r="P557" s="2511"/>
      <c r="Q557" s="2511"/>
      <c r="R557" s="2511"/>
      <c r="S557" s="2511"/>
      <c r="T557" s="2511"/>
      <c r="U557" s="2511"/>
      <c r="V557" s="2511"/>
      <c r="W557" s="2511"/>
      <c r="X557" s="2511"/>
      <c r="Y557" s="2511"/>
      <c r="Z557" s="2511"/>
      <c r="AA557" s="2511"/>
      <c r="AB557" s="2511"/>
      <c r="AC557" s="2511"/>
      <c r="AD557" s="2511"/>
      <c r="AE557" s="2511"/>
      <c r="AF557" s="2511"/>
      <c r="AG557" s="2511"/>
      <c r="AH557" s="2511"/>
      <c r="AI557" s="2511"/>
      <c r="AJ557" s="2512"/>
      <c r="AK557" s="595"/>
      <c r="AL557" s="595"/>
      <c r="AM557" s="595"/>
      <c r="AN557" s="597"/>
      <c r="AP557" s="2422">
        <f>Application!AJ1053</f>
        <v>130989139.54000001</v>
      </c>
      <c r="AQ557" s="2422"/>
      <c r="AR557" s="2422"/>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13">
        <f>IFERROR(IF(AND(C541="N/A",C544="N/A"),0,IF(AF553=0,0,IF((AF553*100)&gt;12,12,(AF553*100)))),0)</f>
        <v>12</v>
      </c>
      <c r="AL559" s="2513"/>
      <c r="AM559" s="2514"/>
      <c r="AN559" s="597"/>
      <c r="AP559" s="2407">
        <f>AP556+(AP550*AP554)</f>
        <v>130989139.53999999</v>
      </c>
      <c r="AQ559" s="2408"/>
      <c r="AR559" s="2409"/>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4" t="s">
        <v>1314</v>
      </c>
      <c r="AF562" s="2464"/>
      <c r="AG562" s="2464"/>
      <c r="AH562" s="2464"/>
      <c r="AI562" s="2464"/>
      <c r="AJ562" s="2464"/>
      <c r="AK562" s="2464"/>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4" t="s">
        <v>2022</v>
      </c>
      <c r="C564" s="2424"/>
      <c r="D564" s="2424"/>
      <c r="E564" s="2424"/>
      <c r="F564" s="2424"/>
      <c r="G564" s="2424"/>
      <c r="H564" s="2424"/>
      <c r="I564" s="2424"/>
      <c r="J564" s="2424"/>
      <c r="K564" s="2424"/>
      <c r="L564" s="2424"/>
      <c r="M564" s="2424"/>
      <c r="N564" s="2424"/>
      <c r="O564" s="2424"/>
      <c r="P564" s="2424"/>
      <c r="Q564" s="2424"/>
      <c r="R564" s="2424"/>
      <c r="S564" s="2424"/>
      <c r="T564" s="2424"/>
      <c r="U564" s="2424"/>
      <c r="V564" s="2424"/>
      <c r="W564" s="2424"/>
      <c r="X564" s="2424"/>
      <c r="Y564" s="2424"/>
      <c r="Z564" s="2424"/>
      <c r="AA564" s="2424"/>
      <c r="AB564" s="2424"/>
      <c r="AC564" s="2424"/>
      <c r="AD564" s="2424"/>
      <c r="AE564" s="2424"/>
      <c r="AF564" s="2424"/>
      <c r="AG564" s="2424"/>
      <c r="AH564" s="2424"/>
      <c r="AI564" s="2424"/>
      <c r="AJ564" s="2424"/>
      <c r="AK564" s="642"/>
      <c r="AL564" s="573"/>
      <c r="AM564" s="603"/>
      <c r="AN564" s="597"/>
    </row>
    <row r="565" spans="1:42" s="550" customFormat="1" ht="12.75" customHeight="1">
      <c r="A565" s="603"/>
      <c r="B565" s="2424"/>
      <c r="C565" s="2424"/>
      <c r="D565" s="2424"/>
      <c r="E565" s="2424"/>
      <c r="F565" s="2424"/>
      <c r="G565" s="2424"/>
      <c r="H565" s="2424"/>
      <c r="I565" s="2424"/>
      <c r="J565" s="2424"/>
      <c r="K565" s="2424"/>
      <c r="L565" s="2424"/>
      <c r="M565" s="2424"/>
      <c r="N565" s="2424"/>
      <c r="O565" s="2424"/>
      <c r="P565" s="2424"/>
      <c r="Q565" s="2424"/>
      <c r="R565" s="2424"/>
      <c r="S565" s="2424"/>
      <c r="T565" s="2424"/>
      <c r="U565" s="2424"/>
      <c r="V565" s="2424"/>
      <c r="W565" s="2424"/>
      <c r="X565" s="2424"/>
      <c r="Y565" s="2424"/>
      <c r="Z565" s="2424"/>
      <c r="AA565" s="2424"/>
      <c r="AB565" s="2424"/>
      <c r="AC565" s="2424"/>
      <c r="AD565" s="2424"/>
      <c r="AE565" s="2424"/>
      <c r="AF565" s="2424"/>
      <c r="AG565" s="2424"/>
      <c r="AH565" s="2424"/>
      <c r="AI565" s="2424"/>
      <c r="AJ565" s="2424"/>
      <c r="AK565" s="642"/>
      <c r="AL565" s="573"/>
      <c r="AM565" s="603"/>
      <c r="AN565" s="597"/>
    </row>
    <row r="566" spans="1:42" s="550" customFormat="1" ht="12.75" customHeight="1">
      <c r="A566" s="603"/>
      <c r="B566" s="2424"/>
      <c r="C566" s="2424"/>
      <c r="D566" s="2424"/>
      <c r="E566" s="2424"/>
      <c r="F566" s="2424"/>
      <c r="G566" s="2424"/>
      <c r="H566" s="2424"/>
      <c r="I566" s="2424"/>
      <c r="J566" s="2424"/>
      <c r="K566" s="2424"/>
      <c r="L566" s="2424"/>
      <c r="M566" s="2424"/>
      <c r="N566" s="2424"/>
      <c r="O566" s="2424"/>
      <c r="P566" s="2424"/>
      <c r="Q566" s="2424"/>
      <c r="R566" s="2424"/>
      <c r="S566" s="2424"/>
      <c r="T566" s="2424"/>
      <c r="U566" s="2424"/>
      <c r="V566" s="2424"/>
      <c r="W566" s="2424"/>
      <c r="X566" s="2424"/>
      <c r="Y566" s="2424"/>
      <c r="Z566" s="2424"/>
      <c r="AA566" s="2424"/>
      <c r="AB566" s="2424"/>
      <c r="AC566" s="2424"/>
      <c r="AD566" s="2424"/>
      <c r="AE566" s="2424"/>
      <c r="AF566" s="2424"/>
      <c r="AG566" s="2424"/>
      <c r="AH566" s="2424"/>
      <c r="AI566" s="2424"/>
      <c r="AJ566" s="2424"/>
      <c r="AK566" s="642"/>
      <c r="AL566" s="573"/>
      <c r="AM566" s="603"/>
      <c r="AN566" s="597"/>
    </row>
    <row r="567" spans="1:42" s="550" customFormat="1" ht="12.75" customHeight="1">
      <c r="A567" s="603"/>
      <c r="B567" s="2424"/>
      <c r="C567" s="2424"/>
      <c r="D567" s="2424"/>
      <c r="E567" s="2424"/>
      <c r="F567" s="2424"/>
      <c r="G567" s="2424"/>
      <c r="H567" s="2424"/>
      <c r="I567" s="2424"/>
      <c r="J567" s="2424"/>
      <c r="K567" s="2424"/>
      <c r="L567" s="2424"/>
      <c r="M567" s="2424"/>
      <c r="N567" s="2424"/>
      <c r="O567" s="2424"/>
      <c r="P567" s="2424"/>
      <c r="Q567" s="2424"/>
      <c r="R567" s="2424"/>
      <c r="S567" s="2424"/>
      <c r="T567" s="2424"/>
      <c r="U567" s="2424"/>
      <c r="V567" s="2424"/>
      <c r="W567" s="2424"/>
      <c r="X567" s="2424"/>
      <c r="Y567" s="2424"/>
      <c r="Z567" s="2424"/>
      <c r="AA567" s="2424"/>
      <c r="AB567" s="2424"/>
      <c r="AC567" s="2424"/>
      <c r="AD567" s="2424"/>
      <c r="AE567" s="2424"/>
      <c r="AF567" s="2424"/>
      <c r="AG567" s="2424"/>
      <c r="AH567" s="2424"/>
      <c r="AI567" s="2424"/>
      <c r="AJ567" s="2424"/>
      <c r="AK567" s="642"/>
      <c r="AL567" s="573"/>
      <c r="AM567" s="603"/>
      <c r="AN567" s="597"/>
    </row>
    <row r="568" spans="1:42" s="550" customFormat="1" ht="12.75" customHeight="1">
      <c r="A568" s="603"/>
      <c r="B568" s="2424"/>
      <c r="C568" s="2424"/>
      <c r="D568" s="2424"/>
      <c r="E568" s="2424"/>
      <c r="F568" s="2424"/>
      <c r="G568" s="2424"/>
      <c r="H568" s="2424"/>
      <c r="I568" s="2424"/>
      <c r="J568" s="2424"/>
      <c r="K568" s="2424"/>
      <c r="L568" s="2424"/>
      <c r="M568" s="2424"/>
      <c r="N568" s="2424"/>
      <c r="O568" s="2424"/>
      <c r="P568" s="2424"/>
      <c r="Q568" s="2424"/>
      <c r="R568" s="2424"/>
      <c r="S568" s="2424"/>
      <c r="T568" s="2424"/>
      <c r="U568" s="2424"/>
      <c r="V568" s="2424"/>
      <c r="W568" s="2424"/>
      <c r="X568" s="2424"/>
      <c r="Y568" s="2424"/>
      <c r="Z568" s="2424"/>
      <c r="AA568" s="2424"/>
      <c r="AB568" s="2424"/>
      <c r="AC568" s="2424"/>
      <c r="AD568" s="2424"/>
      <c r="AE568" s="2424"/>
      <c r="AF568" s="2424"/>
      <c r="AG568" s="2424"/>
      <c r="AH568" s="2424"/>
      <c r="AI568" s="2424"/>
      <c r="AJ568" s="2424"/>
      <c r="AK568" s="642"/>
      <c r="AL568" s="573"/>
      <c r="AM568" s="603"/>
      <c r="AN568" s="597"/>
    </row>
    <row r="569" spans="1:42" s="550" customFormat="1" ht="12.75" customHeight="1">
      <c r="A569" s="603"/>
      <c r="B569" s="2424"/>
      <c r="C569" s="2424"/>
      <c r="D569" s="2424"/>
      <c r="E569" s="2424"/>
      <c r="F569" s="2424"/>
      <c r="G569" s="2424"/>
      <c r="H569" s="2424"/>
      <c r="I569" s="2424"/>
      <c r="J569" s="2424"/>
      <c r="K569" s="2424"/>
      <c r="L569" s="2424"/>
      <c r="M569" s="2424"/>
      <c r="N569" s="2424"/>
      <c r="O569" s="2424"/>
      <c r="P569" s="2424"/>
      <c r="Q569" s="2424"/>
      <c r="R569" s="2424"/>
      <c r="S569" s="2424"/>
      <c r="T569" s="2424"/>
      <c r="U569" s="2424"/>
      <c r="V569" s="2424"/>
      <c r="W569" s="2424"/>
      <c r="X569" s="2424"/>
      <c r="Y569" s="2424"/>
      <c r="Z569" s="2424"/>
      <c r="AA569" s="2424"/>
      <c r="AB569" s="2424"/>
      <c r="AC569" s="2424"/>
      <c r="AD569" s="2424"/>
      <c r="AE569" s="2424"/>
      <c r="AF569" s="2424"/>
      <c r="AG569" s="2424"/>
      <c r="AH569" s="2424"/>
      <c r="AI569" s="2424"/>
      <c r="AJ569" s="2424"/>
      <c r="AK569" s="642"/>
      <c r="AL569" s="573"/>
      <c r="AM569" s="603"/>
      <c r="AN569" s="597"/>
    </row>
    <row r="570" spans="1:42" s="550" customFormat="1" ht="12.75" customHeight="1">
      <c r="A570" s="603"/>
      <c r="B570" s="2424"/>
      <c r="C570" s="2424"/>
      <c r="D570" s="2424"/>
      <c r="E570" s="2424"/>
      <c r="F570" s="2424"/>
      <c r="G570" s="2424"/>
      <c r="H570" s="2424"/>
      <c r="I570" s="2424"/>
      <c r="J570" s="2424"/>
      <c r="K570" s="2424"/>
      <c r="L570" s="2424"/>
      <c r="M570" s="2424"/>
      <c r="N570" s="2424"/>
      <c r="O570" s="2424"/>
      <c r="P570" s="2424"/>
      <c r="Q570" s="2424"/>
      <c r="R570" s="2424"/>
      <c r="S570" s="2424"/>
      <c r="T570" s="2424"/>
      <c r="U570" s="2424"/>
      <c r="V570" s="2424"/>
      <c r="W570" s="2424"/>
      <c r="X570" s="2424"/>
      <c r="Y570" s="2424"/>
      <c r="Z570" s="2424"/>
      <c r="AA570" s="2424"/>
      <c r="AB570" s="2424"/>
      <c r="AC570" s="2424"/>
      <c r="AD570" s="2424"/>
      <c r="AE570" s="2424"/>
      <c r="AF570" s="2424"/>
      <c r="AG570" s="2424"/>
      <c r="AH570" s="2424"/>
      <c r="AI570" s="2424"/>
      <c r="AJ570" s="2424"/>
      <c r="AK570" s="642"/>
      <c r="AL570" s="573"/>
      <c r="AM570" s="603"/>
      <c r="AN570" s="597"/>
    </row>
    <row r="571" spans="1:42" ht="12.75" customHeight="1">
      <c r="A571" s="603"/>
      <c r="B571" s="2424"/>
      <c r="C571" s="2424"/>
      <c r="D571" s="2424"/>
      <c r="E571" s="2424"/>
      <c r="F571" s="2424"/>
      <c r="G571" s="2424"/>
      <c r="H571" s="2424"/>
      <c r="I571" s="2424"/>
      <c r="J571" s="2424"/>
      <c r="K571" s="2424"/>
      <c r="L571" s="2424"/>
      <c r="M571" s="2424"/>
      <c r="N571" s="2424"/>
      <c r="O571" s="2424"/>
      <c r="P571" s="2424"/>
      <c r="Q571" s="2424"/>
      <c r="R571" s="2424"/>
      <c r="S571" s="2424"/>
      <c r="T571" s="2424"/>
      <c r="U571" s="2424"/>
      <c r="V571" s="2424"/>
      <c r="W571" s="2424"/>
      <c r="X571" s="2424"/>
      <c r="Y571" s="2424"/>
      <c r="Z571" s="2424"/>
      <c r="AA571" s="2424"/>
      <c r="AB571" s="2424"/>
      <c r="AC571" s="2424"/>
      <c r="AD571" s="2424"/>
      <c r="AE571" s="2424"/>
      <c r="AF571" s="2424"/>
      <c r="AG571" s="2424"/>
      <c r="AH571" s="2424"/>
      <c r="AI571" s="2424"/>
      <c r="AJ571" s="2424"/>
      <c r="AK571" s="642"/>
      <c r="AL571" s="573"/>
      <c r="AM571" s="603"/>
    </row>
    <row r="572" spans="1:42" s="550" customFormat="1" ht="12.75" customHeight="1">
      <c r="B572" s="2424"/>
      <c r="C572" s="2424"/>
      <c r="D572" s="2424"/>
      <c r="E572" s="2424"/>
      <c r="F572" s="2424"/>
      <c r="G572" s="2424"/>
      <c r="H572" s="2424"/>
      <c r="I572" s="2424"/>
      <c r="J572" s="2424"/>
      <c r="K572" s="2424"/>
      <c r="L572" s="2424"/>
      <c r="M572" s="2424"/>
      <c r="N572" s="2424"/>
      <c r="O572" s="2424"/>
      <c r="P572" s="2424"/>
      <c r="Q572" s="2424"/>
      <c r="R572" s="2424"/>
      <c r="S572" s="2424"/>
      <c r="T572" s="2424"/>
      <c r="U572" s="2424"/>
      <c r="V572" s="2424"/>
      <c r="W572" s="2424"/>
      <c r="X572" s="2424"/>
      <c r="Y572" s="2424"/>
      <c r="Z572" s="2424"/>
      <c r="AA572" s="2424"/>
      <c r="AB572" s="2424"/>
      <c r="AC572" s="2424"/>
      <c r="AD572" s="2424"/>
      <c r="AE572" s="2424"/>
      <c r="AF572" s="2424"/>
      <c r="AG572" s="2424"/>
      <c r="AH572" s="2424"/>
      <c r="AI572" s="2424"/>
      <c r="AJ572" s="2424"/>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4" t="s">
        <v>1338</v>
      </c>
      <c r="AG578" s="2524"/>
      <c r="AH578" s="2524"/>
      <c r="AI578" s="2524"/>
      <c r="AJ578" s="2524"/>
      <c r="AK578" s="2524"/>
      <c r="AL578" s="2524"/>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4" t="s">
        <v>1396</v>
      </c>
      <c r="AG585" s="2524"/>
      <c r="AH585" s="2524"/>
      <c r="AI585" s="2524"/>
      <c r="AJ585" s="2524"/>
      <c r="AK585" s="2524"/>
      <c r="AL585" s="2524"/>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277</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4" t="s">
        <v>1378</v>
      </c>
      <c r="AG591" s="2524"/>
      <c r="AH591" s="2524"/>
      <c r="AI591" s="2524"/>
      <c r="AJ591" s="2524"/>
      <c r="AK591" s="2524"/>
      <c r="AL591" s="2524"/>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2177</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2178</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4" t="s">
        <v>1399</v>
      </c>
      <c r="AG597" s="2524"/>
      <c r="AH597" s="2524"/>
      <c r="AI597" s="2524"/>
      <c r="AJ597" s="2524"/>
      <c r="AK597" s="2524"/>
      <c r="AL597" s="2524"/>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2180</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2181</v>
      </c>
    </row>
    <row r="601" spans="1:53" s="550" customFormat="1" ht="12.75" customHeight="1">
      <c r="B601" s="610"/>
      <c r="C601" s="931"/>
      <c r="D601" s="663"/>
      <c r="E601" s="536" t="s">
        <v>1865</v>
      </c>
      <c r="O601" s="2540" t="s">
        <v>1184</v>
      </c>
      <c r="P601" s="2540"/>
      <c r="Q601" s="2540"/>
      <c r="R601" s="2540"/>
      <c r="S601" s="2540"/>
      <c r="T601" s="2540"/>
      <c r="U601" s="2540"/>
      <c r="V601" s="2540"/>
      <c r="W601" s="2540"/>
      <c r="X601" s="2540"/>
      <c r="Y601" s="2540"/>
      <c r="Z601" s="2540"/>
      <c r="AA601" s="2540"/>
      <c r="AB601" s="2540"/>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4" t="s">
        <v>1352</v>
      </c>
      <c r="AG603" s="2524"/>
      <c r="AH603" s="2524"/>
      <c r="AI603" s="2524"/>
      <c r="AJ603" s="2524"/>
      <c r="AK603" s="2524"/>
      <c r="AL603" s="2524"/>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1400</v>
      </c>
      <c r="E606" s="936"/>
      <c r="F606" s="936"/>
      <c r="G606" s="936"/>
      <c r="H606" s="2448" t="s">
        <v>687</v>
      </c>
      <c r="I606" s="2448"/>
      <c r="J606" s="936"/>
      <c r="K606" s="936"/>
      <c r="L606" s="936"/>
      <c r="N606" s="22"/>
      <c r="O606" s="22"/>
      <c r="P606" s="22"/>
      <c r="Q606" s="1151" t="s">
        <v>2176</v>
      </c>
      <c r="R606" s="2541"/>
      <c r="S606" s="2541"/>
      <c r="T606" s="2541"/>
      <c r="U606" s="2541"/>
      <c r="V606" s="2541"/>
      <c r="W606" s="2541"/>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42" t="str">
        <f>IF(AND(H606="(i)",NOT(AP582)),AO599,IF(AND(H606="(iv)",OR(R606=AO595,R606=AO594),NOT(AP583)),AO600,""))</f>
        <v/>
      </c>
      <c r="Z607" s="2542"/>
      <c r="AA607" s="2542"/>
      <c r="AB607" s="2542"/>
      <c r="AC607" s="2542"/>
      <c r="AD607" s="2542"/>
      <c r="AE607" s="2542"/>
      <c r="AF607" s="2542"/>
      <c r="AG607" s="2542"/>
      <c r="AH607" s="2542"/>
      <c r="AI607" s="2542"/>
      <c r="AJ607" s="2542"/>
      <c r="AK607" s="2542"/>
      <c r="AL607" s="2542"/>
      <c r="AM607" s="2543"/>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42"/>
      <c r="Z608" s="2542"/>
      <c r="AA608" s="2542"/>
      <c r="AB608" s="2542"/>
      <c r="AC608" s="2542"/>
      <c r="AD608" s="2542"/>
      <c r="AE608" s="2542"/>
      <c r="AF608" s="2542"/>
      <c r="AG608" s="2542"/>
      <c r="AH608" s="2542"/>
      <c r="AI608" s="2542"/>
      <c r="AJ608" s="2542"/>
      <c r="AK608" s="2542"/>
      <c r="AL608" s="2542"/>
      <c r="AM608" s="2543"/>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1400</v>
      </c>
      <c r="F614" s="936"/>
      <c r="G614" s="936"/>
      <c r="I614" s="2539" t="s">
        <v>591</v>
      </c>
      <c r="J614" s="2539"/>
      <c r="K614" s="2539"/>
      <c r="L614" s="2539"/>
      <c r="M614" s="2539"/>
      <c r="N614" s="2539"/>
      <c r="O614" s="2539"/>
      <c r="P614" s="2539"/>
      <c r="Q614" s="2539"/>
      <c r="R614" s="2539"/>
      <c r="S614" s="2539"/>
      <c r="T614" s="2539"/>
      <c r="U614" s="2539"/>
      <c r="V614" s="2539"/>
      <c r="W614" s="2539"/>
      <c r="X614" s="2539"/>
      <c r="Y614" s="2539"/>
      <c r="Z614" s="2539"/>
      <c r="AA614" s="2539"/>
      <c r="AB614" s="2539"/>
      <c r="AC614" s="2539"/>
      <c r="AD614" s="2539"/>
      <c r="AE614" s="2539"/>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396" t="s">
        <v>591</v>
      </c>
      <c r="C616" s="2396"/>
      <c r="D616" s="642"/>
      <c r="E616" s="2424" t="s">
        <v>1403</v>
      </c>
      <c r="F616" s="2424"/>
      <c r="G616" s="2424"/>
      <c r="H616" s="2424"/>
      <c r="I616" s="2424"/>
      <c r="J616" s="2424"/>
      <c r="K616" s="2424"/>
      <c r="L616" s="2424"/>
      <c r="M616" s="2424"/>
      <c r="N616" s="2424"/>
      <c r="O616" s="2424"/>
      <c r="P616" s="2424"/>
      <c r="Q616" s="2424"/>
      <c r="R616" s="2424"/>
      <c r="S616" s="2424"/>
      <c r="T616" s="2424"/>
      <c r="U616" s="2424"/>
      <c r="V616" s="2424"/>
      <c r="W616" s="2424"/>
      <c r="X616" s="2424"/>
      <c r="Y616" s="2424"/>
      <c r="Z616" s="2424"/>
      <c r="AA616" s="2424"/>
      <c r="AB616" s="2424"/>
      <c r="AC616" s="2424"/>
      <c r="AD616" s="2424"/>
      <c r="AE616" s="2424"/>
      <c r="AF616" s="2424"/>
      <c r="AG616" s="2424"/>
      <c r="AH616" s="642"/>
      <c r="AI616" s="642"/>
      <c r="AJ616" s="642"/>
      <c r="AK616" s="642"/>
      <c r="AL616" s="642"/>
      <c r="AN616" s="597"/>
    </row>
    <row r="617" spans="1:42" s="550" customFormat="1" ht="12.75" customHeight="1">
      <c r="B617" s="536"/>
      <c r="C617" s="933"/>
      <c r="D617" s="642"/>
      <c r="E617" s="2424"/>
      <c r="F617" s="2424"/>
      <c r="G617" s="2424"/>
      <c r="H617" s="2424"/>
      <c r="I617" s="2424"/>
      <c r="J617" s="2424"/>
      <c r="K617" s="2424"/>
      <c r="L617" s="2424"/>
      <c r="M617" s="2424"/>
      <c r="N617" s="2424"/>
      <c r="O617" s="2424"/>
      <c r="P617" s="2424"/>
      <c r="Q617" s="2424"/>
      <c r="R617" s="2424"/>
      <c r="S617" s="2424"/>
      <c r="T617" s="2424"/>
      <c r="U617" s="2424"/>
      <c r="V617" s="2424"/>
      <c r="W617" s="2424"/>
      <c r="X617" s="2424"/>
      <c r="Y617" s="2424"/>
      <c r="Z617" s="2424"/>
      <c r="AA617" s="2424"/>
      <c r="AB617" s="2424"/>
      <c r="AC617" s="2424"/>
      <c r="AD617" s="2424"/>
      <c r="AE617" s="2424"/>
      <c r="AF617" s="2424"/>
      <c r="AG617" s="2424"/>
      <c r="AH617" s="642"/>
      <c r="AI617" s="642"/>
      <c r="AJ617" s="642"/>
      <c r="AK617" s="642"/>
      <c r="AL617" s="642"/>
      <c r="AN617" s="597"/>
    </row>
    <row r="618" spans="1:42" s="550" customFormat="1" ht="12.75" customHeight="1">
      <c r="B618" s="536"/>
      <c r="C618" s="933"/>
      <c r="D618" s="642"/>
      <c r="E618" s="2424"/>
      <c r="F618" s="2424"/>
      <c r="G618" s="2424"/>
      <c r="H618" s="2424"/>
      <c r="I618" s="2424"/>
      <c r="J618" s="2424"/>
      <c r="K618" s="2424"/>
      <c r="L618" s="2424"/>
      <c r="M618" s="2424"/>
      <c r="N618" s="2424"/>
      <c r="O618" s="2424"/>
      <c r="P618" s="2424"/>
      <c r="Q618" s="2424"/>
      <c r="R618" s="2424"/>
      <c r="S618" s="2424"/>
      <c r="T618" s="2424"/>
      <c r="U618" s="2424"/>
      <c r="V618" s="2424"/>
      <c r="W618" s="2424"/>
      <c r="X618" s="2424"/>
      <c r="Y618" s="2424"/>
      <c r="Z618" s="2424"/>
      <c r="AA618" s="2424"/>
      <c r="AB618" s="2424"/>
      <c r="AC618" s="2424"/>
      <c r="AD618" s="2424"/>
      <c r="AE618" s="2424"/>
      <c r="AF618" s="2424"/>
      <c r="AG618" s="2424"/>
      <c r="AH618" s="642"/>
      <c r="AI618" s="642"/>
      <c r="AJ618" s="642"/>
      <c r="AK618" s="642"/>
      <c r="AL618" s="642"/>
      <c r="AN618" s="597"/>
    </row>
    <row r="619" spans="1:42" s="550" customFormat="1" ht="12.75" customHeight="1">
      <c r="B619" s="536"/>
      <c r="C619" s="933"/>
      <c r="D619" s="642"/>
      <c r="E619" s="2424"/>
      <c r="F619" s="2424"/>
      <c r="G619" s="2424"/>
      <c r="H619" s="2424"/>
      <c r="I619" s="2424"/>
      <c r="J619" s="2424"/>
      <c r="K619" s="2424"/>
      <c r="L619" s="2424"/>
      <c r="M619" s="2424"/>
      <c r="N619" s="2424"/>
      <c r="O619" s="2424"/>
      <c r="P619" s="2424"/>
      <c r="Q619" s="2424"/>
      <c r="R619" s="2424"/>
      <c r="S619" s="2424"/>
      <c r="T619" s="2424"/>
      <c r="U619" s="2424"/>
      <c r="V619" s="2424"/>
      <c r="W619" s="2424"/>
      <c r="X619" s="2424"/>
      <c r="Y619" s="2424"/>
      <c r="Z619" s="2424"/>
      <c r="AA619" s="2424"/>
      <c r="AB619" s="2424"/>
      <c r="AC619" s="2424"/>
      <c r="AD619" s="2424"/>
      <c r="AE619" s="2424"/>
      <c r="AF619" s="2424"/>
      <c r="AG619" s="2424"/>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31">
        <f>VLOOKUP($H$606,$AO$586:$AP$591,2,FALSE)+IF(R606=AO594,0,VLOOKUP($I$614,$AO$613:$AP$615,2,FALSE))</f>
        <v>7</v>
      </c>
      <c r="AK621" s="2433"/>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38" t="s">
        <v>1694</v>
      </c>
      <c r="F625" s="2538"/>
      <c r="G625" s="2538"/>
      <c r="H625" s="2538"/>
      <c r="I625" s="2538"/>
      <c r="J625" s="2538"/>
      <c r="K625" s="2538"/>
      <c r="L625" s="2538"/>
      <c r="M625" s="2538"/>
      <c r="N625" s="2538"/>
      <c r="O625" s="2538"/>
      <c r="P625" s="2538"/>
      <c r="Q625" s="2538"/>
      <c r="R625" s="2538"/>
      <c r="S625" s="2538"/>
      <c r="T625" s="2538"/>
      <c r="U625" s="2538"/>
      <c r="V625" s="2538"/>
      <c r="W625" s="2538"/>
      <c r="X625" s="2538"/>
      <c r="Y625" s="2538"/>
      <c r="Z625" s="2538"/>
      <c r="AA625" s="2538"/>
      <c r="AB625" s="2538"/>
      <c r="AC625" s="2538"/>
      <c r="AD625" s="2538"/>
      <c r="AE625" s="539"/>
      <c r="AF625" s="2524" t="s">
        <v>1352</v>
      </c>
      <c r="AG625" s="2524"/>
      <c r="AH625" s="2524"/>
      <c r="AI625" s="2524"/>
      <c r="AJ625" s="2524"/>
      <c r="AK625" s="2524"/>
      <c r="AL625" s="2524"/>
      <c r="AM625" s="550"/>
      <c r="AN625" s="678"/>
    </row>
    <row r="626" spans="1:42" s="550" customFormat="1" ht="12.75" customHeight="1">
      <c r="A626" s="679"/>
      <c r="B626" s="536"/>
      <c r="C626" s="933"/>
      <c r="D626" s="663"/>
      <c r="E626" s="2538"/>
      <c r="F626" s="2538"/>
      <c r="G626" s="2538"/>
      <c r="H626" s="2538"/>
      <c r="I626" s="2538"/>
      <c r="J626" s="2538"/>
      <c r="K626" s="2538"/>
      <c r="L626" s="2538"/>
      <c r="M626" s="2538"/>
      <c r="N626" s="2538"/>
      <c r="O626" s="2538"/>
      <c r="P626" s="2538"/>
      <c r="Q626" s="2538"/>
      <c r="R626" s="2538"/>
      <c r="S626" s="2538"/>
      <c r="T626" s="2538"/>
      <c r="U626" s="2538"/>
      <c r="V626" s="2538"/>
      <c r="W626" s="2538"/>
      <c r="X626" s="2538"/>
      <c r="Y626" s="2538"/>
      <c r="Z626" s="2538"/>
      <c r="AA626" s="2538"/>
      <c r="AB626" s="2538"/>
      <c r="AC626" s="2538"/>
      <c r="AD626" s="2538"/>
      <c r="AE626" s="536"/>
      <c r="AF626" s="536"/>
      <c r="AG626" s="536"/>
      <c r="AH626" s="536"/>
      <c r="AI626" s="536"/>
      <c r="AJ626" s="536"/>
      <c r="AK626" s="536"/>
      <c r="AL626" s="536"/>
      <c r="AN626" s="597"/>
    </row>
    <row r="627" spans="1:42" s="550" customFormat="1" ht="12.75" customHeight="1">
      <c r="B627" s="536"/>
      <c r="C627" s="931"/>
      <c r="D627" s="663"/>
      <c r="E627" s="2538"/>
      <c r="F627" s="2538"/>
      <c r="G627" s="2538"/>
      <c r="H627" s="2538"/>
      <c r="I627" s="2538"/>
      <c r="J627" s="2538"/>
      <c r="K627" s="2538"/>
      <c r="L627" s="2538"/>
      <c r="M627" s="2538"/>
      <c r="N627" s="2538"/>
      <c r="O627" s="2538"/>
      <c r="P627" s="2538"/>
      <c r="Q627" s="2538"/>
      <c r="R627" s="2538"/>
      <c r="S627" s="2538"/>
      <c r="T627" s="2538"/>
      <c r="U627" s="2538"/>
      <c r="V627" s="2538"/>
      <c r="W627" s="2538"/>
      <c r="X627" s="2538"/>
      <c r="Y627" s="2538"/>
      <c r="Z627" s="2538"/>
      <c r="AA627" s="2538"/>
      <c r="AB627" s="2538"/>
      <c r="AC627" s="2538"/>
      <c r="AD627" s="2538"/>
      <c r="AE627" s="536"/>
      <c r="AF627" s="536"/>
      <c r="AG627" s="536"/>
      <c r="AH627" s="536"/>
      <c r="AI627" s="536"/>
      <c r="AJ627" s="536"/>
      <c r="AK627" s="536"/>
      <c r="AL627" s="536"/>
      <c r="AN627" s="597"/>
    </row>
    <row r="628" spans="1:42" s="550" customFormat="1" ht="12.75" customHeight="1">
      <c r="B628" s="536"/>
      <c r="C628" s="931"/>
      <c r="D628" s="663"/>
      <c r="E628" s="2538"/>
      <c r="F628" s="2538"/>
      <c r="G628" s="2538"/>
      <c r="H628" s="2538"/>
      <c r="I628" s="2538"/>
      <c r="J628" s="2538"/>
      <c r="K628" s="2538"/>
      <c r="L628" s="2538"/>
      <c r="M628" s="2538"/>
      <c r="N628" s="2538"/>
      <c r="O628" s="2538"/>
      <c r="P628" s="2538"/>
      <c r="Q628" s="2538"/>
      <c r="R628" s="2538"/>
      <c r="S628" s="2538"/>
      <c r="T628" s="2538"/>
      <c r="U628" s="2538"/>
      <c r="V628" s="2538"/>
      <c r="W628" s="2538"/>
      <c r="X628" s="2538"/>
      <c r="Y628" s="2538"/>
      <c r="Z628" s="2538"/>
      <c r="AA628" s="2538"/>
      <c r="AB628" s="2538"/>
      <c r="AC628" s="2538"/>
      <c r="AD628" s="2538"/>
      <c r="AE628" s="536"/>
      <c r="AF628" s="536"/>
      <c r="AG628" s="536"/>
      <c r="AH628" s="536"/>
      <c r="AI628" s="536"/>
      <c r="AJ628" s="536"/>
      <c r="AK628" s="536"/>
      <c r="AL628" s="536"/>
      <c r="AN628" s="597"/>
    </row>
    <row r="629" spans="1:42" s="550" customFormat="1" ht="12.75" customHeight="1">
      <c r="B629" s="536"/>
      <c r="C629" s="931"/>
      <c r="D629" s="663"/>
      <c r="E629" s="2538"/>
      <c r="F629" s="2538"/>
      <c r="G629" s="2538"/>
      <c r="H629" s="2538"/>
      <c r="I629" s="2538"/>
      <c r="J629" s="2538"/>
      <c r="K629" s="2538"/>
      <c r="L629" s="2538"/>
      <c r="M629" s="2538"/>
      <c r="N629" s="2538"/>
      <c r="O629" s="2538"/>
      <c r="P629" s="2538"/>
      <c r="Q629" s="2538"/>
      <c r="R629" s="2538"/>
      <c r="S629" s="2538"/>
      <c r="T629" s="2538"/>
      <c r="U629" s="2538"/>
      <c r="V629" s="2538"/>
      <c r="W629" s="2538"/>
      <c r="X629" s="2538"/>
      <c r="Y629" s="2538"/>
      <c r="Z629" s="2538"/>
      <c r="AA629" s="2538"/>
      <c r="AB629" s="2538"/>
      <c r="AC629" s="2538"/>
      <c r="AD629" s="2538"/>
      <c r="AE629" s="536"/>
      <c r="AF629" s="536"/>
      <c r="AG629" s="536"/>
      <c r="AH629" s="536"/>
      <c r="AI629" s="536"/>
      <c r="AJ629" s="536"/>
      <c r="AK629" s="536"/>
      <c r="AL629" s="536"/>
      <c r="AN629" s="597"/>
    </row>
    <row r="630" spans="1:42" s="550" customFormat="1" ht="12.75" customHeight="1">
      <c r="B630" s="536"/>
      <c r="C630" s="931"/>
      <c r="D630" s="663"/>
      <c r="E630" s="2538"/>
      <c r="F630" s="2538"/>
      <c r="G630" s="2538"/>
      <c r="H630" s="2538"/>
      <c r="I630" s="2538"/>
      <c r="J630" s="2538"/>
      <c r="K630" s="2538"/>
      <c r="L630" s="2538"/>
      <c r="M630" s="2538"/>
      <c r="N630" s="2538"/>
      <c r="O630" s="2538"/>
      <c r="P630" s="2538"/>
      <c r="Q630" s="2538"/>
      <c r="R630" s="2538"/>
      <c r="S630" s="2538"/>
      <c r="T630" s="2538"/>
      <c r="U630" s="2538"/>
      <c r="V630" s="2538"/>
      <c r="W630" s="2538"/>
      <c r="X630" s="2538"/>
      <c r="Y630" s="2538"/>
      <c r="Z630" s="2538"/>
      <c r="AA630" s="2538"/>
      <c r="AB630" s="2538"/>
      <c r="AC630" s="2538"/>
      <c r="AD630" s="2538"/>
      <c r="AE630" s="536"/>
      <c r="AF630" s="536"/>
      <c r="AG630" s="536"/>
      <c r="AH630" s="536"/>
      <c r="AI630" s="536"/>
      <c r="AJ630" s="536"/>
      <c r="AK630" s="536"/>
      <c r="AL630" s="536"/>
      <c r="AN630" s="597"/>
    </row>
    <row r="631" spans="1:42" s="550" customFormat="1" ht="12.75" customHeight="1">
      <c r="A631" s="637"/>
      <c r="B631" s="616"/>
      <c r="C631" s="940"/>
      <c r="D631" s="663"/>
      <c r="E631" s="2538"/>
      <c r="F631" s="2538"/>
      <c r="G631" s="2538"/>
      <c r="H631" s="2538"/>
      <c r="I631" s="2538"/>
      <c r="J631" s="2538"/>
      <c r="K631" s="2538"/>
      <c r="L631" s="2538"/>
      <c r="M631" s="2538"/>
      <c r="N631" s="2538"/>
      <c r="O631" s="2538"/>
      <c r="P631" s="2538"/>
      <c r="Q631" s="2538"/>
      <c r="R631" s="2538"/>
      <c r="S631" s="2538"/>
      <c r="T631" s="2538"/>
      <c r="U631" s="2538"/>
      <c r="V631" s="2538"/>
      <c r="W631" s="2538"/>
      <c r="X631" s="2538"/>
      <c r="Y631" s="2538"/>
      <c r="Z631" s="2538"/>
      <c r="AA631" s="2538"/>
      <c r="AB631" s="2538"/>
      <c r="AC631" s="2538"/>
      <c r="AD631" s="2538"/>
      <c r="AE631" s="616"/>
      <c r="AF631" s="616"/>
      <c r="AG631" s="616"/>
      <c r="AH631" s="616"/>
      <c r="AI631" s="616"/>
      <c r="AJ631" s="616"/>
      <c r="AK631" s="536"/>
      <c r="AL631" s="536"/>
      <c r="AN631" s="597"/>
    </row>
    <row r="632" spans="1:42" s="550" customFormat="1" ht="12.75" customHeight="1">
      <c r="B632" s="616"/>
      <c r="C632" s="940"/>
      <c r="D632" s="663"/>
      <c r="E632" s="2538"/>
      <c r="F632" s="2538"/>
      <c r="G632" s="2538"/>
      <c r="H632" s="2538"/>
      <c r="I632" s="2538"/>
      <c r="J632" s="2538"/>
      <c r="K632" s="2538"/>
      <c r="L632" s="2538"/>
      <c r="M632" s="2538"/>
      <c r="N632" s="2538"/>
      <c r="O632" s="2538"/>
      <c r="P632" s="2538"/>
      <c r="Q632" s="2538"/>
      <c r="R632" s="2538"/>
      <c r="S632" s="2538"/>
      <c r="T632" s="2538"/>
      <c r="U632" s="2538"/>
      <c r="V632" s="2538"/>
      <c r="W632" s="2538"/>
      <c r="X632" s="2538"/>
      <c r="Y632" s="2538"/>
      <c r="Z632" s="2538"/>
      <c r="AA632" s="2538"/>
      <c r="AB632" s="2538"/>
      <c r="AC632" s="2538"/>
      <c r="AD632" s="2538"/>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396" t="s">
        <v>591</v>
      </c>
      <c r="Y634" s="2396"/>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4" t="s">
        <v>1408</v>
      </c>
      <c r="AG636" s="2524"/>
      <c r="AH636" s="2524"/>
      <c r="AI636" s="2524"/>
      <c r="AJ636" s="2524"/>
      <c r="AK636" s="2524"/>
      <c r="AL636" s="2524"/>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448" t="s">
        <v>687</v>
      </c>
      <c r="I638" s="2448"/>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31">
        <f>VLOOKUP($H$638,$AO$605:$AP$607,2,FALSE)</f>
        <v>3</v>
      </c>
      <c r="AK640" s="2433"/>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24" t="s">
        <v>2097</v>
      </c>
      <c r="F644" s="2424"/>
      <c r="G644" s="2424"/>
      <c r="H644" s="2424"/>
      <c r="I644" s="2424"/>
      <c r="J644" s="2424"/>
      <c r="K644" s="2424"/>
      <c r="L644" s="2424"/>
      <c r="M644" s="2424"/>
      <c r="N644" s="2424"/>
      <c r="O644" s="2424"/>
      <c r="P644" s="2424"/>
      <c r="Q644" s="2424"/>
      <c r="R644" s="2424"/>
      <c r="S644" s="2424"/>
      <c r="T644" s="2424"/>
      <c r="U644" s="2424"/>
      <c r="V644" s="2424"/>
      <c r="W644" s="2424"/>
      <c r="X644" s="2424"/>
      <c r="Y644" s="2424"/>
      <c r="Z644" s="2424"/>
      <c r="AA644" s="2424"/>
      <c r="AB644" s="2424"/>
      <c r="AC644" s="2424"/>
      <c r="AD644" s="2424"/>
      <c r="AE644" s="536"/>
      <c r="AF644" s="2524" t="s">
        <v>1352</v>
      </c>
      <c r="AG644" s="2524"/>
      <c r="AH644" s="2524"/>
      <c r="AI644" s="2524"/>
      <c r="AJ644" s="2524"/>
      <c r="AK644" s="2524"/>
      <c r="AL644" s="2524"/>
      <c r="AN644" s="597"/>
    </row>
    <row r="645" spans="1:42" s="550" customFormat="1" ht="12.75" customHeight="1">
      <c r="B645" s="536"/>
      <c r="C645" s="536"/>
      <c r="D645" s="663"/>
      <c r="E645" s="2424"/>
      <c r="F645" s="2424"/>
      <c r="G645" s="2424"/>
      <c r="H645" s="2424"/>
      <c r="I645" s="2424"/>
      <c r="J645" s="2424"/>
      <c r="K645" s="2424"/>
      <c r="L645" s="2424"/>
      <c r="M645" s="2424"/>
      <c r="N645" s="2424"/>
      <c r="O645" s="2424"/>
      <c r="P645" s="2424"/>
      <c r="Q645" s="2424"/>
      <c r="R645" s="2424"/>
      <c r="S645" s="2424"/>
      <c r="T645" s="2424"/>
      <c r="U645" s="2424"/>
      <c r="V645" s="2424"/>
      <c r="W645" s="2424"/>
      <c r="X645" s="2424"/>
      <c r="Y645" s="2424"/>
      <c r="Z645" s="2424"/>
      <c r="AA645" s="2424"/>
      <c r="AB645" s="2424"/>
      <c r="AC645" s="2424"/>
      <c r="AD645" s="2424"/>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4" t="s">
        <v>1408</v>
      </c>
      <c r="AG647" s="2524"/>
      <c r="AH647" s="2524"/>
      <c r="AI647" s="2524"/>
      <c r="AJ647" s="2524"/>
      <c r="AK647" s="2524"/>
      <c r="AL647" s="2524"/>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448" t="s">
        <v>591</v>
      </c>
      <c r="I650" s="2448"/>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31">
        <f>VLOOKUP(H650,AT605:AU607,2,FALSE)</f>
        <v>0</v>
      </c>
      <c r="AK652" s="2433"/>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24" t="s">
        <v>1418</v>
      </c>
      <c r="F657" s="2424"/>
      <c r="G657" s="2424"/>
      <c r="H657" s="2424"/>
      <c r="I657" s="2424"/>
      <c r="J657" s="2424"/>
      <c r="K657" s="2424"/>
      <c r="L657" s="2424"/>
      <c r="M657" s="2424"/>
      <c r="N657" s="2424"/>
      <c r="O657" s="2424"/>
      <c r="P657" s="2424"/>
      <c r="Q657" s="2424"/>
      <c r="R657" s="2424"/>
      <c r="S657" s="2424"/>
      <c r="T657" s="2424"/>
      <c r="U657" s="2424"/>
      <c r="V657" s="2424"/>
      <c r="W657" s="2424"/>
      <c r="X657" s="2424"/>
      <c r="Y657" s="2424"/>
      <c r="Z657" s="2424"/>
      <c r="AA657" s="2424"/>
      <c r="AB657" s="2424"/>
      <c r="AC657" s="2424"/>
      <c r="AD657" s="536"/>
      <c r="AE657" s="536"/>
      <c r="AF657" s="2524" t="s">
        <v>1378</v>
      </c>
      <c r="AG657" s="2524"/>
      <c r="AH657" s="2524"/>
      <c r="AI657" s="2524"/>
      <c r="AJ657" s="2524"/>
      <c r="AK657" s="2524"/>
      <c r="AL657" s="2524"/>
      <c r="AN657" s="597"/>
    </row>
    <row r="658" spans="1:42" s="550" customFormat="1" ht="12.75" customHeight="1">
      <c r="B658" s="536"/>
      <c r="C658" s="539"/>
      <c r="D658" s="536"/>
      <c r="E658" s="2424"/>
      <c r="F658" s="2424"/>
      <c r="G658" s="2424"/>
      <c r="H658" s="2424"/>
      <c r="I658" s="2424"/>
      <c r="J658" s="2424"/>
      <c r="K658" s="2424"/>
      <c r="L658" s="2424"/>
      <c r="M658" s="2424"/>
      <c r="N658" s="2424"/>
      <c r="O658" s="2424"/>
      <c r="P658" s="2424"/>
      <c r="Q658" s="2424"/>
      <c r="R658" s="2424"/>
      <c r="S658" s="2424"/>
      <c r="T658" s="2424"/>
      <c r="U658" s="2424"/>
      <c r="V658" s="2424"/>
      <c r="W658" s="2424"/>
      <c r="X658" s="2424"/>
      <c r="Y658" s="2424"/>
      <c r="Z658" s="2424"/>
      <c r="AA658" s="2424"/>
      <c r="AB658" s="2424"/>
      <c r="AC658" s="2424"/>
      <c r="AD658" s="536"/>
      <c r="AE658" s="536"/>
      <c r="AF658" s="536"/>
      <c r="AG658" s="536"/>
      <c r="AH658" s="536"/>
      <c r="AI658" s="536"/>
      <c r="AJ658" s="536"/>
      <c r="AK658" s="536"/>
      <c r="AL658" s="536"/>
      <c r="AN658" s="597"/>
    </row>
    <row r="659" spans="1:42" s="550" customFormat="1" ht="12.75" customHeight="1">
      <c r="B659" s="536"/>
      <c r="C659" s="539"/>
      <c r="D659" s="663"/>
      <c r="E659" s="2424"/>
      <c r="F659" s="2424"/>
      <c r="G659" s="2424"/>
      <c r="H659" s="2424"/>
      <c r="I659" s="2424"/>
      <c r="J659" s="2424"/>
      <c r="K659" s="2424"/>
      <c r="L659" s="2424"/>
      <c r="M659" s="2424"/>
      <c r="N659" s="2424"/>
      <c r="O659" s="2424"/>
      <c r="P659" s="2424"/>
      <c r="Q659" s="2424"/>
      <c r="R659" s="2424"/>
      <c r="S659" s="2424"/>
      <c r="T659" s="2424"/>
      <c r="U659" s="2424"/>
      <c r="V659" s="2424"/>
      <c r="W659" s="2424"/>
      <c r="X659" s="2424"/>
      <c r="Y659" s="2424"/>
      <c r="Z659" s="2424"/>
      <c r="AA659" s="2424"/>
      <c r="AB659" s="2424"/>
      <c r="AC659" s="2424"/>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24" t="s">
        <v>1419</v>
      </c>
      <c r="F661" s="2424"/>
      <c r="G661" s="2424"/>
      <c r="H661" s="2424"/>
      <c r="I661" s="2424"/>
      <c r="J661" s="2424"/>
      <c r="K661" s="2424"/>
      <c r="L661" s="2424"/>
      <c r="M661" s="2424"/>
      <c r="N661" s="2424"/>
      <c r="O661" s="2424"/>
      <c r="P661" s="2424"/>
      <c r="Q661" s="2424"/>
      <c r="R661" s="2424"/>
      <c r="S661" s="2424"/>
      <c r="T661" s="2424"/>
      <c r="U661" s="2424"/>
      <c r="V661" s="2424"/>
      <c r="W661" s="2424"/>
      <c r="X661" s="2424"/>
      <c r="Y661" s="2424"/>
      <c r="Z661" s="2424"/>
      <c r="AA661" s="2424"/>
      <c r="AB661" s="2424"/>
      <c r="AC661" s="2424"/>
      <c r="AD661" s="536"/>
      <c r="AE661" s="536"/>
      <c r="AF661" s="2524" t="s">
        <v>1399</v>
      </c>
      <c r="AG661" s="2524"/>
      <c r="AH661" s="2524"/>
      <c r="AI661" s="2524"/>
      <c r="AJ661" s="2524"/>
      <c r="AK661" s="2524"/>
      <c r="AL661" s="2524"/>
      <c r="AN661" s="597"/>
    </row>
    <row r="662" spans="1:42" s="550" customFormat="1" ht="12.75" customHeight="1">
      <c r="B662" s="536"/>
      <c r="C662" s="539"/>
      <c r="D662" s="536"/>
      <c r="E662" s="2424"/>
      <c r="F662" s="2424"/>
      <c r="G662" s="2424"/>
      <c r="H662" s="2424"/>
      <c r="I662" s="2424"/>
      <c r="J662" s="2424"/>
      <c r="K662" s="2424"/>
      <c r="L662" s="2424"/>
      <c r="M662" s="2424"/>
      <c r="N662" s="2424"/>
      <c r="O662" s="2424"/>
      <c r="P662" s="2424"/>
      <c r="Q662" s="2424"/>
      <c r="R662" s="2424"/>
      <c r="S662" s="2424"/>
      <c r="T662" s="2424"/>
      <c r="U662" s="2424"/>
      <c r="V662" s="2424"/>
      <c r="W662" s="2424"/>
      <c r="X662" s="2424"/>
      <c r="Y662" s="2424"/>
      <c r="Z662" s="2424"/>
      <c r="AA662" s="2424"/>
      <c r="AB662" s="2424"/>
      <c r="AC662" s="2424"/>
      <c r="AD662" s="536"/>
      <c r="AE662" s="536"/>
      <c r="AF662" s="536"/>
      <c r="AG662" s="536"/>
      <c r="AH662" s="536"/>
      <c r="AI662" s="536"/>
      <c r="AJ662" s="536"/>
      <c r="AK662" s="536"/>
      <c r="AL662" s="536"/>
      <c r="AN662" s="597"/>
    </row>
    <row r="663" spans="1:42" s="550" customFormat="1" ht="15" customHeight="1">
      <c r="B663" s="536"/>
      <c r="C663" s="539"/>
      <c r="D663" s="663"/>
      <c r="E663" s="2424"/>
      <c r="F663" s="2424"/>
      <c r="G663" s="2424"/>
      <c r="H663" s="2424"/>
      <c r="I663" s="2424"/>
      <c r="J663" s="2424"/>
      <c r="K663" s="2424"/>
      <c r="L663" s="2424"/>
      <c r="M663" s="2424"/>
      <c r="N663" s="2424"/>
      <c r="O663" s="2424"/>
      <c r="P663" s="2424"/>
      <c r="Q663" s="2424"/>
      <c r="R663" s="2424"/>
      <c r="S663" s="2424"/>
      <c r="T663" s="2424"/>
      <c r="U663" s="2424"/>
      <c r="V663" s="2424"/>
      <c r="W663" s="2424"/>
      <c r="X663" s="2424"/>
      <c r="Y663" s="2424"/>
      <c r="Z663" s="2424"/>
      <c r="AA663" s="2424"/>
      <c r="AB663" s="2424"/>
      <c r="AC663" s="2424"/>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24" t="s">
        <v>1420</v>
      </c>
      <c r="F665" s="2424"/>
      <c r="G665" s="2424"/>
      <c r="H665" s="2424"/>
      <c r="I665" s="2424"/>
      <c r="J665" s="2424"/>
      <c r="K665" s="2424"/>
      <c r="L665" s="2424"/>
      <c r="M665" s="2424"/>
      <c r="N665" s="2424"/>
      <c r="O665" s="2424"/>
      <c r="P665" s="2424"/>
      <c r="Q665" s="2424"/>
      <c r="R665" s="2424"/>
      <c r="S665" s="2424"/>
      <c r="T665" s="2424"/>
      <c r="U665" s="2424"/>
      <c r="V665" s="2424"/>
      <c r="W665" s="2424"/>
      <c r="X665" s="2424"/>
      <c r="Y665" s="2424"/>
      <c r="Z665" s="2424"/>
      <c r="AA665" s="2424"/>
      <c r="AB665" s="2424"/>
      <c r="AC665" s="2424"/>
      <c r="AD665" s="536"/>
      <c r="AE665" s="536"/>
      <c r="AF665" s="2524" t="s">
        <v>1352</v>
      </c>
      <c r="AG665" s="2524"/>
      <c r="AH665" s="2524"/>
      <c r="AI665" s="2524"/>
      <c r="AJ665" s="2524"/>
      <c r="AK665" s="2524"/>
      <c r="AL665" s="2524"/>
      <c r="AN665" s="597"/>
    </row>
    <row r="666" spans="1:42" s="550" customFormat="1" ht="12.75" customHeight="1">
      <c r="B666" s="536"/>
      <c r="C666" s="931"/>
      <c r="D666" s="536"/>
      <c r="E666" s="2424"/>
      <c r="F666" s="2424"/>
      <c r="G666" s="2424"/>
      <c r="H666" s="2424"/>
      <c r="I666" s="2424"/>
      <c r="J666" s="2424"/>
      <c r="K666" s="2424"/>
      <c r="L666" s="2424"/>
      <c r="M666" s="2424"/>
      <c r="N666" s="2424"/>
      <c r="O666" s="2424"/>
      <c r="P666" s="2424"/>
      <c r="Q666" s="2424"/>
      <c r="R666" s="2424"/>
      <c r="S666" s="2424"/>
      <c r="T666" s="2424"/>
      <c r="U666" s="2424"/>
      <c r="V666" s="2424"/>
      <c r="W666" s="2424"/>
      <c r="X666" s="2424"/>
      <c r="Y666" s="2424"/>
      <c r="Z666" s="2424"/>
      <c r="AA666" s="2424"/>
      <c r="AB666" s="2424"/>
      <c r="AC666" s="2424"/>
      <c r="AD666" s="536"/>
      <c r="AE666" s="2524"/>
      <c r="AF666" s="2524"/>
      <c r="AG666" s="2524"/>
      <c r="AH666" s="2524"/>
      <c r="AI666" s="2524"/>
      <c r="AJ666" s="2524"/>
      <c r="AK666" s="2524"/>
      <c r="AL666" s="594"/>
      <c r="AN666" s="597"/>
      <c r="AO666" s="550" t="s">
        <v>591</v>
      </c>
      <c r="AP666" s="673">
        <v>0</v>
      </c>
    </row>
    <row r="667" spans="1:42" s="550" customFormat="1" ht="12.75" customHeight="1">
      <c r="A667" s="679"/>
      <c r="B667" s="536"/>
      <c r="C667" s="536"/>
      <c r="D667" s="663"/>
      <c r="E667" s="2424"/>
      <c r="F667" s="2424"/>
      <c r="G667" s="2424"/>
      <c r="H667" s="2424"/>
      <c r="I667" s="2424"/>
      <c r="J667" s="2424"/>
      <c r="K667" s="2424"/>
      <c r="L667" s="2424"/>
      <c r="M667" s="2424"/>
      <c r="N667" s="2424"/>
      <c r="O667" s="2424"/>
      <c r="P667" s="2424"/>
      <c r="Q667" s="2424"/>
      <c r="R667" s="2424"/>
      <c r="S667" s="2424"/>
      <c r="T667" s="2424"/>
      <c r="U667" s="2424"/>
      <c r="V667" s="2424"/>
      <c r="W667" s="2424"/>
      <c r="X667" s="2424"/>
      <c r="Y667" s="2424"/>
      <c r="Z667" s="2424"/>
      <c r="AA667" s="2424"/>
      <c r="AB667" s="2424"/>
      <c r="AC667" s="2424"/>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1397</v>
      </c>
      <c r="E669" s="2424" t="s">
        <v>1421</v>
      </c>
      <c r="F669" s="2424"/>
      <c r="G669" s="2424"/>
      <c r="H669" s="2424"/>
      <c r="I669" s="2424"/>
      <c r="J669" s="2424"/>
      <c r="K669" s="2424"/>
      <c r="L669" s="2424"/>
      <c r="M669" s="2424"/>
      <c r="N669" s="2424"/>
      <c r="O669" s="2424"/>
      <c r="P669" s="2424"/>
      <c r="Q669" s="2424"/>
      <c r="R669" s="2424"/>
      <c r="S669" s="2424"/>
      <c r="T669" s="2424"/>
      <c r="U669" s="2424"/>
      <c r="V669" s="2424"/>
      <c r="W669" s="2424"/>
      <c r="X669" s="2424"/>
      <c r="Y669" s="2424"/>
      <c r="Z669" s="2424"/>
      <c r="AA669" s="2424"/>
      <c r="AB669" s="2424"/>
      <c r="AC669" s="2424"/>
      <c r="AD669" s="536"/>
      <c r="AE669" s="536"/>
      <c r="AF669" s="2524" t="s">
        <v>1399</v>
      </c>
      <c r="AG669" s="2524"/>
      <c r="AH669" s="2524"/>
      <c r="AI669" s="2524"/>
      <c r="AJ669" s="2524"/>
      <c r="AK669" s="2524"/>
      <c r="AL669" s="2524"/>
      <c r="AN669" s="597"/>
    </row>
    <row r="670" spans="1:42" s="550" customFormat="1" ht="12.75" customHeight="1">
      <c r="A670" s="670"/>
      <c r="B670" s="536"/>
      <c r="C670" s="947"/>
      <c r="D670" s="663"/>
      <c r="E670" s="2424"/>
      <c r="F670" s="2424"/>
      <c r="G670" s="2424"/>
      <c r="H670" s="2424"/>
      <c r="I670" s="2424"/>
      <c r="J670" s="2424"/>
      <c r="K670" s="2424"/>
      <c r="L670" s="2424"/>
      <c r="M670" s="2424"/>
      <c r="N670" s="2424"/>
      <c r="O670" s="2424"/>
      <c r="P670" s="2424"/>
      <c r="Q670" s="2424"/>
      <c r="R670" s="2424"/>
      <c r="S670" s="2424"/>
      <c r="T670" s="2424"/>
      <c r="U670" s="2424"/>
      <c r="V670" s="2424"/>
      <c r="W670" s="2424"/>
      <c r="X670" s="2424"/>
      <c r="Y670" s="2424"/>
      <c r="Z670" s="2424"/>
      <c r="AA670" s="2424"/>
      <c r="AB670" s="2424"/>
      <c r="AC670" s="2424"/>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4"/>
      <c r="F671" s="2424"/>
      <c r="G671" s="2424"/>
      <c r="H671" s="2424"/>
      <c r="I671" s="2424"/>
      <c r="J671" s="2424"/>
      <c r="K671" s="2424"/>
      <c r="L671" s="2424"/>
      <c r="M671" s="2424"/>
      <c r="N671" s="2424"/>
      <c r="O671" s="2424"/>
      <c r="P671" s="2424"/>
      <c r="Q671" s="2424"/>
      <c r="R671" s="2424"/>
      <c r="S671" s="2424"/>
      <c r="T671" s="2424"/>
      <c r="U671" s="2424"/>
      <c r="V671" s="2424"/>
      <c r="W671" s="2424"/>
      <c r="X671" s="2424"/>
      <c r="Y671" s="2424"/>
      <c r="Z671" s="2424"/>
      <c r="AA671" s="2424"/>
      <c r="AB671" s="2424"/>
      <c r="AC671" s="2424"/>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24" t="s">
        <v>1422</v>
      </c>
      <c r="F673" s="2424"/>
      <c r="G673" s="2424"/>
      <c r="H673" s="2424"/>
      <c r="I673" s="2424"/>
      <c r="J673" s="2424"/>
      <c r="K673" s="2424"/>
      <c r="L673" s="2424"/>
      <c r="M673" s="2424"/>
      <c r="N673" s="2424"/>
      <c r="O673" s="2424"/>
      <c r="P673" s="2424"/>
      <c r="Q673" s="2424"/>
      <c r="R673" s="2424"/>
      <c r="S673" s="2424"/>
      <c r="T673" s="2424"/>
      <c r="U673" s="2424"/>
      <c r="V673" s="2424"/>
      <c r="W673" s="2424"/>
      <c r="X673" s="2424"/>
      <c r="Y673" s="2424"/>
      <c r="Z673" s="2424"/>
      <c r="AA673" s="2424"/>
      <c r="AB673" s="2424"/>
      <c r="AC673" s="2424"/>
      <c r="AD673" s="536"/>
      <c r="AE673" s="536"/>
      <c r="AF673" s="2524" t="s">
        <v>1352</v>
      </c>
      <c r="AG673" s="2524"/>
      <c r="AH673" s="2524"/>
      <c r="AI673" s="2524"/>
      <c r="AJ673" s="2524"/>
      <c r="AK673" s="2524"/>
      <c r="AL673" s="2524"/>
      <c r="AM673" s="596"/>
      <c r="AN673" s="597"/>
    </row>
    <row r="674" spans="1:42" s="550" customFormat="1" ht="12.75" customHeight="1">
      <c r="B674" s="536"/>
      <c r="C674" s="931"/>
      <c r="D674" s="663"/>
      <c r="E674" s="2424"/>
      <c r="F674" s="2424"/>
      <c r="G674" s="2424"/>
      <c r="H674" s="2424"/>
      <c r="I674" s="2424"/>
      <c r="J674" s="2424"/>
      <c r="K674" s="2424"/>
      <c r="L674" s="2424"/>
      <c r="M674" s="2424"/>
      <c r="N674" s="2424"/>
      <c r="O674" s="2424"/>
      <c r="P674" s="2424"/>
      <c r="Q674" s="2424"/>
      <c r="R674" s="2424"/>
      <c r="S674" s="2424"/>
      <c r="T674" s="2424"/>
      <c r="U674" s="2424"/>
      <c r="V674" s="2424"/>
      <c r="W674" s="2424"/>
      <c r="X674" s="2424"/>
      <c r="Y674" s="2424"/>
      <c r="Z674" s="2424"/>
      <c r="AA674" s="2424"/>
      <c r="AB674" s="2424"/>
      <c r="AC674" s="2424"/>
      <c r="AD674" s="536"/>
      <c r="AE674" s="536"/>
      <c r="AF674" s="536"/>
      <c r="AG674" s="536"/>
      <c r="AH674" s="536"/>
      <c r="AI674" s="536"/>
      <c r="AJ674" s="536"/>
      <c r="AK674" s="536"/>
      <c r="AL674" s="536"/>
      <c r="AM674" s="596"/>
      <c r="AN674" s="597"/>
    </row>
    <row r="675" spans="1:42" s="550" customFormat="1" ht="12.75" customHeight="1">
      <c r="B675" s="536"/>
      <c r="C675" s="931"/>
      <c r="D675" s="663"/>
      <c r="E675" s="2424"/>
      <c r="F675" s="2424"/>
      <c r="G675" s="2424"/>
      <c r="H675" s="2424"/>
      <c r="I675" s="2424"/>
      <c r="J675" s="2424"/>
      <c r="K675" s="2424"/>
      <c r="L675" s="2424"/>
      <c r="M675" s="2424"/>
      <c r="N675" s="2424"/>
      <c r="O675" s="2424"/>
      <c r="P675" s="2424"/>
      <c r="Q675" s="2424"/>
      <c r="R675" s="2424"/>
      <c r="S675" s="2424"/>
      <c r="T675" s="2424"/>
      <c r="U675" s="2424"/>
      <c r="V675" s="2424"/>
      <c r="W675" s="2424"/>
      <c r="X675" s="2424"/>
      <c r="Y675" s="2424"/>
      <c r="Z675" s="2424"/>
      <c r="AA675" s="2424"/>
      <c r="AB675" s="2424"/>
      <c r="AC675" s="2424"/>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24" t="s">
        <v>1423</v>
      </c>
      <c r="F677" s="2424"/>
      <c r="G677" s="2424"/>
      <c r="H677" s="2424"/>
      <c r="I677" s="2424"/>
      <c r="J677" s="2424"/>
      <c r="K677" s="2424"/>
      <c r="L677" s="2424"/>
      <c r="M677" s="2424"/>
      <c r="N677" s="2424"/>
      <c r="O677" s="2424"/>
      <c r="P677" s="2424"/>
      <c r="Q677" s="2424"/>
      <c r="R677" s="2424"/>
      <c r="S677" s="2424"/>
      <c r="T677" s="2424"/>
      <c r="U677" s="2424"/>
      <c r="V677" s="2424"/>
      <c r="W677" s="2424"/>
      <c r="X677" s="2424"/>
      <c r="Y677" s="2424"/>
      <c r="Z677" s="2424"/>
      <c r="AA677" s="2424"/>
      <c r="AB677" s="2424"/>
      <c r="AC677" s="2424"/>
      <c r="AD677" s="536"/>
      <c r="AE677" s="536"/>
      <c r="AF677" s="2524" t="s">
        <v>1408</v>
      </c>
      <c r="AG677" s="2524"/>
      <c r="AH677" s="2524"/>
      <c r="AI677" s="2524"/>
      <c r="AJ677" s="2524"/>
      <c r="AK677" s="2524"/>
      <c r="AL677" s="2524"/>
      <c r="AM677" s="596"/>
      <c r="AN677" s="597"/>
    </row>
    <row r="678" spans="1:42" s="550" customFormat="1" ht="12.75" customHeight="1">
      <c r="A678" s="679"/>
      <c r="B678" s="536"/>
      <c r="C678" s="931"/>
      <c r="D678" s="663"/>
      <c r="E678" s="2424"/>
      <c r="F678" s="2424"/>
      <c r="G678" s="2424"/>
      <c r="H678" s="2424"/>
      <c r="I678" s="2424"/>
      <c r="J678" s="2424"/>
      <c r="K678" s="2424"/>
      <c r="L678" s="2424"/>
      <c r="M678" s="2424"/>
      <c r="N678" s="2424"/>
      <c r="O678" s="2424"/>
      <c r="P678" s="2424"/>
      <c r="Q678" s="2424"/>
      <c r="R678" s="2424"/>
      <c r="S678" s="2424"/>
      <c r="T678" s="2424"/>
      <c r="U678" s="2424"/>
      <c r="V678" s="2424"/>
      <c r="W678" s="2424"/>
      <c r="X678" s="2424"/>
      <c r="Y678" s="2424"/>
      <c r="Z678" s="2424"/>
      <c r="AA678" s="2424"/>
      <c r="AB678" s="2424"/>
      <c r="AC678" s="2424"/>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4"/>
      <c r="F679" s="2424"/>
      <c r="G679" s="2424"/>
      <c r="H679" s="2424"/>
      <c r="I679" s="2424"/>
      <c r="J679" s="2424"/>
      <c r="K679" s="2424"/>
      <c r="L679" s="2424"/>
      <c r="M679" s="2424"/>
      <c r="N679" s="2424"/>
      <c r="O679" s="2424"/>
      <c r="P679" s="2424"/>
      <c r="Q679" s="2424"/>
      <c r="R679" s="2424"/>
      <c r="S679" s="2424"/>
      <c r="T679" s="2424"/>
      <c r="U679" s="2424"/>
      <c r="V679" s="2424"/>
      <c r="W679" s="2424"/>
      <c r="X679" s="2424"/>
      <c r="Y679" s="2424"/>
      <c r="Z679" s="2424"/>
      <c r="AA679" s="2424"/>
      <c r="AB679" s="2424"/>
      <c r="AC679" s="2424"/>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1411</v>
      </c>
      <c r="E681" s="2424" t="s">
        <v>1424</v>
      </c>
      <c r="F681" s="2424"/>
      <c r="G681" s="2424"/>
      <c r="H681" s="2424"/>
      <c r="I681" s="2424"/>
      <c r="J681" s="2424"/>
      <c r="K681" s="2424"/>
      <c r="L681" s="2424"/>
      <c r="M681" s="2424"/>
      <c r="N681" s="2424"/>
      <c r="O681" s="2424"/>
      <c r="P681" s="2424"/>
      <c r="Q681" s="2424"/>
      <c r="R681" s="2424"/>
      <c r="S681" s="2424"/>
      <c r="T681" s="2424"/>
      <c r="U681" s="2424"/>
      <c r="V681" s="2424"/>
      <c r="W681" s="2424"/>
      <c r="X681" s="2424"/>
      <c r="Y681" s="2424"/>
      <c r="Z681" s="2424"/>
      <c r="AA681" s="2424"/>
      <c r="AB681" s="2424"/>
      <c r="AC681" s="2424"/>
      <c r="AD681" s="536"/>
      <c r="AE681" s="536"/>
      <c r="AF681" s="2524" t="s">
        <v>1425</v>
      </c>
      <c r="AG681" s="2524"/>
      <c r="AH681" s="2524"/>
      <c r="AI681" s="2524"/>
      <c r="AJ681" s="2524"/>
      <c r="AK681" s="2524"/>
      <c r="AL681" s="2524"/>
      <c r="AM681" s="596"/>
      <c r="AN681" s="597"/>
      <c r="AO681" s="611" t="s">
        <v>687</v>
      </c>
      <c r="AP681" s="550">
        <v>3</v>
      </c>
    </row>
    <row r="682" spans="1:42" s="550" customFormat="1" ht="12.75" customHeight="1">
      <c r="A682" s="679"/>
      <c r="B682" s="536"/>
      <c r="C682" s="931"/>
      <c r="D682" s="663"/>
      <c r="E682" s="2424"/>
      <c r="F682" s="2424"/>
      <c r="G682" s="2424"/>
      <c r="H682" s="2424"/>
      <c r="I682" s="2424"/>
      <c r="J682" s="2424"/>
      <c r="K682" s="2424"/>
      <c r="L682" s="2424"/>
      <c r="M682" s="2424"/>
      <c r="N682" s="2424"/>
      <c r="O682" s="2424"/>
      <c r="P682" s="2424"/>
      <c r="Q682" s="2424"/>
      <c r="R682" s="2424"/>
      <c r="S682" s="2424"/>
      <c r="T682" s="2424"/>
      <c r="U682" s="2424"/>
      <c r="V682" s="2424"/>
      <c r="W682" s="2424"/>
      <c r="X682" s="2424"/>
      <c r="Y682" s="2424"/>
      <c r="Z682" s="2424"/>
      <c r="AA682" s="2424"/>
      <c r="AB682" s="2424"/>
      <c r="AC682" s="2424"/>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24"/>
      <c r="F683" s="2424"/>
      <c r="G683" s="2424"/>
      <c r="H683" s="2424"/>
      <c r="I683" s="2424"/>
      <c r="J683" s="2424"/>
      <c r="K683" s="2424"/>
      <c r="L683" s="2424"/>
      <c r="M683" s="2424"/>
      <c r="N683" s="2424"/>
      <c r="O683" s="2424"/>
      <c r="P683" s="2424"/>
      <c r="Q683" s="2424"/>
      <c r="R683" s="2424"/>
      <c r="S683" s="2424"/>
      <c r="T683" s="2424"/>
      <c r="U683" s="2424"/>
      <c r="V683" s="2424"/>
      <c r="W683" s="2424"/>
      <c r="X683" s="2424"/>
      <c r="Y683" s="2424"/>
      <c r="Z683" s="2424"/>
      <c r="AA683" s="2424"/>
      <c r="AB683" s="2424"/>
      <c r="AC683" s="2424"/>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448" t="s">
        <v>1397</v>
      </c>
      <c r="I685" s="2448"/>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31">
        <f>VLOOKUP($H$685,$AO$633:$AP$640,2,FALSE)</f>
        <v>4</v>
      </c>
      <c r="AK687" s="2433"/>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2">
        <f>Application!G753</f>
        <v>124</v>
      </c>
    </row>
    <row r="691" spans="1:51" s="550" customFormat="1" ht="12.75" customHeight="1">
      <c r="A691" s="679"/>
      <c r="B691" s="536"/>
      <c r="C691" s="948"/>
      <c r="D691" s="663" t="s">
        <v>687</v>
      </c>
      <c r="E691" s="2394" t="s">
        <v>2189</v>
      </c>
      <c r="F691" s="2394"/>
      <c r="G691" s="2394"/>
      <c r="H691" s="2394"/>
      <c r="I691" s="2394"/>
      <c r="J691" s="2394"/>
      <c r="K691" s="2394"/>
      <c r="L691" s="2394"/>
      <c r="M691" s="2394"/>
      <c r="N691" s="2394"/>
      <c r="O691" s="2394"/>
      <c r="P691" s="2394"/>
      <c r="Q691" s="2394"/>
      <c r="R691" s="2394"/>
      <c r="S691" s="2394"/>
      <c r="T691" s="2394"/>
      <c r="U691" s="2394"/>
      <c r="V691" s="2394"/>
      <c r="W691" s="2394"/>
      <c r="X691" s="2394"/>
      <c r="Y691" s="2394"/>
      <c r="Z691" s="2394"/>
      <c r="AA691" s="2394"/>
      <c r="AB691" s="2394"/>
      <c r="AC691" s="536"/>
      <c r="AD691" s="536"/>
      <c r="AE691" s="536"/>
      <c r="AF691" s="2524" t="s">
        <v>1352</v>
      </c>
      <c r="AG691" s="2524"/>
      <c r="AH691" s="2524"/>
      <c r="AI691" s="2524"/>
      <c r="AJ691" s="2524"/>
      <c r="AK691" s="2524"/>
      <c r="AL691" s="2524"/>
      <c r="AN691" s="597"/>
      <c r="AW691" s="22" t="s">
        <v>2184</v>
      </c>
      <c r="AX691" s="550">
        <f>Application!DE753</f>
        <v>32</v>
      </c>
    </row>
    <row r="692" spans="1:51" s="550" customFormat="1" ht="12.75" customHeight="1">
      <c r="A692" s="679"/>
      <c r="B692" s="536"/>
      <c r="C692" s="948"/>
      <c r="D692" s="663"/>
      <c r="E692" s="2394"/>
      <c r="F692" s="2394"/>
      <c r="G692" s="2394"/>
      <c r="H692" s="2394"/>
      <c r="I692" s="2394"/>
      <c r="J692" s="2394"/>
      <c r="K692" s="2394"/>
      <c r="L692" s="2394"/>
      <c r="M692" s="2394"/>
      <c r="N692" s="2394"/>
      <c r="O692" s="2394"/>
      <c r="P692" s="2394"/>
      <c r="Q692" s="2394"/>
      <c r="R692" s="2394"/>
      <c r="S692" s="2394"/>
      <c r="T692" s="2394"/>
      <c r="U692" s="2394"/>
      <c r="V692" s="2394"/>
      <c r="W692" s="2394"/>
      <c r="X692" s="2394"/>
      <c r="Y692" s="2394"/>
      <c r="Z692" s="2394"/>
      <c r="AA692" s="2394"/>
      <c r="AB692" s="2394"/>
      <c r="AC692" s="536"/>
      <c r="AD692" s="536"/>
      <c r="AE692" s="536"/>
      <c r="AF692" s="536"/>
      <c r="AG692" s="536"/>
      <c r="AH692" s="536"/>
      <c r="AI692" s="536"/>
      <c r="AJ692" s="536"/>
      <c r="AK692" s="536"/>
      <c r="AL692" s="536"/>
      <c r="AN692" s="597"/>
      <c r="AW692" s="22" t="s">
        <v>2185</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1"/>
      <c r="D694" s="663" t="s">
        <v>509</v>
      </c>
      <c r="E694" s="2424" t="s">
        <v>2133</v>
      </c>
      <c r="F694" s="2424"/>
      <c r="G694" s="2424"/>
      <c r="H694" s="2424"/>
      <c r="I694" s="2424"/>
      <c r="J694" s="2424"/>
      <c r="K694" s="2424"/>
      <c r="L694" s="2424"/>
      <c r="M694" s="2424"/>
      <c r="N694" s="2424"/>
      <c r="O694" s="2424"/>
      <c r="P694" s="2424"/>
      <c r="Q694" s="2424"/>
      <c r="R694" s="2424"/>
      <c r="S694" s="2424"/>
      <c r="T694" s="2424"/>
      <c r="U694" s="2424"/>
      <c r="V694" s="2424"/>
      <c r="W694" s="2424"/>
      <c r="X694" s="2424"/>
      <c r="Y694" s="2424"/>
      <c r="Z694" s="2424"/>
      <c r="AA694" s="2424"/>
      <c r="AB694" s="2424"/>
      <c r="AC694" s="536"/>
      <c r="AD694" s="536"/>
      <c r="AE694" s="536"/>
      <c r="AF694" s="2524" t="s">
        <v>1352</v>
      </c>
      <c r="AG694" s="2524"/>
      <c r="AH694" s="2524"/>
      <c r="AI694" s="2524"/>
      <c r="AJ694" s="2524"/>
      <c r="AK694" s="2524"/>
      <c r="AL694" s="2524"/>
      <c r="AN694" s="597"/>
      <c r="AW694" s="22" t="s">
        <v>2187</v>
      </c>
      <c r="AX694" s="550">
        <f>AX691+AX692+AX693</f>
        <v>32</v>
      </c>
    </row>
    <row r="695" spans="1:51" s="550" customFormat="1" ht="12.75" customHeight="1">
      <c r="B695" s="536"/>
      <c r="C695" s="940"/>
      <c r="D695" s="663"/>
      <c r="E695" s="2424"/>
      <c r="F695" s="2424"/>
      <c r="G695" s="2424"/>
      <c r="H695" s="2424"/>
      <c r="I695" s="2424"/>
      <c r="J695" s="2424"/>
      <c r="K695" s="2424"/>
      <c r="L695" s="2424"/>
      <c r="M695" s="2424"/>
      <c r="N695" s="2424"/>
      <c r="O695" s="2424"/>
      <c r="P695" s="2424"/>
      <c r="Q695" s="2424"/>
      <c r="R695" s="2424"/>
      <c r="S695" s="2424"/>
      <c r="T695" s="2424"/>
      <c r="U695" s="2424"/>
      <c r="V695" s="2424"/>
      <c r="W695" s="2424"/>
      <c r="X695" s="2424"/>
      <c r="Y695" s="2424"/>
      <c r="Z695" s="2424"/>
      <c r="AA695" s="2424"/>
      <c r="AB695" s="2424"/>
      <c r="AC695" s="536"/>
      <c r="AD695" s="536"/>
      <c r="AE695" s="616"/>
      <c r="AF695" s="536"/>
      <c r="AG695" s="536"/>
      <c r="AH695" s="536"/>
      <c r="AI695" s="536"/>
      <c r="AJ695" s="536"/>
      <c r="AK695" s="536"/>
      <c r="AL695" s="536"/>
      <c r="AN695" s="597"/>
      <c r="AO695" s="2438" t="b">
        <f>IF(Application!D211="Special Needs",IF(AY695&gt;=0.25,TRUE,FALSE),IF(AX695&gt;=0.25,TRUE,FALSE))</f>
        <v>1</v>
      </c>
      <c r="AP695" s="2438"/>
      <c r="AW695" s="22" t="s">
        <v>2188</v>
      </c>
      <c r="AX695" s="550">
        <f>IFERROR(AX694/AX690,0)</f>
        <v>0.25806451612903225</v>
      </c>
      <c r="AY695" s="550">
        <f>IFERROR(AX694/(AX690-AX689),0)</f>
        <v>0.25806451612903225</v>
      </c>
    </row>
    <row r="696" spans="1:51" s="550" customFormat="1" ht="12.75" customHeight="1">
      <c r="B696" s="536"/>
      <c r="C696" s="940"/>
      <c r="E696" s="2424"/>
      <c r="F696" s="2424"/>
      <c r="G696" s="2424"/>
      <c r="H696" s="2424"/>
      <c r="I696" s="2424"/>
      <c r="J696" s="2424"/>
      <c r="K696" s="2424"/>
      <c r="L696" s="2424"/>
      <c r="M696" s="2424"/>
      <c r="N696" s="2424"/>
      <c r="O696" s="2424"/>
      <c r="P696" s="2424"/>
      <c r="Q696" s="2424"/>
      <c r="R696" s="2424"/>
      <c r="S696" s="2424"/>
      <c r="T696" s="2424"/>
      <c r="U696" s="2424"/>
      <c r="V696" s="2424"/>
      <c r="W696" s="2424"/>
      <c r="X696" s="2424"/>
      <c r="Y696" s="2424"/>
      <c r="Z696" s="2424"/>
      <c r="AA696" s="2424"/>
      <c r="AB696" s="2424"/>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4"/>
      <c r="F697" s="2424"/>
      <c r="G697" s="2424"/>
      <c r="H697" s="2424"/>
      <c r="I697" s="2424"/>
      <c r="J697" s="2424"/>
      <c r="K697" s="2424"/>
      <c r="L697" s="2424"/>
      <c r="M697" s="2424"/>
      <c r="N697" s="2424"/>
      <c r="O697" s="2424"/>
      <c r="P697" s="2424"/>
      <c r="Q697" s="2424"/>
      <c r="R697" s="2424"/>
      <c r="S697" s="2424"/>
      <c r="T697" s="2424"/>
      <c r="U697" s="2424"/>
      <c r="V697" s="2424"/>
      <c r="W697" s="2424"/>
      <c r="X697" s="2424"/>
      <c r="Y697" s="2424"/>
      <c r="Z697" s="2424"/>
      <c r="AA697" s="2424"/>
      <c r="AB697" s="2424"/>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277</v>
      </c>
      <c r="E699" s="2424" t="s">
        <v>2134</v>
      </c>
      <c r="F699" s="2424"/>
      <c r="G699" s="2424"/>
      <c r="H699" s="2424"/>
      <c r="I699" s="2424"/>
      <c r="J699" s="2424"/>
      <c r="K699" s="2424"/>
      <c r="L699" s="2424"/>
      <c r="M699" s="2424"/>
      <c r="N699" s="2424"/>
      <c r="O699" s="2424"/>
      <c r="P699" s="2424"/>
      <c r="Q699" s="2424"/>
      <c r="R699" s="2424"/>
      <c r="S699" s="2424"/>
      <c r="T699" s="2424"/>
      <c r="U699" s="2424"/>
      <c r="V699" s="2424"/>
      <c r="W699" s="2424"/>
      <c r="X699" s="2424"/>
      <c r="Y699" s="2424"/>
      <c r="Z699" s="2424"/>
      <c r="AA699" s="2424"/>
      <c r="AB699" s="2424"/>
      <c r="AC699" s="536"/>
      <c r="AD699" s="536"/>
      <c r="AE699" s="536"/>
      <c r="AF699" s="2524" t="s">
        <v>1408</v>
      </c>
      <c r="AG699" s="2524"/>
      <c r="AH699" s="2524"/>
      <c r="AI699" s="2524"/>
      <c r="AJ699" s="2524"/>
      <c r="AK699" s="2524"/>
      <c r="AL699" s="2524"/>
      <c r="AN699" s="597"/>
      <c r="AO699" s="611" t="s">
        <v>509</v>
      </c>
      <c r="AP699" s="550">
        <v>1</v>
      </c>
    </row>
    <row r="700" spans="1:51" s="550" customFormat="1" ht="12" customHeight="1">
      <c r="B700" s="536"/>
      <c r="C700" s="931"/>
      <c r="E700" s="2424"/>
      <c r="F700" s="2424"/>
      <c r="G700" s="2424"/>
      <c r="H700" s="2424"/>
      <c r="I700" s="2424"/>
      <c r="J700" s="2424"/>
      <c r="K700" s="2424"/>
      <c r="L700" s="2424"/>
      <c r="M700" s="2424"/>
      <c r="N700" s="2424"/>
      <c r="O700" s="2424"/>
      <c r="P700" s="2424"/>
      <c r="Q700" s="2424"/>
      <c r="R700" s="2424"/>
      <c r="S700" s="2424"/>
      <c r="T700" s="2424"/>
      <c r="U700" s="2424"/>
      <c r="V700" s="2424"/>
      <c r="W700" s="2424"/>
      <c r="X700" s="2424"/>
      <c r="Y700" s="2424"/>
      <c r="Z700" s="2424"/>
      <c r="AA700" s="2424"/>
      <c r="AB700" s="2424"/>
      <c r="AC700" s="536"/>
      <c r="AD700" s="536"/>
      <c r="AE700" s="616"/>
      <c r="AF700" s="536"/>
      <c r="AG700" s="536"/>
      <c r="AH700" s="536"/>
      <c r="AI700" s="536"/>
      <c r="AJ700" s="536"/>
      <c r="AK700" s="536"/>
      <c r="AL700" s="536"/>
      <c r="AN700" s="597"/>
    </row>
    <row r="701" spans="1:51" s="550" customFormat="1" ht="12" customHeight="1">
      <c r="B701" s="536"/>
      <c r="C701" s="931"/>
      <c r="D701" s="536"/>
      <c r="E701" s="2424"/>
      <c r="F701" s="2424"/>
      <c r="G701" s="2424"/>
      <c r="H701" s="2424"/>
      <c r="I701" s="2424"/>
      <c r="J701" s="2424"/>
      <c r="K701" s="2424"/>
      <c r="L701" s="2424"/>
      <c r="M701" s="2424"/>
      <c r="N701" s="2424"/>
      <c r="O701" s="2424"/>
      <c r="P701" s="2424"/>
      <c r="Q701" s="2424"/>
      <c r="R701" s="2424"/>
      <c r="S701" s="2424"/>
      <c r="T701" s="2424"/>
      <c r="U701" s="2424"/>
      <c r="V701" s="2424"/>
      <c r="W701" s="2424"/>
      <c r="X701" s="2424"/>
      <c r="Y701" s="2424"/>
      <c r="Z701" s="2424"/>
      <c r="AA701" s="2424"/>
      <c r="AB701" s="2424"/>
      <c r="AC701" s="536"/>
      <c r="AD701" s="536"/>
      <c r="AE701" s="616"/>
      <c r="AF701" s="536"/>
      <c r="AG701" s="536"/>
      <c r="AH701" s="536"/>
      <c r="AI701" s="536"/>
      <c r="AJ701" s="536"/>
      <c r="AK701" s="536"/>
      <c r="AL701" s="536"/>
      <c r="AN701" s="597"/>
    </row>
    <row r="702" spans="1:51" s="550" customFormat="1" ht="12" customHeight="1">
      <c r="B702" s="536"/>
      <c r="C702" s="931"/>
      <c r="D702" s="536"/>
      <c r="E702" s="2424"/>
      <c r="F702" s="2424"/>
      <c r="G702" s="2424"/>
      <c r="H702" s="2424"/>
      <c r="I702" s="2424"/>
      <c r="J702" s="2424"/>
      <c r="K702" s="2424"/>
      <c r="L702" s="2424"/>
      <c r="M702" s="2424"/>
      <c r="N702" s="2424"/>
      <c r="O702" s="2424"/>
      <c r="P702" s="2424"/>
      <c r="Q702" s="2424"/>
      <c r="R702" s="2424"/>
      <c r="S702" s="2424"/>
      <c r="T702" s="2424"/>
      <c r="U702" s="2424"/>
      <c r="V702" s="2424"/>
      <c r="W702" s="2424"/>
      <c r="X702" s="2424"/>
      <c r="Y702" s="2424"/>
      <c r="Z702" s="2424"/>
      <c r="AA702" s="2424"/>
      <c r="AB702" s="2424"/>
      <c r="AC702" s="536"/>
      <c r="AD702" s="536"/>
      <c r="AE702" s="616"/>
      <c r="AF702" s="536"/>
      <c r="AG702" s="536"/>
      <c r="AH702" s="536"/>
      <c r="AI702" s="536"/>
      <c r="AJ702" s="536"/>
      <c r="AK702" s="536"/>
      <c r="AL702" s="536"/>
      <c r="AN702" s="597"/>
    </row>
    <row r="703" spans="1:51" s="570" customFormat="1" ht="13" customHeight="1">
      <c r="A703" s="550"/>
      <c r="B703" s="536"/>
      <c r="C703" s="931"/>
      <c r="D703" s="536"/>
      <c r="E703" s="2424"/>
      <c r="F703" s="2424"/>
      <c r="G703" s="2424"/>
      <c r="H703" s="2424"/>
      <c r="I703" s="2424"/>
      <c r="J703" s="2424"/>
      <c r="K703" s="2424"/>
      <c r="L703" s="2424"/>
      <c r="M703" s="2424"/>
      <c r="N703" s="2424"/>
      <c r="O703" s="2424"/>
      <c r="P703" s="2424"/>
      <c r="Q703" s="2424"/>
      <c r="R703" s="2424"/>
      <c r="S703" s="2424"/>
      <c r="T703" s="2424"/>
      <c r="U703" s="2424"/>
      <c r="V703" s="2424"/>
      <c r="W703" s="2424"/>
      <c r="X703" s="2424"/>
      <c r="Y703" s="2424"/>
      <c r="Z703" s="2424"/>
      <c r="AA703" s="2424"/>
      <c r="AB703" s="2424"/>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24" t="s">
        <v>1693</v>
      </c>
      <c r="F705" s="2424"/>
      <c r="G705" s="2424"/>
      <c r="H705" s="2424"/>
      <c r="I705" s="2424"/>
      <c r="J705" s="2424"/>
      <c r="K705" s="2424"/>
      <c r="L705" s="2424"/>
      <c r="M705" s="2424"/>
      <c r="N705" s="2424"/>
      <c r="O705" s="2424"/>
      <c r="P705" s="2424"/>
      <c r="Q705" s="2424"/>
      <c r="R705" s="2424"/>
      <c r="S705" s="2424"/>
      <c r="T705" s="2424"/>
      <c r="U705" s="2424"/>
      <c r="V705" s="2424"/>
      <c r="W705" s="2424"/>
      <c r="X705" s="2424"/>
      <c r="Y705" s="2424"/>
      <c r="Z705" s="2424"/>
      <c r="AA705" s="2424"/>
      <c r="AB705" s="2424"/>
      <c r="AC705" s="536"/>
      <c r="AD705" s="536"/>
      <c r="AE705" s="616"/>
      <c r="AF705" s="616"/>
      <c r="AG705" s="616"/>
      <c r="AH705" s="616"/>
      <c r="AI705" s="616"/>
      <c r="AJ705" s="536"/>
      <c r="AK705" s="536"/>
      <c r="AL705" s="536"/>
      <c r="AM705" s="550"/>
      <c r="AN705" s="684"/>
      <c r="AO705" s="611" t="s">
        <v>509</v>
      </c>
      <c r="AP705" s="550">
        <f>3*$AO$695</f>
        <v>3</v>
      </c>
    </row>
    <row r="706" spans="1:43" s="570" customFormat="1" ht="12.75" customHeight="1">
      <c r="A706" s="550"/>
      <c r="B706" s="536"/>
      <c r="C706" s="931"/>
      <c r="D706" s="536"/>
      <c r="E706" s="2424"/>
      <c r="F706" s="2424"/>
      <c r="G706" s="2424"/>
      <c r="H706" s="2424"/>
      <c r="I706" s="2424"/>
      <c r="J706" s="2424"/>
      <c r="K706" s="2424"/>
      <c r="L706" s="2424"/>
      <c r="M706" s="2424"/>
      <c r="N706" s="2424"/>
      <c r="O706" s="2424"/>
      <c r="P706" s="2424"/>
      <c r="Q706" s="2424"/>
      <c r="R706" s="2424"/>
      <c r="S706" s="2424"/>
      <c r="T706" s="2424"/>
      <c r="U706" s="2424"/>
      <c r="V706" s="2424"/>
      <c r="W706" s="2424"/>
      <c r="X706" s="2424"/>
      <c r="Y706" s="2424"/>
      <c r="Z706" s="2424"/>
      <c r="AA706" s="2424"/>
      <c r="AB706" s="2424"/>
      <c r="AC706" s="536"/>
      <c r="AD706" s="536"/>
      <c r="AE706" s="616"/>
      <c r="AF706" s="616"/>
      <c r="AG706" s="616"/>
      <c r="AH706" s="616"/>
      <c r="AI706" s="616"/>
      <c r="AJ706" s="536"/>
      <c r="AK706" s="536"/>
      <c r="AL706" s="536"/>
      <c r="AM706" s="550"/>
      <c r="AN706" s="684"/>
      <c r="AO706" s="611" t="s">
        <v>277</v>
      </c>
      <c r="AP706" s="550">
        <f>2*$AO$695</f>
        <v>2</v>
      </c>
    </row>
    <row r="707" spans="1:43" s="570" customFormat="1" ht="12.75" customHeight="1">
      <c r="A707" s="550"/>
      <c r="B707" s="536"/>
      <c r="C707" s="931"/>
      <c r="D707" s="536"/>
      <c r="E707" s="2424"/>
      <c r="F707" s="2424"/>
      <c r="G707" s="2424"/>
      <c r="H707" s="2424"/>
      <c r="I707" s="2424"/>
      <c r="J707" s="2424"/>
      <c r="K707" s="2424"/>
      <c r="L707" s="2424"/>
      <c r="M707" s="2424"/>
      <c r="N707" s="2424"/>
      <c r="O707" s="2424"/>
      <c r="P707" s="2424"/>
      <c r="Q707" s="2424"/>
      <c r="R707" s="2424"/>
      <c r="S707" s="2424"/>
      <c r="T707" s="2424"/>
      <c r="U707" s="2424"/>
      <c r="V707" s="2424"/>
      <c r="W707" s="2424"/>
      <c r="X707" s="2424"/>
      <c r="Y707" s="2424"/>
      <c r="Z707" s="2424"/>
      <c r="AA707" s="2424"/>
      <c r="AB707" s="2424"/>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448" t="s">
        <v>509</v>
      </c>
      <c r="I709" s="2448"/>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2136</v>
      </c>
      <c r="AJ711" s="2431">
        <f>VLOOKUP($H$709,$AO$703:$AP$706,2,FALSE)</f>
        <v>3</v>
      </c>
      <c r="AK711" s="2433"/>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36" t="s">
        <v>1695</v>
      </c>
      <c r="F715" s="2536"/>
      <c r="G715" s="2536"/>
      <c r="H715" s="2536"/>
      <c r="I715" s="2536"/>
      <c r="J715" s="2536"/>
      <c r="K715" s="2536"/>
      <c r="L715" s="2536"/>
      <c r="M715" s="2536"/>
      <c r="N715" s="2536"/>
      <c r="O715" s="2536"/>
      <c r="P715" s="2536"/>
      <c r="Q715" s="2536"/>
      <c r="R715" s="2536"/>
      <c r="S715" s="2536"/>
      <c r="T715" s="2536"/>
      <c r="U715" s="2536"/>
      <c r="V715" s="2536"/>
      <c r="W715" s="2536"/>
      <c r="X715" s="2536"/>
      <c r="Y715" s="2536"/>
      <c r="Z715" s="2536"/>
      <c r="AA715" s="2536"/>
      <c r="AB715" s="2536"/>
      <c r="AC715" s="536"/>
      <c r="AD715" s="536"/>
      <c r="AE715" s="536"/>
      <c r="AF715" s="2524" t="s">
        <v>1352</v>
      </c>
      <c r="AG715" s="2524"/>
      <c r="AH715" s="2524"/>
      <c r="AI715" s="2524"/>
      <c r="AJ715" s="2524"/>
      <c r="AK715" s="2524"/>
      <c r="AL715" s="2524"/>
      <c r="AM715" s="550"/>
      <c r="AN715" s="684"/>
      <c r="AP715" s="570" t="s">
        <v>1432</v>
      </c>
    </row>
    <row r="716" spans="1:43" s="570" customFormat="1" ht="11.75" customHeight="1">
      <c r="A716" s="550"/>
      <c r="B716" s="536"/>
      <c r="C716" s="933"/>
      <c r="D716" s="663"/>
      <c r="E716" s="2536"/>
      <c r="F716" s="2536"/>
      <c r="G716" s="2536"/>
      <c r="H716" s="2536"/>
      <c r="I716" s="2536"/>
      <c r="J716" s="2536"/>
      <c r="K716" s="2536"/>
      <c r="L716" s="2536"/>
      <c r="M716" s="2536"/>
      <c r="N716" s="2536"/>
      <c r="O716" s="2536"/>
      <c r="P716" s="2536"/>
      <c r="Q716" s="2536"/>
      <c r="R716" s="2536"/>
      <c r="S716" s="2536"/>
      <c r="T716" s="2536"/>
      <c r="U716" s="2536"/>
      <c r="V716" s="2536"/>
      <c r="W716" s="2536"/>
      <c r="X716" s="2536"/>
      <c r="Y716" s="2536"/>
      <c r="Z716" s="2536"/>
      <c r="AA716" s="2536"/>
      <c r="AB716" s="2536"/>
      <c r="AC716" s="536"/>
      <c r="AD716" s="536"/>
      <c r="AE716" s="536"/>
      <c r="AF716" s="536"/>
      <c r="AG716" s="536"/>
      <c r="AH716" s="536"/>
      <c r="AI716" s="536"/>
      <c r="AJ716" s="536"/>
      <c r="AK716" s="536"/>
      <c r="AL716" s="536"/>
      <c r="AM716" s="550"/>
      <c r="AN716" s="684"/>
      <c r="AP716" s="570" t="s">
        <v>1433</v>
      </c>
    </row>
    <row r="717" spans="1:43" s="570" customFormat="1" ht="14" customHeight="1">
      <c r="A717" s="550"/>
      <c r="B717" s="610"/>
      <c r="C717" s="931"/>
      <c r="D717" s="663"/>
      <c r="E717" s="2536"/>
      <c r="F717" s="2536"/>
      <c r="G717" s="2536"/>
      <c r="H717" s="2536"/>
      <c r="I717" s="2536"/>
      <c r="J717" s="2536"/>
      <c r="K717" s="2536"/>
      <c r="L717" s="2536"/>
      <c r="M717" s="2536"/>
      <c r="N717" s="2536"/>
      <c r="O717" s="2536"/>
      <c r="P717" s="2536"/>
      <c r="Q717" s="2536"/>
      <c r="R717" s="2536"/>
      <c r="S717" s="2536"/>
      <c r="T717" s="2536"/>
      <c r="U717" s="2536"/>
      <c r="V717" s="2536"/>
      <c r="W717" s="2536"/>
      <c r="X717" s="2536"/>
      <c r="Y717" s="2536"/>
      <c r="Z717" s="2536"/>
      <c r="AA717" s="2536"/>
      <c r="AB717" s="2536"/>
      <c r="AC717" s="536"/>
      <c r="AD717" s="536"/>
      <c r="AE717" s="616"/>
      <c r="AF717" s="536"/>
      <c r="AG717" s="536"/>
      <c r="AH717" s="536"/>
      <c r="AI717" s="536"/>
      <c r="AJ717" s="536"/>
      <c r="AK717" s="536"/>
      <c r="AL717" s="536"/>
      <c r="AM717" s="550"/>
      <c r="AN717" s="684"/>
      <c r="AP717" s="570" t="s">
        <v>1434</v>
      </c>
    </row>
    <row r="718" spans="1:43" s="570" customFormat="1" ht="14"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4" customHeight="1">
      <c r="A719" s="550"/>
      <c r="B719" s="536"/>
      <c r="C719" s="931"/>
      <c r="D719" s="663" t="s">
        <v>509</v>
      </c>
      <c r="E719" s="2537" t="s">
        <v>1435</v>
      </c>
      <c r="F719" s="2537"/>
      <c r="G719" s="2537"/>
      <c r="H719" s="2537"/>
      <c r="I719" s="2537"/>
      <c r="J719" s="2537"/>
      <c r="K719" s="2537"/>
      <c r="L719" s="2537"/>
      <c r="M719" s="2537"/>
      <c r="N719" s="2537"/>
      <c r="O719" s="2537"/>
      <c r="P719" s="2537"/>
      <c r="Q719" s="2537"/>
      <c r="R719" s="2537"/>
      <c r="S719" s="2537"/>
      <c r="T719" s="2537"/>
      <c r="U719" s="2537"/>
      <c r="V719" s="2537"/>
      <c r="W719" s="2537"/>
      <c r="X719" s="2537"/>
      <c r="Y719" s="2537"/>
      <c r="Z719" s="2537"/>
      <c r="AA719" s="2537"/>
      <c r="AB719" s="2537"/>
      <c r="AC719" s="536"/>
      <c r="AD719" s="536"/>
      <c r="AE719" s="536"/>
      <c r="AF719" s="2524" t="s">
        <v>1408</v>
      </c>
      <c r="AG719" s="2524"/>
      <c r="AH719" s="2524"/>
      <c r="AI719" s="2524"/>
      <c r="AJ719" s="2524"/>
      <c r="AK719" s="2524"/>
      <c r="AL719" s="2524"/>
      <c r="AM719" s="550"/>
      <c r="AN719" s="685"/>
    </row>
    <row r="720" spans="1:43" s="570" customFormat="1" ht="12.75" customHeight="1">
      <c r="A720" s="550"/>
      <c r="B720" s="536"/>
      <c r="C720" s="933"/>
      <c r="D720" s="536"/>
      <c r="E720" s="2537"/>
      <c r="F720" s="2537"/>
      <c r="G720" s="2537"/>
      <c r="H720" s="2537"/>
      <c r="I720" s="2537"/>
      <c r="J720" s="2537"/>
      <c r="K720" s="2537"/>
      <c r="L720" s="2537"/>
      <c r="M720" s="2537"/>
      <c r="N720" s="2537"/>
      <c r="O720" s="2537"/>
      <c r="P720" s="2537"/>
      <c r="Q720" s="2537"/>
      <c r="R720" s="2537"/>
      <c r="S720" s="2537"/>
      <c r="T720" s="2537"/>
      <c r="U720" s="2537"/>
      <c r="V720" s="2537"/>
      <c r="W720" s="2537"/>
      <c r="X720" s="2537"/>
      <c r="Y720" s="2537"/>
      <c r="Z720" s="2537"/>
      <c r="AA720" s="2537"/>
      <c r="AB720" s="2537"/>
      <c r="AC720" s="536"/>
      <c r="AD720" s="536"/>
      <c r="AE720" s="536"/>
      <c r="AF720" s="536"/>
      <c r="AG720" s="536"/>
      <c r="AH720" s="536"/>
      <c r="AI720" s="536"/>
      <c r="AJ720" s="536"/>
      <c r="AK720" s="536"/>
      <c r="AL720" s="536"/>
      <c r="AM720" s="550"/>
      <c r="AN720" s="684"/>
      <c r="AP720" s="550" t="s">
        <v>591</v>
      </c>
      <c r="AQ720" s="673">
        <v>0</v>
      </c>
    </row>
    <row r="721" spans="1:81" s="570" customFormat="1" ht="14" customHeight="1">
      <c r="A721" s="550"/>
      <c r="B721" s="536"/>
      <c r="C721" s="933"/>
      <c r="D721" s="536"/>
      <c r="E721" s="2537"/>
      <c r="F721" s="2537"/>
      <c r="G721" s="2537"/>
      <c r="H721" s="2537"/>
      <c r="I721" s="2537"/>
      <c r="J721" s="2537"/>
      <c r="K721" s="2537"/>
      <c r="L721" s="2537"/>
      <c r="M721" s="2537"/>
      <c r="N721" s="2537"/>
      <c r="O721" s="2537"/>
      <c r="P721" s="2537"/>
      <c r="Q721" s="2537"/>
      <c r="R721" s="2537"/>
      <c r="S721" s="2537"/>
      <c r="T721" s="2537"/>
      <c r="U721" s="2537"/>
      <c r="V721" s="2537"/>
      <c r="W721" s="2537"/>
      <c r="X721" s="2537"/>
      <c r="Y721" s="2537"/>
      <c r="Z721" s="2537"/>
      <c r="AA721" s="2537"/>
      <c r="AB721" s="2537"/>
      <c r="AC721" s="536"/>
      <c r="AD721" s="536"/>
      <c r="AE721" s="536"/>
      <c r="AF721" s="536"/>
      <c r="AG721" s="536"/>
      <c r="AH721" s="536"/>
      <c r="AI721" s="536"/>
      <c r="AJ721" s="536"/>
      <c r="AK721" s="536"/>
      <c r="AL721" s="536"/>
      <c r="AM721" s="550"/>
      <c r="AN721" s="684"/>
      <c r="AP721" s="611" t="s">
        <v>687</v>
      </c>
      <c r="AQ721" s="550">
        <v>3</v>
      </c>
    </row>
    <row r="722" spans="1:81" s="570" customFormat="1" ht="14"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4" customHeight="1">
      <c r="A723" s="550"/>
      <c r="B723" s="536"/>
      <c r="C723" s="933"/>
      <c r="D723" s="536" t="s">
        <v>1400</v>
      </c>
      <c r="E723" s="936"/>
      <c r="F723" s="936"/>
      <c r="G723" s="936"/>
      <c r="H723" s="2448" t="s">
        <v>591</v>
      </c>
      <c r="I723" s="2448"/>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31">
        <f>VLOOKUP($H$723,$AP$720:$AQ$722,2,FALSE)</f>
        <v>0</v>
      </c>
      <c r="AK725" s="2433"/>
      <c r="AL725" s="595"/>
      <c r="AM725" s="550"/>
      <c r="AN725" s="684"/>
      <c r="AP725" s="2431"/>
      <c r="AQ725" s="2433"/>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424" t="s">
        <v>1696</v>
      </c>
      <c r="F729" s="2424"/>
      <c r="G729" s="2424"/>
      <c r="H729" s="2424"/>
      <c r="I729" s="2424"/>
      <c r="J729" s="2424"/>
      <c r="K729" s="2424"/>
      <c r="L729" s="2424"/>
      <c r="M729" s="2424"/>
      <c r="N729" s="2424"/>
      <c r="O729" s="2424"/>
      <c r="P729" s="2424"/>
      <c r="Q729" s="2424"/>
      <c r="R729" s="2424"/>
      <c r="S729" s="2424"/>
      <c r="T729" s="2424"/>
      <c r="U729" s="2424"/>
      <c r="V729" s="2424"/>
      <c r="W729" s="2424"/>
      <c r="X729" s="2424"/>
      <c r="Y729" s="2424"/>
      <c r="Z729" s="2424"/>
      <c r="AA729" s="2424"/>
      <c r="AB729" s="2424"/>
      <c r="AC729" s="536"/>
      <c r="AD729" s="536"/>
      <c r="AE729" s="536"/>
      <c r="AF729" s="2524" t="s">
        <v>1352</v>
      </c>
      <c r="AG729" s="2524"/>
      <c r="AH729" s="2524"/>
      <c r="AI729" s="2524"/>
      <c r="AJ729" s="2524"/>
      <c r="AK729" s="2524"/>
      <c r="AL729" s="2524"/>
      <c r="AM729" s="550"/>
      <c r="AN729" s="684"/>
      <c r="AT729" s="14"/>
      <c r="AU729" s="14"/>
      <c r="AV729" s="14"/>
      <c r="AW729" s="14"/>
      <c r="AX729" s="14"/>
      <c r="AY729" s="14"/>
      <c r="AZ729" s="14"/>
    </row>
    <row r="730" spans="1:81" s="570" customFormat="1">
      <c r="A730" s="550"/>
      <c r="B730" s="536"/>
      <c r="C730" s="933"/>
      <c r="D730" s="663"/>
      <c r="E730" s="2424"/>
      <c r="F730" s="2424"/>
      <c r="G730" s="2424"/>
      <c r="H730" s="2424"/>
      <c r="I730" s="2424"/>
      <c r="J730" s="2424"/>
      <c r="K730" s="2424"/>
      <c r="L730" s="2424"/>
      <c r="M730" s="2424"/>
      <c r="N730" s="2424"/>
      <c r="O730" s="2424"/>
      <c r="P730" s="2424"/>
      <c r="Q730" s="2424"/>
      <c r="R730" s="2424"/>
      <c r="S730" s="2424"/>
      <c r="T730" s="2424"/>
      <c r="U730" s="2424"/>
      <c r="V730" s="2424"/>
      <c r="W730" s="2424"/>
      <c r="X730" s="2424"/>
      <c r="Y730" s="2424"/>
      <c r="Z730" s="2424"/>
      <c r="AA730" s="2424"/>
      <c r="AB730" s="2424"/>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24" t="s">
        <v>1439</v>
      </c>
      <c r="F732" s="2424"/>
      <c r="G732" s="2424"/>
      <c r="H732" s="2424"/>
      <c r="I732" s="2424"/>
      <c r="J732" s="2424"/>
      <c r="K732" s="2424"/>
      <c r="L732" s="2424"/>
      <c r="M732" s="2424"/>
      <c r="N732" s="2424"/>
      <c r="O732" s="2424"/>
      <c r="P732" s="2424"/>
      <c r="Q732" s="2424"/>
      <c r="R732" s="2424"/>
      <c r="S732" s="2424"/>
      <c r="T732" s="2424"/>
      <c r="U732" s="2424"/>
      <c r="V732" s="2424"/>
      <c r="W732" s="2424"/>
      <c r="X732" s="2424"/>
      <c r="Y732" s="2424"/>
      <c r="Z732" s="2424"/>
      <c r="AA732" s="2424"/>
      <c r="AB732" s="2424"/>
      <c r="AC732" s="536"/>
      <c r="AD732" s="536"/>
      <c r="AE732" s="536"/>
      <c r="AF732" s="2524" t="s">
        <v>1408</v>
      </c>
      <c r="AG732" s="2524"/>
      <c r="AH732" s="2524"/>
      <c r="AI732" s="2524"/>
      <c r="AJ732" s="2524"/>
      <c r="AK732" s="2524"/>
      <c r="AL732" s="2524"/>
      <c r="AM732" s="550"/>
      <c r="AN732" s="684"/>
      <c r="AT732" s="14"/>
      <c r="AU732" s="14"/>
      <c r="AV732" s="14"/>
      <c r="AW732" s="14"/>
      <c r="AX732" s="14"/>
      <c r="AY732" s="14"/>
      <c r="AZ732" s="14"/>
    </row>
    <row r="733" spans="1:81" s="570" customFormat="1">
      <c r="A733" s="550"/>
      <c r="B733" s="536"/>
      <c r="C733" s="933"/>
      <c r="D733" s="536"/>
      <c r="E733" s="2424"/>
      <c r="F733" s="2424"/>
      <c r="G733" s="2424"/>
      <c r="H733" s="2424"/>
      <c r="I733" s="2424"/>
      <c r="J733" s="2424"/>
      <c r="K733" s="2424"/>
      <c r="L733" s="2424"/>
      <c r="M733" s="2424"/>
      <c r="N733" s="2424"/>
      <c r="O733" s="2424"/>
      <c r="P733" s="2424"/>
      <c r="Q733" s="2424"/>
      <c r="R733" s="2424"/>
      <c r="S733" s="2424"/>
      <c r="T733" s="2424"/>
      <c r="U733" s="2424"/>
      <c r="V733" s="2424"/>
      <c r="W733" s="2424"/>
      <c r="X733" s="2424"/>
      <c r="Y733" s="2424"/>
      <c r="Z733" s="2424"/>
      <c r="AA733" s="2424"/>
      <c r="AB733" s="2424"/>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448" t="s">
        <v>591</v>
      </c>
      <c r="I735" s="2448"/>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31">
        <f>VLOOKUP($H$735,$AO$666:$AP$668,2,FALSE)</f>
        <v>0</v>
      </c>
      <c r="AK737" s="2433"/>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424" t="s">
        <v>1442</v>
      </c>
      <c r="F741" s="2424"/>
      <c r="G741" s="2424"/>
      <c r="H741" s="2424"/>
      <c r="I741" s="2424"/>
      <c r="J741" s="2424"/>
      <c r="K741" s="2424"/>
      <c r="L741" s="2424"/>
      <c r="M741" s="2424"/>
      <c r="N741" s="2424"/>
      <c r="O741" s="2424"/>
      <c r="P741" s="2424"/>
      <c r="Q741" s="2424"/>
      <c r="R741" s="2424"/>
      <c r="S741" s="2424"/>
      <c r="T741" s="2424"/>
      <c r="U741" s="2424"/>
      <c r="V741" s="2424"/>
      <c r="W741" s="2424"/>
      <c r="X741" s="2424"/>
      <c r="Y741" s="2424"/>
      <c r="Z741" s="2424"/>
      <c r="AA741" s="2424"/>
      <c r="AB741" s="2424"/>
      <c r="AC741" s="536"/>
      <c r="AD741" s="536"/>
      <c r="AE741" s="536"/>
      <c r="AF741" s="2524" t="s">
        <v>1352</v>
      </c>
      <c r="AG741" s="2524"/>
      <c r="AH741" s="2524"/>
      <c r="AI741" s="2524"/>
      <c r="AJ741" s="2524"/>
      <c r="AK741" s="2524"/>
      <c r="AL741" s="2524"/>
      <c r="AM741" s="550"/>
      <c r="AN741" s="684"/>
      <c r="AT741" s="14"/>
      <c r="AU741" s="14"/>
      <c r="AV741" s="14"/>
      <c r="AW741" s="14"/>
      <c r="AX741" s="14"/>
      <c r="AY741" s="14"/>
      <c r="AZ741" s="14"/>
    </row>
    <row r="742" spans="1:81" s="570" customFormat="1">
      <c r="A742" s="550"/>
      <c r="B742" s="536"/>
      <c r="C742" s="931"/>
      <c r="D742" s="663"/>
      <c r="E742" s="2424"/>
      <c r="F742" s="2424"/>
      <c r="G742" s="2424"/>
      <c r="H742" s="2424"/>
      <c r="I742" s="2424"/>
      <c r="J742" s="2424"/>
      <c r="K742" s="2424"/>
      <c r="L742" s="2424"/>
      <c r="M742" s="2424"/>
      <c r="N742" s="2424"/>
      <c r="O742" s="2424"/>
      <c r="P742" s="2424"/>
      <c r="Q742" s="2424"/>
      <c r="R742" s="2424"/>
      <c r="S742" s="2424"/>
      <c r="T742" s="2424"/>
      <c r="U742" s="2424"/>
      <c r="V742" s="2424"/>
      <c r="W742" s="2424"/>
      <c r="X742" s="2424"/>
      <c r="Y742" s="2424"/>
      <c r="Z742" s="2424"/>
      <c r="AA742" s="2424"/>
      <c r="AB742" s="2424"/>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24"/>
      <c r="F743" s="2424"/>
      <c r="G743" s="2424"/>
      <c r="H743" s="2424"/>
      <c r="I743" s="2424"/>
      <c r="J743" s="2424"/>
      <c r="K743" s="2424"/>
      <c r="L743" s="2424"/>
      <c r="M743" s="2424"/>
      <c r="N743" s="2424"/>
      <c r="O743" s="2424"/>
      <c r="P743" s="2424"/>
      <c r="Q743" s="2424"/>
      <c r="R743" s="2424"/>
      <c r="S743" s="2424"/>
      <c r="T743" s="2424"/>
      <c r="U743" s="2424"/>
      <c r="V743" s="2424"/>
      <c r="W743" s="2424"/>
      <c r="X743" s="2424"/>
      <c r="Y743" s="2424"/>
      <c r="Z743" s="2424"/>
      <c r="AA743" s="2424"/>
      <c r="AB743" s="2424"/>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4"/>
      <c r="F744" s="2424"/>
      <c r="G744" s="2424"/>
      <c r="H744" s="2424"/>
      <c r="I744" s="2424"/>
      <c r="J744" s="2424"/>
      <c r="K744" s="2424"/>
      <c r="L744" s="2424"/>
      <c r="M744" s="2424"/>
      <c r="N744" s="2424"/>
      <c r="O744" s="2424"/>
      <c r="P744" s="2424"/>
      <c r="Q744" s="2424"/>
      <c r="R744" s="2424"/>
      <c r="S744" s="2424"/>
      <c r="T744" s="2424"/>
      <c r="U744" s="2424"/>
      <c r="V744" s="2424"/>
      <c r="W744" s="2424"/>
      <c r="X744" s="2424"/>
      <c r="Y744" s="2424"/>
      <c r="Z744" s="2424"/>
      <c r="AA744" s="2424"/>
      <c r="AB744" s="2424"/>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424" t="s">
        <v>1443</v>
      </c>
      <c r="F746" s="2424"/>
      <c r="G746" s="2424"/>
      <c r="H746" s="2424"/>
      <c r="I746" s="2424"/>
      <c r="J746" s="2424"/>
      <c r="K746" s="2424"/>
      <c r="L746" s="2424"/>
      <c r="M746" s="2424"/>
      <c r="N746" s="2424"/>
      <c r="O746" s="2424"/>
      <c r="P746" s="2424"/>
      <c r="Q746" s="2424"/>
      <c r="R746" s="2424"/>
      <c r="S746" s="2424"/>
      <c r="T746" s="2424"/>
      <c r="U746" s="2424"/>
      <c r="V746" s="2424"/>
      <c r="W746" s="2424"/>
      <c r="X746" s="2424"/>
      <c r="Y746" s="2424"/>
      <c r="Z746" s="2424"/>
      <c r="AA746" s="2424"/>
      <c r="AB746" s="575"/>
      <c r="AC746" s="536"/>
      <c r="AD746" s="536"/>
      <c r="AE746" s="536"/>
      <c r="AF746" s="2524" t="s">
        <v>1408</v>
      </c>
      <c r="AG746" s="2524"/>
      <c r="AH746" s="2524"/>
      <c r="AI746" s="2524"/>
      <c r="AJ746" s="2524"/>
      <c r="AK746" s="2524"/>
      <c r="AL746" s="2524"/>
      <c r="AM746" s="550"/>
      <c r="AN746" s="684"/>
      <c r="AO746" s="30"/>
      <c r="AP746" s="14"/>
    </row>
    <row r="747" spans="1:81" s="570" customFormat="1">
      <c r="A747" s="550"/>
      <c r="B747" s="536"/>
      <c r="C747" s="931"/>
      <c r="D747" s="663"/>
      <c r="E747" s="2424"/>
      <c r="F747" s="2424"/>
      <c r="G747" s="2424"/>
      <c r="H747" s="2424"/>
      <c r="I747" s="2424"/>
      <c r="J747" s="2424"/>
      <c r="K747" s="2424"/>
      <c r="L747" s="2424"/>
      <c r="M747" s="2424"/>
      <c r="N747" s="2424"/>
      <c r="O747" s="2424"/>
      <c r="P747" s="2424"/>
      <c r="Q747" s="2424"/>
      <c r="R747" s="2424"/>
      <c r="S747" s="2424"/>
      <c r="T747" s="2424"/>
      <c r="U747" s="2424"/>
      <c r="V747" s="2424"/>
      <c r="W747" s="2424"/>
      <c r="X747" s="2424"/>
      <c r="Y747" s="2424"/>
      <c r="Z747" s="2424"/>
      <c r="AA747" s="2424"/>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24"/>
      <c r="F748" s="2424"/>
      <c r="G748" s="2424"/>
      <c r="H748" s="2424"/>
      <c r="I748" s="2424"/>
      <c r="J748" s="2424"/>
      <c r="K748" s="2424"/>
      <c r="L748" s="2424"/>
      <c r="M748" s="2424"/>
      <c r="N748" s="2424"/>
      <c r="O748" s="2424"/>
      <c r="P748" s="2424"/>
      <c r="Q748" s="2424"/>
      <c r="R748" s="2424"/>
      <c r="S748" s="2424"/>
      <c r="T748" s="2424"/>
      <c r="U748" s="2424"/>
      <c r="V748" s="2424"/>
      <c r="W748" s="2424"/>
      <c r="X748" s="2424"/>
      <c r="Y748" s="2424"/>
      <c r="Z748" s="2424"/>
      <c r="AA748" s="2424"/>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24"/>
      <c r="F749" s="2424"/>
      <c r="G749" s="2424"/>
      <c r="H749" s="2424"/>
      <c r="I749" s="2424"/>
      <c r="J749" s="2424"/>
      <c r="K749" s="2424"/>
      <c r="L749" s="2424"/>
      <c r="M749" s="2424"/>
      <c r="N749" s="2424"/>
      <c r="O749" s="2424"/>
      <c r="P749" s="2424"/>
      <c r="Q749" s="2424"/>
      <c r="R749" s="2424"/>
      <c r="S749" s="2424"/>
      <c r="T749" s="2424"/>
      <c r="U749" s="2424"/>
      <c r="V749" s="2424"/>
      <c r="W749" s="2424"/>
      <c r="X749" s="2424"/>
      <c r="Y749" s="2424"/>
      <c r="Z749" s="2424"/>
      <c r="AA749" s="2424"/>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448" t="s">
        <v>591</v>
      </c>
      <c r="I751" s="2448"/>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31">
        <f>VLOOKUP($H$751,$AO$680:$AP$682,2,FALSE)</f>
        <v>0</v>
      </c>
      <c r="AK753" s="2433"/>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424" t="s">
        <v>1445</v>
      </c>
      <c r="F757" s="2424"/>
      <c r="G757" s="2424"/>
      <c r="H757" s="2424"/>
      <c r="I757" s="2424"/>
      <c r="J757" s="2424"/>
      <c r="K757" s="2424"/>
      <c r="L757" s="2424"/>
      <c r="M757" s="2424"/>
      <c r="N757" s="2424"/>
      <c r="O757" s="2424"/>
      <c r="P757" s="2424"/>
      <c r="Q757" s="2424"/>
      <c r="R757" s="2424"/>
      <c r="S757" s="2424"/>
      <c r="T757" s="2424"/>
      <c r="U757" s="2424"/>
      <c r="V757" s="2424"/>
      <c r="W757" s="2424"/>
      <c r="X757" s="2424"/>
      <c r="Y757" s="2424"/>
      <c r="Z757" s="2424"/>
      <c r="AA757" s="2424"/>
      <c r="AB757" s="2424"/>
      <c r="AC757" s="536"/>
      <c r="AD757" s="536"/>
      <c r="AE757" s="536"/>
      <c r="AF757" s="2524" t="s">
        <v>1408</v>
      </c>
      <c r="AG757" s="2524"/>
      <c r="AH757" s="2524"/>
      <c r="AI757" s="2524"/>
      <c r="AJ757" s="2524"/>
      <c r="AK757" s="2524"/>
      <c r="AL757" s="2524"/>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24"/>
      <c r="F758" s="2424"/>
      <c r="G758" s="2424"/>
      <c r="H758" s="2424"/>
      <c r="I758" s="2424"/>
      <c r="J758" s="2424"/>
      <c r="K758" s="2424"/>
      <c r="L758" s="2424"/>
      <c r="M758" s="2424"/>
      <c r="N758" s="2424"/>
      <c r="O758" s="2424"/>
      <c r="P758" s="2424"/>
      <c r="Q758" s="2424"/>
      <c r="R758" s="2424"/>
      <c r="S758" s="2424"/>
      <c r="T758" s="2424"/>
      <c r="U758" s="2424"/>
      <c r="V758" s="2424"/>
      <c r="W758" s="2424"/>
      <c r="X758" s="2424"/>
      <c r="Y758" s="2424"/>
      <c r="Z758" s="2424"/>
      <c r="AA758" s="2424"/>
      <c r="AB758" s="2424"/>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424" t="s">
        <v>1446</v>
      </c>
      <c r="F760" s="2424"/>
      <c r="G760" s="2424"/>
      <c r="H760" s="2424"/>
      <c r="I760" s="2424"/>
      <c r="J760" s="2424"/>
      <c r="K760" s="2424"/>
      <c r="L760" s="2424"/>
      <c r="M760" s="2424"/>
      <c r="N760" s="2424"/>
      <c r="O760" s="2424"/>
      <c r="P760" s="2424"/>
      <c r="Q760" s="2424"/>
      <c r="R760" s="2424"/>
      <c r="S760" s="2424"/>
      <c r="T760" s="2424"/>
      <c r="U760" s="2424"/>
      <c r="V760" s="2424"/>
      <c r="W760" s="2424"/>
      <c r="X760" s="2424"/>
      <c r="Y760" s="2424"/>
      <c r="Z760" s="2424"/>
      <c r="AA760" s="2424"/>
      <c r="AB760" s="2424"/>
      <c r="AC760" s="536"/>
      <c r="AD760" s="536"/>
      <c r="AE760" s="536"/>
      <c r="AF760" s="2524" t="s">
        <v>1425</v>
      </c>
      <c r="AG760" s="2524"/>
      <c r="AH760" s="2524"/>
      <c r="AI760" s="2524"/>
      <c r="AJ760" s="2524"/>
      <c r="AK760" s="2524"/>
      <c r="AL760" s="2524"/>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4"/>
      <c r="F761" s="2424"/>
      <c r="G761" s="2424"/>
      <c r="H761" s="2424"/>
      <c r="I761" s="2424"/>
      <c r="J761" s="2424"/>
      <c r="K761" s="2424"/>
      <c r="L761" s="2424"/>
      <c r="M761" s="2424"/>
      <c r="N761" s="2424"/>
      <c r="O761" s="2424"/>
      <c r="P761" s="2424"/>
      <c r="Q761" s="2424"/>
      <c r="R761" s="2424"/>
      <c r="S761" s="2424"/>
      <c r="T761" s="2424"/>
      <c r="U761" s="2424"/>
      <c r="V761" s="2424"/>
      <c r="W761" s="2424"/>
      <c r="X761" s="2424"/>
      <c r="Y761" s="2424"/>
      <c r="Z761" s="2424"/>
      <c r="AA761" s="2424"/>
      <c r="AB761" s="2424"/>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448" t="s">
        <v>509</v>
      </c>
      <c r="I763" s="2448"/>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31">
        <f>VLOOKUP($H$763,$AO$697:$AP$699,2,FALSE)</f>
        <v>1</v>
      </c>
      <c r="AK765" s="2433"/>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5" customHeight="1">
      <c r="A769" s="550"/>
      <c r="B769" s="616"/>
      <c r="C769" s="940"/>
      <c r="D769" s="663" t="s">
        <v>687</v>
      </c>
      <c r="E769" s="2424" t="s">
        <v>1692</v>
      </c>
      <c r="F769" s="2424"/>
      <c r="G769" s="2424"/>
      <c r="H769" s="2424"/>
      <c r="I769" s="2424"/>
      <c r="J769" s="2424"/>
      <c r="K769" s="2424"/>
      <c r="L769" s="2424"/>
      <c r="M769" s="2424"/>
      <c r="N769" s="2424"/>
      <c r="O769" s="2424"/>
      <c r="P769" s="2424"/>
      <c r="Q769" s="2424"/>
      <c r="R769" s="2424"/>
      <c r="S769" s="2424"/>
      <c r="T769" s="2424"/>
      <c r="U769" s="2424"/>
      <c r="V769" s="2424"/>
      <c r="W769" s="2424"/>
      <c r="X769" s="2424"/>
      <c r="Y769" s="2424"/>
      <c r="Z769" s="2424"/>
      <c r="AA769" s="2424"/>
      <c r="AB769" s="2424"/>
      <c r="AC769" s="2424"/>
      <c r="AD769" s="2424"/>
      <c r="AE769" s="536"/>
      <c r="AF769" s="2524" t="s">
        <v>1408</v>
      </c>
      <c r="AG769" s="2524"/>
      <c r="AH769" s="2524"/>
      <c r="AI769" s="2524"/>
      <c r="AJ769" s="2524"/>
      <c r="AK769" s="2524"/>
      <c r="AL769" s="2524"/>
      <c r="AM769" s="613"/>
      <c r="AN769" s="684"/>
      <c r="AO769" s="550" t="s">
        <v>591</v>
      </c>
      <c r="AP769" s="673">
        <v>0</v>
      </c>
    </row>
    <row r="770" spans="1:81" s="570" customFormat="1" ht="13.75" customHeight="1">
      <c r="A770" s="550"/>
      <c r="B770" s="616"/>
      <c r="C770" s="940"/>
      <c r="D770" s="663"/>
      <c r="E770" s="2424"/>
      <c r="F770" s="2424"/>
      <c r="G770" s="2424"/>
      <c r="H770" s="2424"/>
      <c r="I770" s="2424"/>
      <c r="J770" s="2424"/>
      <c r="K770" s="2424"/>
      <c r="L770" s="2424"/>
      <c r="M770" s="2424"/>
      <c r="N770" s="2424"/>
      <c r="O770" s="2424"/>
      <c r="P770" s="2424"/>
      <c r="Q770" s="2424"/>
      <c r="R770" s="2424"/>
      <c r="S770" s="2424"/>
      <c r="T770" s="2424"/>
      <c r="U770" s="2424"/>
      <c r="V770" s="2424"/>
      <c r="W770" s="2424"/>
      <c r="X770" s="2424"/>
      <c r="Y770" s="2424"/>
      <c r="Z770" s="2424"/>
      <c r="AA770" s="2424"/>
      <c r="AB770" s="2424"/>
      <c r="AC770" s="2424"/>
      <c r="AD770" s="2424"/>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424"/>
      <c r="F771" s="2424"/>
      <c r="G771" s="2424"/>
      <c r="H771" s="2424"/>
      <c r="I771" s="2424"/>
      <c r="J771" s="2424"/>
      <c r="K771" s="2424"/>
      <c r="L771" s="2424"/>
      <c r="M771" s="2424"/>
      <c r="N771" s="2424"/>
      <c r="O771" s="2424"/>
      <c r="P771" s="2424"/>
      <c r="Q771" s="2424"/>
      <c r="R771" s="2424"/>
      <c r="S771" s="2424"/>
      <c r="T771" s="2424"/>
      <c r="U771" s="2424"/>
      <c r="V771" s="2424"/>
      <c r="W771" s="2424"/>
      <c r="X771" s="2424"/>
      <c r="Y771" s="2424"/>
      <c r="Z771" s="2424"/>
      <c r="AA771" s="2424"/>
      <c r="AB771" s="2424"/>
      <c r="AC771" s="2424"/>
      <c r="AD771" s="2424"/>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5" customHeight="1">
      <c r="A772" s="550"/>
      <c r="B772" s="616"/>
      <c r="C772" s="940"/>
      <c r="D772" s="663"/>
      <c r="E772" s="2424"/>
      <c r="F772" s="2424"/>
      <c r="G772" s="2424"/>
      <c r="H772" s="2424"/>
      <c r="I772" s="2424"/>
      <c r="J772" s="2424"/>
      <c r="K772" s="2424"/>
      <c r="L772" s="2424"/>
      <c r="M772" s="2424"/>
      <c r="N772" s="2424"/>
      <c r="O772" s="2424"/>
      <c r="P772" s="2424"/>
      <c r="Q772" s="2424"/>
      <c r="R772" s="2424"/>
      <c r="S772" s="2424"/>
      <c r="T772" s="2424"/>
      <c r="U772" s="2424"/>
      <c r="V772" s="2424"/>
      <c r="W772" s="2424"/>
      <c r="X772" s="2424"/>
      <c r="Y772" s="2424"/>
      <c r="Z772" s="2424"/>
      <c r="AA772" s="2424"/>
      <c r="AB772" s="2424"/>
      <c r="AC772" s="2424"/>
      <c r="AD772" s="2424"/>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35" t="s">
        <v>1697</v>
      </c>
      <c r="F774" s="2535"/>
      <c r="G774" s="2535"/>
      <c r="H774" s="2535"/>
      <c r="I774" s="2535"/>
      <c r="J774" s="2535"/>
      <c r="K774" s="2535"/>
      <c r="L774" s="2535"/>
      <c r="M774" s="2535"/>
      <c r="N774" s="2535"/>
      <c r="O774" s="2535"/>
      <c r="P774" s="2535"/>
      <c r="Q774" s="2535"/>
      <c r="R774" s="2535"/>
      <c r="S774" s="2535"/>
      <c r="T774" s="2535"/>
      <c r="U774" s="2535"/>
      <c r="V774" s="2535"/>
      <c r="W774" s="2535"/>
      <c r="X774" s="2535"/>
      <c r="Y774" s="2535"/>
      <c r="Z774" s="2535"/>
      <c r="AA774" s="2535"/>
      <c r="AB774" s="2535"/>
      <c r="AC774" s="2535"/>
      <c r="AD774" s="2535"/>
      <c r="AE774" s="536"/>
      <c r="AF774" s="2524" t="s">
        <v>1352</v>
      </c>
      <c r="AG774" s="2524"/>
      <c r="AH774" s="2524"/>
      <c r="AI774" s="2524"/>
      <c r="AJ774" s="2524"/>
      <c r="AK774" s="2524"/>
      <c r="AL774" s="2524"/>
      <c r="AM774" s="613"/>
      <c r="AN774" s="597"/>
    </row>
    <row r="775" spans="1:81" s="550" customFormat="1" ht="12.75" customHeight="1">
      <c r="B775" s="616"/>
      <c r="C775" s="940"/>
      <c r="D775" s="663"/>
      <c r="E775" s="2535"/>
      <c r="F775" s="2535"/>
      <c r="G775" s="2535"/>
      <c r="H775" s="2535"/>
      <c r="I775" s="2535"/>
      <c r="J775" s="2535"/>
      <c r="K775" s="2535"/>
      <c r="L775" s="2535"/>
      <c r="M775" s="2535"/>
      <c r="N775" s="2535"/>
      <c r="O775" s="2535"/>
      <c r="P775" s="2535"/>
      <c r="Q775" s="2535"/>
      <c r="R775" s="2535"/>
      <c r="S775" s="2535"/>
      <c r="T775" s="2535"/>
      <c r="U775" s="2535"/>
      <c r="V775" s="2535"/>
      <c r="W775" s="2535"/>
      <c r="X775" s="2535"/>
      <c r="Y775" s="2535"/>
      <c r="Z775" s="2535"/>
      <c r="AA775" s="2535"/>
      <c r="AB775" s="2535"/>
      <c r="AC775" s="2535"/>
      <c r="AD775" s="2535"/>
      <c r="AE775" s="594"/>
      <c r="AF775" s="594"/>
      <c r="AG775" s="594"/>
      <c r="AH775" s="594"/>
      <c r="AI775" s="594"/>
      <c r="AJ775" s="594"/>
      <c r="AK775" s="594"/>
      <c r="AL775" s="594"/>
      <c r="AM775" s="613"/>
      <c r="AN775" s="597"/>
    </row>
    <row r="776" spans="1:81" s="550" customFormat="1" ht="12.75" customHeight="1">
      <c r="B776" s="616"/>
      <c r="C776" s="940"/>
      <c r="D776" s="663"/>
      <c r="E776" s="2535"/>
      <c r="F776" s="2535"/>
      <c r="G776" s="2535"/>
      <c r="H776" s="2535"/>
      <c r="I776" s="2535"/>
      <c r="J776" s="2535"/>
      <c r="K776" s="2535"/>
      <c r="L776" s="2535"/>
      <c r="M776" s="2535"/>
      <c r="N776" s="2535"/>
      <c r="O776" s="2535"/>
      <c r="P776" s="2535"/>
      <c r="Q776" s="2535"/>
      <c r="R776" s="2535"/>
      <c r="S776" s="2535"/>
      <c r="T776" s="2535"/>
      <c r="U776" s="2535"/>
      <c r="V776" s="2535"/>
      <c r="W776" s="2535"/>
      <c r="X776" s="2535"/>
      <c r="Y776" s="2535"/>
      <c r="Z776" s="2535"/>
      <c r="AA776" s="2535"/>
      <c r="AB776" s="2535"/>
      <c r="AC776" s="2535"/>
      <c r="AD776" s="2535"/>
      <c r="AE776" s="594"/>
      <c r="AF776" s="594"/>
      <c r="AG776" s="594"/>
      <c r="AH776" s="594"/>
      <c r="AI776" s="594"/>
      <c r="AJ776" s="594"/>
      <c r="AK776" s="594"/>
      <c r="AL776" s="594"/>
      <c r="AM776" s="613"/>
      <c r="AN776" s="597"/>
    </row>
    <row r="777" spans="1:81" s="550" customFormat="1" ht="12.75" customHeight="1">
      <c r="B777" s="616"/>
      <c r="C777" s="940"/>
      <c r="D777" s="663"/>
      <c r="E777" s="2535"/>
      <c r="F777" s="2535"/>
      <c r="G777" s="2535"/>
      <c r="H777" s="2535"/>
      <c r="I777" s="2535"/>
      <c r="J777" s="2535"/>
      <c r="K777" s="2535"/>
      <c r="L777" s="2535"/>
      <c r="M777" s="2535"/>
      <c r="N777" s="2535"/>
      <c r="O777" s="2535"/>
      <c r="P777" s="2535"/>
      <c r="Q777" s="2535"/>
      <c r="R777" s="2535"/>
      <c r="S777" s="2535"/>
      <c r="T777" s="2535"/>
      <c r="U777" s="2535"/>
      <c r="V777" s="2535"/>
      <c r="W777" s="2535"/>
      <c r="X777" s="2535"/>
      <c r="Y777" s="2535"/>
      <c r="Z777" s="2535"/>
      <c r="AA777" s="2535"/>
      <c r="AB777" s="2535"/>
      <c r="AC777" s="2535"/>
      <c r="AD777" s="2535"/>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448" t="s">
        <v>591</v>
      </c>
      <c r="I779" s="2448"/>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31">
        <f>VLOOKUP($H$779,$AO$769:$AP$771,2,FALSE)</f>
        <v>0</v>
      </c>
      <c r="AK781" s="2433"/>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5" customHeight="1">
      <c r="A785" s="550"/>
      <c r="B785" s="616"/>
      <c r="C785" s="940"/>
      <c r="D785" s="663" t="s">
        <v>687</v>
      </c>
      <c r="E785" s="2424" t="s">
        <v>2032</v>
      </c>
      <c r="F785" s="2424"/>
      <c r="G785" s="2424"/>
      <c r="H785" s="2424"/>
      <c r="I785" s="2424"/>
      <c r="J785" s="2424"/>
      <c r="K785" s="2424"/>
      <c r="L785" s="2424"/>
      <c r="M785" s="2424"/>
      <c r="N785" s="2424"/>
      <c r="O785" s="2424"/>
      <c r="P785" s="2424"/>
      <c r="Q785" s="2424"/>
      <c r="R785" s="2424"/>
      <c r="S785" s="2424"/>
      <c r="T785" s="2424"/>
      <c r="U785" s="2424"/>
      <c r="V785" s="2424"/>
      <c r="W785" s="2424"/>
      <c r="X785" s="2424"/>
      <c r="Y785" s="2424"/>
      <c r="Z785" s="2424"/>
      <c r="AA785" s="2424"/>
      <c r="AB785" s="2424"/>
      <c r="AC785" s="2424"/>
      <c r="AD785" s="2424"/>
      <c r="AE785" s="536"/>
      <c r="AF785" s="2524" t="s">
        <v>1352</v>
      </c>
      <c r="AG785" s="2524"/>
      <c r="AH785" s="2524"/>
      <c r="AI785" s="2524"/>
      <c r="AJ785" s="2524"/>
      <c r="AK785" s="2524"/>
      <c r="AL785" s="2524"/>
      <c r="AM785" s="613"/>
      <c r="AN785" s="684"/>
      <c r="AO785" s="611" t="s">
        <v>545</v>
      </c>
      <c r="AP785" s="550">
        <v>3</v>
      </c>
      <c r="AT785" s="674"/>
      <c r="AU785" s="674"/>
      <c r="AV785" s="674"/>
      <c r="AW785" s="674"/>
      <c r="AX785" s="674"/>
      <c r="AY785" s="674"/>
      <c r="AZ785" s="674"/>
    </row>
    <row r="786" spans="1:81" s="570" customFormat="1" ht="13.75" customHeight="1">
      <c r="A786" s="550"/>
      <c r="B786" s="616"/>
      <c r="C786" s="940"/>
      <c r="D786" s="663"/>
      <c r="E786" s="2424"/>
      <c r="F786" s="2424"/>
      <c r="G786" s="2424"/>
      <c r="H786" s="2424"/>
      <c r="I786" s="2424"/>
      <c r="J786" s="2424"/>
      <c r="K786" s="2424"/>
      <c r="L786" s="2424"/>
      <c r="M786" s="2424"/>
      <c r="N786" s="2424"/>
      <c r="O786" s="2424"/>
      <c r="P786" s="2424"/>
      <c r="Q786" s="2424"/>
      <c r="R786" s="2424"/>
      <c r="S786" s="2424"/>
      <c r="T786" s="2424"/>
      <c r="U786" s="2424"/>
      <c r="V786" s="2424"/>
      <c r="W786" s="2424"/>
      <c r="X786" s="2424"/>
      <c r="Y786" s="2424"/>
      <c r="Z786" s="2424"/>
      <c r="AA786" s="2424"/>
      <c r="AB786" s="2424"/>
      <c r="AC786" s="2424"/>
      <c r="AD786" s="2424"/>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24"/>
      <c r="F787" s="2424"/>
      <c r="G787" s="2424"/>
      <c r="H787" s="2424"/>
      <c r="I787" s="2424"/>
      <c r="J787" s="2424"/>
      <c r="K787" s="2424"/>
      <c r="L787" s="2424"/>
      <c r="M787" s="2424"/>
      <c r="N787" s="2424"/>
      <c r="O787" s="2424"/>
      <c r="P787" s="2424"/>
      <c r="Q787" s="2424"/>
      <c r="R787" s="2424"/>
      <c r="S787" s="2424"/>
      <c r="T787" s="2424"/>
      <c r="U787" s="2424"/>
      <c r="V787" s="2424"/>
      <c r="W787" s="2424"/>
      <c r="X787" s="2424"/>
      <c r="Y787" s="2424"/>
      <c r="Z787" s="2424"/>
      <c r="AA787" s="2424"/>
      <c r="AB787" s="2424"/>
      <c r="AC787" s="2424"/>
      <c r="AD787" s="2424"/>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24"/>
      <c r="F788" s="2424"/>
      <c r="G788" s="2424"/>
      <c r="H788" s="2424"/>
      <c r="I788" s="2424"/>
      <c r="J788" s="2424"/>
      <c r="K788" s="2424"/>
      <c r="L788" s="2424"/>
      <c r="M788" s="2424"/>
      <c r="N788" s="2424"/>
      <c r="O788" s="2424"/>
      <c r="P788" s="2424"/>
      <c r="Q788" s="2424"/>
      <c r="R788" s="2424"/>
      <c r="S788" s="2424"/>
      <c r="T788" s="2424"/>
      <c r="U788" s="2424"/>
      <c r="V788" s="2424"/>
      <c r="W788" s="2424"/>
      <c r="X788" s="2424"/>
      <c r="Y788" s="2424"/>
      <c r="Z788" s="2424"/>
      <c r="AA788" s="2424"/>
      <c r="AB788" s="2424"/>
      <c r="AC788" s="2424"/>
      <c r="AD788" s="2424"/>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448" t="s">
        <v>545</v>
      </c>
      <c r="I790" s="2448"/>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31">
        <f>VLOOKUP($H$790,$AO$784:$AP$785,2,FALSE)</f>
        <v>3</v>
      </c>
      <c r="AK792" s="2433"/>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31">
        <f>IF(($AJ$621+$AJ$640+$AJ$652+$AJ$687+$AJ$711+$AJ$725+$AJ$737+$AJ$753+$AJ$765+$AJ$781+AJ792)&gt;10,10,($AJ$621+$AJ$640+$AJ$652+$AJ$687+$AJ$711+$AJ$725+$AJ$737+$AJ$753+$AJ$765+$AJ$781+AJ792))</f>
        <v>10</v>
      </c>
      <c r="AL794" s="2432"/>
      <c r="AM794" s="2433"/>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5" t="s">
        <v>1568</v>
      </c>
      <c r="B797" s="2516"/>
      <c r="C797" s="2516"/>
      <c r="D797" s="2516"/>
      <c r="E797" s="2516"/>
      <c r="F797" s="2516"/>
      <c r="G797" s="2516"/>
      <c r="H797" s="2516"/>
      <c r="I797" s="2516"/>
      <c r="J797" s="2516"/>
      <c r="K797" s="2516"/>
      <c r="L797" s="2516"/>
      <c r="M797" s="2516"/>
      <c r="N797" s="2516"/>
      <c r="O797" s="2516"/>
      <c r="P797" s="2516"/>
      <c r="Q797" s="2516"/>
      <c r="R797" s="2516"/>
      <c r="S797" s="2516"/>
      <c r="T797" s="2516"/>
      <c r="U797" s="2516"/>
      <c r="V797" s="2516"/>
      <c r="W797" s="2516"/>
      <c r="X797" s="2516"/>
      <c r="Y797" s="2516"/>
      <c r="Z797" s="2516"/>
      <c r="AA797" s="2516"/>
      <c r="AB797" s="2516"/>
      <c r="AC797" s="2516"/>
      <c r="AD797" s="2516"/>
      <c r="AE797" s="2516"/>
      <c r="AF797" s="2516"/>
      <c r="AG797" s="2516"/>
      <c r="AH797" s="2516"/>
      <c r="AI797" s="2516"/>
      <c r="AJ797" s="2516"/>
      <c r="AK797" s="2516"/>
      <c r="AL797" s="2516"/>
      <c r="AM797" s="2516"/>
    </row>
    <row r="798" spans="1:81">
      <c r="A798" s="2517"/>
      <c r="B798" s="2517"/>
      <c r="C798" s="2517"/>
      <c r="D798" s="2517"/>
      <c r="E798" s="2517"/>
      <c r="F798" s="2517"/>
      <c r="G798" s="2517"/>
      <c r="H798" s="2517"/>
      <c r="I798" s="2517"/>
      <c r="J798" s="2517"/>
      <c r="K798" s="2517"/>
      <c r="L798" s="2517"/>
      <c r="M798" s="2517"/>
      <c r="N798" s="2517"/>
      <c r="O798" s="2517"/>
      <c r="P798" s="2517"/>
      <c r="Q798" s="2517"/>
      <c r="R798" s="2517"/>
      <c r="S798" s="2517"/>
      <c r="T798" s="2517"/>
      <c r="U798" s="2517"/>
      <c r="V798" s="2517"/>
      <c r="W798" s="2517"/>
      <c r="X798" s="2517"/>
      <c r="Y798" s="2517"/>
      <c r="Z798" s="2517"/>
      <c r="AA798" s="2517"/>
      <c r="AB798" s="2517"/>
      <c r="AC798" s="2517"/>
      <c r="AD798" s="2517"/>
      <c r="AE798" s="2517"/>
      <c r="AF798" s="2517"/>
      <c r="AG798" s="2517"/>
      <c r="AH798" s="2517"/>
      <c r="AI798" s="2517"/>
      <c r="AJ798" s="2517"/>
      <c r="AK798" s="2517"/>
      <c r="AL798" s="2517"/>
      <c r="AM798" s="2517"/>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6"/>
      <c r="B800" s="2446"/>
      <c r="C800" s="2446"/>
      <c r="D800" s="2446"/>
      <c r="E800" s="2446"/>
      <c r="F800" s="2446"/>
      <c r="G800" s="2446"/>
      <c r="H800" s="2446"/>
      <c r="I800" s="2446"/>
      <c r="J800" s="2446"/>
      <c r="K800" s="2446"/>
      <c r="L800" s="2446"/>
      <c r="M800" s="2446"/>
      <c r="N800" s="2446"/>
      <c r="O800" s="2446"/>
      <c r="P800" s="2446"/>
      <c r="Q800" s="2446"/>
      <c r="R800" s="2446"/>
      <c r="S800" s="2446"/>
      <c r="T800" s="2446"/>
      <c r="U800" s="2446"/>
      <c r="V800" s="2446"/>
      <c r="W800" s="2446"/>
      <c r="X800" s="2446"/>
      <c r="Y800" s="2446"/>
      <c r="Z800" s="2446"/>
      <c r="AA800" s="2446"/>
      <c r="AB800" s="2446"/>
      <c r="AC800" s="2446"/>
      <c r="AD800" s="2446"/>
      <c r="AE800" s="2446"/>
      <c r="AF800" s="2446"/>
      <c r="AG800" s="2446"/>
      <c r="AH800" s="2446"/>
      <c r="AI800" s="2446"/>
      <c r="AJ800" s="2446"/>
      <c r="AK800" s="2446"/>
      <c r="AL800" s="2446"/>
      <c r="AM800" s="2446"/>
      <c r="AP800" s="816"/>
      <c r="AQ800" s="816"/>
    </row>
    <row r="801" spans="1:81">
      <c r="A801" s="2446"/>
      <c r="B801" s="2446"/>
      <c r="C801" s="2446"/>
      <c r="D801" s="2446"/>
      <c r="E801" s="2446"/>
      <c r="F801" s="2446"/>
      <c r="G801" s="2446"/>
      <c r="H801" s="2446"/>
      <c r="I801" s="2446"/>
      <c r="J801" s="2446"/>
      <c r="K801" s="2446"/>
      <c r="L801" s="2446"/>
      <c r="M801" s="2446"/>
      <c r="N801" s="2446"/>
      <c r="O801" s="2446"/>
      <c r="P801" s="2446"/>
      <c r="Q801" s="2446"/>
      <c r="R801" s="2446"/>
      <c r="S801" s="2446"/>
      <c r="T801" s="2446"/>
      <c r="U801" s="2446"/>
      <c r="V801" s="2446"/>
      <c r="W801" s="2446"/>
      <c r="X801" s="2446"/>
      <c r="Y801" s="2446"/>
      <c r="Z801" s="2446"/>
      <c r="AA801" s="2446"/>
      <c r="AB801" s="2446"/>
      <c r="AC801" s="2446"/>
      <c r="AD801" s="2446"/>
      <c r="AE801" s="2446"/>
      <c r="AF801" s="2446"/>
      <c r="AG801" s="2446"/>
      <c r="AH801" s="2446"/>
      <c r="AI801" s="2446"/>
      <c r="AJ801" s="2446"/>
      <c r="AK801" s="2446"/>
      <c r="AL801" s="2446"/>
      <c r="AM801" s="2446"/>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8" t="s">
        <v>1569</v>
      </c>
      <c r="U802" s="2519"/>
      <c r="V802" s="2519"/>
      <c r="W802" s="2519"/>
      <c r="X802" s="2519"/>
      <c r="Y802" s="2520"/>
      <c r="Z802" s="2518" t="s">
        <v>1570</v>
      </c>
      <c r="AA802" s="2519"/>
      <c r="AB802" s="2519"/>
      <c r="AC802" s="2519"/>
      <c r="AD802" s="2519"/>
      <c r="AE802" s="2520"/>
      <c r="AF802" s="2518" t="s">
        <v>1571</v>
      </c>
      <c r="AG802" s="2519"/>
      <c r="AH802" s="2519"/>
      <c r="AI802" s="2519"/>
      <c r="AJ802" s="2519"/>
      <c r="AK802" s="2520"/>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21"/>
      <c r="U803" s="2522"/>
      <c r="V803" s="2522"/>
      <c r="W803" s="2522"/>
      <c r="X803" s="2522"/>
      <c r="Y803" s="2523"/>
      <c r="Z803" s="2521"/>
      <c r="AA803" s="2522"/>
      <c r="AB803" s="2522"/>
      <c r="AC803" s="2522"/>
      <c r="AD803" s="2522"/>
      <c r="AE803" s="2523"/>
      <c r="AF803" s="2521"/>
      <c r="AG803" s="2522"/>
      <c r="AH803" s="2522"/>
      <c r="AI803" s="2522"/>
      <c r="AJ803" s="2522"/>
      <c r="AK803" s="2523"/>
      <c r="AL803" s="818"/>
      <c r="AM803" s="596"/>
      <c r="AO803" s="816"/>
      <c r="AP803" s="816"/>
      <c r="AQ803" s="816"/>
    </row>
    <row r="804" spans="1:81">
      <c r="A804" s="819" t="s">
        <v>757</v>
      </c>
      <c r="B804" s="2475" t="s">
        <v>1304</v>
      </c>
      <c r="C804" s="2475"/>
      <c r="D804" s="2475"/>
      <c r="E804" s="2475"/>
      <c r="F804" s="2475"/>
      <c r="G804" s="2475"/>
      <c r="H804" s="2475"/>
      <c r="I804" s="2475"/>
      <c r="J804" s="2475"/>
      <c r="K804" s="2475"/>
      <c r="L804" s="2475"/>
      <c r="M804" s="2475"/>
      <c r="N804" s="2475"/>
      <c r="O804" s="2475"/>
      <c r="P804" s="2475"/>
      <c r="Q804" s="2475"/>
      <c r="R804" s="2475"/>
      <c r="S804" s="2476"/>
      <c r="T804" s="2503">
        <f>AK62</f>
        <v>0</v>
      </c>
      <c r="U804" s="2479"/>
      <c r="V804" s="2479"/>
      <c r="W804" s="2479"/>
      <c r="X804" s="2479"/>
      <c r="Y804" s="2480"/>
      <c r="Z804" s="2478">
        <v>20</v>
      </c>
      <c r="AA804" s="2479"/>
      <c r="AB804" s="2479"/>
      <c r="AC804" s="2479"/>
      <c r="AD804" s="2479"/>
      <c r="AE804" s="2480"/>
      <c r="AF804" s="2443">
        <f>IF(T804&gt;Z804,Z804,T804)</f>
        <v>0</v>
      </c>
      <c r="AG804" s="2443"/>
      <c r="AH804" s="2443"/>
      <c r="AI804" s="2443"/>
      <c r="AJ804" s="2443"/>
      <c r="AK804" s="2443"/>
      <c r="AL804" s="818"/>
      <c r="AM804" s="596"/>
      <c r="AO804" s="816"/>
      <c r="AP804" s="816"/>
      <c r="AQ804" s="816"/>
    </row>
    <row r="805" spans="1:81">
      <c r="A805" s="819" t="s">
        <v>1541</v>
      </c>
      <c r="B805" s="2475" t="s">
        <v>1313</v>
      </c>
      <c r="C805" s="2475"/>
      <c r="D805" s="2475"/>
      <c r="E805" s="2475"/>
      <c r="F805" s="2475"/>
      <c r="G805" s="2475"/>
      <c r="H805" s="2475"/>
      <c r="I805" s="2475"/>
      <c r="J805" s="2475"/>
      <c r="K805" s="2475"/>
      <c r="L805" s="2475"/>
      <c r="M805" s="2475"/>
      <c r="N805" s="2475"/>
      <c r="O805" s="2475"/>
      <c r="P805" s="2475"/>
      <c r="Q805" s="2475"/>
      <c r="R805" s="2475"/>
      <c r="S805" s="2476"/>
      <c r="T805" s="2503">
        <f>AK84</f>
        <v>10</v>
      </c>
      <c r="U805" s="2479"/>
      <c r="V805" s="2479"/>
      <c r="W805" s="2479"/>
      <c r="X805" s="2479"/>
      <c r="Y805" s="2480"/>
      <c r="Z805" s="2478">
        <v>10</v>
      </c>
      <c r="AA805" s="2479"/>
      <c r="AB805" s="2479"/>
      <c r="AC805" s="2479"/>
      <c r="AD805" s="2479"/>
      <c r="AE805" s="2480"/>
      <c r="AF805" s="2443">
        <f>IF(T805&gt;Z805,Z805,T805)</f>
        <v>10</v>
      </c>
      <c r="AG805" s="2443"/>
      <c r="AH805" s="2443"/>
      <c r="AI805" s="2443"/>
      <c r="AJ805" s="2443"/>
      <c r="AK805" s="2443"/>
      <c r="AL805" s="818"/>
      <c r="AM805" s="596"/>
      <c r="AO805" s="816"/>
      <c r="AP805" s="816"/>
      <c r="AQ805" s="816"/>
    </row>
    <row r="806" spans="1:81">
      <c r="A806" s="819" t="s">
        <v>1550</v>
      </c>
      <c r="B806" s="2475" t="s">
        <v>1323</v>
      </c>
      <c r="C806" s="2475"/>
      <c r="D806" s="2475"/>
      <c r="E806" s="2475"/>
      <c r="F806" s="2475"/>
      <c r="G806" s="2475"/>
      <c r="H806" s="2475"/>
      <c r="I806" s="2475"/>
      <c r="J806" s="2475"/>
      <c r="K806" s="2475"/>
      <c r="L806" s="2475"/>
      <c r="M806" s="2475"/>
      <c r="N806" s="2475"/>
      <c r="O806" s="2475"/>
      <c r="P806" s="2475"/>
      <c r="Q806" s="2475"/>
      <c r="R806" s="2475"/>
      <c r="S806" s="2476"/>
      <c r="T806" s="2503">
        <f ca="1">AK109</f>
        <v>20</v>
      </c>
      <c r="U806" s="2479"/>
      <c r="V806" s="2479"/>
      <c r="W806" s="2479"/>
      <c r="X806" s="2479"/>
      <c r="Y806" s="2480"/>
      <c r="Z806" s="2478">
        <v>20</v>
      </c>
      <c r="AA806" s="2479"/>
      <c r="AB806" s="2479"/>
      <c r="AC806" s="2479"/>
      <c r="AD806" s="2479"/>
      <c r="AE806" s="2480"/>
      <c r="AF806" s="2443">
        <f ca="1">IF(T806&gt;Z806,Z806,T806)</f>
        <v>20</v>
      </c>
      <c r="AG806" s="2443"/>
      <c r="AH806" s="2443"/>
      <c r="AI806" s="2443"/>
      <c r="AJ806" s="2443"/>
      <c r="AK806" s="2443"/>
      <c r="AL806" s="818"/>
      <c r="AM806" s="596"/>
      <c r="AO806" s="816"/>
      <c r="AP806" s="816"/>
      <c r="AQ806" s="816"/>
    </row>
    <row r="807" spans="1:81">
      <c r="A807" s="819" t="s">
        <v>1572</v>
      </c>
      <c r="B807" s="2475" t="s">
        <v>1333</v>
      </c>
      <c r="C807" s="2475"/>
      <c r="D807" s="2475"/>
      <c r="E807" s="2475"/>
      <c r="F807" s="2475"/>
      <c r="G807" s="2475"/>
      <c r="H807" s="2475"/>
      <c r="I807" s="2475"/>
      <c r="J807" s="2475"/>
      <c r="K807" s="2475"/>
      <c r="L807" s="2475"/>
      <c r="M807" s="2475"/>
      <c r="N807" s="2475"/>
      <c r="O807" s="2475"/>
      <c r="P807" s="2475"/>
      <c r="Q807" s="2475"/>
      <c r="R807" s="2475"/>
      <c r="S807" s="2476"/>
      <c r="T807" s="2503">
        <f>AK143</f>
        <v>10</v>
      </c>
      <c r="U807" s="2479"/>
      <c r="V807" s="2479"/>
      <c r="W807" s="2479"/>
      <c r="X807" s="2479"/>
      <c r="Y807" s="2480"/>
      <c r="Z807" s="2478">
        <v>10</v>
      </c>
      <c r="AA807" s="2479"/>
      <c r="AB807" s="2479"/>
      <c r="AC807" s="2479"/>
      <c r="AD807" s="2479"/>
      <c r="AE807" s="2480"/>
      <c r="AF807" s="2443">
        <f>IF(T807&gt;Z807,Z807,T807)</f>
        <v>10</v>
      </c>
      <c r="AG807" s="2443"/>
      <c r="AH807" s="2443"/>
      <c r="AI807" s="2443"/>
      <c r="AJ807" s="2443"/>
      <c r="AK807" s="2443"/>
      <c r="AL807" s="818"/>
      <c r="AM807" s="596"/>
      <c r="AO807" s="816"/>
      <c r="AP807" s="816"/>
      <c r="AQ807" s="816"/>
    </row>
    <row r="808" spans="1:81">
      <c r="A808" s="820" t="s">
        <v>1573</v>
      </c>
      <c r="B808" s="2475" t="s">
        <v>1574</v>
      </c>
      <c r="C808" s="2475"/>
      <c r="D808" s="2475"/>
      <c r="E808" s="2475"/>
      <c r="F808" s="2475"/>
      <c r="G808" s="2475"/>
      <c r="H808" s="2475"/>
      <c r="I808" s="2475"/>
      <c r="J808" s="2475"/>
      <c r="K808" s="2475"/>
      <c r="L808" s="2475"/>
      <c r="M808" s="2475"/>
      <c r="N808" s="2475"/>
      <c r="O808" s="2475"/>
      <c r="P808" s="2475"/>
      <c r="Q808" s="2475"/>
      <c r="R808" s="2475"/>
      <c r="S808" s="2476"/>
      <c r="T808" s="2477">
        <f>SUM(T809:Y810)</f>
        <v>10</v>
      </c>
      <c r="U808" s="2477"/>
      <c r="V808" s="2477"/>
      <c r="W808" s="2477"/>
      <c r="X808" s="2477"/>
      <c r="Y808" s="2477"/>
      <c r="Z808" s="2443">
        <v>10</v>
      </c>
      <c r="AA808" s="2443"/>
      <c r="AB808" s="2443"/>
      <c r="AC808" s="2443"/>
      <c r="AD808" s="2443"/>
      <c r="AE808" s="2443"/>
      <c r="AF808" s="2443">
        <f>IF(T808&gt;Z808,Z808,T808)</f>
        <v>10</v>
      </c>
      <c r="AG808" s="2443"/>
      <c r="AH808" s="2443"/>
      <c r="AI808" s="2443"/>
      <c r="AJ808" s="2443"/>
      <c r="AK808" s="2443"/>
      <c r="AL808" s="818"/>
      <c r="AM808" s="596"/>
    </row>
    <row r="809" spans="1:81">
      <c r="A809" s="535"/>
      <c r="B809" s="601"/>
      <c r="C809" s="2481" t="s">
        <v>1575</v>
      </c>
      <c r="D809" s="2481"/>
      <c r="E809" s="2481"/>
      <c r="F809" s="2481"/>
      <c r="G809" s="2481"/>
      <c r="H809" s="2481"/>
      <c r="I809" s="2481"/>
      <c r="J809" s="2481"/>
      <c r="K809" s="2481"/>
      <c r="L809" s="2481"/>
      <c r="M809" s="2481"/>
      <c r="N809" s="2481"/>
      <c r="O809" s="2481"/>
      <c r="P809" s="2481"/>
      <c r="Q809" s="2481"/>
      <c r="R809" s="2481"/>
      <c r="S809" s="2482"/>
      <c r="T809" s="2483">
        <f>AJ166</f>
        <v>7</v>
      </c>
      <c r="U809" s="2483"/>
      <c r="V809" s="2483"/>
      <c r="W809" s="2483"/>
      <c r="X809" s="2483"/>
      <c r="Y809" s="2483"/>
      <c r="Z809" s="2484">
        <v>7</v>
      </c>
      <c r="AA809" s="2484"/>
      <c r="AB809" s="2484"/>
      <c r="AC809" s="2484"/>
      <c r="AD809" s="2484"/>
      <c r="AE809" s="2484"/>
      <c r="AF809" s="2485"/>
      <c r="AG809" s="2485"/>
      <c r="AH809" s="2485"/>
      <c r="AI809" s="2485"/>
      <c r="AJ809" s="2485"/>
      <c r="AK809" s="2485"/>
      <c r="AL809" s="818"/>
      <c r="AM809" s="596"/>
    </row>
    <row r="810" spans="1:81">
      <c r="A810" s="600"/>
      <c r="B810" s="601"/>
      <c r="C810" s="2481" t="s">
        <v>1576</v>
      </c>
      <c r="D810" s="2481"/>
      <c r="E810" s="2481"/>
      <c r="F810" s="2481"/>
      <c r="G810" s="2481"/>
      <c r="H810" s="2481"/>
      <c r="I810" s="2481"/>
      <c r="J810" s="2481"/>
      <c r="K810" s="2481"/>
      <c r="L810" s="2481"/>
      <c r="M810" s="2481"/>
      <c r="N810" s="2481"/>
      <c r="O810" s="2481"/>
      <c r="P810" s="2481"/>
      <c r="Q810" s="2481"/>
      <c r="R810" s="2481"/>
      <c r="S810" s="2482"/>
      <c r="T810" s="2483">
        <f>AJ180</f>
        <v>3</v>
      </c>
      <c r="U810" s="2483"/>
      <c r="V810" s="2483"/>
      <c r="W810" s="2483"/>
      <c r="X810" s="2483"/>
      <c r="Y810" s="2483"/>
      <c r="Z810" s="2484">
        <v>3</v>
      </c>
      <c r="AA810" s="2484"/>
      <c r="AB810" s="2484"/>
      <c r="AC810" s="2484"/>
      <c r="AD810" s="2484"/>
      <c r="AE810" s="2484"/>
      <c r="AF810" s="2485"/>
      <c r="AG810" s="2485"/>
      <c r="AH810" s="2485"/>
      <c r="AI810" s="2485"/>
      <c r="AJ810" s="2485"/>
      <c r="AK810" s="2485"/>
      <c r="AL810" s="818"/>
      <c r="AM810" s="596"/>
      <c r="AO810" s="550"/>
    </row>
    <row r="811" spans="1:81">
      <c r="A811" s="820" t="s">
        <v>1361</v>
      </c>
      <c r="B811" s="2475" t="s">
        <v>1577</v>
      </c>
      <c r="C811" s="2475"/>
      <c r="D811" s="2475"/>
      <c r="E811" s="2475"/>
      <c r="F811" s="2475"/>
      <c r="G811" s="2475"/>
      <c r="H811" s="2475"/>
      <c r="I811" s="2475"/>
      <c r="J811" s="2475"/>
      <c r="K811" s="2475"/>
      <c r="L811" s="2475"/>
      <c r="M811" s="2475"/>
      <c r="N811" s="2475"/>
      <c r="O811" s="2475"/>
      <c r="P811" s="2475"/>
      <c r="Q811" s="2475"/>
      <c r="R811" s="2475"/>
      <c r="S811" s="2476"/>
      <c r="T811" s="2477">
        <f>AK191</f>
        <v>10</v>
      </c>
      <c r="U811" s="2477"/>
      <c r="V811" s="2477"/>
      <c r="W811" s="2477"/>
      <c r="X811" s="2477"/>
      <c r="Y811" s="2477"/>
      <c r="Z811" s="2443">
        <v>10</v>
      </c>
      <c r="AA811" s="2443"/>
      <c r="AB811" s="2443"/>
      <c r="AC811" s="2443"/>
      <c r="AD811" s="2443"/>
      <c r="AE811" s="2443"/>
      <c r="AF811" s="2443">
        <f>IF(T811&gt;Z811,Z811,T811)</f>
        <v>10</v>
      </c>
      <c r="AG811" s="2443"/>
      <c r="AH811" s="2443"/>
      <c r="AI811" s="2443"/>
      <c r="AJ811" s="2443"/>
      <c r="AK811" s="2443"/>
      <c r="AL811" s="818"/>
      <c r="AM811" s="596"/>
    </row>
    <row r="812" spans="1:81">
      <c r="A812" s="819" t="s">
        <v>1370</v>
      </c>
      <c r="B812" s="2475" t="s">
        <v>1371</v>
      </c>
      <c r="C812" s="2475"/>
      <c r="D812" s="2475"/>
      <c r="E812" s="2475"/>
      <c r="F812" s="2475"/>
      <c r="G812" s="2475"/>
      <c r="H812" s="2475"/>
      <c r="I812" s="2475"/>
      <c r="J812" s="2475"/>
      <c r="K812" s="2475"/>
      <c r="L812" s="2475"/>
      <c r="M812" s="2475"/>
      <c r="N812" s="2475"/>
      <c r="O812" s="2475"/>
      <c r="P812" s="2475"/>
      <c r="Q812" s="2475"/>
      <c r="R812" s="2475"/>
      <c r="S812" s="2476"/>
      <c r="T812" s="2477">
        <f>AK273</f>
        <v>8</v>
      </c>
      <c r="U812" s="2477"/>
      <c r="V812" s="2477"/>
      <c r="W812" s="2477"/>
      <c r="X812" s="2477"/>
      <c r="Y812" s="2477"/>
      <c r="Z812" s="2478">
        <v>8</v>
      </c>
      <c r="AA812" s="2479"/>
      <c r="AB812" s="2479"/>
      <c r="AC812" s="2479"/>
      <c r="AD812" s="2479"/>
      <c r="AE812" s="2480"/>
      <c r="AF812" s="2443">
        <f>IF(T812&gt;Z812,Z812,T812)</f>
        <v>8</v>
      </c>
      <c r="AG812" s="2443"/>
      <c r="AH812" s="2443"/>
      <c r="AI812" s="2443"/>
      <c r="AJ812" s="2443"/>
      <c r="AK812" s="2443"/>
      <c r="AL812" s="818"/>
      <c r="AM812" s="596"/>
    </row>
    <row r="813" spans="1:81" s="534" customFormat="1" hidden="1">
      <c r="A813" s="820" t="s">
        <v>589</v>
      </c>
      <c r="B813" s="2475" t="s">
        <v>1578</v>
      </c>
      <c r="C813" s="2475"/>
      <c r="D813" s="2475"/>
      <c r="E813" s="2475"/>
      <c r="F813" s="2475"/>
      <c r="G813" s="2475"/>
      <c r="H813" s="2475"/>
      <c r="I813" s="2475"/>
      <c r="J813" s="2475"/>
      <c r="K813" s="2475"/>
      <c r="L813" s="2475"/>
      <c r="M813" s="2475"/>
      <c r="N813" s="2475"/>
      <c r="O813" s="2475"/>
      <c r="P813" s="2475"/>
      <c r="Q813" s="2475"/>
      <c r="R813" s="2475"/>
      <c r="S813" s="2476"/>
      <c r="T813" s="2477">
        <f>IF(AK535&gt;5,5,AK535)</f>
        <v>0</v>
      </c>
      <c r="U813" s="2477"/>
      <c r="V813" s="2477"/>
      <c r="W813" s="2477"/>
      <c r="X813" s="2477"/>
      <c r="Y813" s="2477"/>
      <c r="Z813" s="2443">
        <v>5</v>
      </c>
      <c r="AA813" s="2443"/>
      <c r="AB813" s="2443"/>
      <c r="AC813" s="2443"/>
      <c r="AD813" s="2443"/>
      <c r="AE813" s="2443"/>
      <c r="AF813" s="2443">
        <f>IF(T813&gt;Z813,5,T813)</f>
        <v>0</v>
      </c>
      <c r="AG813" s="2443"/>
      <c r="AH813" s="2443"/>
      <c r="AI813" s="2443"/>
      <c r="AJ813" s="2443"/>
      <c r="AK813" s="2443"/>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475" t="s">
        <v>1579</v>
      </c>
      <c r="C814" s="2475"/>
      <c r="D814" s="2475"/>
      <c r="E814" s="2475"/>
      <c r="F814" s="2475"/>
      <c r="G814" s="2475"/>
      <c r="H814" s="2475"/>
      <c r="I814" s="2475"/>
      <c r="J814" s="2475"/>
      <c r="K814" s="2475"/>
      <c r="L814" s="2475"/>
      <c r="M814" s="2475"/>
      <c r="N814" s="2475"/>
      <c r="O814" s="2475"/>
      <c r="P814" s="2475"/>
      <c r="Q814" s="2475"/>
      <c r="R814" s="2475"/>
      <c r="S814" s="2476"/>
      <c r="T814" s="2477">
        <f>AK285</f>
        <v>10</v>
      </c>
      <c r="U814" s="2477"/>
      <c r="V814" s="2477"/>
      <c r="W814" s="2477"/>
      <c r="X814" s="2477"/>
      <c r="Y814" s="2477"/>
      <c r="Z814" s="2443">
        <v>10</v>
      </c>
      <c r="AA814" s="2443"/>
      <c r="AB814" s="2443"/>
      <c r="AC814" s="2443"/>
      <c r="AD814" s="2443"/>
      <c r="AE814" s="2443"/>
      <c r="AF814" s="2486">
        <f>IF(T814&gt;Z814,Z814,T814)</f>
        <v>10</v>
      </c>
      <c r="AG814" s="2487"/>
      <c r="AH814" s="2487"/>
      <c r="AI814" s="2487"/>
      <c r="AJ814" s="2487"/>
      <c r="AK814" s="2488"/>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475" t="s">
        <v>1381</v>
      </c>
      <c r="C815" s="2475"/>
      <c r="D815" s="2475"/>
      <c r="E815" s="2475"/>
      <c r="F815" s="2475"/>
      <c r="G815" s="2475"/>
      <c r="H815" s="2475"/>
      <c r="I815" s="2475"/>
      <c r="J815" s="2475"/>
      <c r="K815" s="2475"/>
      <c r="L815" s="2475"/>
      <c r="M815" s="2475"/>
      <c r="N815" s="2475"/>
      <c r="O815" s="2475"/>
      <c r="P815" s="2475"/>
      <c r="Q815" s="2475"/>
      <c r="R815" s="2475"/>
      <c r="S815" s="2476"/>
      <c r="T815" s="2477">
        <f>AK338</f>
        <v>10</v>
      </c>
      <c r="U815" s="2477"/>
      <c r="V815" s="2477"/>
      <c r="W815" s="2477"/>
      <c r="X815" s="2477"/>
      <c r="Y815" s="2477"/>
      <c r="Z815" s="2486">
        <v>10</v>
      </c>
      <c r="AA815" s="2487"/>
      <c r="AB815" s="2487"/>
      <c r="AC815" s="2487"/>
      <c r="AD815" s="2487"/>
      <c r="AE815" s="2488"/>
      <c r="AF815" s="2486">
        <f>IF(T815&gt;Z815,Z815,T815)</f>
        <v>10</v>
      </c>
      <c r="AG815" s="2487"/>
      <c r="AH815" s="2487"/>
      <c r="AI815" s="2487"/>
      <c r="AJ815" s="2487"/>
      <c r="AK815" s="2488"/>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83">
        <f>AK338</f>
        <v>10</v>
      </c>
      <c r="U816" s="2483"/>
      <c r="V816" s="2483"/>
      <c r="W816" s="2483"/>
      <c r="X816" s="2483"/>
      <c r="Y816" s="2483"/>
      <c r="Z816" s="2431">
        <v>20</v>
      </c>
      <c r="AA816" s="2432"/>
      <c r="AB816" s="2432"/>
      <c r="AC816" s="2432"/>
      <c r="AD816" s="2432"/>
      <c r="AE816" s="2433"/>
      <c r="AF816" s="2485"/>
      <c r="AG816" s="2485"/>
      <c r="AH816" s="2485"/>
      <c r="AI816" s="2485"/>
      <c r="AJ816" s="2485"/>
      <c r="AK816" s="2485"/>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475" t="s">
        <v>845</v>
      </c>
      <c r="C817" s="2475"/>
      <c r="D817" s="2475"/>
      <c r="E817" s="2475"/>
      <c r="F817" s="2475"/>
      <c r="G817" s="2475"/>
      <c r="H817" s="2475"/>
      <c r="I817" s="2475"/>
      <c r="J817" s="2475"/>
      <c r="K817" s="2475"/>
      <c r="L817" s="2475"/>
      <c r="M817" s="2475"/>
      <c r="N817" s="2475"/>
      <c r="O817" s="2475"/>
      <c r="P817" s="2475"/>
      <c r="Q817" s="2475"/>
      <c r="R817" s="2475"/>
      <c r="S817" s="2476"/>
      <c r="T817" s="2477">
        <f>AK469</f>
        <v>12</v>
      </c>
      <c r="U817" s="2477"/>
      <c r="V817" s="2477"/>
      <c r="W817" s="2477"/>
      <c r="X817" s="2477"/>
      <c r="Y817" s="2477"/>
      <c r="Z817" s="2486">
        <v>10</v>
      </c>
      <c r="AA817" s="2487"/>
      <c r="AB817" s="2487"/>
      <c r="AC817" s="2487"/>
      <c r="AD817" s="2487"/>
      <c r="AE817" s="2488"/>
      <c r="AF817" s="2443">
        <f>IF(T817&gt;Z817,Z817,T817)</f>
        <v>10</v>
      </c>
      <c r="AG817" s="2443"/>
      <c r="AH817" s="2443"/>
      <c r="AI817" s="2443"/>
      <c r="AJ817" s="2443"/>
      <c r="AK817" s="2443"/>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475" t="s">
        <v>1559</v>
      </c>
      <c r="C818" s="2475"/>
      <c r="D818" s="2475"/>
      <c r="E818" s="2475"/>
      <c r="F818" s="2475"/>
      <c r="G818" s="2475"/>
      <c r="H818" s="2475"/>
      <c r="I818" s="2475"/>
      <c r="J818" s="2475"/>
      <c r="K818" s="2475"/>
      <c r="L818" s="2475"/>
      <c r="M818" s="2475"/>
      <c r="N818" s="2475"/>
      <c r="O818" s="2475"/>
      <c r="P818" s="2475"/>
      <c r="Q818" s="2475"/>
      <c r="R818" s="2475"/>
      <c r="S818" s="2476"/>
      <c r="T818" s="2477">
        <f>AK559</f>
        <v>12</v>
      </c>
      <c r="U818" s="2477"/>
      <c r="V818" s="2477"/>
      <c r="W818" s="2477"/>
      <c r="X818" s="2477"/>
      <c r="Y818" s="2477"/>
      <c r="Z818" s="2486">
        <v>12</v>
      </c>
      <c r="AA818" s="2487"/>
      <c r="AB818" s="2487"/>
      <c r="AC818" s="2487"/>
      <c r="AD818" s="2487"/>
      <c r="AE818" s="2488"/>
      <c r="AF818" s="2443">
        <f>IF(T818&gt;Z818,Z818,T818)</f>
        <v>12</v>
      </c>
      <c r="AG818" s="2443"/>
      <c r="AH818" s="2443"/>
      <c r="AI818" s="2443"/>
      <c r="AJ818" s="2443"/>
      <c r="AK818" s="2443"/>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2020</v>
      </c>
      <c r="B819" s="2475" t="s">
        <v>1581</v>
      </c>
      <c r="C819" s="2475"/>
      <c r="D819" s="2475"/>
      <c r="E819" s="2475"/>
      <c r="F819" s="2475"/>
      <c r="G819" s="2475"/>
      <c r="H819" s="2475"/>
      <c r="I819" s="2475"/>
      <c r="J819" s="2475"/>
      <c r="K819" s="2475"/>
      <c r="L819" s="2475"/>
      <c r="M819" s="2475"/>
      <c r="N819" s="2475"/>
      <c r="O819" s="2475"/>
      <c r="P819" s="2475"/>
      <c r="Q819" s="2475"/>
      <c r="R819" s="2475"/>
      <c r="S819" s="2476"/>
      <c r="T819" s="2477">
        <f>AK794</f>
        <v>10</v>
      </c>
      <c r="U819" s="2477"/>
      <c r="V819" s="2477"/>
      <c r="W819" s="2477"/>
      <c r="X819" s="2477"/>
      <c r="Y819" s="2477"/>
      <c r="Z819" s="2486">
        <v>10</v>
      </c>
      <c r="AA819" s="2487"/>
      <c r="AB819" s="2487"/>
      <c r="AC819" s="2487"/>
      <c r="AD819" s="2487"/>
      <c r="AE819" s="2488"/>
      <c r="AF819" s="2443">
        <f>IF(T819&gt;Z819,Z819,T819)</f>
        <v>10</v>
      </c>
      <c r="AG819" s="2443"/>
      <c r="AH819" s="2443"/>
      <c r="AI819" s="2443"/>
      <c r="AJ819" s="2443"/>
      <c r="AK819" s="2443"/>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89" t="s">
        <v>1582</v>
      </c>
      <c r="B820" s="2475"/>
      <c r="C820" s="2475"/>
      <c r="D820" s="2475"/>
      <c r="E820" s="2475"/>
      <c r="F820" s="2475"/>
      <c r="G820" s="2475"/>
      <c r="H820" s="2475"/>
      <c r="I820" s="2475"/>
      <c r="J820" s="2475"/>
      <c r="K820" s="2475"/>
      <c r="L820" s="2475"/>
      <c r="M820" s="2475"/>
      <c r="N820" s="2475"/>
      <c r="O820" s="2475"/>
      <c r="P820" s="2475"/>
      <c r="Q820" s="2475"/>
      <c r="R820" s="2475"/>
      <c r="S820" s="2476"/>
      <c r="T820" s="2490"/>
      <c r="U820" s="2490"/>
      <c r="V820" s="2490"/>
      <c r="W820" s="2490"/>
      <c r="X820" s="2490"/>
      <c r="Y820" s="2490"/>
      <c r="Z820" s="2484" t="s">
        <v>1583</v>
      </c>
      <c r="AA820" s="2484"/>
      <c r="AB820" s="2484"/>
      <c r="AC820" s="2484"/>
      <c r="AD820" s="2484"/>
      <c r="AE820" s="2484"/>
      <c r="AF820" s="2486">
        <f>IF(T820&gt;0,T820,0)</f>
        <v>0</v>
      </c>
      <c r="AG820" s="2487"/>
      <c r="AH820" s="2487"/>
      <c r="AI820" s="2487"/>
      <c r="AJ820" s="2487"/>
      <c r="AK820" s="2488"/>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6">
      <c r="A821" s="2491" t="s">
        <v>1584</v>
      </c>
      <c r="B821" s="2492"/>
      <c r="C821" s="2492"/>
      <c r="D821" s="2492"/>
      <c r="E821" s="2492"/>
      <c r="F821" s="2492"/>
      <c r="G821" s="2492"/>
      <c r="H821" s="2492"/>
      <c r="I821" s="2492"/>
      <c r="J821" s="2492"/>
      <c r="K821" s="2492"/>
      <c r="L821" s="2492"/>
      <c r="M821" s="2492"/>
      <c r="N821" s="2492"/>
      <c r="O821" s="2492"/>
      <c r="P821" s="2492"/>
      <c r="Q821" s="2492"/>
      <c r="R821" s="2492"/>
      <c r="S821" s="2492"/>
      <c r="T821" s="2492"/>
      <c r="U821" s="2492"/>
      <c r="V821" s="2492"/>
      <c r="W821" s="2492"/>
      <c r="X821" s="2492"/>
      <c r="Y821" s="2492"/>
      <c r="Z821" s="2492"/>
      <c r="AA821" s="2492"/>
      <c r="AB821" s="2492"/>
      <c r="AC821" s="2492"/>
      <c r="AD821" s="2492"/>
      <c r="AE821" s="2493"/>
      <c r="AF821" s="2497">
        <f ca="1">SUM(AF804:AK819)-AF820</f>
        <v>120</v>
      </c>
      <c r="AG821" s="2498"/>
      <c r="AH821" s="2498"/>
      <c r="AI821" s="2498"/>
      <c r="AJ821" s="2498"/>
      <c r="AK821" s="2499"/>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6">
      <c r="A822" s="2494"/>
      <c r="B822" s="2495"/>
      <c r="C822" s="2495"/>
      <c r="D822" s="2495"/>
      <c r="E822" s="2495"/>
      <c r="F822" s="2495"/>
      <c r="G822" s="2495"/>
      <c r="H822" s="2495"/>
      <c r="I822" s="2495"/>
      <c r="J822" s="2495"/>
      <c r="K822" s="2495"/>
      <c r="L822" s="2495"/>
      <c r="M822" s="2495"/>
      <c r="N822" s="2495"/>
      <c r="O822" s="2495"/>
      <c r="P822" s="2495"/>
      <c r="Q822" s="2495"/>
      <c r="R822" s="2495"/>
      <c r="S822" s="2495"/>
      <c r="T822" s="2495"/>
      <c r="U822" s="2495"/>
      <c r="V822" s="2495"/>
      <c r="W822" s="2495"/>
      <c r="X822" s="2495"/>
      <c r="Y822" s="2495"/>
      <c r="Z822" s="2495"/>
      <c r="AA822" s="2495"/>
      <c r="AB822" s="2495"/>
      <c r="AC822" s="2495"/>
      <c r="AD822" s="2495"/>
      <c r="AE822" s="2496"/>
      <c r="AF822" s="2500"/>
      <c r="AG822" s="2501"/>
      <c r="AH822" s="2501"/>
      <c r="AI822" s="2501"/>
      <c r="AJ822" s="2501"/>
      <c r="AK822" s="2502"/>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Jack Robertson</cp:lastModifiedBy>
  <cp:lastPrinted>2024-12-09T20:28:29Z</cp:lastPrinted>
  <dcterms:created xsi:type="dcterms:W3CDTF">2007-12-27T18:26:28Z</dcterms:created>
  <dcterms:modified xsi:type="dcterms:W3CDTF">2025-09-09T02:00:52Z</dcterms:modified>
</cp:coreProperties>
</file>