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Z:\2. ACTIVE PROJECTS\Mike Kelly - Mammoth Lakes Family Apartments\CDLAC-CTCAC Folder\2025 CDLAC-CTCAC E-APP ROUND 3\"/>
    </mc:Choice>
  </mc:AlternateContent>
  <xr:revisionPtr revIDLastSave="0" documentId="13_ncr:1_{A41C1A2A-F23D-4A6F-9EC4-44DB47DE956B}" xr6:coauthVersionLast="47" xr6:coauthVersionMax="47" xr10:uidLastSave="{00000000-0000-0000-0000-000000000000}"/>
  <bookViews>
    <workbookView xWindow="-120" yWindow="-120" windowWidth="29040" windowHeight="17520" firstSheet="1"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B26" i="4" l="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A58" i="7" l="1"/>
  <c r="M26" i="3"/>
  <c r="BE19" i="3" s="1"/>
  <c r="U4" i="7"/>
  <c r="S5" i="7"/>
  <c r="M48" i="7"/>
  <c r="M47" i="7"/>
  <c r="M60" i="7"/>
  <c r="O45" i="7"/>
  <c r="O49" i="7"/>
  <c r="K66" i="7"/>
  <c r="K62" i="7"/>
  <c r="Q7" i="7"/>
  <c r="Q11" i="7" s="1"/>
  <c r="Q37" i="7" s="1"/>
  <c r="S6" i="7"/>
  <c r="I70" i="7"/>
  <c r="I72" i="7" s="1"/>
  <c r="W22" i="7"/>
  <c r="W35" i="7" s="1"/>
  <c r="Y15" i="7"/>
  <c r="W9" i="7"/>
  <c r="Y8" i="7"/>
  <c r="AC58" i="7" l="1"/>
  <c r="AB57" i="15"/>
  <c r="P204" i="3"/>
  <c r="U5" i="7"/>
  <c r="W4" i="7"/>
  <c r="Q49" i="7"/>
  <c r="Q45" i="7"/>
  <c r="M62"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66" i="7" s="1"/>
  <c r="AA47" i="7"/>
  <c r="AA48" i="7"/>
  <c r="AC45" i="7"/>
  <c r="AC49" i="7"/>
  <c r="AE7" i="7"/>
  <c r="AE11" i="7" s="1"/>
  <c r="AE37" i="7" s="1"/>
  <c r="AG6" i="7"/>
  <c r="Y62" i="7"/>
  <c r="Y66" i="7"/>
  <c r="Y70" i="7" l="1"/>
  <c r="Y72" i="7" s="1"/>
  <c r="AG7" i="7"/>
  <c r="AG11" i="7" s="1"/>
  <c r="AG37" i="7" s="1"/>
  <c r="AE49" i="7"/>
  <c r="AE45" i="7"/>
  <c r="AC60" i="7"/>
  <c r="AC66" i="7" s="1"/>
  <c r="AC48" i="7"/>
  <c r="AC47" i="7"/>
  <c r="AA70" i="7" l="1"/>
  <c r="AA72" i="7" s="1"/>
  <c r="AE47" i="7"/>
  <c r="AE60" i="7"/>
  <c r="AE48" i="7"/>
  <c r="AG49" i="7"/>
  <c r="AG45" i="7"/>
  <c r="AG48" i="7" l="1"/>
  <c r="AG60" i="7"/>
  <c r="AG47" i="7"/>
  <c r="AE66" i="7"/>
  <c r="AC70" i="7"/>
  <c r="AC72" i="7" s="1"/>
  <c r="AE70" i="7" l="1"/>
  <c r="AE72" i="7" s="1"/>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<sst xmlns="http://schemas.openxmlformats.org/spreadsheetml/2006/main" count="5024" uniqueCount="2745">
  <si>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</si>
  <si>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</si>
  <si>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</si>
  <si>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</si>
  <si>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</si>
  <si>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</si>
  <si>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</si>
  <si>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</si>
  <si>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</si>
  <si>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</si>
  <si>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</si>
  <si>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</si>
  <si>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</si>
  <si>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</si>
  <si>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</si>
  <si>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</si>
  <si>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</si>
  <si>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</si>
  <si>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</si>
  <si>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</si>
  <si>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</si>
  <si>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</si>
  <si>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</si>
  <si>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</si>
  <si>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</si>
  <si>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</si>
  <si>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</si>
  <si>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</si>
  <si>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</si>
  <si>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</si>
  <si>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</si>
  <si>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</si>
  <si>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</si>
  <si>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</si>
  <si>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</si>
  <si>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</si>
  <si>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</si>
  <si>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</si>
  <si>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</si>
  <si>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</si>
  <si>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</si>
  <si>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</si>
  <si>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</si>
  <si>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</si>
  <si>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</si>
  <si>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</si>
  <si>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</si>
  <si>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</si>
  <si>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</si>
  <si>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</si>
  <si>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</si>
  <si>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</si>
  <si>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</si>
  <si>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</si>
  <si>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</si>
  <si>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</si>
  <si>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</si>
  <si>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</si>
  <si>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</si>
  <si>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</si>
  <si>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</si>
  <si>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</si>
  <si>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</si>
  <si>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</si>
  <si>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</si>
  <si>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</si>
  <si>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</si>
  <si>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</si>
  <si>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</si>
  <si>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</si>
  <si>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</si>
  <si>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</si>
  <si>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</si>
  <si>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</si>
  <si>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</si>
  <si>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</si>
  <si>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</si>
  <si>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</si>
  <si>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</si>
  <si>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</si>
  <si>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</si>
  <si>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</si>
  <si>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</si>
  <si>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</si>
  <si>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</si>
  <si>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</si>
  <si>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</si>
  <si>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</si>
  <si>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</si>
  <si>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</si>
  <si>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</si>
  <si>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</si>
  <si>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</si>
  <si>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</si>
  <si>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</si>
  <si>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</si>
  <si>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</si>
  <si>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</si>
  <si>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</si>
  <si>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</si>
  <si>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</si>
  <si>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</si>
  <si>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</si>
  <si>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</si>
  <si>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</si>
  <si>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</si>
  <si>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</si>
  <si>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</si>
  <si>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</si>
  <si>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</si>
  <si>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</si>
  <si>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</si>
  <si>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</si>
  <si>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</si>
  <si>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</si>
  <si>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</si>
  <si>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</si>
  <si>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</si>
  <si>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</si>
  <si>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</si>
  <si>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</si>
  <si>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</si>
  <si>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</si>
  <si>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</si>
  <si>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</si>
  <si>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</si>
  <si>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</si>
  <si>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</si>
  <si>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</si>
  <si>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</si>
  <si>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</si>
  <si>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</si>
  <si>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</si>
  <si>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</si>
  <si>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</si>
  <si>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</si>
  <si>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</si>
  <si>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</si>
  <si>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</si>
  <si>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</si>
  <si>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</si>
  <si>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</si>
  <si>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</si>
  <si>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</si>
  <si>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</si>
  <si>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</si>
  <si>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</si>
  <si>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</si>
  <si>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</si>
  <si>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</si>
  <si>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</si>
  <si>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</si>
  <si>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</si>
  <si>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</si>
  <si>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</si>
  <si>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</si>
  <si>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</si>
  <si>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</si>
  <si>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</si>
  <si>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</si>
  <si>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</si>
  <si>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</si>
  <si>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</si>
  <si>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</si>
  <si>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</si>
  <si>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</si>
  <si>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</si>
  <si>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</si>
  <si>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</si>
  <si>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</si>
  <si>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</si>
  <si>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</si>
  <si>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</si>
  <si>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</si>
  <si>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</si>
  <si>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</si>
  <si>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</si>
  <si>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</si>
  <si>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</si>
  <si>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</si>
  <si>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</si>
  <si>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</si>
  <si>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</si>
  <si>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</si>
  <si>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</si>
  <si>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</si>
  <si>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</si>
  <si>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</si>
  <si>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</si>
  <si>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</si>
  <si>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</si>
  <si>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</si>
  <si>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</si>
  <si>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</si>
  <si>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</si>
  <si>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</si>
  <si>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</si>
  <si>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</si>
  <si>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</si>
  <si>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</si>
  <si>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</si>
  <si>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</si>
  <si>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</si>
  <si>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</si>
  <si>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</si>
  <si>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</si>
  <si>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</si>
  <si>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</si>
  <si>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</si>
  <si>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</si>
  <si>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</si>
  <si>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</si>
  <si>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</si>
  <si>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</si>
  <si>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</si>
  <si>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</si>
  <si>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</si>
  <si>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</si>
  <si>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</si>
  <si>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</si>
  <si>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</si>
  <si>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</si>
  <si>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</si>
  <si>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</si>
  <si>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</si>
  <si>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</si>
  <si>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</si>
  <si>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</si>
  <si>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</si>
  <si>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</si>
  <si>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</si>
  <si>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</si>
  <si>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</si>
  <si>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</si>
  <si>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</si>
  <si>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</si>
  <si>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</si>
  <si>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</si>
  <si>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</si>
  <si>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</si>
  <si>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</si>
  <si>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</si>
  <si>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</si>
  <si>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</si>
  <si>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</si>
  <si>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</si>
  <si>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</si>
  <si>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</si>
  <si>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</si>
  <si>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</si>
  <si>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</si>
  <si>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</si>
  <si>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</si>
  <si>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</si>
  <si>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</si>
  <si>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</si>
  <si>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</si>
  <si>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</si>
  <si>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</si>
  <si>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</si>
  <si>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</si>
  <si>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</si>
  <si>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</si>
  <si>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</si>
  <si>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</si>
  <si>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</si>
  <si>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</si>
  <si>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</si>
  <si>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</si>
  <si>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</si>
  <si>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</si>
  <si>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</si>
  <si>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</si>
  <si>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</si>
  <si>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</si>
  <si>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</si>
  <si>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</si>
  <si>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</si>
  <si>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</si>
  <si>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</si>
  <si>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</si>
  <si>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</si>
  <si>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</si>
  <si>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</si>
  <si>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</si>
  <si>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</si>
  <si>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</si>
  <si>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</si>
  <si>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</si>
  <si>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</si>
  <si>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</si>
  <si>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</si>
  <si>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</si>
  <si>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</si>
  <si>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</si>
  <si>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</si>
  <si>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</si>
  <si>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</si>
  <si>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</si>
  <si>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</si>
  <si>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</si>
  <si>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</si>
  <si>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</si>
  <si>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</si>
  <si>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</si>
  <si>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</si>
  <si>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</si>
  <si>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</si>
  <si>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</si>
  <si>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</si>
  <si>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</si>
  <si>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</si>
  <si>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</si>
  <si>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</si>
  <si>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</si>
  <si>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</si>
  <si>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</si>
  <si>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</si>
  <si>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</si>
  <si>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</si>
  <si>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</si>
  <si>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</si>
  <si>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</si>
  <si>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</si>
  <si>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</si>
  <si>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</si>
  <si>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</si>
  <si>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</si>
  <si>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</si>
  <si>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</si>
  <si>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</si>
  <si>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</si>
  <si>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</si>
  <si>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</si>
  <si>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</si>
  <si>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</si>
  <si>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</si>
  <si>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</si>
  <si>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</si>
  <si>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</si>
  <si>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</si>
  <si>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</si>
  <si>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</si>
  <si>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</si>
  <si>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</si>
  <si>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</si>
  <si>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</si>
  <si>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</si>
  <si>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</si>
  <si>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</si>
  <si>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</si>
  <si>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</si>
  <si>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</si>
  <si>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</si>
  <si>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</si>
  <si>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</si>
  <si>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</si>
  <si>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</si>
  <si>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</si>
  <si>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</si>
  <si>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</si>
  <si>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</si>
  <si>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</si>
  <si>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</si>
  <si>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</si>
  <si>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</si>
  <si>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</si>
  <si>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</si>
  <si>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</si>
  <si>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</si>
  <si>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</si>
  <si>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</si>
  <si>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</si>
  <si>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</si>
  <si>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</si>
  <si>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</si>
  <si>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</si>
  <si>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</si>
  <si>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</si>
  <si>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</si>
  <si>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</si>
  <si>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</si>
  <si>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</si>
  <si>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</si>
  <si>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</si>
  <si>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</si>
  <si>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</si>
  <si>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</si>
  <si>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</si>
  <si>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</si>
  <si>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</si>
  <si>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</si>
  <si>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</si>
  <si>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</si>
  <si>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</si>
  <si>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</si>
  <si>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</si>
  <si>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</si>
  <si>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</si>
  <si>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</si>
  <si>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</si>
  <si>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</si>
  <si>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</si>
  <si>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</si>
  <si>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</si>
  <si>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</si>
  <si>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</si>
  <si>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</si>
  <si>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</si>
  <si>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</si>
  <si>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</si>
  <si>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</si>
  <si>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</si>
  <si>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</si>
  <si>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</si>
  <si>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</si>
  <si>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</si>
  <si>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</si>
  <si>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</si>
  <si>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</si>
  <si>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</si>
  <si>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</si>
  <si>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</si>
  <si>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</si>
  <si>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</si>
  <si>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</si>
  <si>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</si>
  <si>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</si>
  <si>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</si>
  <si>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</si>
  <si>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</si>
  <si>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</si>
  <si>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</si>
  <si>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</si>
  <si>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</si>
  <si>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</si>
  <si>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</si>
  <si>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</si>
  <si>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</si>
  <si>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</si>
  <si>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</si>
  <si>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</si>
  <si>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</si>
  <si>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</si>
  <si>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</si>
  <si>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</si>
  <si>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</si>
  <si>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</si>
  <si>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</si>
  <si>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</si>
  <si>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</si>
  <si>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</si>
  <si>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</si>
  <si>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</si>
  <si>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</si>
  <si>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</si>
  <si>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</si>
  <si>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</si>
  <si>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</si>
  <si>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</si>
  <si>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</si>
  <si>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</si>
  <si>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</si>
  <si>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</si>
  <si>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</si>
  <si>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</si>
  <si>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</si>
  <si>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</si>
  <si>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</si>
  <si>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</si>
  <si>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</si>
  <si>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</si>
  <si>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</si>
  <si>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</si>
  <si>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</si>
  <si>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</si>
  <si>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</si>
  <si>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</si>
  <si>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</si>
  <si>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</si>
  <si>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</si>
  <si>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</si>
  <si>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</si>
  <si>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</si>
  <si>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</si>
  <si>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</si>
  <si>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</si>
  <si>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</si>
  <si>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</si>
  <si>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</si>
  <si>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</si>
  <si>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</si>
  <si>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</si>
  <si>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</si>
  <si>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</si>
  <si>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</si>
  <si>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</si>
  <si>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</si>
  <si>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</si>
  <si>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</si>
  <si>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</si>
  <si>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</si>
  <si>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</si>
  <si>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</si>
  <si>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</si>
  <si>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</si>
  <si>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</si>
  <si>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</si>
  <si>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</si>
  <si>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</si>
  <si>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</si>
  <si>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</si>
  <si>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</si>
  <si>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</si>
  <si>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</si>
  <si>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</si>
  <si>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</si>
  <si>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</si>
  <si>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</si>
  <si>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</si>
  <si>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</si>
  <si>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</si>
  <si>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</si>
  <si>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</si>
  <si>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</si>
  <si>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</si>
  <si>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</si>
  <si>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</si>
  <si>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</si>
  <si>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</si>
  <si>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</si>
  <si>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</si>
  <si>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</si>
  <si>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</si>
  <si>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</si>
  <si>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</si>
  <si>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</si>
  <si>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</si>
  <si>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</si>
  <si>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</si>
  <si>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</si>
  <si>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</si>
  <si>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</si>
  <si>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</si>
  <si>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</si>
  <si>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</si>
  <si>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</si>
  <si>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</si>
  <si>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</si>
  <si>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</si>
  <si>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</si>
  <si>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</si>
  <si>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</si>
  <si>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</si>
  <si>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</si>
  <si>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</si>
  <si>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</si>
  <si>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</si>
  <si>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</si>
  <si>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</si>
  <si>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</si>
  <si>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</si>
  <si>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</si>
  <si>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</si>
  <si>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</si>
  <si>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</si>
  <si>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</si>
  <si>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</si>
  <si>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</si>
  <si>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</si>
  <si>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</si>
  <si>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</si>
  <si>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</si>
  <si>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</si>
  <si>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</si>
  <si>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</si>
  <si>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</si>
  <si>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</si>
  <si>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</si>
  <si>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</si>
  <si>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</si>
  <si>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</si>
  <si>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</si>
  <si>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</si>
  <si>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</si>
  <si>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</si>
  <si>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</si>
  <si>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</si>
  <si>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</si>
  <si>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</si>
  <si>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</si>
  <si>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</si>
  <si>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</si>
  <si>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</si>
  <si>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</si>
  <si>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</si>
  <si>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</si>
  <si>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</si>
  <si>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</si>
  <si>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</si>
  <si>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</si>
  <si>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</si>
  <si>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</si>
  <si>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</si>
  <si>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</si>
  <si>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</si>
  <si>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</si>
  <si>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</si>
  <si>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</si>
  <si>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</si>
  <si>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</si>
  <si>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</si>
  <si>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</si>
  <si>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</si>
  <si>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</si>
  <si>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</si>
  <si>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</si>
  <si>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</si>
  <si>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</si>
  <si>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</si>
  <si>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</si>
  <si>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</si>
  <si>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</si>
  <si>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</si>
  <si>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</si>
  <si>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</si>
  <si>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</si>
  <si>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</si>
  <si>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</si>
  <si>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</si>
  <si>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</si>
  <si>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</si>
  <si>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</si>
  <si>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</si>
  <si>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</si>
  <si>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</si>
  <si>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</si>
  <si>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</si>
  <si>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</si>
  <si>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</si>
  <si>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</si>
  <si>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</si>
  <si>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</si>
  <si>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</si>
  <si>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</si>
  <si>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</si>
  <si>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</si>
  <si>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</si>
  <si>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</si>
  <si>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</si>
  <si>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</si>
  <si>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</si>
  <si>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</si>
  <si>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</si>
  <si>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</si>
  <si>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</si>
  <si>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</si>
  <si>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</si>
  <si>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</si>
  <si>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</si>
  <si>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</si>
  <si>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</si>
  <si>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</si>
  <si>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</si>
  <si>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</si>
  <si>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</si>
  <si>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</si>
  <si>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</si>
  <si>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</si>
  <si>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</si>
  <si>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</si>
  <si>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</si>
  <si>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</si>
  <si>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</si>
  <si>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</si>
  <si>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</si>
  <si>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</si>
  <si>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</si>
  <si>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</si>
  <si>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</si>
  <si>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</si>
  <si>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</si>
  <si>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</si>
  <si>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</si>
  <si>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</si>
  <si>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</si>
  <si>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</si>
  <si>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</si>
  <si>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</si>
  <si>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</si>
  <si>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</si>
  <si>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</si>
  <si>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</si>
  <si>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</si>
  <si>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</si>
  <si>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</si>
  <si>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</si>
  <si>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</si>
  <si>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</si>
  <si>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</si>
  <si>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</si>
  <si>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</si>
  <si>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</si>
  <si>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</si>
  <si>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</si>
  <si>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</si>
  <si>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</si>
  <si>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</si>
  <si>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</si>
  <si>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</si>
  <si>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</si>
  <si>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</si>
  <si>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</si>
  <si>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</si>
  <si>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</si>
  <si>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</si>
  <si>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</si>
  <si>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</si>
  <si>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</si>
  <si>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</si>
  <si>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</si>
  <si>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</si>
  <si>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</si>
  <si>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</si>
  <si>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</si>
  <si>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</si>
  <si>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</si>
  <si>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</si>
  <si>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</si>
  <si>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</si>
  <si>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</si>
  <si>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</si>
  <si>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</si>
  <si>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</si>
  <si>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</si>
  <si>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</si>
  <si>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</si>
  <si>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</si>
  <si>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</si>
  <si>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</si>
  <si>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</si>
  <si>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</si>
  <si>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</si>
  <si>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</si>
  <si>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</si>
  <si>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</si>
  <si>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</si>
  <si>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</si>
  <si>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</si>
  <si>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</si>
  <si>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</si>
  <si>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</si>
  <si>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</si>
  <si>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</si>
  <si>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</si>
  <si>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</si>
  <si>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</si>
  <si>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</si>
  <si>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</si>
  <si>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</si>
  <si>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</si>
  <si>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</si>
  <si>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</si>
  <si>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</si>
  <si>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</si>
  <si>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</si>
  <si>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</si>
  <si>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</si>
  <si>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</si>
  <si>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</si>
  <si>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</si>
  <si>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</si>
  <si>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</si>
  <si>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</si>
  <si>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</si>
  <si>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</si>
  <si>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</si>
  <si>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</si>
  <si>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</si>
  <si>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</si>
  <si>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</si>
  <si>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</si>
  <si>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</si>
  <si>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</si>
  <si>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</si>
  <si>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</si>
  <si>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</si>
  <si>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</si>
  <si>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</si>
  <si>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</si>
  <si>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</si>
  <si>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</si>
  <si>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</si>
  <si>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</si>
  <si>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</si>
  <si>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</si>
  <si>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</si>
  <si>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</si>
  <si>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</si>
  <si>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</si>
  <si>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</si>
  <si>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</si>
  <si>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</si>
  <si>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</si>
  <si>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</si>
  <si>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</si>
  <si>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</si>
  <si>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</si>
  <si>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</si>
  <si>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</si>
  <si>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</si>
  <si>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</si>
  <si>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</si>
  <si>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</si>
  <si>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</si>
  <si>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</si>
  <si>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</si>
  <si>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</si>
  <si>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</si>
  <si>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</si>
  <si>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</si>
  <si>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</si>
  <si>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</si>
  <si>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</si>
  <si>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</si>
  <si>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</si>
  <si>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</si>
  <si>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</si>
  <si>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</si>
  <si>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</si>
  <si>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</si>
  <si>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</si>
  <si>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</si>
  <si>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</si>
  <si>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</si>
  <si>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</si>
  <si>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</si>
  <si>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</si>
  <si>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</si>
  <si>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</si>
  <si>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</si>
  <si>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</si>
  <si>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</si>
  <si>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</si>
  <si>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</si>
  <si>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</si>
  <si>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</si>
  <si>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</si>
  <si>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</si>
  <si>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</si>
  <si>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</si>
  <si>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</si>
  <si>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</si>
  <si>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</si>
  <si>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</si>
  <si>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</si>
  <si>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</si>
  <si>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</si>
  <si>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</si>
  <si>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</si>
  <si>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</si>
  <si>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</si>
  <si>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</si>
  <si>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</si>
  <si>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</si>
  <si>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</si>
  <si>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</si>
  <si>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</si>
  <si>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</si>
  <si>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</si>
  <si>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</si>
  <si>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</si>
  <si>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</si>
  <si>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</si>
  <si>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</si>
  <si>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</si>
  <si>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</si>
  <si>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</si>
  <si>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</si>
  <si>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</si>
  <si>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</si>
  <si>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</si>
  <si>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</si>
  <si>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</si>
  <si>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</si>
  <si>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</si>
  <si>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</si>
  <si>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</si>
  <si>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</si>
  <si>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</si>
  <si>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</si>
  <si>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</si>
  <si>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</si>
  <si>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</si>
  <si>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</si>
  <si>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</si>
  <si>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</si>
  <si>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</si>
  <si>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</si>
  <si>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</si>
  <si>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</si>
  <si>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</si>
  <si>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</si>
  <si>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</si>
  <si>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</si>
  <si>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</si>
  <si>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</si>
  <si>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</si>
  <si>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</si>
  <si>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</si>
  <si>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</si>
  <si>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</si>
  <si>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</si>
  <si>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</si>
  <si>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</si>
  <si>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</si>
  <si>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</si>
  <si>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</si>
  <si>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</si>
  <si>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</si>
  <si>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</si>
  <si>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</si>
  <si>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</si>
  <si>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</si>
  <si>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</si>
  <si>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</si>
  <si>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</si>
  <si>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</si>
  <si>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</si>
  <si>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</si>
  <si>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</si>
  <si>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</si>
  <si>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</si>
  <si>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</si>
  <si>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</si>
  <si>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</si>
  <si>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</si>
  <si>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</si>
  <si>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</si>
  <si>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</si>
  <si>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</si>
  <si>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</si>
  <si>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</si>
  <si>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</si>
  <si>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</si>
  <si>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</si>
  <si>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</si>
  <si>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</si>
  <si>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</si>
  <si>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</si>
  <si>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</si>
  <si>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</si>
  <si>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</si>
  <si>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</si>
  <si>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</si>
  <si>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</si>
  <si>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</si>
  <si>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</si>
  <si>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</si>
  <si>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</si>
  <si>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</si>
  <si>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</si>
  <si>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</si>
  <si>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</si>
  <si>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</si>
  <si>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</si>
  <si>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</si>
  <si>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</si>
  <si>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</si>
  <si>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</si>
  <si>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</si>
  <si>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</si>
  <si>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</si>
  <si>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</si>
  <si>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</si>
  <si>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</si>
  <si>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</si>
  <si>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</si>
  <si>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</si>
  <si>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</si>
  <si>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</si>
  <si>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</si>
  <si>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</si>
  <si>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</si>
  <si>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</si>
  <si>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</si>
  <si>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</si>
  <si>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</si>
  <si>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</si>
  <si>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</si>
  <si>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</si>
  <si>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</si>
  <si>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</si>
  <si>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</si>
  <si>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</si>
  <si>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</si>
  <si>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</si>
  <si>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</si>
  <si>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</si>
  <si>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</si>
  <si>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</si>
  <si>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</si>
  <si>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</si>
  <si>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</si>
  <si>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</si>
  <si>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</si>
  <si>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</si>
  <si>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</si>
  <si>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</si>
  <si>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</si>
  <si>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</si>
  <si>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</si>
  <si>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</si>
  <si>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</si>
  <si>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</si>
  <si>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</si>
  <si>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</si>
  <si>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</si>
  <si>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</si>
  <si>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</si>
  <si>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</si>
  <si>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</si>
  <si>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</si>
  <si>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</si>
  <si>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</si>
  <si>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</si>
  <si>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</si>
  <si>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</si>
  <si>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</si>
  <si>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</si>
  <si>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</si>
  <si>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</si>
  <si>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</si>
  <si>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</si>
  <si>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</si>
  <si>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</si>
  <si>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</si>
  <si>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</si>
  <si>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</si>
  <si>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</si>
  <si>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</si>
  <si>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</si>
  <si>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</si>
  <si>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</si>
  <si>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</si>
  <si>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</si>
  <si>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</si>
  <si>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</si>
  <si>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</si>
  <si>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</si>
  <si>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</si>
  <si>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</si>
  <si>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</si>
  <si>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</si>
  <si>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</si>
  <si>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</si>
  <si>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</si>
  <si>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</si>
  <si>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</si>
  <si>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</si>
  <si>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</si>
  <si>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</si>
  <si>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</si>
  <si>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</si>
  <si>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</si>
  <si>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</si>
  <si>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</si>
  <si>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</si>
  <si>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</si>
  <si>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</si>
  <si>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</si>
  <si>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</si>
  <si>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</si>
  <si>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</si>
  <si>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</si>
  <si>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</si>
  <si>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</si>
  <si>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</si>
  <si>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</si>
  <si>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</si>
  <si>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</si>
  <si>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</si>
  <si>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</si>
  <si>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</si>
  <si>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</si>
  <si>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</si>
  <si>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</si>
  <si>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</si>
  <si>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</si>
  <si>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</si>
  <si>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</si>
  <si>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</si>
  <si>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</si>
  <si>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</si>
  <si>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</si>
  <si>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</si>
  <si>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</si>
  <si>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</si>
  <si>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</si>
  <si>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</si>
  <si>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</si>
  <si>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</si>
  <si>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</si>
  <si>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</si>
  <si>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</si>
  <si>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</si>
  <si>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</si>
  <si>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</si>
  <si>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</si>
  <si>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</si>
  <si>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</si>
  <si>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</si>
  <si>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</si>
  <si>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</si>
  <si>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</si>
  <si>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</si>
  <si>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</si>
  <si>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</si>
  <si>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</si>
  <si>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</si>
  <si>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</si>
  <si>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</si>
  <si>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</si>
  <si>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</si>
  <si>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</si>
  <si>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</si>
  <si>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</si>
  <si>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</si>
  <si>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</si>
  <si>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</si>
  <si>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</si>
  <si>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</si>
  <si>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</si>
  <si>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</si>
  <si>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</si>
  <si>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</si>
  <si>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</si>
  <si>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</si>
  <si>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</si>
  <si>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</si>
  <si>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</si>
  <si>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</si>
  <si>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</si>
  <si>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</si>
  <si>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</si>
  <si>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</si>
  <si>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</si>
  <si>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</si>
  <si>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</si>
  <si>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</si>
  <si>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</si>
  <si>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</si>
  <si>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</si>
  <si>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</si>
  <si>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</si>
  <si>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</si>
  <si>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</si>
  <si>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</si>
  <si>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</si>
  <si>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</si>
  <si>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</si>
  <si>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</si>
  <si>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</si>
  <si>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</si>
  <si>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</si>
  <si>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</si>
  <si>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</si>
  <si>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</si>
  <si>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</si>
  <si>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</si>
  <si>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</si>
  <si>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</si>
  <si>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</si>
  <si>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</si>
  <si>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</si>
  <si>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</si>
  <si>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</si>
  <si>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</si>
  <si>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</si>
  <si>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</si>
  <si>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</si>
  <si>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</si>
  <si>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</si>
  <si>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</si>
  <si>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</si>
  <si>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</si>
  <si>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</si>
  <si>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</si>
  <si>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</si>
  <si>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</si>
  <si>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</si>
  <si>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</si>
  <si>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</si>
  <si>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</si>
  <si>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</si>
  <si>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</si>
  <si>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</si>
  <si>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</si>
  <si>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</si>
  <si>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</si>
  <si>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</si>
  <si>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</si>
  <si>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</si>
  <si>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</si>
  <si>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</si>
  <si>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</si>
  <si>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</si>
  <si>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</si>
  <si>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</si>
  <si>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</si>
  <si>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</si>
  <si>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</si>
  <si>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</si>
  <si>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</si>
  <si>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</si>
  <si>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</si>
  <si>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</si>
  <si>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</si>
  <si>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</si>
  <si>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</si>
  <si>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</si>
  <si>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</si>
  <si>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</si>
  <si>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</si>
  <si>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</si>
  <si>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</si>
  <si>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</si>
  <si>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</si>
  <si>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</si>
  <si>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</si>
  <si>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</si>
  <si>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</si>
  <si>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</si>
  <si>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</si>
  <si>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</si>
  <si>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</si>
  <si>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</si>
  <si>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</si>
  <si>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</si>
  <si>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</si>
  <si>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</si>
  <si>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</si>
  <si>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</si>
  <si>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</si>
  <si>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</si>
  <si>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</si>
  <si>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</si>
  <si>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</si>
  <si>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</si>
  <si>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</si>
  <si>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</si>
  <si>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</si>
  <si>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</si>
  <si>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</si>
  <si>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</si>
  <si>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</si>
  <si>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</si>
  <si>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</si>
  <si>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</si>
  <si>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</si>
  <si>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</si>
  <si>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</si>
  <si>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</si>
  <si>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</si>
  <si>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</si>
  <si>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</si>
  <si>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</si>
  <si>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</si>
  <si>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</si>
  <si>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</si>
  <si>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</si>
  <si>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</si>
  <si>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</si>
  <si>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</si>
  <si>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</si>
  <si>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</si>
  <si>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</si>
  <si>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</si>
  <si>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</si>
  <si>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</si>
  <si>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</si>
  <si>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</si>
  <si>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</si>
  <si>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</si>
  <si>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</si>
  <si>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</si>
  <si>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</si>
  <si>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</si>
  <si>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</si>
  <si>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</si>
  <si>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</si>
  <si>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</si>
  <si>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</si>
  <si>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</si>
  <si>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</si>
  <si>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</si>
  <si>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</si>
  <si>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</si>
  <si>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</si>
  <si>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</si>
  <si>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</si>
  <si>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</si>
  <si>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</si>
  <si>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</si>
  <si>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</si>
  <si>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</si>
  <si>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</si>
  <si>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</si>
  <si>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</si>
  <si>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</si>
  <si>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</si>
  <si>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</si>
  <si>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</si>
  <si>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</si>
  <si>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</si>
  <si>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</si>
  <si>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</si>
  <si>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</si>
  <si>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</si>
  <si>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</si>
  <si>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</si>
  <si>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</si>
  <si>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</si>
  <si>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</si>
  <si>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</si>
  <si>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</si>
  <si>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</si>
  <si>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</si>
  <si>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</si>
  <si>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</si>
  <si>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</si>
  <si>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</si>
  <si>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</si>
  <si>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</si>
  <si>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</si>
  <si>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</si>
  <si>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</si>
  <si>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</si>
  <si>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</si>
  <si>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</si>
  <si>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</si>
  <si>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</si>
  <si>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</si>
  <si>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</si>
  <si>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</si>
  <si>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</si>
  <si>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</si>
  <si>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</si>
  <si>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</si>
  <si>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</si>
  <si>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</si>
  <si>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</si>
  <si>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</si>
  <si>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</si>
  <si>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</si>
  <si>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</si>
  <si>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</si>
  <si>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</si>
  <si>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</si>
  <si>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</si>
  <si>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</si>
  <si>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</si>
  <si>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</si>
  <si>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</si>
  <si>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</si>
  <si>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</si>
  <si>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</si>
  <si>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</si>
  <si>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</si>
  <si>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</si>
  <si>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</si>
  <si>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</si>
  <si>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</si>
  <si>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</si>
  <si>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</si>
  <si>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</si>
  <si>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</si>
  <si>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</si>
  <si>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</si>
  <si>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</si>
  <si>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</si>
  <si>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</si>
  <si>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</si>
  <si>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</si>
  <si>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</si>
  <si>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</si>
  <si>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</si>
  <si>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</si>
  <si>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</si>
  <si>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</si>
  <si>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</si>
  <si>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</si>
  <si>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</si>
  <si>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</si>
  <si>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</si>
  <si>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</si>
  <si>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</si>
  <si>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</si>
  <si>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</si>
  <si>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</si>
  <si>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</si>
  <si>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</si>
  <si>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</si>
  <si>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</si>
  <si>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</si>
  <si>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</si>
  <si>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</si>
  <si>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</si>
  <si>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</si>
  <si>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</si>
  <si>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</si>
  <si>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</si>
  <si>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</si>
  <si>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</si>
  <si>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</si>
  <si>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</si>
  <si>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</si>
  <si>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</si>
  <si>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</si>
  <si>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</si>
  <si>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</si>
  <si>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</si>
  <si>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</si>
  <si>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</si>
  <si>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</si>
  <si>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</si>
  <si>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</si>
  <si>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</si>
  <si>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</si>
  <si>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</si>
  <si>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</si>
  <si>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</si>
  <si>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</si>
  <si>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</si>
  <si>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</si>
  <si>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</si>
  <si>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</si>
  <si>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</si>
  <si>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</si>
  <si>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</si>
  <si>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</si>
  <si>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</si>
  <si>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</si>
  <si>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</si>
  <si>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</si>
  <si>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</si>
  <si>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</si>
  <si>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</si>
  <si>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</si>
  <si>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</si>
  <si>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</si>
  <si>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</si>
  <si>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</si>
  <si>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</si>
  <si>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</si>
  <si>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</si>
  <si>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</si>
  <si>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</si>
  <si>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</si>
  <si>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</si>
  <si>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</si>
  <si>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</si>
  <si>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</si>
  <si>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</si>
  <si>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</si>
  <si>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</si>
  <si>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</si>
  <si>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</si>
  <si>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</si>
  <si>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</si>
  <si>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</si>
  <si>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</si>
  <si>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</si>
  <si>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</si>
  <si>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</si>
  <si>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</si>
  <si>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</si>
  <si>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</si>
  <si>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</si>
  <si>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</si>
  <si>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</si>
  <si>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</si>
  <si>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</si>
  <si>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</si>
  <si>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</si>
  <si>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</si>
  <si>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</si>
  <si>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</si>
  <si>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</si>
  <si>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</si>
  <si>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</si>
  <si>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</si>
  <si>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</si>
  <si>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</si>
  <si>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</si>
  <si>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</si>
  <si>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</si>
  <si>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</si>
  <si>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</si>
  <si>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</si>
  <si>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</si>
  <si>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</si>
  <si>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</si>
  <si>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</si>
  <si>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</si>
  <si>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</si>
  <si>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</si>
  <si>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</si>
  <si>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</si>
  <si>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</si>
  <si>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</si>
  <si>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</si>
  <si>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</si>
  <si>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</si>
  <si>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</si>
  <si>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</si>
  <si>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</si>
  <si>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</si>
  <si>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</si>
  <si>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</si>
  <si>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</si>
  <si>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</si>
  <si>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</si>
  <si>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</si>
  <si>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</si>
  <si>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</si>
  <si>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</si>
  <si>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</si>
  <si>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</si>
  <si>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</si>
  <si>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</si>
  <si>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</si>
  <si>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</si>
  <si>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</si>
  <si>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</si>
  <si>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</si>
  <si>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</si>
  <si>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</si>
  <si>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</si>
  <si>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</si>
  <si>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</si>
  <si>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</si>
  <si>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</si>
  <si>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</si>
  <si>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</si>
  <si>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</si>
  <si>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</si>
  <si>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</si>
  <si>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</si>
  <si>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</si>
  <si>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</si>
  <si>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</si>
  <si>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</si>
  <si>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</si>
  <si>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</si>
  <si>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</si>
  <si>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</si>
  <si>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</si>
  <si>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</si>
  <si>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</si>
  <si>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</si>
  <si>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</si>
  <si>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</si>
  <si>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</si>
  <si>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</si>
  <si>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</si>
  <si>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</si>
  <si>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</si>
  <si>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</si>
  <si>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</si>
  <si>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</si>
  <si>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</si>
  <si>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</si>
  <si>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</si>
  <si>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</si>
  <si>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</si>
  <si>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</si>
  <si>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</si>
  <si>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</si>
  <si>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</si>
  <si>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</si>
  <si>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</si>
  <si>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</si>
  <si>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</si>
  <si>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</si>
  <si>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</si>
  <si>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</si>
  <si>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</si>
  <si>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</si>
  <si>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</si>
  <si>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</si>
  <si>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</si>
  <si>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</si>
  <si>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</si>
  <si>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</si>
  <si>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</si>
  <si>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</si>
  <si>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</si>
  <si>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</si>
  <si>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</si>
  <si>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</si>
  <si>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</si>
  <si>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</si>
  <si>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</si>
  <si>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</si>
  <si>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</si>
  <si>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</si>
  <si>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</si>
  <si>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</si>
  <si>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</si>
  <si>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</si>
  <si>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</si>
  <si>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</si>
  <si>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</si>
  <si>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</si>
  <si>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</si>
  <si>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</si>
  <si>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</si>
  <si>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</si>
  <si>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</si>
  <si>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</si>
  <si>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</si>
  <si>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</si>
  <si>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</si>
  <si>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</si>
  <si>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</si>
  <si>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</si>
  <si>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</si>
  <si>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</si>
  <si>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</si>
  <si>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</si>
  <si>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</si>
  <si>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</si>
  <si>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</si>
  <si>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</si>
  <si>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</si>
  <si>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</si>
  <si>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</si>
  <si>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</si>
  <si>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</si>
  <si>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</si>
  <si>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</si>
  <si>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</si>
  <si>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</si>
  <si>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</si>
  <si>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</si>
  <si>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</si>
  <si>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</si>
  <si>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</si>
  <si>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</si>
  <si>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</si>
  <si>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</si>
  <si>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</si>
  <si>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</si>
  <si>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</si>
  <si>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</si>
  <si>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</si>
  <si>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</si>
  <si>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</si>
  <si>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</si>
  <si>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</si>
  <si>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</si>
  <si>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</si>
  <si>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</si>
  <si>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</si>
  <si>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</si>
  <si>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</si>
  <si>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</si>
  <si>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</si>
  <si>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</si>
  <si>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</si>
  <si>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</si>
  <si>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</si>
  <si>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</si>
  <si>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</si>
  <si>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</si>
  <si>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</si>
  <si>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</si>
  <si>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</si>
  <si>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</si>
  <si>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</si>
  <si>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</si>
  <si>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</si>
  <si>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</si>
  <si>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</si>
  <si>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</si>
  <si>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</si>
  <si>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</si>
  <si>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</si>
  <si>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</si>
  <si>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</si>
  <si>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</si>
  <si>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</si>
  <si>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</si>
  <si>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</si>
  <si>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</si>
  <si>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</si>
  <si>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</si>
  <si>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</si>
  <si>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</si>
  <si>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</si>
  <si>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</si>
  <si>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</si>
  <si>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</si>
  <si>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</si>
  <si>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</si>
  <si>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</si>
  <si>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</si>
  <si>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</si>
  <si>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</si>
  <si>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</si>
  <si>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</si>
  <si>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</si>
  <si>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</si>
  <si>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</si>
  <si>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</si>
  <si>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</si>
  <si>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</si>
  <si>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</si>
  <si>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</si>
  <si>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</si>
  <si>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</si>
  <si>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</si>
  <si>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</si>
  <si>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</si>
  <si>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</si>
  <si>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</si>
  <si>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</si>
  <si>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</si>
  <si>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</si>
  <si>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</si>
  <si>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</si>
  <si>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</si>
  <si>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</si>
  <si>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</si>
  <si>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</si>
  <si>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</si>
  <si>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</si>
  <si>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</si>
  <si>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</si>
  <si>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</si>
  <si>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</si>
  <si>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</si>
  <si>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</si>
  <si>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</si>
  <si>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</si>
  <si>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</si>
  <si>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</si>
  <si>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</si>
  <si>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</si>
  <si>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</si>
  <si>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</si>
  <si>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</si>
  <si>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</si>
  <si>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</si>
  <si>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</si>
  <si>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</si>
  <si>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</si>
  <si>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</si>
  <si>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</si>
  <si>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</si>
  <si>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</si>
  <si>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</si>
  <si>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</si>
  <si>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</si>
  <si>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</si>
  <si>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</si>
  <si>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</si>
  <si>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</si>
  <si>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</si>
  <si>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</si>
  <si>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</si>
  <si>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</si>
  <si>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</si>
  <si>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</si>
  <si>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</si>
  <si>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</si>
  <si>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</si>
  <si>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</si>
  <si>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</si>
  <si>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</si>
  <si>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</si>
  <si>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</si>
  <si>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</si>
  <si>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</si>
  <si>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</si>
  <si>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</si>
  <si>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</si>
  <si>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</si>
  <si>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</si>
  <si>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</si>
  <si>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</si>
  <si>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</si>
  <si>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</si>
  <si>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</si>
  <si>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</si>
  <si>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</si>
  <si>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</si>
  <si>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</si>
  <si>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</si>
  <si>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</si>
  <si>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</si>
  <si>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</si>
  <si>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</si>
  <si>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</si>
  <si>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</si>
  <si>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</si>
  <si>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</si>
  <si>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</si>
  <si>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</si>
  <si>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</si>
  <si>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</si>
  <si>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</si>
  <si>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</si>
  <si>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</si>
  <si>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</si>
  <si>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</si>
  <si>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</si>
  <si>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</si>
  <si>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</si>
  <si>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</si>
  <si>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</si>
  <si>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</si>
  <si>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</si>
  <si>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</si>
  <si>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</si>
  <si>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</si>
  <si>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</si>
  <si>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</si>
  <si>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</si>
  <si>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</si>
  <si>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</si>
  <si>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</si>
  <si>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</si>
  <si>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</si>
  <si>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</si>
  <si>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</si>
  <si>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</si>
  <si>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</si>
  <si>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</si>
  <si>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</si>
  <si>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</si>
  <si>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</si>
  <si>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</si>
  <si>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</si>
  <si>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</si>
  <si>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</si>
  <si>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</si>
  <si>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</si>
  <si>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</si>
  <si>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</si>
  <si>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</si>
  <si>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</si>
  <si>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</si>
  <si>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</si>
  <si>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</si>
  <si>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</si>
  <si>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</si>
  <si>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</si>
  <si>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</si>
  <si>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</si>
  <si>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</si>
  <si>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</si>
  <si>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</si>
  <si>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</si>
  <si>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</si>
  <si>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</si>
  <si>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</si>
  <si>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</si>
  <si>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</si>
  <si>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</si>
  <si>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</si>
  <si>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</si>
  <si>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</si>
  <si>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</si>
  <si>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</si>
  <si>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</si>
  <si>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</si>
  <si>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</si>
  <si>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</si>
  <si>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</si>
  <si>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</si>
  <si>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</si>
  <si>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</si>
  <si>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</si>
  <si>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</si>
  <si>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</si>
  <si>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</si>
  <si>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</si>
  <si>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</si>
  <si>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</si>
  <si>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</si>
  <si>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</si>
  <si>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</si>
  <si>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</si>
  <si>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</si>
  <si>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</si>
  <si>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</si>
  <si>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</si>
  <si>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</si>
  <si>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</si>
  <si>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</si>
  <si>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</si>
  <si>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</si>
  <si>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</si>
  <si>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</si>
  <si>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</si>
  <si>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</si>
  <si>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</si>
  <si>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</si>
  <si>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</si>
  <si>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</si>
  <si>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</si>
  <si>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</si>
  <si>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</si>
  <si>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</si>
  <si>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</si>
  <si>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</si>
  <si>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</si>
  <si>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</si>
  <si>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</si>
  <si>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</si>
  <si>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</si>
  <si>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</si>
  <si>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</si>
  <si>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</si>
  <si>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</si>
  <si>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</si>
  <si>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</si>
  <si>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</si>
  <si>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</si>
  <si>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</si>
  <si>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</si>
  <si>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</si>
  <si>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</si>
  <si>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</si>
  <si>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</si>
  <si>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</si>
  <si>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</si>
  <si>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</si>
  <si>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</si>
  <si>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</si>
  <si>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</si>
  <si>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</si>
  <si>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</si>
  <si>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</si>
  <si>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</si>
  <si>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</si>
  <si>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</si>
  <si>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</si>
  <si>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</si>
  <si>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</si>
  <si>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</si>
  <si>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</si>
  <si>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</si>
  <si>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</si>
  <si>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</si>
  <si>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</si>
  <si>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</si>
  <si>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</si>
  <si>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</si>
  <si>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</si>
  <si>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</si>
  <si>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</si>
  <si>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</si>
  <si>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</si>
  <si>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</si>
  <si>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</si>
  <si>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</si>
  <si>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</si>
  <si>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</si>
  <si>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</si>
  <si>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</si>
  <si>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</si>
  <si>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</si>
  <si>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</si>
  <si>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</si>
  <si>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</si>
  <si>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</si>
  <si>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</si>
  <si>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</si>
  <si>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</si>
  <si>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</si>
  <si>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</si>
  <si>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</si>
  <si>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</si>
  <si>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</si>
  <si>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</si>
  <si>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</si>
  <si>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</si>
  <si>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</si>
  <si>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</si>
  <si>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</si>
  <si>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</si>
  <si>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</si>
  <si>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</si>
  <si>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</si>
  <si>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</si>
  <si>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</si>
  <si>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</si>
  <si>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</si>
  <si>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</si>
  <si>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</si>
  <si>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</si>
  <si>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</si>
  <si>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</si>
  <si>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</si>
  <si>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</si>
  <si>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</si>
  <si>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</si>
  <si>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</si>
  <si>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</si>
  <si>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</si>
  <si>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</si>
  <si>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</si>
  <si>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</si>
  <si>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</si>
  <si>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</si>
  <si>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</si>
  <si>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</si>
  <si>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</si>
  <si>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</si>
  <si>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</si>
  <si>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</si>
  <si>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</si>
  <si>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</si>
  <si>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</si>
  <si>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</si>
  <si>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</si>
  <si>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</si>
  <si>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</si>
  <si>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</si>
  <si>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</si>
  <si>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</si>
  <si>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</si>
  <si>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</si>
  <si>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</si>
  <si>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</si>
  <si>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</si>
  <si>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</si>
  <si>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</si>
  <si>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</si>
  <si>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</si>
  <si>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</si>
  <si>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</si>
  <si>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</si>
  <si>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</si>
  <si>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</si>
  <si>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</si>
  <si>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</si>
  <si>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</si>
  <si>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</si>
  <si>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</si>
  <si>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</si>
  <si>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</si>
  <si>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</si>
  <si>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</si>
  <si>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</si>
  <si>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</si>
  <si>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</si>
  <si>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</si>
  <si>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</si>
  <si>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</si>
  <si>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</si>
  <si>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</si>
  <si>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</si>
  <si>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</si>
  <si>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</si>
  <si>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</si>
  <si>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</si>
  <si>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</si>
  <si>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</si>
  <si>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</si>
  <si>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</si>
  <si>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</si>
  <si>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</si>
  <si>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</si>
  <si>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</si>
  <si>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</si>
  <si>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</si>
  <si>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</si>
  <si>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</si>
  <si>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</si>
  <si>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</si>
  <si>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</si>
  <si>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</si>
  <si>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</si>
  <si>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</si>
  <si>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</si>
  <si>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</si>
  <si>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</si>
  <si>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</si>
  <si>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</si>
  <si>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</si>
  <si>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</si>
  <si>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</si>
  <si>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</si>
  <si>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</si>
  <si>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</si>
  <si>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</si>
  <si>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</si>
  <si>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</si>
  <si>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</si>
  <si>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</si>
  <si>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</si>
  <si>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</si>
  <si>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</si>
  <si>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</si>
  <si>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</si>
  <si>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</si>
  <si>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</si>
  <si>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</si>
  <si>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</si>
  <si>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</si>
  <si>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</si>
  <si>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</si>
  <si>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</si>
  <si>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</si>
  <si>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</si>
  <si>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</si>
  <si>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</si>
  <si>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</si>
  <si>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</si>
  <si>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</si>
  <si>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</si>
  <si>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</si>
  <si>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</si>
  <si>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</si>
  <si>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</si>
  <si>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</si>
  <si>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</si>
  <si>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</si>
  <si>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</si>
  <si>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</si>
  <si>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</si>
  <si>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</si>
  <si>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</si>
  <si>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</si>
  <si>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</si>
  <si>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</si>
  <si>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</si>
  <si>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</si>
  <si>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</si>
  <si>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</si>
  <si>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</si>
  <si>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</si>
  <si>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</si>
  <si>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</si>
  <si>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</si>
  <si>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</si>
  <si>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</si>
  <si>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</si>
  <si>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</si>
  <si>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</si>
  <si>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</si>
  <si>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</si>
  <si>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</si>
  <si>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</si>
  <si>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</si>
  <si>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</si>
  <si>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</si>
  <si>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</si>
  <si>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</si>
  <si>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</si>
  <si>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</si>
  <si>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</si>
  <si>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</si>
  <si>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</si>
  <si>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</si>
  <si>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</si>
  <si>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</si>
  <si>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</si>
  <si>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</si>
  <si>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</si>
  <si>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</si>
  <si>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</si>
  <si>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</si>
  <si>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</si>
  <si>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</si>
  <si>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</si>
  <si>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</si>
  <si>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</si>
  <si>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</si>
  <si>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</si>
  <si>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</si>
  <si>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</si>
  <si>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</si>
  <si>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</si>
  <si>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</si>
  <si>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</si>
  <si>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</si>
  <si>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</si>
  <si>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</si>
  <si>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</si>
  <si>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</si>
  <si>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</si>
  <si>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</si>
  <si>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</si>
  <si>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</si>
  <si>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</si>
  <si>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</si>
  <si>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</si>
  <si>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</si>
  <si>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</si>
  <si>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</si>
  <si>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</si>
  <si>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</si>
  <si>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</si>
  <si>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</si>
  <si>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</si>
  <si>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</si>
  <si>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</si>
  <si>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</si>
  <si>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</si>
  <si>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</si>
  <si>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</si>
  <si>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</si>
  <si>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</si>
  <si>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</si>
  <si>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</si>
  <si>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</si>
  <si>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</si>
  <si>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</si>
  <si>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</si>
  <si>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</si>
  <si>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</si>
  <si>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</si>
  <si>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</si>
  <si>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</si>
  <si>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</si>
  <si>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</si>
  <si>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</si>
  <si>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</si>
  <si>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</si>
  <si>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</si>
  <si>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</si>
  <si>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</si>
  <si>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</si>
  <si>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</si>
  <si>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</si>
  <si>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</si>
  <si>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</si>
  <si>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</si>
  <si>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</si>
  <si>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</si>
  <si>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</si>
  <si>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</si>
  <si>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</si>
  <si>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</si>
  <si>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</si>
  <si>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</si>
  <si>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</si>
  <si>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</si>
  <si>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</si>
  <si>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</si>
  <si>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</si>
  <si>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</si>
  <si>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</si>
  <si>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</si>
  <si>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</si>
  <si>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</si>
  <si>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</si>
  <si>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</si>
  <si>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</si>
  <si>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</si>
  <si>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</si>
  <si>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</si>
  <si>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</si>
  <si>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</si>
  <si>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</si>
  <si>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</si>
  <si>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</si>
  <si>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</si>
  <si>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</si>
  <si>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</si>
  <si>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</si>
  <si>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</si>
  <si>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</si>
  <si>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</si>
  <si>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</si>
  <si>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</si>
  <si>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</si>
  <si>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</si>
  <si>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</si>
  <si>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</si>
  <si>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</si>
  <si>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</si>
  <si>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</si>
  <si>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</si>
  <si>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</si>
  <si>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</si>
  <si>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</si>
  <si>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</si>
  <si>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</si>
  <si>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</si>
  <si>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</si>
  <si>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</si>
  <si>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</si>
  <si>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</si>
  <si>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</si>
  <si>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</si>
  <si>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</si>
  <si>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</si>
  <si>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</si>
  <si>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</si>
  <si>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</si>
  <si>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</si>
  <si>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</si>
  <si>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</si>
  <si>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</si>
  <si>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</si>
  <si>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</si>
  <si>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</si>
  <si>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</si>
  <si>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</si>
  <si>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</si>
  <si>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</si>
  <si>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</si>
  <si>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</si>
  <si>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</si>
  <si>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</si>
  <si>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</si>
  <si>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</si>
  <si>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</si>
  <si>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</si>
  <si>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</si>
  <si>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</si>
  <si>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</si>
  <si>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</si>
  <si>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</si>
  <si>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</si>
  <si>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</si>
  <si>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</si>
  <si>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</si>
  <si>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</si>
  <si>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</si>
  <si>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</si>
  <si>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</si>
  <si>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</si>
  <si>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</si>
  <si>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</si>
  <si>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</si>
  <si>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</si>
  <si>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</si>
  <si>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</si>
  <si>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</si>
  <si>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</si>
  <si>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</si>
  <si>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</si>
  <si>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</si>
  <si>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</si>
  <si>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</si>
  <si>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</si>
  <si>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</si>
  <si>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</si>
  <si>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</si>
  <si>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</si>
  <si>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</si>
  <si>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</si>
  <si>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</si>
  <si>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</si>
  <si>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</si>
  <si>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</si>
  <si>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</si>
  <si>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</si>
  <si>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</si>
  <si>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</si>
  <si>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</si>
  <si>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</si>
  <si>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</si>
  <si>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</si>
  <si>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</si>
  <si>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</si>
  <si>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</si>
  <si>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</si>
  <si>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</si>
  <si>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</si>
  <si>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</si>
  <si>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</si>
  <si>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</si>
  <si>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</si>
  <si>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</si>
  <si>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</si>
  <si>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</si>
  <si>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</si>
  <si>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</si>
  <si>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</si>
  <si>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</si>
  <si>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</si>
  <si>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</si>
  <si>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</si>
  <si>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</si>
  <si>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</si>
  <si>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</si>
  <si>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</si>
  <si>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</si>
  <si>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</si>
  <si>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</si>
  <si>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</si>
  <si>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</si>
  <si>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</si>
  <si>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</si>
  <si>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</si>
  <si>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</si>
  <si>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</si>
  <si>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</si>
  <si>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</si>
  <si>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</si>
  <si>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</si>
  <si>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</si>
  <si>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</si>
  <si>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</si>
  <si>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</si>
  <si>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</si>
  <si>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</si>
  <si>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</si>
  <si>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</si>
  <si>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</si>
  <si>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</si>
  <si>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</si>
  <si>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</si>
  <si>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</si>
  <si>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</si>
  <si>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</si>
  <si>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</si>
  <si>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</si>
  <si>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</si>
  <si>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</si>
  <si>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</si>
  <si>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</si>
  <si>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</si>
  <si>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</si>
  <si>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</si>
  <si>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</si>
  <si>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</si>
  <si>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</si>
  <si>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</si>
  <si>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</si>
  <si>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</si>
  <si>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</si>
  <si>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</si>
  <si>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</si>
  <si>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</si>
  <si>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</si>
  <si>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</si>
  <si>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</si>
  <si>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</si>
  <si>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</si>
  <si>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</si>
  <si>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</si>
  <si>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</si>
  <si>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</si>
  <si>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</si>
  <si>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</si>
  <si>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</si>
  <si>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</si>
  <si>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</si>
  <si>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</si>
  <si>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</si>
  <si>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</si>
  <si>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</si>
  <si>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</si>
  <si>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</si>
  <si>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</si>
  <si>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</si>
  <si>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</si>
  <si>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</si>
  <si>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</si>
  <si>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</si>
  <si>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</si>
  <si>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</si>
  <si>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</si>
  <si>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</si>
  <si>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</si>
  <si>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</si>
  <si>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</si>
  <si>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</si>
  <si>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</si>
  <si>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</si>
  <si>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</si>
  <si>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</si>
  <si>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</si>
  <si>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</si>
  <si>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</si>
  <si>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</si>
  <si>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</si>
  <si>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</si>
  <si>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</si>
  <si>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</si>
  <si>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</si>
  <si>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</si>
  <si>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</si>
  <si>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</si>
  <si>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</si>
  <si>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</si>
  <si>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</si>
  <si>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</si>
  <si>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</si>
  <si>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</si>
  <si>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</si>
  <si>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</si>
  <si>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</si>
  <si>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</si>
  <si>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</si>
  <si>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</si>
  <si>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</si>
  <si>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</si>
  <si>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</si>
  <si>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</si>
  <si>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</si>
  <si>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</si>
  <si>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</si>
  <si>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</si>
  <si>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</si>
  <si>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</si>
  <si>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</si>
  <si>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</si>
  <si>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</si>
  <si>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</si>
  <si>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</si>
  <si>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</si>
  <si>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</si>
  <si>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</si>
  <si>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</si>
  <si>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</si>
  <si>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</si>
  <si>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</si>
  <si>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</si>
  <si>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</si>
  <si>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</si>
  <si>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</si>
  <si>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</si>
  <si>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</si>
  <si>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</si>
  <si>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</si>
  <si>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</si>
  <si>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</si>
  <si>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</si>
  <si>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</si>
  <si>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</si>
  <si>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</si>
  <si>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</si>
  <si>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</si>
  <si>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</si>
  <si>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</si>
  <si>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</si>
  <si>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</si>
  <si>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</si>
  <si>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</si>
  <si>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</si>
  <si>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</si>
  <si>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</si>
  <si>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</si>
  <si>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</si>
  <si>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</si>
  <si>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</si>
  <si>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</si>
  <si>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</si>
  <si>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</si>
  <si>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</si>
  <si>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</si>
  <si>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</si>
  <si>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</si>
  <si>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</si>
  <si>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</si>
  <si>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</si>
  <si>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</si>
  <si>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</si>
  <si>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</si>
  <si>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</si>
  <si>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</si>
  <si>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</si>
  <si>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</si>
  <si>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</si>
  <si>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</si>
  <si>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</si>
  <si>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</si>
  <si>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</si>
  <si>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</si>
  <si>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</si>
  <si>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</si>
  <si>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</si>
  <si>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</si>
  <si>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</si>
  <si>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</si>
  <si>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</si>
  <si>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</si>
  <si>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</si>
  <si>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</si>
  <si>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</si>
  <si>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</si>
  <si>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</si>
  <si>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</si>
  <si>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</si>
  <si>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</si>
  <si>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</si>
  <si>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</si>
  <si>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</si>
  <si>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</si>
  <si>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</si>
  <si>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</si>
  <si>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</si>
  <si>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</si>
  <si>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</si>
  <si>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</si>
  <si>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</si>
  <si>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</si>
  <si>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</si>
  <si>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</si>
  <si>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</si>
  <si>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</si>
  <si>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</si>
  <si>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West Development Ventures, LLC </t>
  </si>
  <si>
    <t xml:space="preserve">Mammoth Lakes Family Apartments </t>
  </si>
  <si>
    <t>1700 Old Mammoth Road; 44 Manzanita Road; 312 Lupin Street; 129 Dorrance Drive</t>
  </si>
  <si>
    <t xml:space="preserve">Mammoth Lakes </t>
  </si>
  <si>
    <t>93546 / 93541</t>
  </si>
  <si>
    <t>040-040-038; 033-124-007; 033-150-065</t>
  </si>
  <si>
    <t>40%/60%</t>
  </si>
  <si>
    <t xml:space="preserve">Sacramento </t>
  </si>
  <si>
    <t xml:space="preserve">CA </t>
  </si>
  <si>
    <t>Mike Kelley</t>
  </si>
  <si>
    <t>(916) 834-5986</t>
  </si>
  <si>
    <t xml:space="preserve">Kelley Ventures, LLC </t>
  </si>
  <si>
    <t>Administrative GP</t>
  </si>
  <si>
    <t>CA</t>
  </si>
  <si>
    <t xml:space="preserve">Mike Kelley </t>
  </si>
  <si>
    <t xml:space="preserve">Central Valley Coalition for Affordable Housing </t>
  </si>
  <si>
    <t>Managing GP</t>
  </si>
  <si>
    <t>3351 M Street, Suite 150</t>
  </si>
  <si>
    <t>Christina Alley</t>
  </si>
  <si>
    <t>(209) 388-0782</t>
  </si>
  <si>
    <t>chris@centralvalleycoalition.com</t>
  </si>
  <si>
    <t xml:space="preserve">Sabelhaus &amp; Strain PC </t>
  </si>
  <si>
    <t>1724 10th Street, Suite 110</t>
  </si>
  <si>
    <t xml:space="preserve">Stephen Strain </t>
  </si>
  <si>
    <t>(916) 444-0286</t>
  </si>
  <si>
    <t>sstrain@sabelhauslaw.com</t>
  </si>
  <si>
    <t>520 Capitol Mall, Suite 150</t>
  </si>
  <si>
    <t>Sacramento, CA 95814</t>
  </si>
  <si>
    <t>mikek@westdv.com</t>
  </si>
  <si>
    <t xml:space="preserve">DG Group Architecture </t>
  </si>
  <si>
    <t>430 E. State Street, Suite 100</t>
  </si>
  <si>
    <t>Eagle, ID 83616</t>
  </si>
  <si>
    <t>Douglas L. Gibson</t>
  </si>
  <si>
    <t>(208) 908-4871</t>
  </si>
  <si>
    <t>Sacramento, CA 95811</t>
  </si>
  <si>
    <t xml:space="preserve">1724 10th Street, Suite 110 </t>
  </si>
  <si>
    <t xml:space="preserve">Bernard E. Rea, CPA </t>
  </si>
  <si>
    <t>P.O. Box 492</t>
  </si>
  <si>
    <t xml:space="preserve">Aubrey, TX 76227 </t>
  </si>
  <si>
    <t>Bernie Rea</t>
  </si>
  <si>
    <t>(209) 933-9113</t>
  </si>
  <si>
    <t>breacpa@aol.com</t>
  </si>
  <si>
    <t xml:space="preserve">Boston Financial </t>
  </si>
  <si>
    <t xml:space="preserve">336 Franklin Street </t>
  </si>
  <si>
    <t>Boston, MA 02110</t>
  </si>
  <si>
    <t xml:space="preserve">Laura Surdel </t>
  </si>
  <si>
    <t>(774) 567-5693</t>
  </si>
  <si>
    <t xml:space="preserve">Raney Planning &amp; Management, Inc. </t>
  </si>
  <si>
    <t>1501 Sports Drive, Suite A</t>
  </si>
  <si>
    <t>Sacramento, CA 95834</t>
  </si>
  <si>
    <t xml:space="preserve">Stefanie Williams </t>
  </si>
  <si>
    <t>(916) 372-6100</t>
  </si>
  <si>
    <t>swilliams@laurinassociates.com</t>
  </si>
  <si>
    <t xml:space="preserve">California Munifical Finance Authority </t>
  </si>
  <si>
    <t>2111 Palomar Airport Road, Suite 320</t>
  </si>
  <si>
    <t>Carlsbad, CA 92011</t>
  </si>
  <si>
    <t xml:space="preserve">Anthony Stubbs </t>
  </si>
  <si>
    <t>(760) 930-1333</t>
  </si>
  <si>
    <t>(760) 683-3390</t>
  </si>
  <si>
    <t xml:space="preserve">Buckingham Property Management </t>
  </si>
  <si>
    <t xml:space="preserve">Rosemary Lynch </t>
  </si>
  <si>
    <t>West Development Ventures, LLC</t>
  </si>
  <si>
    <t xml:space="preserve">LIHTC Advisors, LLC / Mike Kelley </t>
  </si>
  <si>
    <t>August</t>
  </si>
  <si>
    <t>Mammoth Lakes</t>
  </si>
  <si>
    <t>Town of Mammoth Lakes</t>
  </si>
  <si>
    <t>Mark Wardlaw</t>
  </si>
  <si>
    <t>Community Development Department Director</t>
  </si>
  <si>
    <t>Box 1609</t>
  </si>
  <si>
    <t>760-934-8989</t>
  </si>
  <si>
    <t>760-934-8608</t>
  </si>
  <si>
    <t>mwardlaw@ci.mammoth-lakes.ca.us</t>
  </si>
  <si>
    <t>Chief Executive Officer of Central Valley</t>
  </si>
  <si>
    <t>Attorney / Consultant</t>
  </si>
  <si>
    <t>rlynch@buckinghampm.com</t>
  </si>
  <si>
    <t>559-801-0716</t>
  </si>
  <si>
    <t>PO Box 5477</t>
  </si>
  <si>
    <t>Fresno, CA 93755</t>
  </si>
  <si>
    <t>559-452-8249</t>
  </si>
  <si>
    <t>Third party debt encumbering the seller's property</t>
  </si>
  <si>
    <t>17 &amp; 19 y/o</t>
  </si>
  <si>
    <t>Affordable multi-family residential buildings</t>
  </si>
  <si>
    <t>2007 &amp; 2008</t>
  </si>
  <si>
    <t>Mammoth Lakes Family Associates LP &amp; Mammoth Lakes Family Associates II, LP</t>
  </si>
  <si>
    <t>Caleb Roope</t>
  </si>
  <si>
    <t>3351 M Street, Suite 100</t>
  </si>
  <si>
    <t>Merced, CA 95348</t>
  </si>
  <si>
    <t xml:space="preserve">Christina Alley </t>
  </si>
  <si>
    <t>Manager of AGP</t>
  </si>
  <si>
    <t>Manager of MGP</t>
  </si>
  <si>
    <t>Secured by Fee Interest</t>
  </si>
  <si>
    <t>One or Two Story Garden</t>
  </si>
  <si>
    <t>Residential Multifamily 1</t>
  </si>
  <si>
    <t>35 feet</t>
  </si>
  <si>
    <t>Citibank, N.A.</t>
  </si>
  <si>
    <t>Fixed</t>
  </si>
  <si>
    <t>Air Conditioning</t>
  </si>
  <si>
    <t>Office</t>
  </si>
  <si>
    <t>Taxes / Benefits</t>
  </si>
  <si>
    <t>Supplies, Snow Removal</t>
  </si>
  <si>
    <t>Housing Trust Fund</t>
  </si>
  <si>
    <t>Recycled Bonds</t>
  </si>
  <si>
    <t>325 E. Hillcrest Drive, Suite 160</t>
  </si>
  <si>
    <t>Thousand Oaks</t>
  </si>
  <si>
    <t>Mike Hemmens</t>
  </si>
  <si>
    <t>P.O. Box 1609</t>
  </si>
  <si>
    <t>Mammoth Lake</t>
  </si>
  <si>
    <t>Nolan Bobroff</t>
  </si>
  <si>
    <t>525 Capitol Mall, Suite 150</t>
  </si>
  <si>
    <t>(805) 557-0930</t>
  </si>
  <si>
    <t>Tax-Exempt Construction Loan</t>
  </si>
  <si>
    <t>(760) 965-3631</t>
  </si>
  <si>
    <t>Assumed Subordinate Soft Debt</t>
  </si>
  <si>
    <t>Assumed Accrued Interest</t>
  </si>
  <si>
    <t xml:space="preserve">Recycled Bond Permanent </t>
  </si>
  <si>
    <t xml:space="preserve">Assumed Subordinate Soft Loans </t>
  </si>
  <si>
    <t xml:space="preserve">Assumed Accured Interest </t>
  </si>
  <si>
    <t xml:space="preserve">Deferred Developer Fee </t>
  </si>
  <si>
    <t>Boston Financial</t>
  </si>
  <si>
    <t>Acquired Reserves</t>
  </si>
  <si>
    <t>Low Income Housing Tax Credit Equity</t>
  </si>
  <si>
    <t>Taxable Construction Loan</t>
  </si>
  <si>
    <t>Recycled Tac-Exempt Construcition Loan</t>
  </si>
  <si>
    <t>225 Franklin Street</t>
  </si>
  <si>
    <t>Boston, MA</t>
  </si>
  <si>
    <t>Laura Surdel</t>
  </si>
  <si>
    <t>Costs of Issuance</t>
  </si>
  <si>
    <t>Borrower Counsel</t>
  </si>
  <si>
    <t>Town of Mammoth Lakes Loan Assumptions</t>
  </si>
  <si>
    <t>Above residual receipts line for cash flow</t>
  </si>
  <si>
    <t>Stanislaus Regional Housing Authority Different for each site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</si>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</sst>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20" fontId="0" fillId="5" borderId="3" xfId="0" applyNumberFormat="1" applyFill="1" applyBorder="1" applyAlignment="1" applyProtection="1">
      <alignment horizontal="lef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6" fillId="5" borderId="3" xfId="0" applyNumberFormat="1" applyFont="1" applyFill="1" applyBorder="1" applyAlignment="1" applyProtection="1">
      <alignment horizontal="center"/>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653</v>
      </c>
      <c r="F40" s="1260" t="s">
        <v>1164</v>
      </c>
    </row>
    <row r="41" spans="1:38" s="1260"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02" sqref="I10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2" t="s">
        <v>1585</v>
      </c>
      <c r="B1" s="2672"/>
      <c r="C1" s="2672"/>
      <c r="D1" s="2672"/>
      <c r="E1" s="2672"/>
      <c r="F1" s="2672"/>
      <c r="G1" s="2672"/>
      <c r="H1" s="2672"/>
      <c r="I1" s="2672"/>
      <c r="J1" s="2672"/>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13383388</v>
      </c>
      <c r="I3" s="1105"/>
    </row>
    <row r="4" spans="1:13" s="1051" customFormat="1" ht="20.100000000000001" customHeight="1">
      <c r="B4" s="1094"/>
      <c r="D4" s="1108"/>
      <c r="F4" s="1092" t="s">
        <v>1991</v>
      </c>
      <c r="G4" s="1091" t="s">
        <v>1990</v>
      </c>
      <c r="H4" s="1093">
        <f>I18</f>
        <v>7904531</v>
      </c>
      <c r="I4" s="1095"/>
      <c r="K4" s="1055"/>
    </row>
    <row r="5" spans="1:13" s="1051" customFormat="1" ht="20.100000000000001" customHeight="1" thickBot="1">
      <c r="B5" s="1096"/>
      <c r="C5" s="1097"/>
      <c r="D5" s="1109"/>
      <c r="E5" s="1098"/>
      <c r="F5" s="1109" t="s">
        <v>1941</v>
      </c>
      <c r="G5" s="1110"/>
      <c r="H5" s="1106">
        <f>IFERROR(H3/H4,0)</f>
        <v>1.6931286625354496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1939</v>
      </c>
      <c r="C8" s="2676"/>
      <c r="D8" s="2676"/>
      <c r="E8" s="2677"/>
      <c r="G8" s="2652" t="s">
        <v>1940</v>
      </c>
      <c r="H8" s="2653"/>
      <c r="I8" s="2654"/>
      <c r="K8" s="1057"/>
    </row>
    <row r="9" spans="1:13" ht="15" customHeight="1">
      <c r="A9" s="1046"/>
      <c r="B9" s="2673" t="s">
        <v>1973</v>
      </c>
      <c r="C9" s="2673"/>
      <c r="D9" s="2673"/>
      <c r="E9" s="1059">
        <f>G33</f>
        <v>5100000</v>
      </c>
      <c r="G9" s="2665" t="s">
        <v>1971</v>
      </c>
      <c r="H9" s="2665"/>
      <c r="I9" s="1060">
        <f>SUMIF(Application!M554:M565,"Loan, Tax-Exempt",Application!AM554:AM565)</f>
        <v>7904531</v>
      </c>
      <c r="K9" s="1061"/>
      <c r="M9" s="1062"/>
    </row>
    <row r="10" spans="1:13" ht="15" customHeight="1" thickBot="1">
      <c r="A10" s="1046"/>
      <c r="B10" s="2673" t="s">
        <v>1974</v>
      </c>
      <c r="C10" s="2673"/>
      <c r="D10" s="2673"/>
      <c r="E10" s="1060">
        <f>G47</f>
        <v>6083388.0000000009</v>
      </c>
      <c r="G10" s="2679" t="s">
        <v>1942</v>
      </c>
      <c r="H10" s="2679"/>
      <c r="I10" s="1140">
        <f>'Basis &amp; Credits'!AB78</f>
        <v>0</v>
      </c>
      <c r="M10" s="1062"/>
    </row>
    <row r="11" spans="1:13" ht="15" customHeight="1">
      <c r="A11" s="1046"/>
      <c r="B11" s="2666" t="s">
        <v>2262</v>
      </c>
      <c r="C11" s="2667"/>
      <c r="D11" s="2668"/>
      <c r="E11" s="1060">
        <f>SUM(E12,E13)</f>
        <v>160000</v>
      </c>
      <c r="G11" s="2664" t="s">
        <v>1982</v>
      </c>
      <c r="H11" s="2664"/>
      <c r="I11" s="1139">
        <f>I9+I10</f>
        <v>7904531</v>
      </c>
      <c r="M11" s="1062"/>
    </row>
    <row r="12" spans="1:13" ht="15" customHeight="1">
      <c r="A12" s="1063"/>
      <c r="B12" s="2674" t="s">
        <v>2264</v>
      </c>
      <c r="C12" s="2674"/>
      <c r="D12" s="2674"/>
      <c r="E12" s="1165">
        <f>G56</f>
        <v>0</v>
      </c>
      <c r="M12" s="1062"/>
    </row>
    <row r="13" spans="1:13" ht="15" customHeight="1">
      <c r="A13" s="1049"/>
      <c r="B13" s="2674" t="s">
        <v>2265</v>
      </c>
      <c r="C13" s="2674"/>
      <c r="D13" s="2674"/>
      <c r="E13" s="1165">
        <f>G65</f>
        <v>160000</v>
      </c>
      <c r="G13" s="2652" t="s">
        <v>2005</v>
      </c>
      <c r="H13" s="2653"/>
      <c r="I13" s="2654"/>
      <c r="M13" s="1062"/>
    </row>
    <row r="14" spans="1:13" ht="15" customHeight="1">
      <c r="A14" s="1049"/>
      <c r="B14" s="2666" t="s">
        <v>2263</v>
      </c>
      <c r="C14" s="2667"/>
      <c r="D14" s="2668"/>
      <c r="E14" s="1167">
        <f>MAX(E15,E16)+E17</f>
        <v>2040000</v>
      </c>
      <c r="G14" s="2665" t="s">
        <v>139</v>
      </c>
      <c r="H14" s="2665"/>
      <c r="I14" s="1064">
        <f>15%*(AND(G120="Yes",G122&lt;&gt;""))</f>
        <v>0</v>
      </c>
      <c r="M14" s="1062"/>
    </row>
    <row r="15" spans="1:13" ht="15" customHeight="1">
      <c r="A15" s="1049"/>
      <c r="B15" s="2649" t="s">
        <v>2269</v>
      </c>
      <c r="C15" s="2650"/>
      <c r="D15" s="2651"/>
      <c r="E15" s="1165">
        <f>G80</f>
        <v>0</v>
      </c>
      <c r="G15" s="1137" t="s">
        <v>1983</v>
      </c>
      <c r="H15" s="1137"/>
      <c r="I15" s="1064">
        <f>IF(Application!AJ1032&gt;0,10%,IF(Application!AJ1036&gt;0,5%,0))</f>
        <v>0</v>
      </c>
      <c r="M15" s="1062"/>
    </row>
    <row r="16" spans="1:13" ht="15" customHeight="1">
      <c r="A16" s="1049"/>
      <c r="B16" s="2649" t="s">
        <v>2268</v>
      </c>
      <c r="C16" s="2650"/>
      <c r="D16" s="2651"/>
      <c r="E16" s="1165">
        <f>G90</f>
        <v>0</v>
      </c>
      <c r="G16" s="2665" t="s">
        <v>1984</v>
      </c>
      <c r="H16" s="2665"/>
      <c r="I16" s="1064">
        <f>G132</f>
        <v>0</v>
      </c>
    </row>
    <row r="17" spans="1:21" ht="15" customHeight="1" thickBot="1">
      <c r="A17" s="1049"/>
      <c r="B17" s="2649" t="s">
        <v>2267</v>
      </c>
      <c r="C17" s="2650"/>
      <c r="D17" s="2651"/>
      <c r="E17" s="1165">
        <f>G115</f>
        <v>2040000</v>
      </c>
      <c r="G17" s="2665" t="s">
        <v>2277</v>
      </c>
      <c r="H17" s="2665"/>
      <c r="I17" s="1064">
        <f>IF(AND(G139="Yes",OR(G136,G137)),IF(G143&gt;15%,15%,G143),0)</f>
        <v>0</v>
      </c>
    </row>
    <row r="18" spans="1:21" ht="15" customHeight="1">
      <c r="A18" s="1046"/>
      <c r="B18" s="2678" t="s">
        <v>1938</v>
      </c>
      <c r="C18" s="2678"/>
      <c r="D18" s="2678"/>
      <c r="E18" s="1111">
        <f>SUM(E9:E11,E14)</f>
        <v>13383388</v>
      </c>
      <c r="G18" s="1138" t="s">
        <v>1972</v>
      </c>
      <c r="H18" s="1138"/>
      <c r="I18" s="1112">
        <f>I11-((I11*I14)+(I11*I15)+(I11*I16)+(I11*I17))</f>
        <v>7904531</v>
      </c>
      <c r="M18" s="1065">
        <f>SUM(Cdlac[Quantity])</f>
        <v>77</v>
      </c>
      <c r="O18" s="1084" t="s">
        <v>582</v>
      </c>
      <c r="P18" s="1044">
        <f>MATCH(Application!T189,Application!CB160:CB217,0)</f>
        <v>26</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2</v>
      </c>
      <c r="M20" s="1065">
        <f>Application!G718</f>
        <v>1</v>
      </c>
      <c r="N20" s="1071">
        <f>Application!AC718</f>
        <v>0.3</v>
      </c>
      <c r="O20" s="1071">
        <f>IF(Cdlac[[#This Row],[Quantity]]&gt;0,IF(Cdlac[[#This Row],[Federal]],30%,IF(AND(OR(NOT($G$38),$G$38=""),$G$43),40%,Cdlac[[#This Row],[iAMI]])),"")</f>
        <v>0.3</v>
      </c>
      <c r="P20" s="1065" cm="1">
        <f t="array" ref="P20">IF(Cdlac[[#This Row],[Quantity]]&gt;0,INDEX(TcacRents,$P$18,Cdlac[[#This Row],[Bedrooms]]+1)*Cdlac[[#This Row],[AMI]],"")</f>
        <v>688.19999999999993</v>
      </c>
      <c r="Q20" s="1164"/>
      <c r="R20" s="1065" cm="1">
        <f t="array" ref="R20">IF(Cdlac[[#This Row],[Quantity]]&gt;0,INDEX(HudFmrs,$P$18,Cdlac[[#This Row],[Bedrooms]]+1),"")</f>
        <v>1493</v>
      </c>
      <c r="S20" s="1065">
        <f>IF(Cdlac[[#This Row],[Quantity]]&gt;0,MAX(0,Cdlac[[#This Row],[Fair Market Rent]]-IF(AND($G$37,$G$38,$G$38&lt;&gt;"",NOT(Cdlac[[#This Row],[Federal]]),Cdlac[[#This Row],[Preservation Rent]]&lt;&gt;""),Cdlac[[#This Row],[Preservation Rent]],Cdlac[[#This Row],[Restricted Rent]])),"")</f>
        <v>804.80000000000007</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688.19999999999993</v>
      </c>
      <c r="Q21" s="1164"/>
      <c r="R21" s="1065" cm="1">
        <f t="array" ref="R21">IF(Cdlac[[#This Row],[Quantity]]&gt;0,INDEX(HudFmrs,$P$18,Cdlac[[#This Row],[Bedrooms]]+1),"")</f>
        <v>1493</v>
      </c>
      <c r="S21" s="1065">
        <f>IF(Cdlac[[#This Row],[Quantity]]&gt;0,MAX(0,Cdlac[[#This Row],[Fair Market Rent]]-IF(AND($G$37,$G$38,$G$38&lt;&gt;"",NOT(Cdlac[[#This Row],[Federal]]),Cdlac[[#This Row],[Preservation Rent]]&lt;&gt;""),Cdlac[[#This Row],[Preservation Rent]],Cdlac[[#This Row],[Restricted Rent]])),"")</f>
        <v>804.80000000000007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1986</v>
      </c>
      <c r="D22" s="2656" t="s">
        <v>1987</v>
      </c>
      <c r="E22" s="2656" t="s">
        <v>1988</v>
      </c>
      <c r="F22" s="2656" t="s">
        <v>2608</v>
      </c>
      <c r="G22" s="2656" t="s">
        <v>1985</v>
      </c>
      <c r="H22" s="1070"/>
      <c r="I22" s="1069"/>
      <c r="L22" s="1044">
        <f>IFERROR(MIN(4,MATCH(Application!B720,UnitSizes,0)-1),"")</f>
        <v>2</v>
      </c>
      <c r="M22" s="1065">
        <f>Application!G720</f>
        <v>1</v>
      </c>
      <c r="N22" s="1071">
        <f>Application!AC720</f>
        <v>0.5</v>
      </c>
      <c r="O22" s="1071">
        <f>IF(Cdlac[[#This Row],[Quantity]]&gt;0,IF(Cdlac[[#This Row],[Federal]],30%,IF(AND(OR(NOT($G$38),$G$38=""),$G$43),40%,Cdlac[[#This Row],[iAMI]])),"")</f>
        <v>0.5</v>
      </c>
      <c r="P22" s="1065" cm="1">
        <f t="array" ref="P22">IF(Cdlac[[#This Row],[Quantity]]&gt;0,INDEX(TcacRents,$P$18,Cdlac[[#This Row],[Bedrooms]]+1)*Cdlac[[#This Row],[AMI]],"")</f>
        <v>1147</v>
      </c>
      <c r="Q22" s="1164"/>
      <c r="R22" s="1065" cm="1">
        <f t="array" ref="R22">IF(Cdlac[[#This Row],[Quantity]]&gt;0,INDEX(HudFmrs,$P$18,Cdlac[[#This Row],[Bedrooms]]+1),"")</f>
        <v>1493</v>
      </c>
      <c r="S22" s="1065">
        <f>IF(Cdlac[[#This Row],[Quantity]]&gt;0,MAX(0,Cdlac[[#This Row],[Fair Market Rent]]-IF(AND($G$37,$G$38,$G$38&lt;&gt;"",NOT(Cdlac[[#This Row],[Federal]]),Cdlac[[#This Row],[Preservation Rent]]&lt;&gt;""),Cdlac[[#This Row],[Preservation Rent]],Cdlac[[#This Row],[Restricted Rent]])),"")</f>
        <v>346</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2</v>
      </c>
      <c r="M23" s="1065">
        <f>Application!G721</f>
        <v>3</v>
      </c>
      <c r="N23" s="1071">
        <f>Application!AC721</f>
        <v>0.5</v>
      </c>
      <c r="O23" s="1071">
        <f>IF(Cdlac[[#This Row],[Quantity]]&gt;0,IF(Cdlac[[#This Row],[Federal]],30%,IF(AND(OR(NOT($G$38),$G$38=""),$G$43),40%,Cdlac[[#This Row],[iAMI]])),"")</f>
        <v>0.5</v>
      </c>
      <c r="P23" s="1065" cm="1">
        <f t="array" ref="P23">IF(Cdlac[[#This Row],[Quantity]]&gt;0,INDEX(TcacRents,$P$18,Cdlac[[#This Row],[Bedrooms]]+1)*Cdlac[[#This Row],[AMI]],"")</f>
        <v>1147</v>
      </c>
      <c r="Q23" s="1164"/>
      <c r="R23" s="1065" cm="1">
        <f t="array" ref="R23">IF(Cdlac[[#This Row],[Quantity]]&gt;0,INDEX(HudFmrs,$P$18,Cdlac[[#This Row],[Bedrooms]]+1),"")</f>
        <v>1493</v>
      </c>
      <c r="S23" s="1065">
        <f>IF(Cdlac[[#This Row],[Quantity]]&gt;0,MAX(0,Cdlac[[#This Row],[Fair Market Rent]]-IF(AND($G$37,$G$38,$G$38&lt;&gt;"",NOT(Cdlac[[#This Row],[Federal]]),Cdlac[[#This Row],[Preservation Rent]]&lt;&gt;""),Cdlac[[#This Row],[Preservation Rent]],Cdlac[[#This Row],[Restricted Rent]])),"")</f>
        <v>346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8</v>
      </c>
      <c r="N24" s="1071">
        <f>Application!AC722</f>
        <v>0.6</v>
      </c>
      <c r="O24" s="1071">
        <f>IF(Cdlac[[#This Row],[Quantity]]&gt;0,IF(Cdlac[[#This Row],[Federal]],30%,IF(AND(OR(NOT($G$38),$G$38=""),$G$43),40%,Cdlac[[#This Row],[iAMI]])),"")</f>
        <v>0.6</v>
      </c>
      <c r="P24" s="1065" cm="1">
        <f t="array" ref="P24">IF(Cdlac[[#This Row],[Quantity]]&gt;0,INDEX(TcacRents,$P$18,Cdlac[[#This Row],[Bedrooms]]+1)*Cdlac[[#This Row],[AMI]],"")</f>
        <v>1376.3999999999999</v>
      </c>
      <c r="Q24" s="1164"/>
      <c r="R24" s="1065" cm="1">
        <f t="array" ref="R24">IF(Cdlac[[#This Row],[Quantity]]&gt;0,INDEX(HudFmrs,$P$18,Cdlac[[#This Row],[Bedrooms]]+1),"")</f>
        <v>1493</v>
      </c>
      <c r="S24" s="1065">
        <f>IF(Cdlac[[#This Row],[Quantity]]&gt;0,MAX(0,Cdlac[[#This Row],[Fair Market Rent]]-IF(AND($G$37,$G$38,$G$38&lt;&gt;"",NOT(Cdlac[[#This Row],[Federal]]),Cdlac[[#This Row],[Preservation Rent]]&lt;&gt;""),Cdlac[[#This Row],[Preservation Rent]],Cdlac[[#This Row],[Restricted Rent]])),"")</f>
        <v>116.60000000000014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f>IFERROR(MIN(4,MATCH(Application!B723,UnitSizes,0)-1),"")</f>
        <v>2</v>
      </c>
      <c r="M25" s="1065">
        <f>Application!G723</f>
        <v>17</v>
      </c>
      <c r="N25" s="1071">
        <f>Application!AC723</f>
        <v>0.6</v>
      </c>
      <c r="O25" s="1071">
        <f>IF(Cdlac[[#This Row],[Quantity]]&gt;0,IF(Cdlac[[#This Row],[Federal]],30%,IF(AND(OR(NOT($G$38),$G$38=""),$G$43),40%,Cdlac[[#This Row],[iAMI]])),"")</f>
        <v>0.6</v>
      </c>
      <c r="P25" s="1065" cm="1">
        <f t="array" ref="P25">IF(Cdlac[[#This Row],[Quantity]]&gt;0,INDEX(TcacRents,$P$18,Cdlac[[#This Row],[Bedrooms]]+1)*Cdlac[[#This Row],[AMI]],"")</f>
        <v>1376.3999999999999</v>
      </c>
      <c r="Q25" s="1164"/>
      <c r="R25" s="1065" cm="1">
        <f t="array" ref="R25">IF(Cdlac[[#This Row],[Quantity]]&gt;0,INDEX(HudFmrs,$P$18,Cdlac[[#This Row],[Bedrooms]]+1),"")</f>
        <v>1493</v>
      </c>
      <c r="S25" s="1065">
        <f>IF(Cdlac[[#This Row],[Quantity]]&gt;0,MAX(0,Cdlac[[#This Row],[Fair Market Rent]]-IF(AND($G$37,$G$38,$G$38&lt;&gt;"",NOT(Cdlac[[#This Row],[Federal]]),Cdlac[[#This Row],[Preservation Rent]]&lt;&gt;""),Cdlac[[#This Row],[Preservation Rent]],Cdlac[[#This Row],[Restricted Rent]])),"")</f>
        <v>116.60000000000014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33</v>
      </c>
      <c r="F26" s="1075">
        <f>SUM(E26:E28)-SUM(F27:F28)</f>
        <v>54</v>
      </c>
      <c r="G26" s="1072">
        <f>D26*F26</f>
        <v>67.5</v>
      </c>
      <c r="H26" s="1074"/>
      <c r="I26" s="1074"/>
      <c r="L26" s="1044">
        <f>IFERROR(MIN(4,MATCH(Application!B724,UnitSizes,0)-1),"")</f>
        <v>3</v>
      </c>
      <c r="M26" s="1065">
        <f>Application!G724</f>
        <v>2</v>
      </c>
      <c r="N26" s="1071">
        <f>Application!AC724</f>
        <v>0.3</v>
      </c>
      <c r="O26" s="1071">
        <f>IF(Cdlac[[#This Row],[Quantity]]&gt;0,IF(Cdlac[[#This Row],[Federal]],30%,IF(AND(OR(NOT($G$38),$G$38=""),$G$43),40%,Cdlac[[#This Row],[iAMI]])),"")</f>
        <v>0.3</v>
      </c>
      <c r="P26" s="1065" cm="1">
        <f t="array" ref="P26">IF(Cdlac[[#This Row],[Quantity]]&gt;0,INDEX(TcacRents,$P$18,Cdlac[[#This Row],[Bedrooms]]+1)*Cdlac[[#This Row],[AMI]],"")</f>
        <v>795.6</v>
      </c>
      <c r="Q26" s="1164"/>
      <c r="R26" s="1065" cm="1">
        <f t="array" ref="R26">IF(Cdlac[[#This Row],[Quantity]]&gt;0,INDEX(HudFmrs,$P$18,Cdlac[[#This Row],[Bedrooms]]+1),"")</f>
        <v>2092</v>
      </c>
      <c r="S26" s="1065">
        <f>IF(Cdlac[[#This Row],[Quantity]]&gt;0,MAX(0,Cdlac[[#This Row],[Fair Market Rent]]-IF(AND($G$37,$G$38,$G$38&lt;&gt;"",NOT(Cdlac[[#This Row],[Federal]]),Cdlac[[#This Row],[Preservation Rent]]&lt;&gt;""),Cdlac[[#This Row],[Preservation Rent]],Cdlac[[#This Row],[Restricted Rent]])),"")</f>
        <v>1296.4000000000001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44</v>
      </c>
      <c r="F27" s="1075">
        <f>MIN(E27,ROUNDDOWN(E29*30%,0))</f>
        <v>23</v>
      </c>
      <c r="G27" s="1072">
        <f>D27*F27</f>
        <v>34.5</v>
      </c>
      <c r="H27" s="1074"/>
      <c r="I27" s="1074"/>
      <c r="L27" s="1044">
        <f>IFERROR(MIN(4,MATCH(Application!B725,UnitSizes,0)-1),"")</f>
        <v>3</v>
      </c>
      <c r="M27" s="1065">
        <f>Application!G725</f>
        <v>2</v>
      </c>
      <c r="N27" s="1071">
        <f>Application!AC725</f>
        <v>0.3</v>
      </c>
      <c r="O27" s="1071">
        <f>IF(Cdlac[[#This Row],[Quantity]]&gt;0,IF(Cdlac[[#This Row],[Federal]],30%,IF(AND(OR(NOT($G$38),$G$38=""),$G$43),40%,Cdlac[[#This Row],[iAMI]])),"")</f>
        <v>0.3</v>
      </c>
      <c r="P27" s="1065" cm="1">
        <f t="array" ref="P27">IF(Cdlac[[#This Row],[Quantity]]&gt;0,INDEX(TcacRents,$P$18,Cdlac[[#This Row],[Bedrooms]]+1)*Cdlac[[#This Row],[AMI]],"")</f>
        <v>795.6</v>
      </c>
      <c r="Q27" s="1164"/>
      <c r="R27" s="1065" cm="1">
        <f t="array" ref="R27">IF(Cdlac[[#This Row],[Quantity]]&gt;0,INDEX(HudFmrs,$P$18,Cdlac[[#This Row],[Bedrooms]]+1),"")</f>
        <v>2092</v>
      </c>
      <c r="S27" s="1065">
        <f>IF(Cdlac[[#This Row],[Quantity]]&gt;0,MAX(0,Cdlac[[#This Row],[Fair Market Rent]]-IF(AND($G$37,$G$38,$G$38&lt;&gt;"",NOT(Cdlac[[#This Row],[Federal]]),Cdlac[[#This Row],[Preservation Rent]]&lt;&gt;""),Cdlac[[#This Row],[Preservation Rent]],Cdlac[[#This Row],[Restricted Rent]])),"")</f>
        <v>1296.4000000000001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0.5</v>
      </c>
      <c r="O28" s="1071">
        <f>IF(Cdlac[[#This Row],[Quantity]]&gt;0,IF(Cdlac[[#This Row],[Federal]],30%,IF(AND(OR(NOT($G$38),$G$38=""),$G$43),40%,Cdlac[[#This Row],[iAMI]])),"")</f>
        <v>0.5</v>
      </c>
      <c r="P28" s="1065" cm="1">
        <f t="array" ref="P28">IF(Cdlac[[#This Row],[Quantity]]&gt;0,INDEX(TcacRents,$P$18,Cdlac[[#This Row],[Bedrooms]]+1)*Cdlac[[#This Row],[AMI]],"")</f>
        <v>1326</v>
      </c>
      <c r="Q28" s="1164"/>
      <c r="R28" s="1065" cm="1">
        <f t="array" ref="R28">IF(Cdlac[[#This Row],[Quantity]]&gt;0,INDEX(HudFmrs,$P$18,Cdlac[[#This Row],[Bedrooms]]+1),"")</f>
        <v>2092</v>
      </c>
      <c r="S28" s="1065">
        <f>IF(Cdlac[[#This Row],[Quantity]]&gt;0,MAX(0,Cdlac[[#This Row],[Fair Market Rent]]-IF(AND($G$37,$G$38,$G$38&lt;&gt;"",NOT(Cdlac[[#This Row],[Federal]]),Cdlac[[#This Row],[Preservation Rent]]&lt;&gt;""),Cdlac[[#This Row],[Preservation Rent]],Cdlac[[#This Row],[Restricted Rent]])),"")</f>
        <v>766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8" t="s">
        <v>1586</v>
      </c>
      <c r="D29" s="2659"/>
      <c r="E29" s="1089">
        <f>SUM(E24:E28)</f>
        <v>77</v>
      </c>
      <c r="F29" s="1089">
        <f>SUM(F24:F28)</f>
        <v>77</v>
      </c>
      <c r="G29" s="1090">
        <f>SUMPRODUCT(D24:D28,F24:F28)</f>
        <v>102</v>
      </c>
      <c r="H29" s="1074"/>
      <c r="I29" s="1074"/>
      <c r="L29" s="1044">
        <f>IFERROR(MIN(4,MATCH(Application!B727,UnitSizes,0)-1),"")</f>
        <v>3</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1326</v>
      </c>
      <c r="Q29" s="1164"/>
      <c r="R29" s="1065" cm="1">
        <f t="array" ref="R29">IF(Cdlac[[#This Row],[Quantity]]&gt;0,INDEX(HudFmrs,$P$18,Cdlac[[#This Row],[Bedrooms]]+1),"")</f>
        <v>2092</v>
      </c>
      <c r="S29" s="1065">
        <f>IF(Cdlac[[#This Row],[Quantity]]&gt;0,MAX(0,Cdlac[[#This Row],[Fair Market Rent]]-IF(AND($G$37,$G$38,$G$38&lt;&gt;"",NOT(Cdlac[[#This Row],[Federal]]),Cdlac[[#This Row],[Preservation Rent]]&lt;&gt;""),Cdlac[[#This Row],[Preservation Rent]],Cdlac[[#This Row],[Restricted Rent]])),"")</f>
        <v>766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16</v>
      </c>
      <c r="N30" s="1071">
        <f>Application!AC728</f>
        <v>0.6</v>
      </c>
      <c r="O30" s="1071">
        <f>IF(Cdlac[[#This Row],[Quantity]]&gt;0,IF(Cdlac[[#This Row],[Federal]],30%,IF(AND(OR(NOT($G$38),$G$38=""),$G$43),40%,Cdlac[[#This Row],[iAMI]])),"")</f>
        <v>0.6</v>
      </c>
      <c r="P30" s="1065" cm="1">
        <f t="array" ref="P30">IF(Cdlac[[#This Row],[Quantity]]&gt;0,INDEX(TcacRents,$P$18,Cdlac[[#This Row],[Bedrooms]]+1)*Cdlac[[#This Row],[AMI]],"")</f>
        <v>1591.2</v>
      </c>
      <c r="Q30" s="1164"/>
      <c r="R30" s="1065" cm="1">
        <f t="array" ref="R30">IF(Cdlac[[#This Row],[Quantity]]&gt;0,INDEX(HudFmrs,$P$18,Cdlac[[#This Row],[Bedrooms]]+1),"")</f>
        <v>2092</v>
      </c>
      <c r="S30" s="1065">
        <f>IF(Cdlac[[#This Row],[Quantity]]&gt;0,MAX(0,Cdlac[[#This Row],[Fair Market Rent]]-IF(AND($G$37,$G$38,$G$38&lt;&gt;"",NOT(Cdlac[[#This Row],[Federal]]),Cdlac[[#This Row],[Preservation Rent]]&lt;&gt;""),Cdlac[[#This Row],[Preservation Rent]],Cdlac[[#This Row],[Restricted Rent]])),"")</f>
        <v>500.79999999999995</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102</v>
      </c>
      <c r="H31" s="1074"/>
      <c r="I31" s="1074"/>
      <c r="L31" s="1044">
        <f>IFERROR(MIN(4,MATCH(Application!B729,UnitSizes,0)-1),"")</f>
        <v>3</v>
      </c>
      <c r="M31" s="1065">
        <f>Application!G729</f>
        <v>20</v>
      </c>
      <c r="N31" s="1071">
        <f>Application!AC729</f>
        <v>0.6</v>
      </c>
      <c r="O31" s="1071">
        <f>IF(Cdlac[[#This Row],[Quantity]]&gt;0,IF(Cdlac[[#This Row],[Federal]],30%,IF(AND(OR(NOT($G$38),$G$38=""),$G$43),40%,Cdlac[[#This Row],[iAMI]])),"")</f>
        <v>0.6</v>
      </c>
      <c r="P31" s="1065" cm="1">
        <f t="array" ref="P31">IF(Cdlac[[#This Row],[Quantity]]&gt;0,INDEX(TcacRents,$P$18,Cdlac[[#This Row],[Bedrooms]]+1)*Cdlac[[#This Row],[AMI]],"")</f>
        <v>1591.2</v>
      </c>
      <c r="Q31" s="1164"/>
      <c r="R31" s="1065" cm="1">
        <f t="array" ref="R31">IF(Cdlac[[#This Row],[Quantity]]&gt;0,INDEX(HudFmrs,$P$18,Cdlac[[#This Row],[Bedrooms]]+1),"")</f>
        <v>2092</v>
      </c>
      <c r="S31" s="1065">
        <f>IF(Cdlac[[#This Row],[Quantity]]&gt;0,MAX(0,Cdlac[[#This Row],[Fair Market Rent]]-IF(AND($G$37,$G$38,$G$38&lt;&gt;"",NOT(Cdlac[[#This Row],[Federal]]),Cdlac[[#This Row],[Preservation Rent]]&lt;&gt;""),Cdlac[[#This Row],[Preservation Rent]],Cdlac[[#This Row],[Restricted Rent]])),"")</f>
        <v>500.79999999999995</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5100000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0.55844155844155841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33796.600000000006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6083388.0000000009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8</v>
      </c>
    </row>
    <row r="61" spans="2:21" ht="15" customHeight="1">
      <c r="E61" s="1117" t="s">
        <v>1994</v>
      </c>
      <c r="G61" s="1079">
        <f>ROUNDDOWN(E29*50%,0)</f>
        <v>38</v>
      </c>
    </row>
    <row r="62" spans="2:21" ht="15" customHeight="1">
      <c r="E62" s="1117"/>
      <c r="G62" s="1079"/>
    </row>
    <row r="63" spans="2:21" ht="15" customHeight="1">
      <c r="E63" s="1117" t="s">
        <v>1954</v>
      </c>
      <c r="G63" s="1114">
        <f>MIN(G60:G61)</f>
        <v>8</v>
      </c>
    </row>
    <row r="64" spans="2:21" ht="15" customHeight="1">
      <c r="E64" s="1117" t="s">
        <v>1944</v>
      </c>
      <c r="F64" s="1113" t="s">
        <v>1992</v>
      </c>
      <c r="G64" s="1124">
        <v>20000</v>
      </c>
    </row>
    <row r="65" spans="2:14" ht="15" customHeight="1">
      <c r="E65" s="1118" t="s">
        <v>1976</v>
      </c>
      <c r="F65" s="1046"/>
      <c r="G65" s="1123">
        <f>G63*G64</f>
        <v>160000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row>
    <row r="70" spans="2:14" ht="15" customHeight="1">
      <c r="C70" s="1077" t="s">
        <v>1981</v>
      </c>
      <c r="G70" s="1081" t="str">
        <f>IF(Application!D211="Large Family","Yes","No")</f>
        <v>No</v>
      </c>
    </row>
    <row r="71" spans="2:14" ht="15" customHeight="1" thickBot="1">
      <c r="C71" s="1077" t="s">
        <v>1967</v>
      </c>
      <c r="G71" s="1043"/>
    </row>
    <row r="72" spans="2:14" ht="15" customHeight="1">
      <c r="C72" s="1077" t="s">
        <v>1968</v>
      </c>
      <c r="G72" s="1044" t="str">
        <f>Application!T193</f>
        <v>Moderate Resource</v>
      </c>
      <c r="L72" s="2669" t="s">
        <v>1969</v>
      </c>
      <c r="M72" s="2670"/>
      <c r="N72" s="1131">
        <v>30000</v>
      </c>
    </row>
    <row r="73" spans="2:14" ht="15" customHeight="1">
      <c r="C73" s="2671" t="s">
        <v>2261</v>
      </c>
      <c r="D73" s="2671"/>
      <c r="E73" s="2671"/>
      <c r="F73" s="2671"/>
      <c r="G73" s="1043"/>
      <c r="L73" s="2680" t="s">
        <v>1937</v>
      </c>
      <c r="M73" s="2681"/>
      <c r="N73" s="1132">
        <v>20000</v>
      </c>
    </row>
    <row r="74" spans="2:14" ht="15" customHeight="1" thickBot="1">
      <c r="C74" s="2671"/>
      <c r="D74" s="2671"/>
      <c r="E74" s="2671"/>
      <c r="F74" s="2671"/>
      <c r="L74" s="2682" t="s">
        <v>1970</v>
      </c>
      <c r="M74" s="2683"/>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10000</v>
      </c>
    </row>
    <row r="79" spans="2:14" ht="15" customHeight="1">
      <c r="E79" s="1084" t="str">
        <f>E96</f>
        <v>Bedroom-Adjusted Low-Income Units</v>
      </c>
      <c r="F79" s="1113" t="s">
        <v>1992</v>
      </c>
      <c r="G79" s="1114">
        <f>G29</f>
        <v>102</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102</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102</v>
      </c>
    </row>
    <row r="97" spans="2:14" ht="15" customHeight="1">
      <c r="E97" s="1118" t="s">
        <v>1961</v>
      </c>
      <c r="F97" s="1046"/>
      <c r="G97" s="1123">
        <f>G94*G95*G96</f>
        <v>1632000</v>
      </c>
      <c r="L97" s="1127" t="str">
        <f>'Points System'!H638</f>
        <v>(i)</v>
      </c>
      <c r="M97" s="2688" t="s">
        <v>1405</v>
      </c>
      <c r="N97" s="2689"/>
    </row>
    <row r="98" spans="2:14" ht="15" customHeight="1">
      <c r="C98" s="1077"/>
      <c r="G98" s="1114"/>
      <c r="L98" s="1128" t="str">
        <f>'Points System'!H650</f>
        <v>(ii)</v>
      </c>
      <c r="M98" s="2684" t="s">
        <v>1956</v>
      </c>
      <c r="N98" s="2685"/>
    </row>
    <row r="99" spans="2:14" ht="15" customHeight="1">
      <c r="E99" s="1084" t="s">
        <v>1997</v>
      </c>
      <c r="G99" s="1126">
        <f>COUNTIFS(L97:L104,"(i)")</f>
        <v>1</v>
      </c>
      <c r="L99" s="1128" t="str">
        <f>'Points System'!H685</f>
        <v>(ii)</v>
      </c>
      <c r="M99" s="2684" t="s">
        <v>1957</v>
      </c>
      <c r="N99" s="2685"/>
    </row>
    <row r="100" spans="2:14" ht="15" customHeight="1">
      <c r="E100" s="1084" t="s">
        <v>1944</v>
      </c>
      <c r="F100" s="1113" t="s">
        <v>1992</v>
      </c>
      <c r="G100" s="1124">
        <v>4000</v>
      </c>
      <c r="L100" s="1128" t="str">
        <f>IF(OR('Points System'!H709="(ii)",'Points System'!H709="(i)"),"(i)","N/A")</f>
        <v>N/A</v>
      </c>
      <c r="M100" s="2684" t="s">
        <v>1958</v>
      </c>
      <c r="N100" s="2685"/>
    </row>
    <row r="101" spans="2:14" ht="15" customHeight="1">
      <c r="E101" s="1118" t="s">
        <v>1962</v>
      </c>
      <c r="F101" s="1046"/>
      <c r="G101" s="1123">
        <f>G96*G99*G100</f>
        <v>408000</v>
      </c>
      <c r="L101" s="1129" t="str">
        <f>'Points System'!H723</f>
        <v>N/A</v>
      </c>
      <c r="M101" s="2684" t="s">
        <v>1431</v>
      </c>
      <c r="N101" s="2685"/>
    </row>
    <row r="102" spans="2:14" ht="15" customHeight="1">
      <c r="L102" s="1128" t="str">
        <f>'Points System'!H735</f>
        <v>N/A</v>
      </c>
      <c r="M102" s="2684" t="s">
        <v>1959</v>
      </c>
      <c r="N102" s="2685"/>
    </row>
    <row r="103" spans="2:14" ht="15" customHeight="1">
      <c r="C103" s="1080" t="s">
        <v>1964</v>
      </c>
      <c r="L103" s="1128" t="str">
        <f>'Points System'!H751</f>
        <v>(ii)</v>
      </c>
      <c r="M103" s="2684" t="s">
        <v>1960</v>
      </c>
      <c r="N103" s="2685"/>
    </row>
    <row r="104" spans="2:14" ht="15" customHeight="1" thickBot="1">
      <c r="C104" s="1077" t="s">
        <v>1965</v>
      </c>
      <c r="G104" s="1043"/>
      <c r="L104" s="1130" t="str">
        <f>'Points System'!H763</f>
        <v>(ii)</v>
      </c>
      <c r="M104" s="2686" t="s">
        <v>1434</v>
      </c>
      <c r="N104" s="2687"/>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102</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2271</v>
      </c>
      <c r="G115" s="1123">
        <f>G113+G101+G97</f>
        <v>2040000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2226</v>
      </c>
      <c r="D119" s="2660"/>
      <c r="E119" s="2660"/>
      <c r="F119" s="2660"/>
    </row>
    <row r="120" spans="2:9" ht="15" customHeight="1">
      <c r="C120" s="2660"/>
      <c r="D120" s="2660"/>
      <c r="E120" s="2660"/>
      <c r="F120" s="2660"/>
      <c r="G120" s="1043"/>
    </row>
    <row r="121" spans="2:9" ht="15" customHeight="1"/>
    <row r="122" spans="2:9" ht="15" customHeight="1">
      <c r="C122" s="1044" t="s">
        <v>2228</v>
      </c>
      <c r="G122" s="2662"/>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Mono</v>
      </c>
    </row>
    <row r="129" spans="2:9">
      <c r="E129" s="1084"/>
      <c r="G129" s="1078"/>
    </row>
    <row r="130" spans="2:9">
      <c r="E130" s="1084" t="str">
        <f>"2-Bedroom "&amp;G128&amp;" County Basis Limit"</f>
        <v>2-Bedroom Mono County Basis Limit</v>
      </c>
      <c r="G130" s="1078">
        <f>Application!R988</f>
        <v>489600</v>
      </c>
    </row>
    <row r="131" spans="2:9">
      <c r="E131" s="1084" t="s">
        <v>2000</v>
      </c>
      <c r="G131" s="1078">
        <f>MEDIAN((Application!CU160:CU217))</f>
        <v>489600</v>
      </c>
    </row>
    <row r="132" spans="2:9" ht="15">
      <c r="D132" s="1046"/>
      <c r="E132" s="1118" t="s">
        <v>2002</v>
      </c>
      <c r="F132" s="1134"/>
      <c r="G132" s="1135">
        <f>((G130-G131)/G131)*0.25</f>
        <v>0</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1</v>
      </c>
    </row>
    <row r="138" spans="2:9">
      <c r="C138" s="2655" t="s">
        <v>2274</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1185679.6499999999</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2 Bedrooms</v>
      </c>
      <c r="B4" s="1082">
        <f>Application!G718</f>
        <v>1</v>
      </c>
      <c r="C4" s="1162"/>
      <c r="D4" s="428">
        <f>Application!O718</f>
        <v>460</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3</v>
      </c>
      <c r="C5" s="1162"/>
      <c r="D5" s="428">
        <f>Application!O719</f>
        <v>455</v>
      </c>
      <c r="E5" s="429"/>
      <c r="F5" s="1083"/>
      <c r="G5" s="428">
        <f t="shared" ref="G5:G38" si="2">F5*B5</f>
        <v>0</v>
      </c>
      <c r="H5" s="429"/>
      <c r="I5" s="428" t="str">
        <f t="shared" si="0"/>
        <v/>
      </c>
      <c r="J5" s="428" t="str">
        <f t="shared" si="1"/>
        <v/>
      </c>
      <c r="K5" s="204"/>
      <c r="L5" s="305"/>
    </row>
    <row r="6" spans="1:12">
      <c r="A6" s="428" t="str">
        <f>Application!B720</f>
        <v>2 Bedrooms</v>
      </c>
      <c r="B6" s="1082">
        <f>Application!G720</f>
        <v>1</v>
      </c>
      <c r="C6" s="1162"/>
      <c r="D6" s="428">
        <f>Application!O720</f>
        <v>863</v>
      </c>
      <c r="E6" s="429"/>
      <c r="F6" s="1083"/>
      <c r="G6" s="428">
        <f t="shared" si="2"/>
        <v>0</v>
      </c>
      <c r="H6" s="429"/>
      <c r="I6" s="428" t="str">
        <f t="shared" si="0"/>
        <v/>
      </c>
      <c r="J6" s="428" t="str">
        <f t="shared" si="1"/>
        <v/>
      </c>
      <c r="K6" s="204"/>
      <c r="L6" s="305"/>
    </row>
    <row r="7" spans="1:12">
      <c r="A7" s="428" t="str">
        <f>Application!B721</f>
        <v>2 Bedrooms</v>
      </c>
      <c r="B7" s="1082">
        <f>Application!G721</f>
        <v>3</v>
      </c>
      <c r="C7" s="1162"/>
      <c r="D7" s="428">
        <f>Application!O721</f>
        <v>860</v>
      </c>
      <c r="E7" s="429"/>
      <c r="F7" s="1083"/>
      <c r="G7" s="428">
        <f t="shared" si="2"/>
        <v>0</v>
      </c>
      <c r="H7" s="429"/>
      <c r="I7" s="428" t="str">
        <f t="shared" si="0"/>
        <v/>
      </c>
      <c r="J7" s="428" t="str">
        <f t="shared" si="1"/>
        <v/>
      </c>
      <c r="K7" s="204"/>
      <c r="L7" s="305"/>
    </row>
    <row r="8" spans="1:12">
      <c r="A8" s="428" t="str">
        <f>Application!B722</f>
        <v>2 Bedrooms</v>
      </c>
      <c r="B8" s="1082">
        <f>Application!G722</f>
        <v>8</v>
      </c>
      <c r="C8" s="1162"/>
      <c r="D8" s="428">
        <f>Application!O722</f>
        <v>1083</v>
      </c>
      <c r="E8" s="429"/>
      <c r="F8" s="1083"/>
      <c r="G8" s="428">
        <f t="shared" si="2"/>
        <v>0</v>
      </c>
      <c r="H8" s="429"/>
      <c r="I8" s="428" t="str">
        <f t="shared" si="0"/>
        <v/>
      </c>
      <c r="J8" s="428" t="str">
        <f t="shared" si="1"/>
        <v/>
      </c>
      <c r="K8" s="204"/>
      <c r="L8" s="305"/>
    </row>
    <row r="9" spans="1:12">
      <c r="A9" s="428" t="str">
        <f>Application!B723</f>
        <v>2 Bedrooms</v>
      </c>
      <c r="B9" s="1082">
        <f>Application!G723</f>
        <v>17</v>
      </c>
      <c r="C9" s="1162"/>
      <c r="D9" s="428">
        <f>Application!O723</f>
        <v>1082</v>
      </c>
      <c r="E9" s="429"/>
      <c r="F9" s="1083"/>
      <c r="G9" s="428">
        <f t="shared" si="2"/>
        <v>0</v>
      </c>
      <c r="H9" s="429"/>
      <c r="I9" s="428" t="str">
        <f t="shared" si="0"/>
        <v/>
      </c>
      <c r="J9" s="428" t="str">
        <f t="shared" si="1"/>
        <v/>
      </c>
      <c r="K9" s="204"/>
      <c r="L9" s="305"/>
    </row>
    <row r="10" spans="1:12">
      <c r="A10" s="428" t="str">
        <f>Application!B724</f>
        <v>3 Bedrooms</v>
      </c>
      <c r="B10" s="1082">
        <f>Application!G724</f>
        <v>2</v>
      </c>
      <c r="C10" s="1162"/>
      <c r="D10" s="428">
        <f>Application!O724</f>
        <v>517</v>
      </c>
      <c r="E10" s="429"/>
      <c r="F10" s="1083"/>
      <c r="G10" s="428">
        <f t="shared" si="2"/>
        <v>0</v>
      </c>
      <c r="H10" s="429"/>
      <c r="I10" s="428" t="str">
        <f t="shared" si="0"/>
        <v/>
      </c>
      <c r="J10" s="428" t="str">
        <f t="shared" si="1"/>
        <v/>
      </c>
      <c r="K10" s="204"/>
      <c r="L10" s="305"/>
    </row>
    <row r="11" spans="1:12">
      <c r="A11" s="428" t="str">
        <f>Application!B725</f>
        <v>3 Bedrooms</v>
      </c>
      <c r="B11" s="1082">
        <f>Application!G725</f>
        <v>2</v>
      </c>
      <c r="C11" s="1162"/>
      <c r="D11" s="428">
        <f>Application!O725</f>
        <v>513</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984</v>
      </c>
      <c r="E12" s="429"/>
      <c r="F12" s="1083"/>
      <c r="G12" s="428">
        <f t="shared" si="2"/>
        <v>0</v>
      </c>
      <c r="H12" s="429"/>
      <c r="I12" s="428" t="str">
        <f t="shared" si="0"/>
        <v/>
      </c>
      <c r="J12" s="428" t="str">
        <f t="shared" si="1"/>
        <v/>
      </c>
      <c r="K12" s="204"/>
      <c r="L12" s="305"/>
    </row>
    <row r="13" spans="1:12">
      <c r="A13" s="428" t="str">
        <f>Application!B727</f>
        <v>3 Bedrooms</v>
      </c>
      <c r="B13" s="1082">
        <f>Application!G727</f>
        <v>2</v>
      </c>
      <c r="C13" s="1162"/>
      <c r="D13" s="428">
        <f>Application!O727</f>
        <v>984</v>
      </c>
      <c r="E13" s="429"/>
      <c r="F13" s="1083"/>
      <c r="G13" s="428">
        <f t="shared" si="2"/>
        <v>0</v>
      </c>
      <c r="H13" s="429"/>
      <c r="I13" s="428" t="str">
        <f t="shared" si="0"/>
        <v/>
      </c>
      <c r="J13" s="428" t="str">
        <f t="shared" si="1"/>
        <v/>
      </c>
      <c r="K13" s="204"/>
      <c r="L13" s="305"/>
    </row>
    <row r="14" spans="1:12">
      <c r="A14" s="428" t="str">
        <f>Application!B728</f>
        <v>3 Bedrooms</v>
      </c>
      <c r="B14" s="1082">
        <f>Application!G728</f>
        <v>16</v>
      </c>
      <c r="C14" s="1162"/>
      <c r="D14" s="428">
        <f>Application!O728</f>
        <v>1239</v>
      </c>
      <c r="E14" s="429"/>
      <c r="F14" s="1083"/>
      <c r="G14" s="428">
        <f t="shared" si="2"/>
        <v>0</v>
      </c>
      <c r="H14" s="429"/>
      <c r="I14" s="428" t="str">
        <f t="shared" si="0"/>
        <v/>
      </c>
      <c r="J14" s="428" t="str">
        <f t="shared" si="1"/>
        <v/>
      </c>
      <c r="K14" s="204"/>
      <c r="L14" s="305"/>
    </row>
    <row r="15" spans="1:12">
      <c r="A15" s="428" t="str">
        <f>Application!B729</f>
        <v>3 Bedrooms</v>
      </c>
      <c r="B15" s="1082">
        <f>Application!G729</f>
        <v>20</v>
      </c>
      <c r="C15" s="1162"/>
      <c r="D15" s="428">
        <f>Application!O729</f>
        <v>1239</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82926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91" t="s">
        <v>2495</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2257</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workbookViewId="0">
      <selection activeCell="AA63" sqref="AA6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995112</v>
      </c>
      <c r="G4" s="219">
        <f>E4*$C$4</f>
        <v>1019989.7999999999</v>
      </c>
      <c r="I4" s="219">
        <f>G4*$C$4</f>
        <v>1045489.5449999998</v>
      </c>
      <c r="K4" s="219">
        <f>I4*$C$4</f>
        <v>1071626.7836249997</v>
      </c>
      <c r="M4" s="219">
        <f>K4*$C$4</f>
        <v>1098417.4532156247</v>
      </c>
      <c r="O4" s="219">
        <f>M4*$C$4</f>
        <v>1125877.8895460153</v>
      </c>
      <c r="Q4" s="219">
        <f>O4*$C$4</f>
        <v>1154024.8367846655</v>
      </c>
      <c r="S4" s="219">
        <f>Q4*$C$4</f>
        <v>1182875.4577042819</v>
      </c>
      <c r="U4" s="219">
        <f>S4*$C$4</f>
        <v>1212447.3441468889</v>
      </c>
      <c r="W4" s="219">
        <f>U4*$C$4</f>
        <v>1242758.527750561</v>
      </c>
      <c r="Y4" s="219">
        <f>W4*$C$4</f>
        <v>1273827.490944325</v>
      </c>
      <c r="AA4" s="219">
        <f>Y4*$C$4</f>
        <v>1305673.178217933</v>
      </c>
      <c r="AC4" s="219">
        <f>AA4*$C$4</f>
        <v>1338315.0076733814</v>
      </c>
      <c r="AE4" s="219">
        <f>AC4*$C$4</f>
        <v>1371772.8828652159</v>
      </c>
      <c r="AG4" s="219">
        <f>AE4*$C$4</f>
        <v>1406067.2049368462</v>
      </c>
    </row>
    <row r="5" spans="1:34" s="210" customFormat="1" ht="14.25">
      <c r="B5" s="210" t="s">
        <v>838</v>
      </c>
      <c r="C5" s="238">
        <f>IF(Application!$D$211="Special Needs",(((0.1*Application!$T$212)+(0.05*(1-Application!$T$212)))),0.05)</f>
        <v>0.05</v>
      </c>
      <c r="E5" s="221">
        <f>-E4*$C$5</f>
        <v>-49755.600000000006</v>
      </c>
      <c r="F5" s="221"/>
      <c r="G5" s="221">
        <f>-G4*$C$5</f>
        <v>-50999.49</v>
      </c>
      <c r="H5" s="221"/>
      <c r="I5" s="221">
        <f>-I4*$C$5</f>
        <v>-52274.477249999996</v>
      </c>
      <c r="J5" s="221"/>
      <c r="K5" s="221">
        <f>-K4*$C$5</f>
        <v>-53581.33918124999</v>
      </c>
      <c r="L5" s="221"/>
      <c r="M5" s="221">
        <f>-M4*$C$5</f>
        <v>-54920.872660781235</v>
      </c>
      <c r="N5" s="221"/>
      <c r="O5" s="221">
        <f>-O4*$C$5</f>
        <v>-56293.894477300768</v>
      </c>
      <c r="P5" s="221"/>
      <c r="Q5" s="221">
        <f>-Q4*$C$5</f>
        <v>-57701.241839233277</v>
      </c>
      <c r="R5" s="221"/>
      <c r="S5" s="221">
        <f>-S4*$C$5</f>
        <v>-59143.772885214101</v>
      </c>
      <c r="T5" s="221"/>
      <c r="U5" s="221">
        <f>-U4*$C$5</f>
        <v>-60622.367207344447</v>
      </c>
      <c r="V5" s="221"/>
      <c r="W5" s="221">
        <f>-W4*$C$5</f>
        <v>-62137.926387528052</v>
      </c>
      <c r="X5" s="221"/>
      <c r="Y5" s="221">
        <f>-Y4*$C$5</f>
        <v>-63691.374547216255</v>
      </c>
      <c r="Z5" s="221"/>
      <c r="AA5" s="221">
        <f>-AA4*$C$5</f>
        <v>-65283.658910896658</v>
      </c>
      <c r="AB5" s="221"/>
      <c r="AC5" s="221">
        <f>-AC4*$C$5</f>
        <v>-66915.750383669074</v>
      </c>
      <c r="AD5" s="221"/>
      <c r="AE5" s="221">
        <f>-AE4*$C$5</f>
        <v>-68588.644143260797</v>
      </c>
      <c r="AF5" s="221"/>
      <c r="AG5" s="221">
        <f>-AG4*$C$5</f>
        <v>-70303.360246842305</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5070</v>
      </c>
      <c r="F8" s="222"/>
      <c r="G8" s="222">
        <f>E8*$C$8</f>
        <v>5196.75</v>
      </c>
      <c r="H8" s="222"/>
      <c r="I8" s="222">
        <f>G8*$C$8</f>
        <v>5326.6687499999998</v>
      </c>
      <c r="J8" s="222"/>
      <c r="K8" s="222">
        <f>I8*$C$8</f>
        <v>5459.8354687499996</v>
      </c>
      <c r="L8" s="222"/>
      <c r="M8" s="222">
        <f>K8*$C$8</f>
        <v>5596.3313554687493</v>
      </c>
      <c r="N8" s="222"/>
      <c r="O8" s="222">
        <f>M8*$C$8</f>
        <v>5736.2396393554673</v>
      </c>
      <c r="P8" s="222"/>
      <c r="Q8" s="222">
        <f>O8*$C$8</f>
        <v>5879.6456303393534</v>
      </c>
      <c r="R8" s="222"/>
      <c r="S8" s="222">
        <f>Q8*$C$8</f>
        <v>6026.6367710978366</v>
      </c>
      <c r="T8" s="222"/>
      <c r="U8" s="222">
        <f>S8*$C$8</f>
        <v>6177.3026903752816</v>
      </c>
      <c r="V8" s="222"/>
      <c r="W8" s="222">
        <f>U8*$C$8</f>
        <v>6331.735257634663</v>
      </c>
      <c r="X8" s="222"/>
      <c r="Y8" s="222">
        <f>W8*$C$8</f>
        <v>6490.0286390755291</v>
      </c>
      <c r="Z8" s="222"/>
      <c r="AA8" s="222">
        <f>Y8*$C$8</f>
        <v>6652.2793550524166</v>
      </c>
      <c r="AB8" s="222"/>
      <c r="AC8" s="222">
        <f>AA8*$C$8</f>
        <v>6818.586338928726</v>
      </c>
      <c r="AD8" s="222"/>
      <c r="AE8" s="222">
        <f>AC8*$C$8</f>
        <v>6989.0509974019433</v>
      </c>
      <c r="AF8" s="222"/>
      <c r="AG8" s="222">
        <f>AE8*$C$8</f>
        <v>7163.7772723369908</v>
      </c>
    </row>
    <row r="9" spans="1:34" s="210" customFormat="1" ht="14.25">
      <c r="B9" s="210" t="s">
        <v>838</v>
      </c>
      <c r="C9" s="238">
        <f>IF(Application!$D$211="Special Needs",(((0.1*Application!$T$212)+(0.05*(1-Application!$T$212)))),0.05)</f>
        <v>0.05</v>
      </c>
      <c r="E9" s="221">
        <f>-E8*$C$9</f>
        <v>-253.5</v>
      </c>
      <c r="F9" s="221"/>
      <c r="G9" s="221">
        <f>-G8*$C$9</f>
        <v>-259.83750000000003</v>
      </c>
      <c r="H9" s="221"/>
      <c r="I9" s="221">
        <f>-I8*$C$9</f>
        <v>-266.3334375</v>
      </c>
      <c r="J9" s="221"/>
      <c r="K9" s="221">
        <f>-K8*$C$9</f>
        <v>-272.9917734375</v>
      </c>
      <c r="L9" s="221"/>
      <c r="M9" s="221">
        <f>-M8*$C$9</f>
        <v>-279.8165677734375</v>
      </c>
      <c r="N9" s="221"/>
      <c r="O9" s="221">
        <f>-O8*$C$9</f>
        <v>-286.81198196777336</v>
      </c>
      <c r="P9" s="221"/>
      <c r="Q9" s="221">
        <f>-Q8*$C$9</f>
        <v>-293.9822815169677</v>
      </c>
      <c r="R9" s="221"/>
      <c r="S9" s="221">
        <f>-S8*$C$9</f>
        <v>-301.33183855489182</v>
      </c>
      <c r="T9" s="221"/>
      <c r="U9" s="221">
        <f>-U8*$C$9</f>
        <v>-308.86513451876408</v>
      </c>
      <c r="V9" s="221"/>
      <c r="W9" s="221">
        <f>-W8*$C$9</f>
        <v>-316.58676288173319</v>
      </c>
      <c r="X9" s="221"/>
      <c r="Y9" s="221">
        <f>-Y8*$C$9</f>
        <v>-324.50143195377649</v>
      </c>
      <c r="Z9" s="221"/>
      <c r="AA9" s="221">
        <f>-AA8*$C$9</f>
        <v>-332.61396775262085</v>
      </c>
      <c r="AB9" s="221"/>
      <c r="AC9" s="221">
        <f>-AC8*$C$9</f>
        <v>-340.9293169464363</v>
      </c>
      <c r="AD9" s="221"/>
      <c r="AE9" s="221">
        <f>-AE8*$C$9</f>
        <v>-349.45254987009719</v>
      </c>
      <c r="AF9" s="221"/>
      <c r="AG9" s="221">
        <f>-AG8*$C$9</f>
        <v>-358.18886361684957</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950172.9</v>
      </c>
      <c r="G11" s="223">
        <f>SUM(G4:G10)</f>
        <v>973927.22249999992</v>
      </c>
      <c r="I11" s="223">
        <f>SUM(I4:I10)</f>
        <v>998275.40306249971</v>
      </c>
      <c r="K11" s="223">
        <f>SUM(K4:K10)</f>
        <v>1023232.2881390622</v>
      </c>
      <c r="M11" s="223">
        <f>SUM(M4:M10)</f>
        <v>1048813.0953425388</v>
      </c>
      <c r="O11" s="223">
        <f>SUM(O4:O10)</f>
        <v>1075033.4227261022</v>
      </c>
      <c r="Q11" s="223">
        <f>SUM(Q4:Q10)</f>
        <v>1101909.2582942545</v>
      </c>
      <c r="S11" s="223">
        <f>SUM(S4:S10)</f>
        <v>1129456.9897516107</v>
      </c>
      <c r="U11" s="223">
        <f>SUM(U4:U10)</f>
        <v>1157693.4144954011</v>
      </c>
      <c r="W11" s="223">
        <f>SUM(W4:W10)</f>
        <v>1186635.7498577859</v>
      </c>
      <c r="Y11" s="223">
        <f>SUM(Y4:Y10)</f>
        <v>1216301.6436042304</v>
      </c>
      <c r="AA11" s="223">
        <f>SUM(AA4:AA10)</f>
        <v>1246709.1846943363</v>
      </c>
      <c r="AC11" s="223">
        <f>SUM(AC4:AC10)</f>
        <v>1277876.9143116944</v>
      </c>
      <c r="AE11" s="223">
        <f>SUM(AE4:AE10)</f>
        <v>1309823.837169487</v>
      </c>
      <c r="AG11" s="223">
        <f>SUM(AG4:AG10)</f>
        <v>1342569.4330987239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41636</v>
      </c>
      <c r="G15" s="219">
        <f>E15*$C$14</f>
        <v>43093.259999999995</v>
      </c>
      <c r="I15" s="219">
        <f>G15*$C$14</f>
        <v>44601.524099999988</v>
      </c>
      <c r="K15" s="219">
        <f>I15*$C$14</f>
        <v>46162.577443499984</v>
      </c>
      <c r="M15" s="219">
        <f>K15*$C$14</f>
        <v>47778.267654022478</v>
      </c>
      <c r="O15" s="219">
        <f>M15*$C$14</f>
        <v>49450.507021913261</v>
      </c>
      <c r="Q15" s="219">
        <f>O15*$C$14</f>
        <v>51181.274767680225</v>
      </c>
      <c r="S15" s="219">
        <f>Q15*$C$14</f>
        <v>52972.619384549027</v>
      </c>
      <c r="U15" s="219">
        <f>S15*$C$14</f>
        <v>54826.661063008236</v>
      </c>
      <c r="W15" s="219">
        <f>U15*$C$14</f>
        <v>56745.59420021352</v>
      </c>
      <c r="Y15" s="219">
        <f>W15*$C$14</f>
        <v>58731.689997220987</v>
      </c>
      <c r="AA15" s="219">
        <f>Y15*$C$14</f>
        <v>60787.299147123718</v>
      </c>
      <c r="AC15" s="219">
        <f>AA15*$C$14</f>
        <v>62914.854617273042</v>
      </c>
      <c r="AE15" s="219">
        <f>AC15*$C$14</f>
        <v>65116.87452887759</v>
      </c>
      <c r="AG15" s="219">
        <f>AE15*$C$14</f>
        <v>67395.965137388295</v>
      </c>
    </row>
    <row r="16" spans="1:34" s="210" customFormat="1" ht="14.25">
      <c r="A16" s="210" t="s">
        <v>344</v>
      </c>
      <c r="C16" s="233"/>
      <c r="E16" s="222">
        <f>Application!W849</f>
        <v>49265</v>
      </c>
      <c r="F16" s="222"/>
      <c r="G16" s="222">
        <f t="shared" ref="G16:AG21" si="0">E16*$C$14</f>
        <v>50989.274999999994</v>
      </c>
      <c r="H16" s="222"/>
      <c r="I16" s="222">
        <f t="shared" si="0"/>
        <v>52773.899624999991</v>
      </c>
      <c r="J16" s="222"/>
      <c r="K16" s="222">
        <f t="shared" si="0"/>
        <v>54620.986111874983</v>
      </c>
      <c r="L16" s="222"/>
      <c r="M16" s="222">
        <f t="shared" si="0"/>
        <v>56532.7206257906</v>
      </c>
      <c r="N16" s="222"/>
      <c r="O16" s="222">
        <f t="shared" si="0"/>
        <v>58511.365847693269</v>
      </c>
      <c r="P16" s="222"/>
      <c r="Q16" s="222">
        <f t="shared" si="0"/>
        <v>60559.263652362526</v>
      </c>
      <c r="R16" s="222"/>
      <c r="S16" s="222">
        <f t="shared" si="0"/>
        <v>62678.837880195213</v>
      </c>
      <c r="T16" s="222"/>
      <c r="U16" s="222">
        <f t="shared" si="0"/>
        <v>64872.597206002043</v>
      </c>
      <c r="V16" s="222"/>
      <c r="W16" s="222">
        <f t="shared" si="0"/>
        <v>67143.138108212108</v>
      </c>
      <c r="X16" s="222"/>
      <c r="Y16" s="222">
        <f t="shared" si="0"/>
        <v>69493.14794199953</v>
      </c>
      <c r="Z16" s="222"/>
      <c r="AA16" s="222">
        <f t="shared" si="0"/>
        <v>71925.408119969507</v>
      </c>
      <c r="AB16" s="222"/>
      <c r="AC16" s="222">
        <f t="shared" si="0"/>
        <v>74442.797404168436</v>
      </c>
      <c r="AD16" s="222"/>
      <c r="AE16" s="222">
        <f t="shared" si="0"/>
        <v>77048.295313314331</v>
      </c>
      <c r="AF16" s="222"/>
      <c r="AG16" s="222">
        <f t="shared" si="0"/>
        <v>79744.985649280323</v>
      </c>
    </row>
    <row r="17" spans="1:33" s="210" customFormat="1" ht="14.25">
      <c r="A17" s="210" t="s">
        <v>561</v>
      </c>
      <c r="C17" s="233"/>
      <c r="E17" s="222">
        <f>Application!W855</f>
        <v>72930</v>
      </c>
      <c r="F17" s="222"/>
      <c r="G17" s="222">
        <f t="shared" si="0"/>
        <v>75482.549999999988</v>
      </c>
      <c r="H17" s="222"/>
      <c r="I17" s="222">
        <f t="shared" si="0"/>
        <v>78124.439249999981</v>
      </c>
      <c r="J17" s="222"/>
      <c r="K17" s="222">
        <f t="shared" si="0"/>
        <v>80858.794623749971</v>
      </c>
      <c r="L17" s="222"/>
      <c r="M17" s="222">
        <f t="shared" si="0"/>
        <v>83688.852435581211</v>
      </c>
      <c r="N17" s="222"/>
      <c r="O17" s="222">
        <f t="shared" si="0"/>
        <v>86617.962270826552</v>
      </c>
      <c r="P17" s="222"/>
      <c r="Q17" s="222">
        <f t="shared" si="0"/>
        <v>89649.590950305472</v>
      </c>
      <c r="R17" s="222"/>
      <c r="S17" s="222">
        <f t="shared" si="0"/>
        <v>92787.326633566161</v>
      </c>
      <c r="T17" s="222"/>
      <c r="U17" s="222">
        <f t="shared" si="0"/>
        <v>96034.883065740971</v>
      </c>
      <c r="V17" s="222"/>
      <c r="W17" s="222">
        <f t="shared" si="0"/>
        <v>99396.1039730419</v>
      </c>
      <c r="X17" s="222"/>
      <c r="Y17" s="222">
        <f t="shared" si="0"/>
        <v>102874.96761209836</v>
      </c>
      <c r="Z17" s="222"/>
      <c r="AA17" s="222">
        <f t="shared" si="0"/>
        <v>106475.5914785218</v>
      </c>
      <c r="AB17" s="222"/>
      <c r="AC17" s="222">
        <f t="shared" si="0"/>
        <v>110202.23718027007</v>
      </c>
      <c r="AD17" s="222"/>
      <c r="AE17" s="222">
        <f t="shared" si="0"/>
        <v>114059.31548157951</v>
      </c>
      <c r="AF17" s="222"/>
      <c r="AG17" s="222">
        <f t="shared" si="0"/>
        <v>118051.39152343478</v>
      </c>
    </row>
    <row r="18" spans="1:33" s="210" customFormat="1" ht="14.25">
      <c r="A18" s="210" t="s">
        <v>842</v>
      </c>
      <c r="C18" s="233"/>
      <c r="E18" s="222">
        <f>Application!W862</f>
        <v>143520</v>
      </c>
      <c r="F18" s="222"/>
      <c r="G18" s="222">
        <f t="shared" si="0"/>
        <v>148543.19999999998</v>
      </c>
      <c r="H18" s="222"/>
      <c r="I18" s="222">
        <f t="shared" si="0"/>
        <v>153742.21199999997</v>
      </c>
      <c r="J18" s="222"/>
      <c r="K18" s="222">
        <f t="shared" si="0"/>
        <v>159123.18941999995</v>
      </c>
      <c r="L18" s="222"/>
      <c r="M18" s="222">
        <f t="shared" si="0"/>
        <v>164692.50104969993</v>
      </c>
      <c r="N18" s="222"/>
      <c r="O18" s="222">
        <f t="shared" si="0"/>
        <v>170456.7385864394</v>
      </c>
      <c r="P18" s="222"/>
      <c r="Q18" s="222">
        <f t="shared" si="0"/>
        <v>176422.72443696478</v>
      </c>
      <c r="R18" s="222"/>
      <c r="S18" s="222">
        <f t="shared" si="0"/>
        <v>182597.51979225854</v>
      </c>
      <c r="T18" s="222"/>
      <c r="U18" s="222">
        <f t="shared" si="0"/>
        <v>188988.43298498756</v>
      </c>
      <c r="V18" s="222"/>
      <c r="W18" s="222">
        <f t="shared" si="0"/>
        <v>195603.02813946211</v>
      </c>
      <c r="X18" s="222"/>
      <c r="Y18" s="222">
        <f t="shared" si="0"/>
        <v>202449.13412434328</v>
      </c>
      <c r="Z18" s="222"/>
      <c r="AA18" s="222">
        <f t="shared" si="0"/>
        <v>209534.85381869529</v>
      </c>
      <c r="AB18" s="222"/>
      <c r="AC18" s="222">
        <f t="shared" si="0"/>
        <v>216868.57370234962</v>
      </c>
      <c r="AD18" s="222"/>
      <c r="AE18" s="222">
        <f t="shared" si="0"/>
        <v>224458.97378193183</v>
      </c>
      <c r="AF18" s="222"/>
      <c r="AG18" s="222">
        <f t="shared" si="0"/>
        <v>232315.03786429943</v>
      </c>
    </row>
    <row r="19" spans="1:33" s="210" customFormat="1" ht="14.25">
      <c r="A19" s="210" t="s">
        <v>155</v>
      </c>
      <c r="C19" s="233"/>
      <c r="E19" s="222">
        <f>Application!W863</f>
        <v>39000</v>
      </c>
      <c r="F19" s="222"/>
      <c r="G19" s="222">
        <f t="shared" si="0"/>
        <v>40365</v>
      </c>
      <c r="H19" s="222"/>
      <c r="I19" s="222">
        <f t="shared" si="0"/>
        <v>41777.774999999994</v>
      </c>
      <c r="J19" s="222"/>
      <c r="K19" s="222">
        <f t="shared" si="0"/>
        <v>43239.997124999987</v>
      </c>
      <c r="L19" s="222"/>
      <c r="M19" s="222">
        <f t="shared" si="0"/>
        <v>44753.397024374986</v>
      </c>
      <c r="N19" s="222"/>
      <c r="O19" s="222">
        <f t="shared" si="0"/>
        <v>46319.765920228107</v>
      </c>
      <c r="P19" s="222"/>
      <c r="Q19" s="222">
        <f t="shared" si="0"/>
        <v>47940.957727436085</v>
      </c>
      <c r="R19" s="222"/>
      <c r="S19" s="222">
        <f t="shared" si="0"/>
        <v>49618.891247896347</v>
      </c>
      <c r="T19" s="222"/>
      <c r="U19" s="222">
        <f t="shared" si="0"/>
        <v>51355.552441572712</v>
      </c>
      <c r="V19" s="222"/>
      <c r="W19" s="222">
        <f t="shared" si="0"/>
        <v>53152.996777027751</v>
      </c>
      <c r="X19" s="222"/>
      <c r="Y19" s="222">
        <f t="shared" si="0"/>
        <v>55013.351664223715</v>
      </c>
      <c r="Z19" s="222"/>
      <c r="AA19" s="222">
        <f t="shared" si="0"/>
        <v>56938.818972471541</v>
      </c>
      <c r="AB19" s="222"/>
      <c r="AC19" s="222">
        <f t="shared" si="0"/>
        <v>58931.677636508044</v>
      </c>
      <c r="AD19" s="222"/>
      <c r="AE19" s="222">
        <f t="shared" si="0"/>
        <v>60994.286353785821</v>
      </c>
      <c r="AF19" s="222"/>
      <c r="AG19" s="222">
        <f t="shared" si="0"/>
        <v>63129.086376168321</v>
      </c>
    </row>
    <row r="20" spans="1:33" s="210" customFormat="1" ht="14.25">
      <c r="A20" s="210" t="s">
        <v>390</v>
      </c>
      <c r="C20" s="233"/>
      <c r="E20" s="222">
        <f>Application!W872</f>
        <v>107222</v>
      </c>
      <c r="F20" s="222"/>
      <c r="G20" s="222">
        <f t="shared" si="0"/>
        <v>110974.76999999999</v>
      </c>
      <c r="H20" s="222"/>
      <c r="I20" s="222">
        <f t="shared" si="0"/>
        <v>114858.88694999999</v>
      </c>
      <c r="J20" s="222"/>
      <c r="K20" s="222">
        <f t="shared" si="0"/>
        <v>118878.94799324998</v>
      </c>
      <c r="L20" s="222"/>
      <c r="M20" s="222">
        <f t="shared" si="0"/>
        <v>123039.71117301373</v>
      </c>
      <c r="N20" s="222"/>
      <c r="O20" s="222">
        <f t="shared" si="0"/>
        <v>127346.1010640692</v>
      </c>
      <c r="P20" s="222"/>
      <c r="Q20" s="222">
        <f t="shared" si="0"/>
        <v>131803.2146013116</v>
      </c>
      <c r="R20" s="222"/>
      <c r="S20" s="222">
        <f t="shared" si="0"/>
        <v>136416.32711235748</v>
      </c>
      <c r="T20" s="222"/>
      <c r="U20" s="222">
        <f t="shared" si="0"/>
        <v>141190.89856128997</v>
      </c>
      <c r="V20" s="222"/>
      <c r="W20" s="222">
        <f t="shared" si="0"/>
        <v>146132.58001093511</v>
      </c>
      <c r="X20" s="222"/>
      <c r="Y20" s="222">
        <f t="shared" si="0"/>
        <v>151247.22031131783</v>
      </c>
      <c r="Z20" s="222"/>
      <c r="AA20" s="222">
        <f t="shared" si="0"/>
        <v>156540.87302221393</v>
      </c>
      <c r="AB20" s="222"/>
      <c r="AC20" s="222">
        <f t="shared" si="0"/>
        <v>162019.80357799141</v>
      </c>
      <c r="AD20" s="222"/>
      <c r="AE20" s="222">
        <f t="shared" si="0"/>
        <v>167690.49670322108</v>
      </c>
      <c r="AF20" s="222"/>
      <c r="AG20" s="222">
        <f t="shared" si="0"/>
        <v>173559.66408783381</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453573</v>
      </c>
      <c r="G22" s="223">
        <f>SUM(G15:G21)</f>
        <v>469448.05499999993</v>
      </c>
      <c r="I22" s="223">
        <f>SUM(I15:I21)</f>
        <v>485878.73692499986</v>
      </c>
      <c r="K22" s="223">
        <f>SUM(K15:K21)</f>
        <v>502884.49271737487</v>
      </c>
      <c r="M22" s="223">
        <f>SUM(M15:M21)</f>
        <v>520485.4499624829</v>
      </c>
      <c r="O22" s="223">
        <f>SUM(O15:O21)</f>
        <v>538702.44071116974</v>
      </c>
      <c r="Q22" s="223">
        <f>SUM(Q15:Q21)</f>
        <v>557557.02613606071</v>
      </c>
      <c r="S22" s="223">
        <f>SUM(S15:S21)</f>
        <v>577071.52205082274</v>
      </c>
      <c r="U22" s="223">
        <f>SUM(U15:U21)</f>
        <v>597269.02532260155</v>
      </c>
      <c r="W22" s="223">
        <f>SUM(W15:W21)</f>
        <v>618173.4412088925</v>
      </c>
      <c r="Y22" s="223">
        <f>SUM(Y15:Y21)</f>
        <v>639809.51165120373</v>
      </c>
      <c r="AA22" s="223">
        <f>SUM(AA15:AA21)</f>
        <v>662202.8445589958</v>
      </c>
      <c r="AC22" s="223">
        <f>SUM(AC15:AC21)</f>
        <v>685379.94411856064</v>
      </c>
      <c r="AE22" s="223">
        <f>SUM(AE15:AE21)</f>
        <v>709368.24216271017</v>
      </c>
      <c r="AG22" s="223">
        <f>SUM(AG15:AG21)</f>
        <v>734196.13063840498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25">
      <c r="A28" s="210" t="s">
        <v>846</v>
      </c>
      <c r="C28" s="237"/>
      <c r="E28" s="222">
        <f>Application!AC889</f>
        <v>23400</v>
      </c>
      <c r="F28" s="222"/>
      <c r="G28" s="222">
        <f>$E$28</f>
        <v>23400</v>
      </c>
      <c r="H28" s="222"/>
      <c r="I28" s="222">
        <f>$E$28</f>
        <v>23400</v>
      </c>
      <c r="J28" s="222"/>
      <c r="K28" s="222">
        <f>$E$28</f>
        <v>23400</v>
      </c>
      <c r="L28" s="222"/>
      <c r="M28" s="222">
        <f>$E$28</f>
        <v>23400</v>
      </c>
      <c r="N28" s="222"/>
      <c r="O28" s="222">
        <f>$E$28</f>
        <v>23400</v>
      </c>
      <c r="P28" s="222"/>
      <c r="Q28" s="222">
        <f>$E$28</f>
        <v>23400</v>
      </c>
      <c r="R28" s="222"/>
      <c r="S28" s="222">
        <f>$E$28</f>
        <v>23400</v>
      </c>
      <c r="T28" s="222"/>
      <c r="U28" s="222">
        <f>$E$28</f>
        <v>23400</v>
      </c>
      <c r="V28" s="222"/>
      <c r="W28" s="222">
        <f>$E$28</f>
        <v>23400</v>
      </c>
      <c r="X28" s="222"/>
      <c r="Y28" s="222">
        <f>$E$28</f>
        <v>23400</v>
      </c>
      <c r="Z28" s="222"/>
      <c r="AA28" s="222">
        <f>$E$28</f>
        <v>23400</v>
      </c>
      <c r="AB28" s="222"/>
      <c r="AC28" s="222">
        <f>$E$28</f>
        <v>23400</v>
      </c>
      <c r="AD28" s="222"/>
      <c r="AE28" s="222">
        <f>$E$28</f>
        <v>23400</v>
      </c>
      <c r="AF28" s="222"/>
      <c r="AG28" s="222">
        <f>$E$28</f>
        <v>23400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234</v>
      </c>
      <c r="F30" s="222"/>
      <c r="G30" s="222">
        <f>E30*$C$30</f>
        <v>238.68</v>
      </c>
      <c r="H30" s="222"/>
      <c r="I30" s="222">
        <f>G30*$C$30</f>
        <v>243.45360000000002</v>
      </c>
      <c r="J30" s="222"/>
      <c r="K30" s="222">
        <f>I30*$C$30</f>
        <v>248.32267200000004</v>
      </c>
      <c r="L30" s="222"/>
      <c r="M30" s="222">
        <f>K30*$C$30</f>
        <v>253.28912544000005</v>
      </c>
      <c r="N30" s="222"/>
      <c r="O30" s="222">
        <f>M30*$C$30</f>
        <v>258.35490794880008</v>
      </c>
      <c r="P30" s="222"/>
      <c r="Q30" s="222">
        <f>O30*$C$30</f>
        <v>263.52200610777606</v>
      </c>
      <c r="R30" s="222"/>
      <c r="S30" s="222">
        <f>Q30*$C$30</f>
        <v>268.79244622993161</v>
      </c>
      <c r="T30" s="222"/>
      <c r="U30" s="222">
        <f>S30*$C$30</f>
        <v>274.16829515453026</v>
      </c>
      <c r="V30" s="222"/>
      <c r="W30" s="222">
        <f>U30*$C$30</f>
        <v>279.65166105762086</v>
      </c>
      <c r="X30" s="222"/>
      <c r="Y30" s="222">
        <f>W30*$C$30</f>
        <v>285.2446942787733</v>
      </c>
      <c r="Z30" s="222"/>
      <c r="AA30" s="222">
        <f>Y30*$C$30</f>
        <v>290.94958816434877</v>
      </c>
      <c r="AB30" s="222"/>
      <c r="AC30" s="222">
        <f>AA30*$C$30</f>
        <v>296.76857992763576</v>
      </c>
      <c r="AD30" s="222"/>
      <c r="AE30" s="222">
        <f>AC30*$C$30</f>
        <v>302.70395152618846</v>
      </c>
      <c r="AF30" s="222"/>
      <c r="AG30" s="222">
        <f>AE30*$C$30</f>
        <v>308.75803055671224</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497207</v>
      </c>
      <c r="G35" s="223">
        <f>SUM(G22:G33)</f>
        <v>513786.73499999993</v>
      </c>
      <c r="I35" s="223">
        <f>SUM(I22:I33)</f>
        <v>530946.69052499987</v>
      </c>
      <c r="K35" s="223">
        <f>SUM(K22:K33)</f>
        <v>548707.1728893749</v>
      </c>
      <c r="M35" s="223">
        <f>SUM(M22:M33)</f>
        <v>567089.19910042279</v>
      </c>
      <c r="O35" s="223">
        <f>SUM(O22:O33)</f>
        <v>586114.52173205593</v>
      </c>
      <c r="Q35" s="223">
        <f>SUM(Q22:Q33)</f>
        <v>605805.65466905874</v>
      </c>
      <c r="S35" s="223">
        <f>SUM(S22:S33)</f>
        <v>626185.89975238417</v>
      </c>
      <c r="U35" s="223">
        <f>SUM(U22:U33)</f>
        <v>647279.37435702421</v>
      </c>
      <c r="W35" s="223">
        <f>SUM(W22:W33)</f>
        <v>669111.03993509256</v>
      </c>
      <c r="Y35" s="223">
        <f>SUM(Y22:Y33)</f>
        <v>691706.73155790498</v>
      </c>
      <c r="AA35" s="223">
        <f>SUM(AA22:AA33)</f>
        <v>715093.18849201733</v>
      </c>
      <c r="AC35" s="223">
        <f>SUM(AC22:AC33)</f>
        <v>739298.08584541548</v>
      </c>
      <c r="AE35" s="223">
        <f>SUM(AE22:AE33)</f>
        <v>764350.06732130598</v>
      </c>
      <c r="AG35" s="223">
        <f>SUM(AG22:AG33)</f>
        <v>790278.77911827876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452965.9</v>
      </c>
      <c r="G37" s="223">
        <f>G11-G35</f>
        <v>460140.48749999999</v>
      </c>
      <c r="I37" s="223">
        <f>I11-I35</f>
        <v>467328.71253749984</v>
      </c>
      <c r="K37" s="223">
        <f>K11-K35</f>
        <v>474525.11524968734</v>
      </c>
      <c r="M37" s="223">
        <f>M11-M35</f>
        <v>481723.896242116</v>
      </c>
      <c r="O37" s="223">
        <f>O11-O35</f>
        <v>488918.90099404624</v>
      </c>
      <c r="Q37" s="223">
        <f>Q11-Q35</f>
        <v>496103.6036251958</v>
      </c>
      <c r="S37" s="223">
        <f>S11-S35</f>
        <v>503271.0899992265</v>
      </c>
      <c r="U37" s="223">
        <f>U11-U35</f>
        <v>510414.04013837688</v>
      </c>
      <c r="W37" s="223">
        <f>W11-W35</f>
        <v>517524.70992269332</v>
      </c>
      <c r="Y37" s="223">
        <f>Y11-Y35</f>
        <v>524594.91204632539</v>
      </c>
      <c r="AA37" s="223">
        <f>AA11-AA35</f>
        <v>531615.99620231893</v>
      </c>
      <c r="AC37" s="223">
        <f>AC11-AC35</f>
        <v>538578.82846627897</v>
      </c>
      <c r="AE37" s="223">
        <f>AE11-AE35</f>
        <v>545473.76984818105</v>
      </c>
      <c r="AG37" s="223">
        <f>AG11-AG35</f>
        <v>552290.65398044512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377998</v>
      </c>
      <c r="F40" s="222"/>
      <c r="G40" s="222">
        <f>$E$40</f>
        <v>377998</v>
      </c>
      <c r="H40" s="222"/>
      <c r="I40" s="222">
        <f>$E$40</f>
        <v>377998</v>
      </c>
      <c r="J40" s="222"/>
      <c r="K40" s="222">
        <f>$E$40</f>
        <v>377998</v>
      </c>
      <c r="L40" s="222"/>
      <c r="M40" s="222">
        <f>$E$40</f>
        <v>377998</v>
      </c>
      <c r="N40" s="222"/>
      <c r="O40" s="222">
        <f>$E$40</f>
        <v>377998</v>
      </c>
      <c r="P40" s="222"/>
      <c r="Q40" s="222">
        <f>$E$40</f>
        <v>377998</v>
      </c>
      <c r="R40" s="222"/>
      <c r="S40" s="222">
        <f>$E$40</f>
        <v>377998</v>
      </c>
      <c r="T40" s="222"/>
      <c r="U40" s="222">
        <f>$E$40</f>
        <v>377998</v>
      </c>
      <c r="V40" s="222"/>
      <c r="W40" s="222">
        <f>$E$40</f>
        <v>377998</v>
      </c>
      <c r="X40" s="222"/>
      <c r="Y40" s="222">
        <f>$E$40</f>
        <v>377998</v>
      </c>
      <c r="Z40" s="222"/>
      <c r="AA40" s="222">
        <f>$E$40</f>
        <v>377998</v>
      </c>
      <c r="AB40" s="222"/>
      <c r="AC40" s="222">
        <f>$E$40</f>
        <v>377998</v>
      </c>
      <c r="AD40" s="222"/>
      <c r="AE40" s="222">
        <f>$E$40</f>
        <v>377998</v>
      </c>
      <c r="AF40" s="222"/>
      <c r="AG40" s="222">
        <f>$E$40</f>
        <v>377998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377998</v>
      </c>
      <c r="G43" s="223">
        <f>SUM(G40:G42)</f>
        <v>377998</v>
      </c>
      <c r="I43" s="223">
        <f>SUM(I40:I42)</f>
        <v>377998</v>
      </c>
      <c r="K43" s="223">
        <f>SUM(K40:K42)</f>
        <v>377998</v>
      </c>
      <c r="M43" s="223">
        <f>SUM(M40:M42)</f>
        <v>377998</v>
      </c>
      <c r="O43" s="223">
        <f>SUM(O40:O42)</f>
        <v>377998</v>
      </c>
      <c r="Q43" s="223">
        <f>SUM(Q40:Q42)</f>
        <v>377998</v>
      </c>
      <c r="S43" s="223">
        <f>SUM(S40:S42)</f>
        <v>377998</v>
      </c>
      <c r="U43" s="223">
        <f>SUM(U40:U42)</f>
        <v>377998</v>
      </c>
      <c r="W43" s="223">
        <f>SUM(W40:W42)</f>
        <v>377998</v>
      </c>
      <c r="Y43" s="223">
        <f>SUM(Y40:Y42)</f>
        <v>377998</v>
      </c>
      <c r="AA43" s="223">
        <f>SUM(AA40:AA42)</f>
        <v>377998</v>
      </c>
      <c r="AC43" s="223">
        <f>SUM(AC40:AC42)</f>
        <v>377998</v>
      </c>
      <c r="AE43" s="223">
        <f>SUM(AE40:AE42)</f>
        <v>377998</v>
      </c>
      <c r="AG43" s="223">
        <f>SUM(AG40:AG42)</f>
        <v>377998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74967.900000000023</v>
      </c>
      <c r="G45" s="223">
        <f>G37-G43</f>
        <v>82142.487499999988</v>
      </c>
      <c r="I45" s="223">
        <f>I37-I43</f>
        <v>89330.712537499843</v>
      </c>
      <c r="K45" s="223">
        <f>K37-K43</f>
        <v>96527.11524968734</v>
      </c>
      <c r="M45" s="223">
        <f>M37-M43</f>
        <v>103725.896242116</v>
      </c>
      <c r="O45" s="223">
        <f>O37-O43</f>
        <v>110920.90099404624</v>
      </c>
      <c r="Q45" s="223">
        <f>Q37-Q43</f>
        <v>118105.6036251958</v>
      </c>
      <c r="S45" s="223">
        <f>S37-S43</f>
        <v>125273.0899992265</v>
      </c>
      <c r="U45" s="223">
        <f>U37-U43</f>
        <v>132416.04013837688</v>
      </c>
      <c r="W45" s="223">
        <f>W37-W43</f>
        <v>139526.70992269332</v>
      </c>
      <c r="Y45" s="223">
        <f>Y37-Y43</f>
        <v>146596.91204632539</v>
      </c>
      <c r="AA45" s="223">
        <f>AA37-AA43</f>
        <v>153617.99620231893</v>
      </c>
      <c r="AC45" s="223">
        <f>AC37-AC43</f>
        <v>160580.82846627897</v>
      </c>
      <c r="AE45" s="223">
        <f>AE37-AE43</f>
        <v>167475.76984818105</v>
      </c>
      <c r="AG45" s="223">
        <f>AG37-AG43</f>
        <v>174292.65398044512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7.4954258324984882E-2</v>
      </c>
      <c r="G47" s="227">
        <f>G45/(G4+G6+G8)</f>
        <v>8.012442954894404E-2</v>
      </c>
      <c r="I47" s="227">
        <f>I45/(I4+I6+I8)</f>
        <v>8.5010786252249962E-2</v>
      </c>
      <c r="K47" s="227">
        <f>K45/(K4+K6+K8)</f>
        <v>8.9618711753103319E-2</v>
      </c>
      <c r="M47" s="227">
        <f>M45/(M4+M6+M8)</f>
        <v>9.3953443056341221E-2</v>
      </c>
      <c r="O47" s="227">
        <f>O45/(O4+O6+O8)</f>
        <v>9.8020074275580363E-2</v>
      </c>
      <c r="Q47" s="227">
        <f>Q45/(Q4+Q6+Q8)</f>
        <v>0.10182355997046533</v>
      </c>
      <c r="S47" s="227">
        <f>S45/(S4+S6+S8)</f>
        <v>0.10536871840107664</v>
      </c>
      <c r="U47" s="227">
        <f>U45/(U4+U6+U8)</f>
        <v>0.1086602347015059</v>
      </c>
      <c r="W47" s="227">
        <f>W45/(W4+W6+W8)</f>
        <v>0.11170266397455525</v>
      </c>
      <c r="Y47" s="227">
        <f>Y45/(Y4+Y6+Y8)</f>
        <v>0.11450043430947209</v>
      </c>
      <c r="AA47" s="227">
        <f>AA45/(AA4+AA6+AA8)</f>
        <v>0.11705784972457978</v>
      </c>
      <c r="AC47" s="227">
        <f>AC45/(AC4+AC6+AC8)</f>
        <v>0.11937909303662028</v>
      </c>
      <c r="AE47" s="227">
        <f>AE45/(AE4+AE6+AE8)</f>
        <v>0.12146822865858771</v>
      </c>
      <c r="AG47" s="227">
        <f>AG45/(AG4+AG6+AG8)</f>
        <v>0.12332920532777192</v>
      </c>
    </row>
    <row r="48" spans="1:33" s="227" customFormat="1" ht="14.25">
      <c r="A48" s="227" t="s">
        <v>852</v>
      </c>
      <c r="C48" s="220"/>
      <c r="E48" s="227">
        <f>E45/E43</f>
        <v>0.19832882713665159</v>
      </c>
      <c r="G48" s="227">
        <f>G45/G43</f>
        <v>0.21730931777416809</v>
      </c>
      <c r="I48" s="227">
        <f>I45/I43</f>
        <v>0.23632588674410934</v>
      </c>
      <c r="K48" s="227">
        <f>K45/K43</f>
        <v>0.25536408988853737</v>
      </c>
      <c r="M48" s="227">
        <f>M45/M43</f>
        <v>0.27440858481292491</v>
      </c>
      <c r="O48" s="227">
        <f>O45/O43</f>
        <v>0.29344308963022619</v>
      </c>
      <c r="Q48" s="227">
        <f>Q45/Q43</f>
        <v>0.3124503400155445</v>
      </c>
      <c r="S48" s="227">
        <f>S45/S43</f>
        <v>0.33141204450612571</v>
      </c>
      <c r="U48" s="227">
        <f>U45/U43</f>
        <v>0.35030883797897577</v>
      </c>
      <c r="W48" s="227">
        <f>W45/W43</f>
        <v>0.36912023323587245</v>
      </c>
      <c r="Y48" s="227">
        <f>Y45/Y43</f>
        <v>0.38782457062292763</v>
      </c>
      <c r="AA48" s="227">
        <f>AA45/AA43</f>
        <v>0.40639896560912736</v>
      </c>
      <c r="AC48" s="227">
        <f>AC45/AC43</f>
        <v>0.42481925424546946</v>
      </c>
      <c r="AE48" s="227">
        <f>AE45/AE43</f>
        <v>0.44305993642342301</v>
      </c>
      <c r="AG48" s="227">
        <f>AG45/AG43</f>
        <v>0.46109411684835666</v>
      </c>
    </row>
    <row r="49" spans="1:34" s="228" customFormat="1" ht="14.25">
      <c r="A49" s="228" t="s">
        <v>850</v>
      </c>
      <c r="C49" s="229"/>
      <c r="E49" s="228">
        <f>E37/E43</f>
        <v>1.1983288271366517</v>
      </c>
      <c r="G49" s="228">
        <f>G37/G43</f>
        <v>1.2173093177741681</v>
      </c>
      <c r="I49" s="228">
        <f>I37/I43</f>
        <v>1.2363258867441094</v>
      </c>
      <c r="K49" s="228">
        <f>K37/K43</f>
        <v>1.2553640898885374</v>
      </c>
      <c r="M49" s="228">
        <f>M37/M43</f>
        <v>1.274408584812925</v>
      </c>
      <c r="O49" s="228">
        <f>O37/O43</f>
        <v>1.2934430896302263</v>
      </c>
      <c r="Q49" s="228">
        <f>Q37/Q43</f>
        <v>1.3124503400155445</v>
      </c>
      <c r="S49" s="228">
        <f>S37/S43</f>
        <v>1.3314120445061257</v>
      </c>
      <c r="U49" s="228">
        <f>U37/U43</f>
        <v>1.3503088379789758</v>
      </c>
      <c r="W49" s="228">
        <f>W37/W43</f>
        <v>1.3691202332358725</v>
      </c>
      <c r="Y49" s="228">
        <f>Y37/Y43</f>
        <v>1.3878245706229275</v>
      </c>
      <c r="AA49" s="228">
        <f>AA37/AA43</f>
        <v>1.4063989656091274</v>
      </c>
      <c r="AC49" s="228">
        <f>AC37/AC43</f>
        <v>1.4248192542454694</v>
      </c>
      <c r="AE49" s="228">
        <f>AE37/AE43</f>
        <v>1.4430599364234231</v>
      </c>
      <c r="AG49" s="228">
        <f>AG37/AG43</f>
        <v>1.4610941168483567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2741</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v>10000</v>
      </c>
      <c r="G53" s="960">
        <f>E53*1.03</f>
        <v>10300</v>
      </c>
      <c r="I53" s="960">
        <f>G53*1.03</f>
        <v>10609</v>
      </c>
      <c r="K53" s="960">
        <f>I53*1.03</f>
        <v>10927.27</v>
      </c>
      <c r="M53" s="960">
        <f>K53*1.03</f>
        <v>11255.088100000001</v>
      </c>
      <c r="O53" s="960">
        <f>M53*1.03</f>
        <v>11592.740743</v>
      </c>
      <c r="Q53" s="960">
        <f>O53*1.03</f>
        <v>11940.52296529</v>
      </c>
      <c r="S53" s="960">
        <f>Q53*1.03</f>
        <v>12298.7386542487</v>
      </c>
      <c r="U53" s="960">
        <f>S53*1.03</f>
        <v>12667.700813876161</v>
      </c>
      <c r="W53" s="960">
        <f>U53*1.03</f>
        <v>13047.731838292446</v>
      </c>
      <c r="Y53" s="960">
        <f>W53*1.03</f>
        <v>13439.163793441219</v>
      </c>
      <c r="AA53" s="960">
        <f>Y53*1.03</f>
        <v>13842.338707244457</v>
      </c>
      <c r="AC53" s="960">
        <f>AA53*1.03</f>
        <v>14257.60886846179</v>
      </c>
      <c r="AE53" s="960">
        <f>AC53*1.03</f>
        <v>14685.337134515645</v>
      </c>
      <c r="AG53" s="960">
        <f>AE53*1.03</f>
        <v>15125.897248551115</v>
      </c>
    </row>
    <row r="54" spans="1:34" s="3" customFormat="1">
      <c r="A54" s="3" t="s">
        <v>855</v>
      </c>
      <c r="C54" s="958"/>
      <c r="E54" s="965">
        <v>3500</v>
      </c>
      <c r="F54" s="962"/>
      <c r="G54" s="960">
        <f>E54*1.03</f>
        <v>3605</v>
      </c>
      <c r="H54" s="962"/>
      <c r="I54" s="960">
        <f>G54*1.03</f>
        <v>3713.15</v>
      </c>
      <c r="J54" s="962"/>
      <c r="K54" s="960">
        <f>I54*1.03</f>
        <v>3824.5445</v>
      </c>
      <c r="L54" s="962"/>
      <c r="M54" s="960">
        <f>K54*1.03</f>
        <v>3939.280835</v>
      </c>
      <c r="N54" s="962"/>
      <c r="O54" s="960">
        <f>M54*1.03</f>
        <v>4057.45926005</v>
      </c>
      <c r="P54" s="962"/>
      <c r="Q54" s="960">
        <f>O54*1.03</f>
        <v>4179.1830378515006</v>
      </c>
      <c r="R54" s="962"/>
      <c r="S54" s="960">
        <f>Q54*1.03</f>
        <v>4304.558528987046</v>
      </c>
      <c r="T54" s="962"/>
      <c r="U54" s="960">
        <f>S54*1.03</f>
        <v>4433.6952848566571</v>
      </c>
      <c r="V54" s="962"/>
      <c r="W54" s="960">
        <f>U54*1.03</f>
        <v>4566.7061434023572</v>
      </c>
      <c r="X54" s="962"/>
      <c r="Y54" s="960">
        <f>W54*1.03</f>
        <v>4703.7073277044283</v>
      </c>
      <c r="Z54" s="962"/>
      <c r="AA54" s="960">
        <f>Y54*1.03</f>
        <v>4844.8185475355613</v>
      </c>
      <c r="AB54" s="962"/>
      <c r="AC54" s="960">
        <f>AA54*1.03</f>
        <v>4990.1631039616286</v>
      </c>
      <c r="AD54" s="962"/>
      <c r="AE54" s="960">
        <f>AC54*1.03</f>
        <v>5139.8679970804778</v>
      </c>
      <c r="AF54" s="962"/>
      <c r="AG54" s="960">
        <f>AE54*1.03</f>
        <v>5294.0640369928924</v>
      </c>
      <c r="AH54" s="960"/>
    </row>
    <row r="55" spans="1:34" s="3" customFormat="1">
      <c r="A55" s="3" t="s">
        <v>856</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13500</v>
      </c>
      <c r="F58" s="960"/>
      <c r="G58" s="960">
        <f>SUM(G53:G57)</f>
        <v>13905</v>
      </c>
      <c r="H58" s="960"/>
      <c r="I58" s="960">
        <f>SUM(I53:I57)</f>
        <v>14322.15</v>
      </c>
      <c r="J58" s="960"/>
      <c r="K58" s="960">
        <f>SUM(K53:K57)</f>
        <v>14751.8145</v>
      </c>
      <c r="L58" s="960"/>
      <c r="M58" s="960">
        <f>SUM(M53:M57)</f>
        <v>15194.368935</v>
      </c>
      <c r="N58" s="960"/>
      <c r="O58" s="960">
        <f>SUM(O53:O57)</f>
        <v>15650.20000305</v>
      </c>
      <c r="P58" s="960"/>
      <c r="Q58" s="960">
        <f>SUM(Q53:Q57)</f>
        <v>16119.7060031415</v>
      </c>
      <c r="R58" s="960"/>
      <c r="S58" s="960">
        <f>SUM(S53:S57)</f>
        <v>16603.297183235747</v>
      </c>
      <c r="T58" s="960"/>
      <c r="U58" s="960">
        <f>SUM(U53:U57)</f>
        <v>17101.396098732817</v>
      </c>
      <c r="V58" s="960"/>
      <c r="W58" s="960">
        <f>SUM(W53:W57)</f>
        <v>17614.437981694802</v>
      </c>
      <c r="X58" s="960"/>
      <c r="Y58" s="960">
        <f>SUM(Y53:Y57)</f>
        <v>18142.871121145647</v>
      </c>
      <c r="Z58" s="960"/>
      <c r="AA58" s="960">
        <f>SUM(AA53:AA57)</f>
        <v>18687.157254780017</v>
      </c>
      <c r="AB58" s="960"/>
      <c r="AC58" s="960">
        <f>SUM(AC53:AC57)</f>
        <v>19247.771972423419</v>
      </c>
      <c r="AD58" s="960"/>
      <c r="AE58" s="960">
        <f>SUM(AE53:AE57)</f>
        <v>19825.205131596122</v>
      </c>
      <c r="AF58" s="960"/>
      <c r="AG58" s="960">
        <f>SUM(AG53:AG57)</f>
        <v>20419.961285544006</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61467.900000000023</v>
      </c>
      <c r="G60" s="962">
        <f>G45-G58</f>
        <v>68237.487499999988</v>
      </c>
      <c r="I60" s="962">
        <f>I45-I58</f>
        <v>75008.562537499849</v>
      </c>
      <c r="K60" s="962">
        <f>K45-K58</f>
        <v>81775.300749687332</v>
      </c>
      <c r="M60" s="962">
        <f>M45-M58</f>
        <v>88531.52730711599</v>
      </c>
      <c r="O60" s="962">
        <f>O45-O58</f>
        <v>95270.700990996236</v>
      </c>
      <c r="Q60" s="962">
        <f>Q45-Q58</f>
        <v>101985.8976220543</v>
      </c>
      <c r="S60" s="962">
        <f>S45-S58</f>
        <v>108669.79281599076</v>
      </c>
      <c r="U60" s="962">
        <f>U45-U58</f>
        <v>115314.64403964406</v>
      </c>
      <c r="W60" s="962">
        <f>W45-W58</f>
        <v>121912.27194099851</v>
      </c>
      <c r="Y60" s="962">
        <f>Y45-Y58</f>
        <v>128454.04092517975</v>
      </c>
      <c r="AA60" s="962">
        <f>AA45-AA58</f>
        <v>134930.83894753893</v>
      </c>
      <c r="AC60" s="962">
        <f>AC45-AC58</f>
        <v>141333.05649385555</v>
      </c>
      <c r="AE60" s="962">
        <f>AE45-AE58</f>
        <v>147650.56471658492</v>
      </c>
      <c r="AG60" s="962">
        <f>AG45-AG58</f>
        <v>153872.69269490111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30733.950000000012</v>
      </c>
      <c r="G62" s="962">
        <f>G60*$C$62</f>
        <v>34118.743749999994</v>
      </c>
      <c r="I62" s="962">
        <f>I60*$C$62</f>
        <v>37504.281268749924</v>
      </c>
      <c r="K62" s="962">
        <f>K60*$C$62</f>
        <v>40887.650374843666</v>
      </c>
      <c r="M62" s="962">
        <f>M60*$C$62</f>
        <v>44265.763653557995</v>
      </c>
      <c r="O62" s="962">
        <f>O60*$C$62</f>
        <v>47635.350495498118</v>
      </c>
      <c r="Q62" s="962">
        <f>Q60*$C$62</f>
        <v>50992.948811027149</v>
      </c>
      <c r="S62" s="962">
        <f>S60*$C$62</f>
        <v>54334.89640799538</v>
      </c>
      <c r="U62" s="962">
        <f>U60*$C$62</f>
        <v>57657.32201982203</v>
      </c>
      <c r="W62" s="962">
        <f>W60*$C$62</f>
        <v>60956.135970499257</v>
      </c>
      <c r="Y62" s="962">
        <f>Y60*$C$62</f>
        <v>64227.020462589877</v>
      </c>
      <c r="AA62" s="962">
        <v>23805</v>
      </c>
      <c r="AC62" s="962">
        <v>0</v>
      </c>
      <c r="AE62" s="962">
        <v>0</v>
      </c>
      <c r="AG62" s="962">
        <v>0</v>
      </c>
    </row>
    <row r="63" spans="1:34" s="962" customFormat="1">
      <c r="A63" s="2694" t="s">
        <v>1184</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2677</v>
      </c>
      <c r="B66" s="964"/>
      <c r="C66" s="963"/>
      <c r="E66" s="964">
        <f>$E60*$C$65</f>
        <v>15366.975000000006</v>
      </c>
      <c r="G66" s="960">
        <f>G60*$C$65</f>
        <v>17059.371874999997</v>
      </c>
      <c r="I66" s="960">
        <f>I60*$C$65</f>
        <v>18752.140634374962</v>
      </c>
      <c r="K66" s="960">
        <f>K60*$C$65</f>
        <v>20443.825187421833</v>
      </c>
      <c r="M66" s="960">
        <f>M60*$C$65</f>
        <v>22132.881826778997</v>
      </c>
      <c r="O66" s="960">
        <f>O60*$C$65</f>
        <v>23817.675247749059</v>
      </c>
      <c r="Q66" s="960">
        <f>Q60*$C$65</f>
        <v>25496.474405513574</v>
      </c>
      <c r="S66" s="960">
        <f>S60*$C$65</f>
        <v>27167.44820399769</v>
      </c>
      <c r="U66" s="960">
        <f>U60*$C$65</f>
        <v>28828.661009911015</v>
      </c>
      <c r="W66" s="960">
        <f>W60*$C$65</f>
        <v>30478.067985249629</v>
      </c>
      <c r="Y66" s="960">
        <f>Y60*$C$65</f>
        <v>32113.510231294938</v>
      </c>
      <c r="AA66" s="960">
        <f>(AA60-AA62)*$C$65</f>
        <v>27781.459736884732</v>
      </c>
      <c r="AC66" s="960">
        <f>(AC60-AC62)*$C$65</f>
        <v>35333.264123463887</v>
      </c>
      <c r="AE66" s="960">
        <f>AE60*$C$65</f>
        <v>36912.641179146231</v>
      </c>
      <c r="AG66" s="960">
        <f>AG60*$C$65</f>
        <v>38468.173173725278</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15366.975000000006</v>
      </c>
      <c r="G70" s="960">
        <f>SUM(G66:G69)</f>
        <v>17059.371874999997</v>
      </c>
      <c r="I70" s="960">
        <f>SUM(I66:I69)</f>
        <v>18752.140634374962</v>
      </c>
      <c r="K70" s="960">
        <f>SUM(K66:K69)</f>
        <v>20443.825187421833</v>
      </c>
      <c r="M70" s="960">
        <f>SUM(M66:M69)</f>
        <v>22132.881826778997</v>
      </c>
      <c r="O70" s="960">
        <f>SUM(O66:O69)</f>
        <v>23817.675247749059</v>
      </c>
      <c r="Q70" s="960">
        <f>SUM(Q66:Q69)</f>
        <v>25496.474405513574</v>
      </c>
      <c r="S70" s="960">
        <f>SUM(S66:S69)</f>
        <v>27167.44820399769</v>
      </c>
      <c r="U70" s="960">
        <f>SUM(U66:U69)</f>
        <v>28828.661009911015</v>
      </c>
      <c r="W70" s="960">
        <f>SUM(W66:W69)</f>
        <v>30478.067985249629</v>
      </c>
      <c r="Y70" s="960">
        <f>SUM(Y66:Y69)</f>
        <v>32113.510231294938</v>
      </c>
      <c r="AA70" s="960">
        <f>SUM(AA66:AA69)</f>
        <v>27781.459736884732</v>
      </c>
      <c r="AC70" s="960">
        <f>SUM(AC66:AC69)</f>
        <v>35333.264123463887</v>
      </c>
      <c r="AE70" s="960">
        <f>SUM(AE66:AE69)</f>
        <v>36912.641179146231</v>
      </c>
      <c r="AG70" s="960">
        <f>SUM(AG66:AG69)</f>
        <v>38468.173173725278</v>
      </c>
    </row>
    <row r="71" spans="1:34" s="960" customFormat="1">
      <c r="A71" s="962"/>
      <c r="C71" s="970"/>
    </row>
    <row r="72" spans="1:34" s="960" customFormat="1">
      <c r="A72" s="962" t="s">
        <v>1723</v>
      </c>
      <c r="C72" s="970"/>
      <c r="E72" s="962">
        <f>E60-E62-E70</f>
        <v>15366.975000000006</v>
      </c>
      <c r="G72" s="962">
        <f>G60-G62-G70</f>
        <v>17059.371874999997</v>
      </c>
      <c r="I72" s="962">
        <f>I60-I62-I70</f>
        <v>18752.140634374962</v>
      </c>
      <c r="K72" s="962">
        <f>K60-K62-K70</f>
        <v>20443.825187421833</v>
      </c>
      <c r="M72" s="962">
        <f>M60-M62-M70</f>
        <v>22132.881826778997</v>
      </c>
      <c r="O72" s="962">
        <f>O60-O62-O70</f>
        <v>23817.675247749059</v>
      </c>
      <c r="Q72" s="962">
        <f>Q60-Q62-Q70</f>
        <v>25496.474405513574</v>
      </c>
      <c r="S72" s="962">
        <f>S60-S62-S70</f>
        <v>27167.44820399769</v>
      </c>
      <c r="U72" s="962">
        <f>U60-U62-U70</f>
        <v>28828.661009911015</v>
      </c>
      <c r="W72" s="962">
        <f>W60-W62-W70</f>
        <v>30478.067985249629</v>
      </c>
      <c r="Y72" s="962">
        <f>Y60-Y62-Y70</f>
        <v>32113.510231294938</v>
      </c>
      <c r="AA72" s="962">
        <f>AA60-AA62-AA70</f>
        <v>83344.379210654195</v>
      </c>
      <c r="AC72" s="962">
        <f>AC60-AC62-AC70</f>
        <v>105999.79237039166</v>
      </c>
      <c r="AE72" s="962">
        <f>AE60-AE62-AE70</f>
        <v>110737.92353743869</v>
      </c>
      <c r="AG72" s="962">
        <f>AG60-AG62-AG70</f>
        <v>115404.51952117583</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585000</v>
      </c>
      <c r="C5" s="266">
        <f>'Sources and Uses Budget'!$C4</f>
        <v>585000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585000</v>
      </c>
      <c r="C9" s="270">
        <f>SUM(C5:C8)</f>
        <v>585000</v>
      </c>
      <c r="D9" s="270">
        <f t="shared" si="0"/>
        <v>0</v>
      </c>
      <c r="E9" s="268"/>
      <c r="F9" s="267"/>
    </row>
    <row r="10" spans="1:6" s="352" customFormat="1">
      <c r="A10" s="364" t="s">
        <v>594</v>
      </c>
      <c r="B10" s="266">
        <f>'Sources and Uses Budget'!$C9</f>
        <v>14872394</v>
      </c>
      <c r="C10" s="266">
        <f>'Sources and Uses Budget'!$C9</f>
        <v>14872394</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14872394</v>
      </c>
      <c r="C12" s="270">
        <f>SUM(C10:C11)</f>
        <v>14872394</v>
      </c>
      <c r="D12" s="270">
        <f t="shared" si="0"/>
        <v>0</v>
      </c>
      <c r="E12" s="268"/>
      <c r="F12" s="267"/>
    </row>
    <row r="13" spans="1:6" s="352" customFormat="1">
      <c r="A13" s="365" t="s">
        <v>84</v>
      </c>
      <c r="B13" s="270">
        <f>SUM(B9+B12)</f>
        <v>15457394</v>
      </c>
      <c r="C13" s="270">
        <f>SUM(C9+C12)</f>
        <v>15457394</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5838000</v>
      </c>
      <c r="C19" s="266">
        <f>'Sources and Uses Budget'!$C18</f>
        <v>5838000</v>
      </c>
      <c r="D19" s="270">
        <f t="shared" si="0"/>
        <v>0</v>
      </c>
      <c r="E19" s="268"/>
      <c r="F19" s="267"/>
    </row>
    <row r="20" spans="1:6" s="352" customFormat="1">
      <c r="A20" s="145" t="s">
        <v>600</v>
      </c>
      <c r="B20" s="266">
        <f>'Sources and Uses Budget'!$C19</f>
        <v>116766</v>
      </c>
      <c r="C20" s="266">
        <f>'Sources and Uses Budget'!$C19</f>
        <v>116766</v>
      </c>
      <c r="D20" s="270">
        <f t="shared" si="0"/>
        <v>0</v>
      </c>
      <c r="E20" s="268"/>
      <c r="F20" s="267"/>
    </row>
    <row r="21" spans="1:6" s="352" customFormat="1">
      <c r="A21" s="145" t="s">
        <v>137</v>
      </c>
      <c r="B21" s="266">
        <f>'Sources and Uses Budget'!$C20</f>
        <v>350298</v>
      </c>
      <c r="C21" s="266">
        <f>'Sources and Uses Budget'!$C20</f>
        <v>350298</v>
      </c>
      <c r="D21" s="270">
        <f t="shared" si="0"/>
        <v>0</v>
      </c>
      <c r="E21" s="268"/>
      <c r="F21" s="267"/>
    </row>
    <row r="22" spans="1:6" s="352" customFormat="1">
      <c r="A22" s="145" t="s">
        <v>138</v>
      </c>
      <c r="B22" s="266">
        <f>'Sources and Uses Budget'!$C21</f>
        <v>350298</v>
      </c>
      <c r="C22" s="266">
        <f>'Sources and Uses Budget'!$C21</f>
        <v>350298</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72395</v>
      </c>
      <c r="C24" s="266">
        <f>'Sources and Uses Budget'!$C23</f>
        <v>72395</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6727757</v>
      </c>
      <c r="C27" s="270">
        <f>SUM(C18:C26)</f>
        <v>6727757</v>
      </c>
      <c r="D27" s="270">
        <f>SUM(D18:D26)</f>
        <v>0</v>
      </c>
      <c r="E27" s="268"/>
      <c r="F27" s="267"/>
    </row>
    <row r="28" spans="1:6" s="352" customFormat="1">
      <c r="A28" s="271" t="s">
        <v>141</v>
      </c>
      <c r="B28" s="266">
        <f>'Sources and Uses Budget'!$C$27</f>
        <v>680801</v>
      </c>
      <c r="C28" s="266">
        <f>'Sources and Uses Budget'!$C$27</f>
        <v>680801</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192500</v>
      </c>
      <c r="C41" s="266">
        <f>'Sources and Uses Budget'!$C40</f>
        <v>192500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192500</v>
      </c>
      <c r="C43" s="270">
        <f>SUM(C41:C42)</f>
        <v>192500</v>
      </c>
      <c r="D43" s="270">
        <f t="shared" si="0"/>
        <v>0</v>
      </c>
      <c r="E43" s="268"/>
      <c r="F43" s="267"/>
    </row>
    <row r="44" spans="1:6" s="352" customFormat="1">
      <c r="A44" s="271" t="s">
        <v>148</v>
      </c>
      <c r="B44" s="266">
        <f>'Sources and Uses Budget'!$C43</f>
        <v>14500</v>
      </c>
      <c r="C44" s="266">
        <f>'Sources and Uses Budget'!$C43</f>
        <v>14500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608355</v>
      </c>
      <c r="C46" s="266">
        <f>'Sources and Uses Budget'!$C45</f>
        <v>608355</v>
      </c>
      <c r="D46" s="270">
        <f t="shared" si="0"/>
        <v>0</v>
      </c>
      <c r="E46" s="268"/>
      <c r="F46" s="267"/>
    </row>
    <row r="47" spans="1:6" s="352" customFormat="1">
      <c r="A47" s="145" t="s">
        <v>151</v>
      </c>
      <c r="B47" s="266">
        <f>'Sources and Uses Budget'!$C46</f>
        <v>195800</v>
      </c>
      <c r="C47" s="266">
        <f>'Sources and Uses Budget'!$C46</f>
        <v>195800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58500</v>
      </c>
      <c r="C53" s="266">
        <f>'Sources and Uses Budget'!$C52</f>
        <v>58500</v>
      </c>
      <c r="D53" s="270">
        <f t="shared" si="0"/>
        <v>0</v>
      </c>
      <c r="E53" s="268"/>
      <c r="F53" s="267"/>
    </row>
    <row r="54" spans="1:6" s="352" customFormat="1">
      <c r="A54" s="155" t="str">
        <f>'Sources and Uses Budget'!A53</f>
        <v>Costs of Issuance</v>
      </c>
      <c r="B54" s="266">
        <f>'Sources and Uses Budget'!$C53</f>
        <v>190000</v>
      </c>
      <c r="C54" s="266">
        <f>'Sources and Uses Budget'!$C53</f>
        <v>190000</v>
      </c>
      <c r="D54" s="270">
        <f t="shared" si="0"/>
        <v>0</v>
      </c>
      <c r="E54" s="268"/>
      <c r="F54" s="267"/>
    </row>
    <row r="55" spans="1:6" s="353" customFormat="1">
      <c r="A55" s="271" t="s">
        <v>157</v>
      </c>
      <c r="B55" s="273">
        <f>SUM(B46:B54)</f>
        <v>1092655</v>
      </c>
      <c r="C55" s="273">
        <f>SUM(C46:C54)</f>
        <v>1092655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Costs of Issuance</v>
      </c>
      <c r="B62" s="266">
        <f>'Sources and Uses Budget'!$C61</f>
        <v>229680</v>
      </c>
      <c r="C62" s="266">
        <f>'Sources and Uses Budget'!$C61</f>
        <v>229680</v>
      </c>
      <c r="D62" s="270">
        <f t="shared" si="0"/>
        <v>0</v>
      </c>
      <c r="E62" s="268"/>
      <c r="F62" s="267"/>
    </row>
    <row r="63" spans="1:6" s="352" customFormat="1" ht="13.7" customHeight="1">
      <c r="A63" s="271" t="s">
        <v>301</v>
      </c>
      <c r="B63" s="270">
        <f>SUM(B57:B62)</f>
        <v>239680</v>
      </c>
      <c r="C63" s="270">
        <f>SUM(C57:C62)</f>
        <v>239680</v>
      </c>
      <c r="D63" s="270">
        <f t="shared" si="0"/>
        <v>0</v>
      </c>
      <c r="E63" s="268"/>
      <c r="F63" s="267"/>
    </row>
    <row r="64" spans="1:6" s="352" customFormat="1">
      <c r="A64" s="274" t="s">
        <v>302</v>
      </c>
      <c r="B64" s="270">
        <f>SUM(B9+B12+B14+B15+B17+B26+B28+B39+B43+B44+B55+B63)</f>
        <v>17677530</v>
      </c>
      <c r="C64" s="270">
        <f>SUM(C9+C12+C14+C15+C17+C26+C28+C39+C43+C44+C55+C63)</f>
        <v>17677530</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Borrower Counsel</v>
      </c>
      <c r="B70" s="266">
        <f>'Sources and Uses Budget'!$C69</f>
        <v>135000</v>
      </c>
      <c r="C70" s="266">
        <f>'Sources and Uses Budget'!$C69</f>
        <v>135000</v>
      </c>
      <c r="D70" s="270">
        <f t="shared" si="0"/>
        <v>0</v>
      </c>
      <c r="E70" s="268"/>
      <c r="F70" s="267"/>
    </row>
    <row r="71" spans="1:6" s="352" customFormat="1">
      <c r="A71" s="149" t="s">
        <v>1645</v>
      </c>
      <c r="B71" s="270">
        <f>SUM(B66:B70)</f>
        <v>195000</v>
      </c>
      <c r="C71" s="270">
        <f>SUM(C66:C70)</f>
        <v>195000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303289</v>
      </c>
      <c r="C76" s="266">
        <f>'Sources and Uses Budget'!$C75</f>
        <v>303289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303289</v>
      </c>
      <c r="C78" s="270">
        <f>SUM(C73:C77)</f>
        <v>303289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584130</v>
      </c>
      <c r="C80" s="266">
        <f>'Sources and Uses Budget'!$C79</f>
        <v>584130</v>
      </c>
      <c r="D80" s="270">
        <f t="shared" si="1"/>
        <v>0</v>
      </c>
      <c r="E80" s="268"/>
      <c r="F80" s="267"/>
    </row>
    <row r="81" spans="1:6" s="352" customFormat="1">
      <c r="A81" s="510" t="s">
        <v>58</v>
      </c>
      <c r="B81" s="266">
        <f>'Sources and Uses Budget'!$C80</f>
        <v>157500</v>
      </c>
      <c r="C81" s="266">
        <f>'Sources and Uses Budget'!$C80</f>
        <v>157500</v>
      </c>
      <c r="D81" s="270">
        <f>C81-B81</f>
        <v>0</v>
      </c>
      <c r="E81" s="268"/>
      <c r="F81" s="267"/>
    </row>
    <row r="82" spans="1:6" s="352" customFormat="1">
      <c r="A82" s="271" t="s">
        <v>1209</v>
      </c>
      <c r="B82" s="270">
        <f>SUM(B80:B81)</f>
        <v>741630</v>
      </c>
      <c r="C82" s="270">
        <f>SUM(C80:C81)</f>
        <v>741630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65093</v>
      </c>
      <c r="C84" s="266">
        <f>'Sources and Uses Budget'!$C83</f>
        <v>65093</v>
      </c>
      <c r="D84" s="270">
        <f t="shared" si="1"/>
        <v>0</v>
      </c>
      <c r="E84" s="268"/>
      <c r="F84" s="267"/>
    </row>
    <row r="85" spans="1:6" s="352" customFormat="1">
      <c r="A85" s="269" t="s">
        <v>767</v>
      </c>
      <c r="B85" s="266">
        <f>'Sources and Uses Budget'!$C84</f>
        <v>85200</v>
      </c>
      <c r="C85" s="266">
        <f>'Sources and Uses Budget'!$C84</f>
        <v>85200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75000</v>
      </c>
      <c r="C90" s="266">
        <f>'Sources and Uses Budget'!$C89</f>
        <v>75000</v>
      </c>
      <c r="D90" s="270">
        <f t="shared" si="1"/>
        <v>0</v>
      </c>
      <c r="E90" s="268"/>
      <c r="F90" s="267"/>
    </row>
    <row r="91" spans="1:6" s="352" customFormat="1">
      <c r="A91" s="269" t="s">
        <v>773</v>
      </c>
      <c r="B91" s="266">
        <f>'Sources and Uses Budget'!$C90</f>
        <v>5000</v>
      </c>
      <c r="C91" s="266">
        <f>'Sources and Uses Budget'!$C90</f>
        <v>5000</v>
      </c>
      <c r="D91" s="270">
        <f t="shared" si="1"/>
        <v>0</v>
      </c>
      <c r="E91" s="268"/>
      <c r="F91" s="267"/>
    </row>
    <row r="92" spans="1:6" s="352" customFormat="1">
      <c r="A92" s="269" t="s">
        <v>372</v>
      </c>
      <c r="B92" s="266">
        <f>'Sources and Uses Budget'!$C91</f>
        <v>35000</v>
      </c>
      <c r="C92" s="266">
        <f>'Sources and Uses Budget'!$C91</f>
        <v>35000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275293</v>
      </c>
      <c r="C97" s="270">
        <f>SUM(C84:C96)</f>
        <v>275293</v>
      </c>
      <c r="D97" s="270">
        <f t="shared" si="1"/>
        <v>0</v>
      </c>
      <c r="E97" s="268"/>
      <c r="F97" s="267"/>
    </row>
    <row r="98" spans="1:6" s="352" customFormat="1">
      <c r="A98" s="271" t="s">
        <v>775</v>
      </c>
      <c r="B98" s="270">
        <f>SUM(B64+B71+B78+B82+B97)</f>
        <v>19192742</v>
      </c>
      <c r="C98" s="270">
        <f>SUM(C64+C71+C78+C82+C97)</f>
        <v>19192742</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2067197</v>
      </c>
      <c r="C100" s="266">
        <f>'Sources and Uses Budget'!$C99</f>
        <v>2067197</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2067197</v>
      </c>
      <c r="C105" s="270">
        <f>SUM(C100:C104)</f>
        <v>2067197</v>
      </c>
      <c r="D105" s="270">
        <f t="shared" si="1"/>
        <v>0</v>
      </c>
      <c r="E105" s="268"/>
      <c r="F105" s="267"/>
    </row>
    <row r="106" spans="1:6" s="352" customFormat="1">
      <c r="A106" s="271" t="s">
        <v>780</v>
      </c>
      <c r="B106" s="273">
        <f>SUM(B98+B105)</f>
        <v>21259939</v>
      </c>
      <c r="C106" s="273">
        <f>SUM(C98+C105)</f>
        <v>21259939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62" workbookViewId="0">
      <selection activeCell="B362" sqref="B36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25">
      <c r="A15" s="484"/>
      <c r="B15" s="485" t="s">
        <v>2743</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2743</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2744</v>
      </c>
      <c r="D24" s="1283" t="s">
        <v>1091</v>
      </c>
      <c r="E24" s="1283"/>
      <c r="F24" s="1283"/>
      <c r="I24" s="490"/>
    </row>
    <row r="25" spans="1:9" ht="14.25">
      <c r="A25" s="484"/>
      <c r="B25" s="484"/>
      <c r="D25" s="1283"/>
      <c r="E25" s="1283"/>
      <c r="F25" s="1283"/>
      <c r="I25" s="490"/>
    </row>
    <row r="26" spans="1:9">
      <c r="I26" s="490"/>
    </row>
    <row r="27" spans="1:9" ht="14.25">
      <c r="A27" s="484"/>
      <c r="B27" s="485" t="s">
        <v>2743</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2743</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2744</v>
      </c>
      <c r="D36" s="1283" t="s">
        <v>1214</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2744</v>
      </c>
      <c r="D41" s="1283" t="s">
        <v>1092</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2744</v>
      </c>
      <c r="D47" s="1283" t="s">
        <v>1093</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2744</v>
      </c>
      <c r="D52" s="1283" t="s">
        <v>1094</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2743</v>
      </c>
      <c r="D56" s="1307" t="s">
        <v>1095</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2744</v>
      </c>
      <c r="D61" s="1283" t="s">
        <v>1096</v>
      </c>
      <c r="E61" s="1283"/>
      <c r="F61" s="1283"/>
      <c r="I61" s="490"/>
    </row>
    <row r="62" spans="1:9">
      <c r="D62" s="1283"/>
      <c r="E62" s="1283"/>
      <c r="F62" s="1283"/>
      <c r="I62" s="490"/>
    </row>
    <row r="63" spans="1:9">
      <c r="D63" s="1283"/>
      <c r="E63" s="1283"/>
      <c r="F63" s="1283"/>
      <c r="I63" s="490"/>
    </row>
    <row r="64" spans="1:9">
      <c r="I64" s="490"/>
    </row>
    <row r="65" spans="1:9" ht="14.25">
      <c r="A65" s="484"/>
      <c r="B65" s="485" t="s">
        <v>2744</v>
      </c>
      <c r="D65" s="1283" t="s">
        <v>1097</v>
      </c>
      <c r="E65" s="1283"/>
      <c r="F65" s="1283"/>
      <c r="I65" s="490"/>
    </row>
    <row r="66" spans="1:9">
      <c r="D66" s="1283"/>
      <c r="E66" s="1283"/>
      <c r="F66" s="1283"/>
      <c r="I66" s="490"/>
    </row>
    <row r="67" spans="1:9">
      <c r="I67" s="490"/>
    </row>
    <row r="68" spans="1:9" ht="14.25">
      <c r="A68" s="484"/>
      <c r="B68" s="485" t="s">
        <v>2743</v>
      </c>
      <c r="D68" s="1283" t="s">
        <v>1098</v>
      </c>
      <c r="E68" s="1283"/>
      <c r="F68" s="1283"/>
      <c r="I68" s="490"/>
    </row>
    <row r="69" spans="1:9">
      <c r="D69" s="1283"/>
      <c r="E69" s="1283"/>
      <c r="F69" s="1283"/>
      <c r="I69" s="490"/>
    </row>
    <row r="70" spans="1:9">
      <c r="D70" s="1283"/>
      <c r="E70" s="1283"/>
      <c r="F70" s="1283"/>
      <c r="I70" s="490"/>
    </row>
    <row r="71" spans="1:9">
      <c r="I71" s="490"/>
    </row>
    <row r="72" spans="1:9" ht="14.25">
      <c r="A72" s="484"/>
      <c r="B72" s="485" t="s">
        <v>2744</v>
      </c>
      <c r="D72" s="1283" t="s">
        <v>1099</v>
      </c>
      <c r="E72" s="1283"/>
      <c r="F72" s="1283"/>
      <c r="I72" s="490"/>
    </row>
    <row r="73" spans="1:9">
      <c r="D73" s="1283"/>
      <c r="E73" s="1283"/>
      <c r="F73" s="1283"/>
      <c r="I73" s="490"/>
    </row>
    <row r="74" spans="1:9" ht="14.25">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 customHeight="1">
      <c r="A80" s="484"/>
      <c r="B80" s="485" t="s">
        <v>2743</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2743</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2743</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2743</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2744</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2744</v>
      </c>
      <c r="D103" s="1283" t="s">
        <v>1194</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2744</v>
      </c>
      <c r="D119" s="1303" t="s">
        <v>1103</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2743</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2744</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2743</v>
      </c>
      <c r="D137" s="1283" t="s">
        <v>1105</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2744</v>
      </c>
      <c r="D151" s="1283" t="s">
        <v>1177</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2744</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2744</v>
      </c>
      <c r="C177" s="476"/>
      <c r="D177" s="1263" t="s">
        <v>1106</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2744</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2744</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2744</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2744</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2744</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2744</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ht="14.25">
      <c r="A217" s="484"/>
      <c r="B217" s="485" t="s">
        <v>2744</v>
      </c>
      <c r="D217" s="1283" t="s">
        <v>1216</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 customHeight="1">
      <c r="A227" s="490"/>
      <c r="C227" s="490"/>
      <c r="D227" s="1291" t="s">
        <v>546</v>
      </c>
      <c r="E227" s="1291"/>
      <c r="F227" s="1291"/>
      <c r="I227" s="490"/>
    </row>
    <row r="228" spans="1:9" ht="14.25">
      <c r="A228" s="484"/>
      <c r="B228" s="485" t="s">
        <v>2743</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2743</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1118</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2743</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2744</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2743</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2743</v>
      </c>
      <c r="D259" s="1283" t="s">
        <v>1119</v>
      </c>
      <c r="E259" s="1283"/>
      <c r="F259" s="1283"/>
      <c r="I259" s="490"/>
    </row>
    <row r="260" spans="1:9" ht="14.25">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2743</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2744</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2744</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ht="14.25">
      <c r="A290" s="484"/>
      <c r="B290" s="485" t="s">
        <v>2743</v>
      </c>
      <c r="D290" s="1283" t="s">
        <v>1125</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2743</v>
      </c>
      <c r="D293" s="1283" t="s">
        <v>1126</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2744</v>
      </c>
      <c r="D297" s="1283" t="s">
        <v>1127</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2744</v>
      </c>
      <c r="D305" s="1284" t="s">
        <v>1129</v>
      </c>
      <c r="E305" s="1284"/>
      <c r="F305" s="1284"/>
      <c r="I305" s="490"/>
    </row>
    <row r="306" spans="1:9" ht="14.25">
      <c r="A306" s="484"/>
      <c r="B306" s="484"/>
      <c r="D306" s="494"/>
      <c r="E306" s="495"/>
      <c r="F306" s="495"/>
      <c r="I306" s="490"/>
    </row>
    <row r="307" spans="1:9" ht="13.7" customHeight="1">
      <c r="B307" s="485" t="s">
        <v>2743</v>
      </c>
      <c r="D307" s="1293" t="s">
        <v>1219</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2743</v>
      </c>
      <c r="D313" s="1293" t="s">
        <v>1130</v>
      </c>
      <c r="E313" s="1293"/>
      <c r="F313" s="1293"/>
      <c r="I313" s="490"/>
    </row>
    <row r="314" spans="1:9">
      <c r="D314" s="1293"/>
      <c r="E314" s="1293"/>
      <c r="F314" s="1293"/>
      <c r="I314" s="490"/>
    </row>
    <row r="315" spans="1:9" ht="14.25">
      <c r="A315" s="484"/>
      <c r="B315" s="484"/>
      <c r="D315" s="494"/>
      <c r="E315" s="495"/>
      <c r="F315" s="495"/>
      <c r="I315" s="490"/>
    </row>
    <row r="316" spans="1:9">
      <c r="B316" s="485" t="s">
        <v>2744</v>
      </c>
      <c r="D316" s="1284" t="s">
        <v>1131</v>
      </c>
      <c r="E316" s="1284"/>
      <c r="F316" s="1284"/>
      <c r="I316" s="490"/>
    </row>
    <row r="317" spans="1:9">
      <c r="E317" s="446"/>
      <c r="F317" s="446"/>
      <c r="I317" s="490"/>
    </row>
    <row r="318" spans="1:9" ht="14.25">
      <c r="A318" s="484"/>
      <c r="B318" s="485" t="s">
        <v>2743</v>
      </c>
      <c r="D318" s="1283" t="s">
        <v>2244</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2744</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2743</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2743</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2743</v>
      </c>
      <c r="C360" s="476"/>
      <c r="D360" s="1295" t="s">
        <v>2056</v>
      </c>
      <c r="E360" s="1295"/>
      <c r="F360" s="1295"/>
      <c r="I360" s="480"/>
    </row>
    <row r="361" spans="1:9">
      <c r="A361" s="476"/>
      <c r="B361" s="476"/>
      <c r="C361" s="476"/>
      <c r="D361" s="447"/>
      <c r="E361" s="447"/>
      <c r="F361" s="446"/>
      <c r="I361" s="490"/>
    </row>
    <row r="362" spans="1:9">
      <c r="A362" s="476"/>
      <c r="B362" s="485" t="s">
        <v>2743</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2743</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2744</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2744</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2743</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2743</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2743</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2744</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2743</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2743</v>
      </c>
      <c r="C471" s="484"/>
      <c r="D471" s="1283" t="s">
        <v>1197</v>
      </c>
      <c r="E471" s="1283"/>
      <c r="F471" s="1283"/>
      <c r="I471" s="490"/>
    </row>
    <row r="472" spans="1:9">
      <c r="D472" s="1283"/>
      <c r="E472" s="1283"/>
      <c r="F472" s="1283"/>
      <c r="I472" s="490"/>
    </row>
    <row r="473" spans="1:9">
      <c r="D473" s="446"/>
      <c r="E473" s="446"/>
      <c r="F473" s="446"/>
      <c r="I473" s="490"/>
    </row>
    <row r="474" spans="1:9" ht="14.25">
      <c r="B474" s="485" t="s">
        <v>2743</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2744</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2744</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2744</v>
      </c>
      <c r="C486" s="402"/>
      <c r="D486" s="1283"/>
      <c r="E486" s="1283"/>
      <c r="F486" s="1283"/>
      <c r="I486" s="490"/>
    </row>
    <row r="487" spans="1:9">
      <c r="A487" s="402"/>
      <c r="C487" s="402"/>
      <c r="D487" s="1283"/>
      <c r="E487" s="1283"/>
      <c r="F487" s="1283"/>
      <c r="I487" s="490"/>
    </row>
    <row r="488" spans="1:9">
      <c r="A488" s="402"/>
      <c r="B488" s="485" t="s">
        <v>2744</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2743</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25">
      <c r="A499" s="484"/>
      <c r="B499" s="484"/>
      <c r="D499" s="1295" t="s">
        <v>1141</v>
      </c>
      <c r="E499" s="1295"/>
      <c r="F499" s="1295"/>
      <c r="I499" s="490"/>
    </row>
    <row r="500" spans="1:9" ht="14.25">
      <c r="A500" s="484"/>
      <c r="B500" s="484"/>
      <c r="D500" s="447"/>
      <c r="I500" s="490"/>
    </row>
    <row r="501" spans="1:9" ht="14.25">
      <c r="A501" s="484"/>
      <c r="B501" s="485" t="s">
        <v>2743</v>
      </c>
      <c r="D501" s="1263" t="s">
        <v>1142</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2743</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2743</v>
      </c>
      <c r="D509" s="1284" t="s">
        <v>1143</v>
      </c>
      <c r="E509" s="1284"/>
      <c r="F509" s="1284"/>
      <c r="I509" s="490"/>
    </row>
    <row r="510" spans="1:9" ht="14.25">
      <c r="A510" s="484"/>
      <c r="B510" s="484"/>
      <c r="D510" s="446"/>
      <c r="I510" s="490"/>
    </row>
    <row r="511" spans="1:9" ht="14.25">
      <c r="A511" s="484"/>
      <c r="B511" s="485" t="s">
        <v>2743</v>
      </c>
      <c r="D511" s="1283" t="s">
        <v>1144</v>
      </c>
      <c r="E511" s="1283"/>
      <c r="F511" s="1283"/>
      <c r="I511" s="490"/>
    </row>
    <row r="512" spans="1:9" ht="14.25">
      <c r="A512" s="484"/>
      <c r="D512" s="1283"/>
      <c r="E512" s="1283"/>
      <c r="F512" s="1283"/>
      <c r="I512" s="490"/>
    </row>
    <row r="513" spans="1:9">
      <c r="A513" s="490"/>
      <c r="B513" s="490"/>
      <c r="D513" s="447"/>
      <c r="I513" s="490"/>
    </row>
    <row r="514" spans="1:9">
      <c r="A514" s="490"/>
      <c r="B514" s="485" t="s">
        <v>2744</v>
      </c>
      <c r="D514" s="1284" t="s">
        <v>1145</v>
      </c>
      <c r="E514" s="1284"/>
      <c r="F514" s="1284"/>
      <c r="I514" s="490"/>
    </row>
    <row r="515" spans="1:9">
      <c r="D515" s="446"/>
      <c r="E515" s="446"/>
      <c r="F515" s="446"/>
      <c r="I515" s="490"/>
    </row>
    <row r="516" spans="1:9">
      <c r="B516" s="485" t="s">
        <v>2744</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2743</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2743</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2744</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 customHeight="1">
      <c r="A548" s="484"/>
      <c r="B548" s="485" t="s">
        <v>2743</v>
      </c>
      <c r="C548" s="487"/>
      <c r="D548" s="1284" t="s">
        <v>884</v>
      </c>
      <c r="E548" s="1284"/>
      <c r="F548" s="1284"/>
      <c r="I548" s="490"/>
    </row>
    <row r="549" spans="1:9" ht="13.7" customHeight="1">
      <c r="A549" s="487"/>
      <c r="B549" s="487"/>
      <c r="C549" s="487"/>
      <c r="D549" s="446"/>
      <c r="I549" s="490"/>
    </row>
    <row r="550" spans="1:9" ht="14.25">
      <c r="A550" s="484"/>
      <c r="B550" s="485" t="s">
        <v>2743</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2743</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2743</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2743</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2743</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2744</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2743</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2743</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2743</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2743</v>
      </c>
      <c r="D588" s="1287" t="s">
        <v>888</v>
      </c>
      <c r="E588" s="1287"/>
      <c r="F588" s="1287"/>
      <c r="I588" s="490"/>
    </row>
    <row r="589" spans="1:9">
      <c r="A589" s="490"/>
      <c r="B589" s="490"/>
      <c r="D589" s="476"/>
      <c r="I589" s="490"/>
    </row>
    <row r="590" spans="1:9">
      <c r="A590" s="490"/>
      <c r="B590" s="485" t="s">
        <v>2743</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2744</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2743</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2744</v>
      </c>
      <c r="D602" s="1287" t="s">
        <v>1069</v>
      </c>
      <c r="E602" s="1287"/>
      <c r="F602" s="1287"/>
      <c r="I602" s="490"/>
    </row>
    <row r="603" spans="1:9">
      <c r="A603" s="490"/>
      <c r="B603" s="490"/>
      <c r="D603" s="1287"/>
      <c r="E603" s="1287"/>
      <c r="F603" s="1287"/>
      <c r="I603" s="490"/>
    </row>
    <row r="604" spans="1:9" ht="14.25">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2743</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2743</v>
      </c>
      <c r="D620" s="1308" t="s">
        <v>1111</v>
      </c>
      <c r="E620" s="1308"/>
      <c r="F620" s="1308"/>
      <c r="I620" s="490"/>
    </row>
    <row r="621" spans="1:9">
      <c r="D621" s="1308"/>
      <c r="E621" s="1308"/>
      <c r="F621" s="1308"/>
      <c r="I621" s="490"/>
    </row>
    <row r="622" spans="1:9">
      <c r="I622" s="490"/>
    </row>
    <row r="623" spans="1:9">
      <c r="B623" s="485" t="s">
        <v>2743</v>
      </c>
      <c r="D623" s="1308" t="s">
        <v>1112</v>
      </c>
      <c r="E623" s="1308"/>
      <c r="F623" s="1308"/>
      <c r="I623" s="490"/>
    </row>
    <row r="624" spans="1:9">
      <c r="C624" s="500"/>
      <c r="D624" s="1308"/>
      <c r="E624" s="1308"/>
      <c r="F624" s="1308"/>
      <c r="I624" s="490"/>
    </row>
    <row r="625" spans="1:9">
      <c r="C625" s="500"/>
      <c r="I625" s="490"/>
    </row>
    <row r="626" spans="1:9">
      <c r="B626" s="485" t="s">
        <v>2744</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2743</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2744</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2744</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2744</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2743</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2744</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2744</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2744</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25">
      <c r="A685" s="484"/>
      <c r="B685" s="485" t="s">
        <v>2743</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2744</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2743</v>
      </c>
      <c r="C694" s="483"/>
      <c r="D694" s="1284" t="s">
        <v>917</v>
      </c>
      <c r="E694" s="1284"/>
      <c r="F694" s="1284"/>
      <c r="H694" s="501"/>
      <c r="I694" s="483"/>
      <c r="J694" s="501"/>
      <c r="K694" s="501"/>
    </row>
    <row r="695" spans="1:11" ht="14.25">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2744</v>
      </c>
      <c r="C698" s="483"/>
      <c r="D698" s="1284" t="s">
        <v>2468</v>
      </c>
      <c r="E698" s="1284"/>
      <c r="F698" s="1284"/>
      <c r="H698" s="501"/>
      <c r="I698" s="483"/>
      <c r="J698" s="501"/>
      <c r="K698" s="501"/>
    </row>
    <row r="699" spans="1:11" ht="14.25">
      <c r="A699" s="484"/>
      <c r="B699" s="484"/>
      <c r="C699" s="483"/>
      <c r="D699" s="1284" t="s">
        <v>894</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2744</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2744</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2744</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2744</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2744</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2744</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2744</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2744</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2743</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2744</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2744</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2744</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2744</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2743</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2744</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2744</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2743</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2744</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2744</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2744</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2743</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2743</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2744</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2744</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2744</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2743</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2743</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2744</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2744</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2744</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2744</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2743</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2743</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2744</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2744</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2744</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2744</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2743</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2743</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2743</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2744</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2744</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2744</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2743</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2743</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2744</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2743</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2744</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2744</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2743</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2743</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2744</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2744</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2744</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2744</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2743</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2744</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2743</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2744</v>
      </c>
      <c r="C1062" s="402"/>
      <c r="D1062" s="402" t="s">
        <v>1812</v>
      </c>
      <c r="I1062" s="490"/>
    </row>
    <row r="1063" spans="1:9">
      <c r="A1063" s="402"/>
      <c r="B1063" s="402"/>
      <c r="C1063" s="402"/>
      <c r="I1063" s="490"/>
    </row>
    <row r="1064" spans="1:9">
      <c r="A1064" s="402"/>
      <c r="B1064" s="485" t="s">
        <v>2744</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2743</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2744</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2744</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2744</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2744</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2743</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2744</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2743</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2744</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2743</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2744</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45" workbookViewId="0">
      <selection activeCell="AM562" sqref="AM562:AS56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Inland (Fresno, Imperial, Kern, Kings, Madera, Merced, Riverside, San Bernardino, Stanislaus, and Tulare Counties)</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8</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2509</v>
      </c>
      <c r="BE8" s="1249">
        <f>SUMIF($AC$718:$AC$752,"&lt;=35%",$G$718:G$752)-SUM($BE$5:BE7)</f>
        <v>0</v>
      </c>
    </row>
    <row r="9" spans="1:58" ht="12.95" customHeight="1">
      <c r="A9" s="1841" t="s">
        <v>2076</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2501</v>
      </c>
      <c r="BE9" s="1249">
        <f>SUMIF($AC$718:$AC$752,"&lt;=40%",$G$718:G$752)-SUM($BE$5:BE8)</f>
        <v>0</v>
      </c>
    </row>
    <row r="10" spans="1:58" ht="12.95" customHeight="1">
      <c r="A10" s="1841" t="s">
        <v>2458</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2510</v>
      </c>
      <c r="BE10" s="1249">
        <f>SUMIF($AC$718:$AC$752,"&lt;=45%",$G$718:G$752)-SUM($BE$5:BE9)</f>
        <v>0</v>
      </c>
    </row>
    <row r="11" spans="1:58" ht="12.95" customHeight="1">
      <c r="A11" s="1841" t="s">
        <v>2604</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2502</v>
      </c>
      <c r="BE11" s="1249">
        <f>SUMIF($AC$718:$AC$752,"&lt;=50%",$G$718:G$752)-SUM($BE$5:BE10)</f>
        <v>8</v>
      </c>
    </row>
    <row r="12" spans="1:58" ht="12.95" customHeight="1">
      <c r="A12" s="1842" t="s">
        <v>2610</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2511</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61</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569" t="s">
        <v>2612</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656</v>
      </c>
      <c r="BE16" s="1249" t="str">
        <f>Application!H18</f>
        <v xml:space="preserve">Mammoth Lakes Family Apartments </v>
      </c>
    </row>
    <row r="17" spans="1:58" ht="12.95" customHeight="1">
      <c r="BD17" s="1247" t="s">
        <v>2518</v>
      </c>
      <c r="BE17" s="1249">
        <f>Application!AA934</f>
        <v>0</v>
      </c>
    </row>
    <row r="18" spans="1:58" ht="12.95" customHeight="1">
      <c r="A18" s="57" t="s">
        <v>101</v>
      </c>
      <c r="C18" s="4"/>
      <c r="D18" s="4"/>
      <c r="E18" s="4"/>
      <c r="F18" s="4"/>
      <c r="G18" s="4"/>
      <c r="H18" s="1522"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2519</v>
      </c>
      <c r="BE18" s="1249">
        <f>'CalHFA Addendum'!N11</f>
        <v>0</v>
      </c>
    </row>
    <row r="19" spans="1:58" ht="12.95" customHeight="1">
      <c r="BD19" s="1247" t="s">
        <v>2520</v>
      </c>
      <c r="BE19" s="1249">
        <f>Application!M26</f>
        <v>1152307</v>
      </c>
    </row>
    <row r="20" spans="1:58" ht="12.95" customHeight="1">
      <c r="A20" s="1843" t="s">
        <v>873</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2521</v>
      </c>
      <c r="BE20" s="1249">
        <f>Application!M27</f>
        <v>0</v>
      </c>
    </row>
    <row r="21" spans="1:58" ht="12.95" customHeight="1">
      <c r="A21" s="1846" t="s">
        <v>1009</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2522</v>
      </c>
      <c r="BE21" s="1249">
        <f>Application!AM554</f>
        <v>7904531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27987696</v>
      </c>
      <c r="BF22" s="3" t="s">
        <v>2595</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585000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87378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845">
        <f>'Basis &amp; Credits'!AB56</f>
        <v>1152307</v>
      </c>
      <c r="N26" s="1845"/>
      <c r="O26" s="1845"/>
      <c r="P26" s="1845"/>
      <c r="Q26" s="1845"/>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8" t="s">
        <v>2147</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2527</v>
      </c>
      <c r="BE29" s="1249" t="b">
        <f>Application!M358="Yes"</f>
        <v>1</v>
      </c>
    </row>
    <row r="30" spans="1:58" ht="12.95"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0</v>
      </c>
    </row>
    <row r="31" spans="1:58" ht="12.95"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2528</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415" t="s">
        <v>669</v>
      </c>
      <c r="P33" s="1415"/>
      <c r="Q33" s="1844" t="s">
        <v>2148</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2596</v>
      </c>
      <c r="BE33" s="1249" t="str">
        <f>Application!D220</f>
        <v>Central Valley Region: Fresno, Kern, Kings, Madera, Merced, San Joaquin, Stanislaus, and Tulare Counties</v>
      </c>
    </row>
    <row r="34" spans="1:57" ht="12.95" customHeight="1">
      <c r="A34" s="1538" t="s">
        <v>2149</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2530</v>
      </c>
      <c r="BE34" s="1249" t="str">
        <f>Application!I185</f>
        <v>1700 Old Mammoth Road; 44 Manzanita Road; 312 Lupin Street; 129 Dorrance Drive</v>
      </c>
    </row>
    <row r="35" spans="1:57" ht="12.95"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2531</v>
      </c>
      <c r="BE35" s="1249" t="str">
        <f>IF(Application!E187="","",Application!E187)</f>
        <v/>
      </c>
    </row>
    <row r="36" spans="1:57" ht="12.95"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2532</v>
      </c>
      <c r="BE36" s="1249" t="str">
        <f>Application!I189</f>
        <v xml:space="preserve">Mammoth Lakes </v>
      </c>
    </row>
    <row r="37" spans="1:57" ht="12.95"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2533</v>
      </c>
      <c r="BE37" s="1249" t="str">
        <f>Application!T189</f>
        <v>Mono</v>
      </c>
    </row>
    <row r="38" spans="1:57" ht="12.95" customHeight="1">
      <c r="A38" s="3"/>
      <c r="AZ38" s="20"/>
      <c r="BD38" s="1248" t="s">
        <v>2534</v>
      </c>
      <c r="BE38" s="1249" t="str">
        <f>Application!I190</f>
        <v>93546 / 93541</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78</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77</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0.55844155844155841</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0.53463159060882015</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358816.61538461538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12</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West Development Ventures,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 xml:space="preserve">Mike Kelley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 xml:space="preserve">LIHTC Advisors, LLC / Mike Kelley </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t="str">
        <f>Application!M251</f>
        <v xml:space="preserve">Central Valley Coalition for Affordable Housing </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t="str">
        <f>Application!M254</f>
        <v>Christina Alley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 xml:space="preserve">West Development Ventures, LLC </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520 Capitol Mall, Suite 150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Sacramento, CA 95814</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 xml:space="preserve">Mike Kelley </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mikek@westdv.com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0.79</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Yes</v>
      </c>
    </row>
    <row r="65" spans="1:57" ht="12.95" customHeight="1">
      <c r="A65" s="1547" t="s">
        <v>2156</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47" t="s">
        <v>2593</v>
      </c>
      <c r="BE65" s="1249" t="str">
        <f>Z205</f>
        <v>$500M</v>
      </c>
    </row>
    <row r="66" spans="1:57"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48" t="s">
        <v>2558</v>
      </c>
      <c r="BE66" s="1249" t="b">
        <f>Application!Z205="State Farmworker Credit"</f>
        <v>0</v>
      </c>
    </row>
    <row r="67" spans="1:57"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7" t="s">
        <v>2157</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47" t="s">
        <v>2561</v>
      </c>
      <c r="BE69" s="1249" t="str">
        <f>Application!W700</f>
        <v xml:space="preserve">California Munifical Finance Authority </v>
      </c>
    </row>
    <row r="70" spans="1:57"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48" t="s">
        <v>2562</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20</v>
      </c>
    </row>
    <row r="72" spans="1:57" ht="12.95" customHeight="1">
      <c r="A72" s="1538" t="s">
        <v>2158</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2564</v>
      </c>
      <c r="BE72" s="1249">
        <f>'Points System'!AF805</f>
        <v>0</v>
      </c>
    </row>
    <row r="73" spans="1:57" ht="12.95"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6" t="s">
        <v>2159</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47" t="s">
        <v>2567</v>
      </c>
      <c r="BE75" s="1249">
        <f>'Points System'!AF808</f>
        <v>10</v>
      </c>
    </row>
    <row r="76" spans="1:57"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48" t="s">
        <v>2568</v>
      </c>
      <c r="BE76" s="1249">
        <f>'Points System'!AF811</f>
        <v>0</v>
      </c>
    </row>
    <row r="77" spans="1:57"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7" t="s">
        <v>2160</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47" t="s">
        <v>2571</v>
      </c>
      <c r="BE79" s="1249">
        <f>'Points System'!AF815</f>
        <v>0</v>
      </c>
    </row>
    <row r="80" spans="1:57"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48" t="s">
        <v>2572</v>
      </c>
      <c r="BE80" s="1249">
        <f>'Points System'!AF817</f>
        <v>10</v>
      </c>
    </row>
    <row r="81" spans="1:57"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1.6931286625354496</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Town of Mammoth Lakes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Mark Wardlaw</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Community Development Department Director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Box 1609</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Mammoth Lakes</v>
      </c>
    </row>
    <row r="89" spans="1:57" ht="12.95" customHeight="1">
      <c r="A89" s="1555" t="s">
        <v>2163</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2581</v>
      </c>
      <c r="BE89" s="1249">
        <f>Application!O158</f>
        <v>93546</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2582</v>
      </c>
      <c r="BE90" s="1249" t="str">
        <f>Application!H16</f>
        <v xml:space="preserve">West Development Ventures, LLC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520 Capitol Mall, Suite 150</v>
      </c>
    </row>
    <row r="92" spans="1:57" ht="12.95" customHeight="1">
      <c r="A92" s="1546" t="s">
        <v>2164</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48" t="s">
        <v>2584</v>
      </c>
      <c r="BE92" s="1249" t="str">
        <f>Application!M234</f>
        <v xml:space="preserve">Sacramento </v>
      </c>
    </row>
    <row r="93" spans="1:57"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47" t="s">
        <v>2585</v>
      </c>
      <c r="BE93" s="1249" t="str">
        <f>Application!W234</f>
        <v xml:space="preserve">CA </v>
      </c>
    </row>
    <row r="94" spans="1:57"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48" t="s">
        <v>2586</v>
      </c>
      <c r="BE94" s="1249">
        <f>Application!AC234</f>
        <v>95814</v>
      </c>
    </row>
    <row r="95" spans="1:57"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47" t="s">
        <v>2587</v>
      </c>
      <c r="BE95" s="1249" t="str">
        <f>Application!M235</f>
        <v>Mike Kelley</v>
      </c>
    </row>
    <row r="96" spans="1:57"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48" t="s">
        <v>2588</v>
      </c>
      <c r="BE96" s="1249" t="str">
        <f>Application!M237</f>
        <v>mikek@westdv.com</v>
      </c>
    </row>
    <row r="97" spans="1:57"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47" t="s">
        <v>2589</v>
      </c>
      <c r="BE97" s="1249" t="str">
        <f>Application!M248</f>
        <v>mikek@westdv.com</v>
      </c>
    </row>
    <row r="98" spans="1:57"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48" t="s">
        <v>2590</v>
      </c>
      <c r="BE98" s="1249" t="str">
        <f>Application!M256</f>
        <v>chris@centralvalleycoalition.com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56" t="s">
        <v>2165</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2592</v>
      </c>
      <c r="BE100" s="1249" t="str">
        <f>Application!L279</f>
        <v>sstrain@sabelhauslaw.com</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2597</v>
      </c>
      <c r="BE101">
        <f>'Sources and Uses Budget'!C105</f>
        <v>27987696</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2598</v>
      </c>
      <c r="BE102" t="b">
        <f>T197="Yes"</f>
        <v>1</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2175</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6" t="s">
        <v>2166</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9">
        <v>29</v>
      </c>
      <c r="H113" s="1549"/>
      <c r="I113" s="3" t="s">
        <v>182</v>
      </c>
      <c r="L113" s="1549" t="s">
        <v>2675</v>
      </c>
      <c r="M113" s="1549"/>
      <c r="N113" s="1549"/>
      <c r="O113" s="1549"/>
      <c r="P113" s="1564" t="s">
        <v>2239</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0" t="s">
        <v>2676</v>
      </c>
      <c r="D115" s="1550"/>
      <c r="E115" s="1550"/>
      <c r="F115" s="1550"/>
      <c r="G115" s="1550"/>
      <c r="H115" s="1550"/>
      <c r="I115" s="1550"/>
      <c r="J115" s="1550"/>
      <c r="K115" s="155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9"/>
      <c r="Z117" s="1549"/>
      <c r="AA117" s="1549"/>
      <c r="AB117" s="1549"/>
      <c r="AC117" s="1549"/>
      <c r="AD117" s="1549"/>
      <c r="AE117" s="1549"/>
      <c r="AF117" s="1549"/>
      <c r="AG117" s="1549"/>
      <c r="AH117" s="1549"/>
      <c r="AI117" s="1549"/>
      <c r="AJ117" s="1549"/>
      <c r="AK117" s="154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9" t="s">
        <v>2630</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7" t="s">
        <v>469</v>
      </c>
      <c r="CV122" s="1698"/>
      <c r="CW122" s="14"/>
      <c r="CX122" s="14" t="s">
        <v>634</v>
      </c>
      <c r="CY122" s="14"/>
      <c r="CZ122" s="14"/>
      <c r="DA122" s="14"/>
      <c r="DB122" s="14"/>
      <c r="DC122" s="14"/>
      <c r="DD122" s="14"/>
      <c r="DE122" s="14"/>
      <c r="DF122" s="14"/>
      <c r="DG122" s="1694" t="str">
        <f>T189</f>
        <v>Mono</v>
      </c>
      <c r="DH122" s="1695"/>
      <c r="DI122" s="1695"/>
      <c r="DJ122" s="1695"/>
      <c r="DK122" s="1695"/>
      <c r="DL122" s="1695"/>
      <c r="DM122" s="1696"/>
    </row>
    <row r="123" spans="1:117" ht="12.95" customHeight="1">
      <c r="A123" s="3"/>
      <c r="B123" s="3"/>
      <c r="T123" s="3"/>
      <c r="U123" s="3"/>
      <c r="V123" s="3"/>
      <c r="W123" s="3"/>
      <c r="X123" s="3"/>
      <c r="Y123" s="1549" t="s">
        <v>2684</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522" t="s">
        <v>2677</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535" t="s">
        <v>2678</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3" t="s">
        <v>2679</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07" t="s">
        <v>2680</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2" t="s">
        <v>2676</v>
      </c>
      <c r="P157" s="1525"/>
      <c r="Q157" s="1525"/>
      <c r="R157" s="1525"/>
      <c r="S157" s="1525"/>
      <c r="T157" s="1525"/>
      <c r="U157" s="1525"/>
      <c r="V157" s="1525"/>
      <c r="W157" s="1525"/>
      <c r="X157" s="152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9">
        <v>93546</v>
      </c>
      <c r="P158" s="1559"/>
      <c r="Q158" s="1559"/>
      <c r="R158" s="155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4" t="s">
        <v>2681</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54" t="s">
        <v>2682</v>
      </c>
      <c r="P160" s="1554"/>
      <c r="Q160" s="1554"/>
      <c r="R160" s="1554"/>
      <c r="S160" s="1554"/>
      <c r="T160" s="1554"/>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542" t="s">
        <v>2683</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1" t="s">
        <v>2216</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7" t="s">
        <v>539</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545</v>
      </c>
      <c r="V175" s="1415"/>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509">
        <v>24</v>
      </c>
      <c r="V176" s="1509"/>
      <c r="W176" s="1" t="s">
        <v>306</v>
      </c>
      <c r="X176" s="1568">
        <v>699</v>
      </c>
      <c r="Y176" s="1568"/>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669</v>
      </c>
      <c r="S177" s="1415"/>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2079</v>
      </c>
      <c r="AE178" s="27" t="s">
        <v>305</v>
      </c>
      <c r="AF178" s="1567"/>
      <c r="AG178" s="1567"/>
      <c r="AH178" s="1" t="s">
        <v>306</v>
      </c>
      <c r="AI178" s="1446"/>
      <c r="AJ178" s="1446"/>
      <c r="AK178" s="1446"/>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415" t="s">
        <v>545</v>
      </c>
      <c r="Y180" s="1415"/>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483" t="str">
        <f>H18</f>
        <v xml:space="preserve">Mammoth Lakes Family Apartments </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71" t="s">
        <v>2614</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522" t="s">
        <v>2615</v>
      </c>
      <c r="J189" s="1407"/>
      <c r="K189" s="1407"/>
      <c r="L189" s="1407"/>
      <c r="M189" s="1407"/>
      <c r="N189" s="1407"/>
      <c r="O189" s="1407"/>
      <c r="P189" s="1407"/>
      <c r="Q189" t="s">
        <v>582</v>
      </c>
      <c r="T189" s="1407" t="s">
        <v>60</v>
      </c>
      <c r="U189" s="1407"/>
      <c r="V189" s="1407"/>
      <c r="W189" s="1407"/>
      <c r="X189" s="1407"/>
      <c r="Y189" s="1407"/>
      <c r="Z189" s="1407"/>
      <c r="AA189" s="1407"/>
      <c r="AB189" s="1407"/>
      <c r="AC189" s="1407"/>
      <c r="AD189" s="1407"/>
      <c r="AE189" s="140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71" t="s">
        <v>2616</v>
      </c>
      <c r="J190" s="1371"/>
      <c r="K190" s="1371"/>
      <c r="L190" s="1371"/>
      <c r="M190" s="1371"/>
      <c r="N190" s="1371"/>
      <c r="O190" t="s">
        <v>585</v>
      </c>
      <c r="T190" s="1557">
        <v>2.02</v>
      </c>
      <c r="U190" s="1557"/>
      <c r="V190" s="1557"/>
      <c r="W190" s="1557"/>
      <c r="X190" s="1557"/>
      <c r="Y190" s="1557"/>
      <c r="Z190" s="1557"/>
      <c r="AA190" s="1557"/>
      <c r="AB190" s="1557"/>
      <c r="AC190" s="1557"/>
      <c r="AD190" s="1557"/>
      <c r="AE190" s="155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529" t="s">
        <v>2617</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1" t="s">
        <v>1970</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5" t="s">
        <v>669</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415" t="s">
        <v>545</v>
      </c>
      <c r="U195" s="1415"/>
      <c r="W195" t="s">
        <v>684</v>
      </c>
      <c r="AH195" s="1415">
        <v>3</v>
      </c>
      <c r="AI195" s="1415"/>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27" t="s">
        <v>669</v>
      </c>
      <c r="U196" s="1427"/>
      <c r="W196" t="s">
        <v>685</v>
      </c>
      <c r="AH196" s="1415">
        <v>8</v>
      </c>
      <c r="AI196" s="1415"/>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27" t="s">
        <v>545</v>
      </c>
      <c r="U197" s="1427"/>
      <c r="W197" t="s">
        <v>686</v>
      </c>
      <c r="AH197" s="1415">
        <v>4</v>
      </c>
      <c r="AI197" s="1415"/>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7">
        <v>3</v>
      </c>
      <c r="U198" s="1427"/>
      <c r="V198"/>
      <c r="X198" s="1538" t="s">
        <v>2513</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15" t="s">
        <v>545</v>
      </c>
      <c r="U199" s="1415"/>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2514</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52">
        <f>M26</f>
        <v>1152307</v>
      </c>
      <c r="Q204" s="1553"/>
      <c r="R204" s="1553"/>
      <c r="S204" s="1553"/>
      <c r="T204" s="1553"/>
      <c r="U204" s="1553"/>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40" t="s">
        <v>1247</v>
      </c>
      <c r="E205" s="1483"/>
      <c r="F205" s="1483"/>
      <c r="G205" s="1483"/>
      <c r="H205" s="1483"/>
      <c r="I205" s="1483"/>
      <c r="J205" s="1483"/>
      <c r="K205" s="1483"/>
      <c r="L205" s="1483"/>
      <c r="M205" s="1483"/>
      <c r="P205" s="1553">
        <f>M27</f>
        <v>0</v>
      </c>
      <c r="Q205" s="1553"/>
      <c r="R205" s="1553"/>
      <c r="S205" s="1553"/>
      <c r="T205" s="1553"/>
      <c r="U205" s="1553"/>
      <c r="V205" s="28"/>
      <c r="W205" s="3" t="s">
        <v>1720</v>
      </c>
      <c r="Z205" s="1536" t="s">
        <v>2219</v>
      </c>
      <c r="AA205" s="1536"/>
      <c r="AB205" s="1536"/>
      <c r="AC205" s="1536"/>
      <c r="AD205" s="1536"/>
      <c r="AE205" s="1536"/>
      <c r="AF205" s="1536"/>
      <c r="AG205" s="1536"/>
      <c r="AH205" s="1536"/>
      <c r="AI205" s="1536"/>
      <c r="AJ205" s="1536"/>
      <c r="AK205" s="1536"/>
      <c r="AL205" s="1536"/>
      <c r="AM205" s="1536"/>
      <c r="AN205" s="1536"/>
      <c r="AP205" s="1405"/>
      <c r="AQ205" s="140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25" t="s">
        <v>2618</v>
      </c>
      <c r="E208" s="1525"/>
      <c r="F208" s="1525"/>
      <c r="G208" s="1525"/>
      <c r="H208" s="1525"/>
      <c r="I208" s="1525"/>
      <c r="J208" s="1525"/>
      <c r="K208" s="1525"/>
      <c r="L208" s="1525"/>
      <c r="M208" s="1525"/>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1856</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15">
        <v>0</v>
      </c>
      <c r="R212" s="1415"/>
      <c r="T212" s="1565">
        <f>IFERROR(Q212/AG440,0)</f>
        <v>0</v>
      </c>
      <c r="U212" s="156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8" t="s">
        <v>591</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377</v>
      </c>
    </row>
    <row r="220" spans="1:108" ht="12.95" customHeight="1">
      <c r="A220" s="2"/>
      <c r="C220" s="2"/>
      <c r="D220" s="1525" t="s">
        <v>1061</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9" t="s">
        <v>2466</v>
      </c>
      <c r="AD220" s="1539"/>
      <c r="AE220" s="1539"/>
      <c r="AF220" s="1539"/>
      <c r="AG220" s="1539"/>
      <c r="AH220" s="1539"/>
      <c r="AI220" s="1539"/>
      <c r="AJ220" s="1539"/>
      <c r="AK220" s="1539"/>
      <c r="AL220" s="1539"/>
      <c r="AM220" s="1539"/>
      <c r="AN220" s="1539"/>
      <c r="AO220" s="1539"/>
      <c r="AP220" s="1539"/>
      <c r="AQ220" s="1539"/>
      <c r="BA220" s="3"/>
      <c r="BC220" t="s">
        <v>300</v>
      </c>
    </row>
    <row r="221" spans="1:108" ht="12.95" customHeight="1">
      <c r="A221" s="2"/>
      <c r="B221" s="14"/>
      <c r="C221" s="2"/>
      <c r="BA221" s="3"/>
    </row>
    <row r="222" spans="1:108" ht="12.95" customHeight="1">
      <c r="A222" s="1537" t="s">
        <v>540</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5"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591</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58" t="str">
        <f>H16</f>
        <v xml:space="preserve">West Development Ventures, LLC </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538</v>
      </c>
      <c r="BG232" s="241">
        <f>IF(AND(AND($M$249="nonprofit",$M$257="nonprofit",$M$265="for profit")),2,0)</f>
        <v>0</v>
      </c>
    </row>
    <row r="233" spans="1:59" ht="12.95" customHeight="1">
      <c r="D233" s="4" t="s">
        <v>85</v>
      </c>
      <c r="E233" s="4"/>
      <c r="F233" s="4"/>
      <c r="G233" s="4"/>
      <c r="H233" s="4"/>
      <c r="I233" s="4"/>
      <c r="J233" s="4"/>
      <c r="K233" s="4"/>
      <c r="M233" s="1522" t="s">
        <v>2638</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538</v>
      </c>
      <c r="BG233" s="241">
        <f>IF(AND(AND($M$249="nonprofit",$M$257="for profit",$M$265="nonprofit")),2,0)</f>
        <v>0</v>
      </c>
    </row>
    <row r="234" spans="1:59" ht="12.95" customHeight="1">
      <c r="D234" s="4" t="s">
        <v>580</v>
      </c>
      <c r="E234" s="4"/>
      <c r="M234" s="1522" t="s">
        <v>2619</v>
      </c>
      <c r="N234" s="1525"/>
      <c r="O234" s="1525"/>
      <c r="P234" s="1525"/>
      <c r="Q234" s="1525"/>
      <c r="R234" s="1525"/>
      <c r="S234" s="1525"/>
      <c r="T234" s="1525"/>
      <c r="V234" s="33" t="s">
        <v>86</v>
      </c>
      <c r="W234" s="1535" t="s">
        <v>2620</v>
      </c>
      <c r="X234" s="1471"/>
      <c r="Y234" s="4" t="s">
        <v>583</v>
      </c>
      <c r="AC234" s="1525">
        <v>95814</v>
      </c>
      <c r="AD234" s="1525"/>
      <c r="AE234" s="1525"/>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22" t="s">
        <v>2621</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531" t="s">
        <v>2622</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537</v>
      </c>
      <c r="BG236" s="241">
        <f>IF(AND(AND($M$249="nonprofit",$M$257="nonprofit",$M$265="(select one)")),1,0)</f>
        <v>0</v>
      </c>
    </row>
    <row r="237" spans="1:59" ht="12.95" customHeight="1">
      <c r="D237" s="4" t="s">
        <v>90</v>
      </c>
      <c r="E237" s="4"/>
      <c r="F237" s="4"/>
      <c r="M237" s="1542" t="s">
        <v>2640</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1" t="s">
        <v>300</v>
      </c>
      <c r="N238" s="1371"/>
      <c r="O238" s="1371"/>
      <c r="P238" s="1371"/>
      <c r="Q238" s="1371"/>
      <c r="R238" s="1371"/>
      <c r="S238" s="1371"/>
      <c r="T238" s="1371"/>
      <c r="U238" s="204" t="s">
        <v>906</v>
      </c>
      <c r="V238" s="204"/>
      <c r="W238" s="204"/>
      <c r="X238" s="204"/>
      <c r="Y238" s="204"/>
      <c r="Z238" s="204"/>
      <c r="AA238" s="1562" t="s">
        <v>2623</v>
      </c>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69" t="s">
        <v>2673</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2624</v>
      </c>
      <c r="AG243" s="1544"/>
      <c r="AH243" s="1544"/>
      <c r="AI243" s="1544"/>
      <c r="AJ243" s="1544"/>
      <c r="AK243" s="1544"/>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2" t="s">
        <v>2638</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522" t="s">
        <v>68</v>
      </c>
      <c r="N245" s="1525"/>
      <c r="O245" s="1525"/>
      <c r="P245" s="1525"/>
      <c r="Q245" s="1525"/>
      <c r="R245" s="1525"/>
      <c r="S245" s="1525"/>
      <c r="T245" s="1525"/>
      <c r="V245" s="33" t="s">
        <v>86</v>
      </c>
      <c r="W245" s="1535" t="s">
        <v>2625</v>
      </c>
      <c r="X245" s="1471"/>
      <c r="Y245" s="4" t="s">
        <v>583</v>
      </c>
      <c r="AC245" s="1525">
        <v>95814</v>
      </c>
      <c r="AD245" s="1525"/>
      <c r="AE245" s="1525"/>
      <c r="AF245" s="3" t="s">
        <v>1180</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522" t="s">
        <v>2626</v>
      </c>
      <c r="N246" s="1525"/>
      <c r="O246" s="1525"/>
      <c r="P246" s="1525"/>
      <c r="Q246" s="1525"/>
      <c r="R246" s="1525"/>
      <c r="S246" s="1525"/>
      <c r="T246" s="1525"/>
      <c r="U246" s="1525"/>
      <c r="V246" s="1525"/>
      <c r="W246" s="1525"/>
      <c r="X246" s="1525"/>
      <c r="Y246" s="1525"/>
      <c r="Z246" s="1525"/>
      <c r="AA246" s="1525"/>
      <c r="AB246" s="1525"/>
      <c r="AC246" s="1525"/>
      <c r="AD246" s="1525"/>
      <c r="AE246" s="1525"/>
      <c r="AH246" s="1541">
        <v>5.1000000000000004E-3</v>
      </c>
      <c r="AI246" s="1541"/>
      <c r="AJ246" s="1541"/>
      <c r="AK246" s="1541"/>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531" t="s">
        <v>2622</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42" t="s">
        <v>2640</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1" t="s">
        <v>536</v>
      </c>
      <c r="N249" s="1371"/>
      <c r="O249" s="1371"/>
      <c r="P249" s="1371"/>
      <c r="Q249" s="1371"/>
      <c r="R249" s="1371"/>
      <c r="S249" s="1371"/>
      <c r="T249" s="1371"/>
      <c r="U249" s="204" t="s">
        <v>906</v>
      </c>
      <c r="V249" s="204"/>
      <c r="W249" s="204"/>
      <c r="X249" s="204"/>
      <c r="Y249" s="204"/>
      <c r="Z249" s="204"/>
      <c r="AA249" s="1562" t="s">
        <v>2674</v>
      </c>
      <c r="AB249" s="1563"/>
      <c r="AC249" s="1563"/>
      <c r="AD249" s="1563"/>
      <c r="AE249" s="1563"/>
      <c r="AF249" s="1563"/>
      <c r="AG249" s="1563"/>
      <c r="AH249" s="1563"/>
      <c r="AI249" s="1563"/>
      <c r="AJ249" s="1563"/>
      <c r="AK249" s="1563"/>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69" t="s">
        <v>2627</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2628</v>
      </c>
      <c r="AG251" s="1544"/>
      <c r="AH251" s="1544"/>
      <c r="AI251" s="1544"/>
      <c r="AJ251" s="1544"/>
      <c r="AK251" s="1544"/>
      <c r="AU251" s="4"/>
      <c r="AV251" s="4"/>
      <c r="AW251" s="4"/>
      <c r="AX251" s="4"/>
      <c r="AY251" s="4"/>
      <c r="BN251" s="34"/>
    </row>
    <row r="252" spans="1:67" ht="12.95" customHeight="1">
      <c r="A252" s="19"/>
      <c r="B252" s="4"/>
      <c r="C252" s="4"/>
      <c r="D252" s="4" t="s">
        <v>85</v>
      </c>
      <c r="E252" s="4"/>
      <c r="F252" s="4"/>
      <c r="G252" s="4"/>
      <c r="H252" s="4"/>
      <c r="I252" s="4"/>
      <c r="J252" s="4"/>
      <c r="K252" s="4"/>
      <c r="L252" s="4"/>
      <c r="M252" s="1522" t="s">
        <v>2629</v>
      </c>
      <c r="N252" s="1525"/>
      <c r="O252" s="1525"/>
      <c r="P252" s="1525"/>
      <c r="Q252" s="1525"/>
      <c r="R252" s="1525"/>
      <c r="S252" s="1525"/>
      <c r="T252" s="1525"/>
      <c r="U252" s="1525"/>
      <c r="V252" s="1525"/>
      <c r="W252" s="1525"/>
      <c r="X252" s="1525"/>
      <c r="Y252" s="1525"/>
      <c r="Z252" s="1525"/>
      <c r="AA252" s="1525"/>
      <c r="AB252" s="1525"/>
      <c r="AC252" s="1525"/>
      <c r="AD252" s="1525"/>
      <c r="AE252" s="1525"/>
      <c r="AF252" s="3" t="s">
        <v>1179</v>
      </c>
      <c r="AL252" s="4"/>
      <c r="AM252" s="4"/>
      <c r="AN252" s="4"/>
      <c r="AO252" s="4"/>
      <c r="AP252" s="4"/>
      <c r="AQ252" s="4"/>
      <c r="AR252" s="4"/>
      <c r="AS252" s="4"/>
      <c r="AT252" s="4"/>
      <c r="BN252" s="34"/>
    </row>
    <row r="253" spans="1:67" ht="12.95" customHeight="1">
      <c r="A253" s="19"/>
      <c r="B253" s="4"/>
      <c r="C253" s="4"/>
      <c r="D253" s="4" t="s">
        <v>580</v>
      </c>
      <c r="E253" s="4"/>
      <c r="M253" s="1522" t="s">
        <v>55</v>
      </c>
      <c r="N253" s="1525"/>
      <c r="O253" s="1525"/>
      <c r="P253" s="1525"/>
      <c r="Q253" s="1525"/>
      <c r="R253" s="1525"/>
      <c r="S253" s="1525"/>
      <c r="T253" s="1525"/>
      <c r="V253" s="33" t="s">
        <v>86</v>
      </c>
      <c r="W253" s="1535" t="s">
        <v>2625</v>
      </c>
      <c r="X253" s="1471"/>
      <c r="Y253" s="4" t="s">
        <v>583</v>
      </c>
      <c r="AC253" s="1525">
        <v>95348</v>
      </c>
      <c r="AD253" s="1525"/>
      <c r="AE253" s="1525"/>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22" t="s">
        <v>2630</v>
      </c>
      <c r="N254" s="1525"/>
      <c r="O254" s="1525"/>
      <c r="P254" s="1525"/>
      <c r="Q254" s="1525"/>
      <c r="R254" s="1525"/>
      <c r="S254" s="1525"/>
      <c r="T254" s="1525"/>
      <c r="U254" s="1525"/>
      <c r="V254" s="1525"/>
      <c r="W254" s="1525"/>
      <c r="X254" s="1525"/>
      <c r="Y254" s="1525"/>
      <c r="Z254" s="1525"/>
      <c r="AA254" s="1525"/>
      <c r="AB254" s="1525"/>
      <c r="AC254" s="1525"/>
      <c r="AD254" s="1525"/>
      <c r="AE254" s="1525"/>
      <c r="AH254" s="1541">
        <v>4.8999999999999998E-3</v>
      </c>
      <c r="AI254" s="1541"/>
      <c r="AJ254" s="1541"/>
      <c r="AK254" s="1541"/>
      <c r="AL254" s="4"/>
      <c r="AM254" s="4"/>
      <c r="AN254" s="4"/>
      <c r="AO254" s="4"/>
      <c r="AP254" s="4"/>
      <c r="AQ254" s="4"/>
      <c r="AR254" s="4"/>
      <c r="AS254" s="4"/>
      <c r="AT254" s="4"/>
    </row>
    <row r="255" spans="1:67" ht="12.95" customHeight="1">
      <c r="A255" s="19"/>
      <c r="B255" s="4"/>
      <c r="C255" s="4"/>
      <c r="D255" s="4" t="s">
        <v>88</v>
      </c>
      <c r="E255" s="4"/>
      <c r="F255" s="4"/>
      <c r="M255" s="1531" t="s">
        <v>2631</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42" t="s">
        <v>2632</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1" t="s">
        <v>534</v>
      </c>
      <c r="N257" s="1371"/>
      <c r="O257" s="1371"/>
      <c r="P257" s="1371"/>
      <c r="Q257" s="1371"/>
      <c r="R257" s="1371"/>
      <c r="S257" s="1371"/>
      <c r="T257" s="1371"/>
      <c r="U257" s="204" t="s">
        <v>906</v>
      </c>
      <c r="V257" s="204"/>
      <c r="W257" s="204"/>
      <c r="X257" s="204"/>
      <c r="Y257" s="204"/>
      <c r="Z257" s="204"/>
      <c r="AA257" s="1563"/>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25"/>
      <c r="N261" s="1525"/>
      <c r="O261" s="1525"/>
      <c r="P261" s="1525"/>
      <c r="Q261" s="1525"/>
      <c r="R261" s="1525"/>
      <c r="S261" s="1525"/>
      <c r="T261" s="1525"/>
      <c r="V261" s="33" t="s">
        <v>86</v>
      </c>
      <c r="W261" s="1471"/>
      <c r="X261" s="1471"/>
      <c r="Y261" s="4" t="s">
        <v>583</v>
      </c>
      <c r="AC261" s="1525"/>
      <c r="AD261" s="1525"/>
      <c r="AE261" s="1525"/>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41"/>
      <c r="AI262" s="1541"/>
      <c r="AJ262" s="1541"/>
      <c r="AK262" s="154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1" t="s">
        <v>307</v>
      </c>
      <c r="N265" s="1371"/>
      <c r="O265" s="1371"/>
      <c r="P265" s="1371"/>
      <c r="Q265" s="1371"/>
      <c r="R265" s="1371"/>
      <c r="S265" s="1371"/>
      <c r="T265" s="1371"/>
      <c r="U265" s="204" t="s">
        <v>906</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25" t="s">
        <v>173</v>
      </c>
      <c r="E270" s="1525"/>
      <c r="F270" s="1525"/>
      <c r="G270" s="1525"/>
      <c r="H270" s="1525"/>
      <c r="J270" t="s">
        <v>279</v>
      </c>
      <c r="X270" s="1506">
        <v>45962</v>
      </c>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69" t="s">
        <v>2633</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2" t="s">
        <v>2634</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580</v>
      </c>
      <c r="E276" s="4"/>
      <c r="L276" s="1522" t="s">
        <v>68</v>
      </c>
      <c r="M276" s="1525"/>
      <c r="N276" s="1525"/>
      <c r="O276" s="1525"/>
      <c r="P276" s="1525"/>
      <c r="Q276" s="1525"/>
      <c r="R276" s="1525"/>
      <c r="S276" s="1525"/>
      <c r="U276" s="33" t="s">
        <v>86</v>
      </c>
      <c r="V276" s="1535" t="s">
        <v>2625</v>
      </c>
      <c r="W276" s="1471"/>
      <c r="X276" s="4" t="s">
        <v>583</v>
      </c>
      <c r="AB276" s="1525">
        <v>95811</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2635</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531" t="s">
        <v>2636</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42" t="s">
        <v>2637</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5" customHeight="1">
      <c r="D280" s="3" t="s">
        <v>623</v>
      </c>
      <c r="E280" s="3"/>
      <c r="F280" s="3"/>
      <c r="G280" s="3"/>
      <c r="H280" s="3"/>
      <c r="I280" s="3"/>
      <c r="L280" s="1535" t="s">
        <v>2685</v>
      </c>
      <c r="M280" s="1535"/>
      <c r="N280" s="1535"/>
      <c r="O280" s="1535"/>
      <c r="P280" s="1535"/>
      <c r="Q280" s="1535"/>
      <c r="R280" s="1535"/>
      <c r="S280" s="1535"/>
      <c r="T280" s="1535"/>
      <c r="U280" s="1535"/>
      <c r="V280" s="1535"/>
      <c r="W280" s="1535"/>
      <c r="X280" s="1535"/>
      <c r="Y280" s="1535"/>
      <c r="Z280" s="1535"/>
      <c r="AA280" s="1535"/>
      <c r="AB280" s="1535"/>
      <c r="AC280" s="1535"/>
      <c r="AD280" s="1535"/>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7" t="s">
        <v>541</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5"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7" t="s">
        <v>2612</v>
      </c>
      <c r="I287" s="1407"/>
      <c r="J287" s="1407"/>
      <c r="K287" s="1407"/>
      <c r="L287" s="1407"/>
      <c r="M287" s="1407"/>
      <c r="N287" s="1407"/>
      <c r="O287" s="1407"/>
      <c r="P287" s="1407"/>
      <c r="Q287" s="1407"/>
      <c r="R287" s="1407"/>
      <c r="T287" s="3" t="s">
        <v>567</v>
      </c>
      <c r="V287" s="3"/>
      <c r="W287" s="3"/>
      <c r="X287" s="3"/>
      <c r="Y287" s="3"/>
      <c r="AA287" s="1407" t="s">
        <v>2641</v>
      </c>
      <c r="AB287" s="1407"/>
      <c r="AC287" s="1407"/>
      <c r="AD287" s="1407"/>
      <c r="AE287" s="1407"/>
      <c r="AF287" s="1407"/>
      <c r="AG287" s="1407"/>
      <c r="AH287" s="1407"/>
      <c r="AI287" s="1407"/>
      <c r="AJ287" s="1407"/>
      <c r="AK287" s="1407"/>
    </row>
    <row r="288" spans="1:51" ht="12.95" customHeight="1">
      <c r="B288" s="3" t="s">
        <v>471</v>
      </c>
      <c r="C288" s="3"/>
      <c r="D288" s="3"/>
      <c r="E288" s="3"/>
      <c r="F288" s="3"/>
      <c r="H288" s="1371" t="s">
        <v>2638</v>
      </c>
      <c r="I288" s="1371"/>
      <c r="J288" s="1371"/>
      <c r="K288" s="1371"/>
      <c r="L288" s="1371"/>
      <c r="M288" s="1371"/>
      <c r="N288" s="1371"/>
      <c r="O288" s="1371"/>
      <c r="P288" s="1371"/>
      <c r="Q288" s="1371"/>
      <c r="R288" s="1371"/>
      <c r="T288" s="3" t="s">
        <v>471</v>
      </c>
      <c r="V288" s="3"/>
      <c r="W288" s="3"/>
      <c r="X288" s="3"/>
      <c r="Y288" s="3"/>
      <c r="AA288" s="1371" t="s">
        <v>2642</v>
      </c>
      <c r="AB288" s="1371"/>
      <c r="AC288" s="1371"/>
      <c r="AD288" s="1371"/>
      <c r="AE288" s="1371"/>
      <c r="AF288" s="1371"/>
      <c r="AG288" s="1371"/>
      <c r="AH288" s="1371"/>
      <c r="AI288" s="1371"/>
      <c r="AJ288" s="1371"/>
      <c r="AK288" s="1371"/>
    </row>
    <row r="289" spans="2:37" ht="12.95" customHeight="1">
      <c r="B289" s="3" t="s">
        <v>472</v>
      </c>
      <c r="C289" s="3"/>
      <c r="D289" s="3"/>
      <c r="E289" s="3"/>
      <c r="F289" s="3"/>
      <c r="H289" s="1371" t="s">
        <v>2639</v>
      </c>
      <c r="I289" s="1371"/>
      <c r="J289" s="1371"/>
      <c r="K289" s="1371"/>
      <c r="L289" s="1371"/>
      <c r="M289" s="1371"/>
      <c r="N289" s="1371"/>
      <c r="O289" s="1371"/>
      <c r="P289" s="1371"/>
      <c r="Q289" s="1371"/>
      <c r="R289" s="1371"/>
      <c r="T289" s="3" t="s">
        <v>75</v>
      </c>
      <c r="V289" s="3"/>
      <c r="W289" s="3"/>
      <c r="X289" s="3"/>
      <c r="Y289" s="3"/>
      <c r="AA289" s="1371" t="s">
        <v>2643</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2626</v>
      </c>
      <c r="I290" s="1371"/>
      <c r="J290" s="1371"/>
      <c r="K290" s="1371"/>
      <c r="L290" s="1371"/>
      <c r="M290" s="1371"/>
      <c r="N290" s="1371"/>
      <c r="O290" s="1371"/>
      <c r="P290" s="1371"/>
      <c r="Q290" s="1371"/>
      <c r="R290" s="1371"/>
      <c r="T290" s="3" t="s">
        <v>87</v>
      </c>
      <c r="V290" s="3"/>
      <c r="W290" s="3"/>
      <c r="X290" s="3"/>
      <c r="Y290" s="3"/>
      <c r="AA290" s="1371" t="s">
        <v>2644</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70" t="s">
        <v>2622</v>
      </c>
      <c r="I291" s="1545"/>
      <c r="J291" s="1545"/>
      <c r="K291" s="1545"/>
      <c r="L291" s="1545"/>
      <c r="M291" s="1545"/>
      <c r="N291" s="4" t="s">
        <v>206</v>
      </c>
      <c r="O291" s="4"/>
      <c r="P291" s="1525"/>
      <c r="Q291" s="1525"/>
      <c r="R291" s="1525"/>
      <c r="S291" s="3"/>
      <c r="T291" s="3" t="s">
        <v>88</v>
      </c>
      <c r="V291" s="3"/>
      <c r="W291" s="3"/>
      <c r="X291" s="3"/>
      <c r="Y291" s="3"/>
      <c r="AA291" s="1570" t="s">
        <v>2645</v>
      </c>
      <c r="AB291" s="1545"/>
      <c r="AC291" s="1545"/>
      <c r="AD291" s="1545"/>
      <c r="AE291" s="1545"/>
      <c r="AF291" s="1545"/>
      <c r="AG291" s="4" t="s">
        <v>206</v>
      </c>
      <c r="AH291" s="4"/>
      <c r="AI291" s="1525"/>
      <c r="AJ291" s="1525"/>
      <c r="AK291" s="1525"/>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2640</v>
      </c>
      <c r="I293" s="1371"/>
      <c r="J293" s="1371"/>
      <c r="K293" s="1371"/>
      <c r="L293" s="1371"/>
      <c r="M293" s="1371"/>
      <c r="N293" s="1407"/>
      <c r="O293" s="1407"/>
      <c r="P293" s="1407"/>
      <c r="Q293" s="1407"/>
      <c r="R293" s="1407"/>
      <c r="S293" s="3"/>
      <c r="T293" s="3" t="s">
        <v>76</v>
      </c>
      <c r="V293" s="3"/>
      <c r="W293" s="3"/>
      <c r="X293" s="3"/>
      <c r="Y293" s="3"/>
      <c r="AA293" s="1371"/>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2633</v>
      </c>
      <c r="I295" s="1407"/>
      <c r="J295" s="1407"/>
      <c r="K295" s="1407"/>
      <c r="L295" s="1407"/>
      <c r="M295" s="1407"/>
      <c r="N295" s="1407"/>
      <c r="O295" s="1407"/>
      <c r="P295" s="1407"/>
      <c r="Q295" s="1407"/>
      <c r="R295" s="1407"/>
      <c r="T295" s="3" t="s">
        <v>364</v>
      </c>
      <c r="V295" s="3"/>
      <c r="W295" s="3"/>
      <c r="X295" s="3"/>
      <c r="Y295" s="3"/>
      <c r="AA295" s="1407"/>
      <c r="AB295" s="1407"/>
      <c r="AC295" s="1407"/>
      <c r="AD295" s="1407"/>
      <c r="AE295" s="1407"/>
      <c r="AF295" s="1407"/>
      <c r="AG295" s="1407"/>
      <c r="AH295" s="1407"/>
      <c r="AI295" s="1407"/>
      <c r="AJ295" s="1407"/>
      <c r="AK295" s="1407"/>
    </row>
    <row r="296" spans="2:37" ht="12.95" customHeight="1">
      <c r="B296" s="3" t="s">
        <v>471</v>
      </c>
      <c r="C296" s="3"/>
      <c r="D296" s="3"/>
      <c r="E296" s="3"/>
      <c r="F296" s="3"/>
      <c r="H296" s="1371" t="s">
        <v>2634</v>
      </c>
      <c r="I296" s="1371"/>
      <c r="J296" s="1371"/>
      <c r="K296" s="1371"/>
      <c r="L296" s="1371"/>
      <c r="M296" s="1371"/>
      <c r="N296" s="1371"/>
      <c r="O296" s="1371"/>
      <c r="P296" s="1371"/>
      <c r="Q296" s="1371"/>
      <c r="R296" s="1371"/>
      <c r="T296" s="3" t="s">
        <v>471</v>
      </c>
      <c r="V296" s="3"/>
      <c r="W296" s="3"/>
      <c r="X296" s="3"/>
      <c r="Y296" s="3"/>
      <c r="AA296" s="1371"/>
      <c r="AB296" s="1371"/>
      <c r="AC296" s="1371"/>
      <c r="AD296" s="1371"/>
      <c r="AE296" s="1371"/>
      <c r="AF296" s="1371"/>
      <c r="AG296" s="1371"/>
      <c r="AH296" s="1371"/>
      <c r="AI296" s="1371"/>
      <c r="AJ296" s="1371"/>
      <c r="AK296" s="1371"/>
    </row>
    <row r="297" spans="2:37" ht="12.95" customHeight="1">
      <c r="B297" s="3" t="s">
        <v>472</v>
      </c>
      <c r="C297" s="3"/>
      <c r="D297" s="3"/>
      <c r="E297" s="3"/>
      <c r="F297" s="3"/>
      <c r="H297" s="1371" t="s">
        <v>2646</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2635</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70" t="s">
        <v>2636</v>
      </c>
      <c r="I299" s="1545"/>
      <c r="J299" s="1545"/>
      <c r="K299" s="1545"/>
      <c r="L299" s="1545"/>
      <c r="M299" s="1545"/>
      <c r="N299" s="4" t="s">
        <v>206</v>
      </c>
      <c r="O299" s="4"/>
      <c r="P299" s="1525"/>
      <c r="Q299" s="1525"/>
      <c r="R299" s="1525"/>
      <c r="S299" s="3"/>
      <c r="T299" s="3" t="s">
        <v>88</v>
      </c>
      <c r="V299" s="3"/>
      <c r="W299" s="3"/>
      <c r="X299" s="3"/>
      <c r="Y299" s="3"/>
      <c r="AA299" s="1545"/>
      <c r="AB299" s="1545"/>
      <c r="AC299" s="1545"/>
      <c r="AD299" s="1545"/>
      <c r="AE299" s="1545"/>
      <c r="AF299" s="1545"/>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2633</v>
      </c>
      <c r="I303" s="1407"/>
      <c r="J303" s="1407"/>
      <c r="K303" s="1407"/>
      <c r="L303" s="1407"/>
      <c r="M303" s="1407"/>
      <c r="N303" s="1407"/>
      <c r="O303" s="1407"/>
      <c r="P303" s="1407"/>
      <c r="Q303" s="1407"/>
      <c r="R303" s="1407"/>
      <c r="T303" s="4" t="s">
        <v>878</v>
      </c>
      <c r="V303" s="3"/>
      <c r="W303" s="3"/>
      <c r="X303" s="3"/>
      <c r="Y303" s="3"/>
      <c r="AA303" s="1407"/>
      <c r="AB303" s="1407"/>
      <c r="AC303" s="1407"/>
      <c r="AD303" s="1407"/>
      <c r="AE303" s="1407"/>
      <c r="AF303" s="1407"/>
      <c r="AG303" s="1407"/>
      <c r="AH303" s="1407"/>
      <c r="AI303" s="1407"/>
      <c r="AJ303" s="1407"/>
      <c r="AK303" s="1407"/>
    </row>
    <row r="304" spans="2:37" ht="12.95" customHeight="1">
      <c r="B304" s="3" t="s">
        <v>471</v>
      </c>
      <c r="C304" s="3"/>
      <c r="D304" s="3"/>
      <c r="E304" s="3"/>
      <c r="F304" s="3"/>
      <c r="H304" s="1371" t="s">
        <v>2647</v>
      </c>
      <c r="I304" s="1371"/>
      <c r="J304" s="1371"/>
      <c r="K304" s="1371"/>
      <c r="L304" s="1371"/>
      <c r="M304" s="1371"/>
      <c r="N304" s="1371"/>
      <c r="O304" s="1371"/>
      <c r="P304" s="1371"/>
      <c r="Q304" s="1371"/>
      <c r="R304" s="1371"/>
      <c r="T304" s="3" t="s">
        <v>471</v>
      </c>
      <c r="V304" s="3"/>
      <c r="W304" s="3"/>
      <c r="X304" s="3"/>
      <c r="Y304" s="3"/>
      <c r="AA304" s="1371"/>
      <c r="AB304" s="1371"/>
      <c r="AC304" s="1371"/>
      <c r="AD304" s="1371"/>
      <c r="AE304" s="1371"/>
      <c r="AF304" s="1371"/>
      <c r="AG304" s="1371"/>
      <c r="AH304" s="1371"/>
      <c r="AI304" s="1371"/>
      <c r="AJ304" s="1371"/>
      <c r="AK304" s="1371"/>
    </row>
    <row r="305" spans="2:37" ht="12.95" customHeight="1">
      <c r="B305" s="3" t="s">
        <v>472</v>
      </c>
      <c r="C305" s="3"/>
      <c r="D305" s="3"/>
      <c r="E305" s="3"/>
      <c r="F305" s="3"/>
      <c r="H305" s="1371" t="s">
        <v>2646</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2635</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70" t="s">
        <v>2636</v>
      </c>
      <c r="I307" s="1545"/>
      <c r="J307" s="1545"/>
      <c r="K307" s="1545"/>
      <c r="L307" s="1545"/>
      <c r="M307" s="1545"/>
      <c r="N307" s="4" t="s">
        <v>206</v>
      </c>
      <c r="O307" s="4"/>
      <c r="P307" s="1525"/>
      <c r="Q307" s="1525"/>
      <c r="R307" s="1525"/>
      <c r="S307" s="3"/>
      <c r="T307" s="3" t="s">
        <v>88</v>
      </c>
      <c r="V307" s="3"/>
      <c r="W307" s="3"/>
      <c r="X307" s="3"/>
      <c r="Y307" s="3"/>
      <c r="AA307" s="1545"/>
      <c r="AB307" s="1545"/>
      <c r="AC307" s="1545"/>
      <c r="AD307" s="1545"/>
      <c r="AE307" s="1545"/>
      <c r="AF307" s="1545"/>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2637</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7" t="s">
        <v>2648</v>
      </c>
      <c r="I311" s="1407"/>
      <c r="J311" s="1407"/>
      <c r="K311" s="1407"/>
      <c r="L311" s="1407"/>
      <c r="M311" s="1407"/>
      <c r="N311" s="1407"/>
      <c r="O311" s="1407"/>
      <c r="P311" s="1407"/>
      <c r="Q311" s="1407"/>
      <c r="R311" s="1407"/>
      <c r="S311" s="3"/>
      <c r="T311" s="3" t="s">
        <v>365</v>
      </c>
      <c r="V311" s="3"/>
      <c r="W311" s="3"/>
      <c r="X311" s="3"/>
      <c r="Y311" s="3"/>
      <c r="AA311" s="1407" t="s">
        <v>2654</v>
      </c>
      <c r="AB311" s="1407"/>
      <c r="AC311" s="1407"/>
      <c r="AD311" s="1407"/>
      <c r="AE311" s="1407"/>
      <c r="AF311" s="1407"/>
      <c r="AG311" s="1407"/>
      <c r="AH311" s="1407"/>
      <c r="AI311" s="1407"/>
      <c r="AJ311" s="1407"/>
      <c r="AK311" s="1407"/>
    </row>
    <row r="312" spans="2:37" ht="12.95" customHeight="1">
      <c r="B312" s="3" t="s">
        <v>471</v>
      </c>
      <c r="C312" s="3"/>
      <c r="D312" s="3"/>
      <c r="E312" s="3"/>
      <c r="F312" s="3"/>
      <c r="H312" s="1371" t="s">
        <v>2649</v>
      </c>
      <c r="I312" s="1371"/>
      <c r="J312" s="1371"/>
      <c r="K312" s="1371"/>
      <c r="L312" s="1371"/>
      <c r="M312" s="1371"/>
      <c r="N312" s="1371"/>
      <c r="O312" s="1371"/>
      <c r="P312" s="1371"/>
      <c r="Q312" s="1371"/>
      <c r="R312" s="1371"/>
      <c r="S312" s="3"/>
      <c r="T312" s="3" t="s">
        <v>471</v>
      </c>
      <c r="V312" s="3"/>
      <c r="W312" s="3"/>
      <c r="X312" s="3"/>
      <c r="Y312" s="3"/>
      <c r="AA312" s="1371" t="s">
        <v>2655</v>
      </c>
      <c r="AB312" s="1371"/>
      <c r="AC312" s="1371"/>
      <c r="AD312" s="1371"/>
      <c r="AE312" s="1371"/>
      <c r="AF312" s="1371"/>
      <c r="AG312" s="1371"/>
      <c r="AH312" s="1371"/>
      <c r="AI312" s="1371"/>
      <c r="AJ312" s="1371"/>
      <c r="AK312" s="1371"/>
    </row>
    <row r="313" spans="2:37" ht="12.95" customHeight="1">
      <c r="B313" s="3" t="s">
        <v>472</v>
      </c>
      <c r="C313" s="3"/>
      <c r="D313" s="3"/>
      <c r="E313" s="3"/>
      <c r="F313" s="3"/>
      <c r="H313" s="1371" t="s">
        <v>2650</v>
      </c>
      <c r="I313" s="1371"/>
      <c r="J313" s="1371"/>
      <c r="K313" s="1371"/>
      <c r="L313" s="1371"/>
      <c r="M313" s="1371"/>
      <c r="N313" s="1371"/>
      <c r="O313" s="1371"/>
      <c r="P313" s="1371"/>
      <c r="Q313" s="1371"/>
      <c r="R313" s="1371"/>
      <c r="S313" s="3"/>
      <c r="T313" s="3" t="s">
        <v>75</v>
      </c>
      <c r="V313" s="3"/>
      <c r="W313" s="3"/>
      <c r="X313" s="3"/>
      <c r="Y313" s="3"/>
      <c r="AA313" s="1371" t="s">
        <v>2656</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2651</v>
      </c>
      <c r="I314" s="1371"/>
      <c r="J314" s="1371"/>
      <c r="K314" s="1371"/>
      <c r="L314" s="1371"/>
      <c r="M314" s="1371"/>
      <c r="N314" s="1371"/>
      <c r="O314" s="1371"/>
      <c r="P314" s="1371"/>
      <c r="Q314" s="1371"/>
      <c r="R314" s="1371"/>
      <c r="S314" s="3"/>
      <c r="T314" s="3" t="s">
        <v>87</v>
      </c>
      <c r="V314" s="3"/>
      <c r="W314" s="3"/>
      <c r="X314" s="3"/>
      <c r="Y314" s="3"/>
      <c r="AA314" s="1371" t="s">
        <v>2657</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70" t="s">
        <v>2652</v>
      </c>
      <c r="I315" s="1545"/>
      <c r="J315" s="1545"/>
      <c r="K315" s="1545"/>
      <c r="L315" s="1545"/>
      <c r="M315" s="1545"/>
      <c r="N315" s="4" t="s">
        <v>206</v>
      </c>
      <c r="O315" s="4"/>
      <c r="P315" s="1525"/>
      <c r="Q315" s="1525"/>
      <c r="R315" s="1525"/>
      <c r="S315" s="3"/>
      <c r="T315" s="3" t="s">
        <v>88</v>
      </c>
      <c r="V315" s="3"/>
      <c r="W315" s="3"/>
      <c r="X315" s="3"/>
      <c r="Y315" s="3"/>
      <c r="AA315" s="1570" t="s">
        <v>2658</v>
      </c>
      <c r="AB315" s="1545"/>
      <c r="AC315" s="1545"/>
      <c r="AD315" s="1545"/>
      <c r="AE315" s="1545"/>
      <c r="AF315" s="1545"/>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2653</v>
      </c>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2.95" customHeight="1"/>
    <row r="319" spans="2:37" ht="12.95" customHeight="1">
      <c r="B319" s="4" t="s">
        <v>908</v>
      </c>
      <c r="C319" s="3"/>
      <c r="D319" s="3"/>
      <c r="E319" s="3"/>
      <c r="F319" s="3"/>
      <c r="H319" s="1407" t="s">
        <v>2633</v>
      </c>
      <c r="I319" s="1407"/>
      <c r="J319" s="1407"/>
      <c r="K319" s="1407"/>
      <c r="L319" s="1407"/>
      <c r="M319" s="1407"/>
      <c r="N319" s="1407"/>
      <c r="O319" s="1407"/>
      <c r="P319" s="1407"/>
      <c r="Q319" s="1407"/>
      <c r="R319" s="1407"/>
      <c r="T319" s="3" t="s">
        <v>366</v>
      </c>
      <c r="V319" s="3"/>
      <c r="W319" s="3"/>
      <c r="X319" s="3"/>
      <c r="Y319" s="3"/>
      <c r="AA319" s="1407" t="s">
        <v>2659</v>
      </c>
      <c r="AB319" s="1407"/>
      <c r="AC319" s="1407"/>
      <c r="AD319" s="1407"/>
      <c r="AE319" s="1407"/>
      <c r="AF319" s="1407"/>
      <c r="AG319" s="1407"/>
      <c r="AH319" s="1407"/>
      <c r="AI319" s="1407"/>
      <c r="AJ319" s="1407"/>
      <c r="AK319" s="1407"/>
    </row>
    <row r="320" spans="2:37" ht="12.95" customHeight="1">
      <c r="B320" s="3" t="s">
        <v>471</v>
      </c>
      <c r="C320" s="3"/>
      <c r="D320" s="3"/>
      <c r="E320" s="3"/>
      <c r="F320" s="3"/>
      <c r="H320" s="1371" t="s">
        <v>2634</v>
      </c>
      <c r="I320" s="1371"/>
      <c r="J320" s="1371"/>
      <c r="K320" s="1371"/>
      <c r="L320" s="1371"/>
      <c r="M320" s="1371"/>
      <c r="N320" s="1371"/>
      <c r="O320" s="1371"/>
      <c r="P320" s="1371"/>
      <c r="Q320" s="1371"/>
      <c r="R320" s="1371"/>
      <c r="T320" s="3" t="s">
        <v>471</v>
      </c>
      <c r="V320" s="3"/>
      <c r="W320" s="3"/>
      <c r="X320" s="3"/>
      <c r="Y320" s="3"/>
      <c r="AA320" s="1371" t="s">
        <v>2660</v>
      </c>
      <c r="AB320" s="1371"/>
      <c r="AC320" s="1371"/>
      <c r="AD320" s="1371"/>
      <c r="AE320" s="1371"/>
      <c r="AF320" s="1371"/>
      <c r="AG320" s="1371"/>
      <c r="AH320" s="1371"/>
      <c r="AI320" s="1371"/>
      <c r="AJ320" s="1371"/>
      <c r="AK320" s="1371"/>
    </row>
    <row r="321" spans="2:37" ht="12.95" customHeight="1">
      <c r="B321" s="3" t="s">
        <v>472</v>
      </c>
      <c r="C321" s="3"/>
      <c r="D321" s="3"/>
      <c r="E321" s="3"/>
      <c r="F321" s="3"/>
      <c r="H321" s="1371" t="s">
        <v>2646</v>
      </c>
      <c r="I321" s="1371"/>
      <c r="J321" s="1371"/>
      <c r="K321" s="1371"/>
      <c r="L321" s="1371"/>
      <c r="M321" s="1371"/>
      <c r="N321" s="1371"/>
      <c r="O321" s="1371"/>
      <c r="P321" s="1371"/>
      <c r="Q321" s="1371"/>
      <c r="R321" s="1371"/>
      <c r="T321" s="3" t="s">
        <v>75</v>
      </c>
      <c r="V321" s="3"/>
      <c r="W321" s="3"/>
      <c r="X321" s="3"/>
      <c r="Y321" s="3"/>
      <c r="AA321" s="1371" t="s">
        <v>2661</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2635</v>
      </c>
      <c r="I322" s="1371"/>
      <c r="J322" s="1371"/>
      <c r="K322" s="1371"/>
      <c r="L322" s="1371"/>
      <c r="M322" s="1371"/>
      <c r="N322" s="1371"/>
      <c r="O322" s="1371"/>
      <c r="P322" s="1371"/>
      <c r="Q322" s="1371"/>
      <c r="R322" s="1371"/>
      <c r="T322" s="3" t="s">
        <v>87</v>
      </c>
      <c r="V322" s="3"/>
      <c r="W322" s="3"/>
      <c r="X322" s="3"/>
      <c r="Y322" s="3"/>
      <c r="AA322" s="1371" t="s">
        <v>2662</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70" t="s">
        <v>2636</v>
      </c>
      <c r="I323" s="1545"/>
      <c r="J323" s="1545"/>
      <c r="K323" s="1545"/>
      <c r="L323" s="1545"/>
      <c r="M323" s="1545"/>
      <c r="N323" s="4" t="s">
        <v>206</v>
      </c>
      <c r="O323" s="4"/>
      <c r="P323" s="1525"/>
      <c r="Q323" s="1525"/>
      <c r="R323" s="1525"/>
      <c r="S323" s="3"/>
      <c r="T323" s="3" t="s">
        <v>88</v>
      </c>
      <c r="V323" s="3"/>
      <c r="W323" s="3"/>
      <c r="X323" s="3"/>
      <c r="Y323" s="3"/>
      <c r="AA323" s="1570" t="s">
        <v>2663</v>
      </c>
      <c r="AB323" s="1545"/>
      <c r="AC323" s="1545"/>
      <c r="AD323" s="1545"/>
      <c r="AE323" s="1545"/>
      <c r="AF323" s="1545"/>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t="s">
        <v>2637</v>
      </c>
      <c r="I325" s="1371"/>
      <c r="J325" s="1371"/>
      <c r="K325" s="1371"/>
      <c r="L325" s="1371"/>
      <c r="M325" s="1371"/>
      <c r="N325" s="1407"/>
      <c r="O325" s="1407"/>
      <c r="P325" s="1407"/>
      <c r="Q325" s="1407"/>
      <c r="R325" s="1407"/>
      <c r="S325" s="3"/>
      <c r="T325" s="3" t="s">
        <v>76</v>
      </c>
      <c r="V325" s="3"/>
      <c r="W325" s="3"/>
      <c r="X325" s="3"/>
      <c r="Y325" s="3"/>
      <c r="AA325" s="1371" t="s">
        <v>2664</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471</v>
      </c>
      <c r="C328" s="3"/>
      <c r="D328" s="3"/>
      <c r="E328" s="3"/>
      <c r="F328" s="3"/>
      <c r="H328" s="1371"/>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2.95" customHeight="1">
      <c r="B329" s="3" t="s">
        <v>472</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5"/>
      <c r="I331" s="1545"/>
      <c r="J331" s="1545"/>
      <c r="K331" s="1545"/>
      <c r="L331" s="1545"/>
      <c r="M331" s="1545"/>
      <c r="N331" s="4" t="s">
        <v>206</v>
      </c>
      <c r="O331" s="4"/>
      <c r="P331" s="1525"/>
      <c r="Q331" s="1525"/>
      <c r="R331" s="1525"/>
      <c r="S331" s="3"/>
      <c r="T331" s="3" t="s">
        <v>88</v>
      </c>
      <c r="V331" s="3"/>
      <c r="W331" s="3"/>
      <c r="X331" s="3"/>
      <c r="Y331" s="3"/>
      <c r="AA331" s="1545"/>
      <c r="AB331" s="1545"/>
      <c r="AC331" s="1545"/>
      <c r="AD331" s="1545"/>
      <c r="AE331" s="1545"/>
      <c r="AF331" s="1545"/>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2665</v>
      </c>
      <c r="I335" s="1407"/>
      <c r="J335" s="1407"/>
      <c r="K335" s="1407"/>
      <c r="L335" s="1407"/>
      <c r="M335" s="1407"/>
      <c r="N335" s="1407"/>
      <c r="O335" s="1407"/>
      <c r="P335" s="1407"/>
      <c r="Q335" s="1407"/>
      <c r="R335" s="1407"/>
      <c r="T335" s="204" t="s">
        <v>886</v>
      </c>
      <c r="V335" s="3"/>
      <c r="W335" s="3"/>
      <c r="X335" s="3"/>
      <c r="Y335" s="3"/>
      <c r="AA335" s="1407" t="s">
        <v>2671</v>
      </c>
      <c r="AB335" s="1407"/>
      <c r="AC335" s="1407"/>
      <c r="AD335" s="1407"/>
      <c r="AE335" s="1407"/>
      <c r="AF335" s="1407"/>
      <c r="AG335" s="1407"/>
      <c r="AH335" s="1407"/>
      <c r="AI335" s="1407"/>
      <c r="AJ335" s="1407"/>
      <c r="AK335" s="1407"/>
    </row>
    <row r="336" spans="2:37" ht="12.95" customHeight="1">
      <c r="B336" s="3" t="s">
        <v>471</v>
      </c>
      <c r="C336" s="3"/>
      <c r="D336" s="3"/>
      <c r="E336" s="3"/>
      <c r="F336" s="3"/>
      <c r="H336" s="1371" t="s">
        <v>2666</v>
      </c>
      <c r="I336" s="1371"/>
      <c r="J336" s="1371"/>
      <c r="K336" s="1371"/>
      <c r="L336" s="1371"/>
      <c r="M336" s="1371"/>
      <c r="N336" s="1371"/>
      <c r="O336" s="1371"/>
      <c r="P336" s="1371"/>
      <c r="Q336" s="1371"/>
      <c r="R336" s="1371"/>
      <c r="T336" s="3" t="s">
        <v>471</v>
      </c>
      <c r="V336" s="3"/>
      <c r="W336" s="3"/>
      <c r="X336" s="3"/>
      <c r="Y336" s="3"/>
      <c r="AA336" s="1371" t="s">
        <v>2688</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2667</v>
      </c>
      <c r="I337" s="1371"/>
      <c r="J337" s="1371"/>
      <c r="K337" s="1371"/>
      <c r="L337" s="1371"/>
      <c r="M337" s="1371"/>
      <c r="N337" s="1371"/>
      <c r="O337" s="1371"/>
      <c r="P337" s="1371"/>
      <c r="Q337" s="1371"/>
      <c r="R337" s="1371"/>
      <c r="T337" s="3" t="s">
        <v>75</v>
      </c>
      <c r="V337" s="3"/>
      <c r="W337" s="3"/>
      <c r="X337" s="3"/>
      <c r="Y337" s="3"/>
      <c r="AA337" s="1371" t="s">
        <v>2689</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2668</v>
      </c>
      <c r="I338" s="1371"/>
      <c r="J338" s="1371"/>
      <c r="K338" s="1371"/>
      <c r="L338" s="1371"/>
      <c r="M338" s="1371"/>
      <c r="N338" s="1371"/>
      <c r="O338" s="1371"/>
      <c r="P338" s="1371"/>
      <c r="Q338" s="1371"/>
      <c r="R338" s="1371"/>
      <c r="T338" s="3" t="s">
        <v>87</v>
      </c>
      <c r="V338" s="3"/>
      <c r="W338" s="3"/>
      <c r="X338" s="3"/>
      <c r="Y338" s="3"/>
      <c r="AA338" s="1371" t="s">
        <v>2672</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70" t="s">
        <v>2669</v>
      </c>
      <c r="I339" s="1545"/>
      <c r="J339" s="1545"/>
      <c r="K339" s="1545"/>
      <c r="L339" s="1545"/>
      <c r="M339" s="1545"/>
      <c r="N339" s="4" t="s">
        <v>206</v>
      </c>
      <c r="O339" s="4"/>
      <c r="P339" s="1525"/>
      <c r="Q339" s="1525"/>
      <c r="R339" s="1525"/>
      <c r="S339" s="3"/>
      <c r="T339" s="3" t="s">
        <v>88</v>
      </c>
      <c r="V339" s="3"/>
      <c r="W339" s="3"/>
      <c r="X339" s="3"/>
      <c r="Y339" s="3"/>
      <c r="AA339" s="1570" t="s">
        <v>2687</v>
      </c>
      <c r="AB339" s="1545"/>
      <c r="AC339" s="1545"/>
      <c r="AD339" s="1545"/>
      <c r="AE339" s="1545"/>
      <c r="AF339" s="1545"/>
      <c r="AG339" s="4" t="s">
        <v>206</v>
      </c>
      <c r="AH339" s="4"/>
      <c r="AI339" s="1525"/>
      <c r="AJ339" s="1525"/>
      <c r="AK339" s="1525"/>
    </row>
    <row r="340" spans="1:66" ht="12.95" customHeight="1">
      <c r="B340" s="3" t="s">
        <v>89</v>
      </c>
      <c r="C340" s="3"/>
      <c r="D340" s="3"/>
      <c r="E340" s="3"/>
      <c r="F340" s="3"/>
      <c r="G340" s="3"/>
      <c r="H340" s="1531" t="s">
        <v>2670</v>
      </c>
      <c r="I340" s="1487"/>
      <c r="J340" s="1487"/>
      <c r="K340" s="1487"/>
      <c r="L340" s="1487"/>
      <c r="M340" s="1487"/>
      <c r="N340" s="4"/>
      <c r="O340" s="4"/>
      <c r="P340" s="35"/>
      <c r="Q340" s="35"/>
      <c r="R340" s="35"/>
      <c r="S340" s="3"/>
      <c r="T340" s="3" t="s">
        <v>89</v>
      </c>
      <c r="V340" s="3"/>
      <c r="W340" s="3"/>
      <c r="X340" s="3"/>
      <c r="Y340" s="3"/>
      <c r="AA340" s="1531" t="s">
        <v>2690</v>
      </c>
      <c r="AB340" s="1487"/>
      <c r="AC340" s="1487"/>
      <c r="AD340" s="1487"/>
      <c r="AE340" s="1487"/>
      <c r="AF340" s="1487"/>
      <c r="AG340" s="4"/>
      <c r="AH340" s="4"/>
      <c r="AI340" s="35"/>
      <c r="AJ340" s="35"/>
      <c r="AK340" s="35"/>
    </row>
    <row r="341" spans="1:66" ht="12.95" customHeight="1">
      <c r="B341" s="3" t="s">
        <v>76</v>
      </c>
      <c r="C341" s="3"/>
      <c r="D341" s="3"/>
      <c r="E341" s="3"/>
      <c r="F341" s="3"/>
      <c r="G341" s="3"/>
      <c r="H341" s="1371"/>
      <c r="I341" s="1371"/>
      <c r="J341" s="1371"/>
      <c r="K341" s="1371"/>
      <c r="L341" s="1371"/>
      <c r="M341" s="1371"/>
      <c r="N341" s="1407"/>
      <c r="O341" s="1407"/>
      <c r="P341" s="1407"/>
      <c r="Q341" s="1407"/>
      <c r="R341" s="1407"/>
      <c r="S341" s="3"/>
      <c r="T341" s="3" t="s">
        <v>76</v>
      </c>
      <c r="V341" s="3"/>
      <c r="W341" s="3"/>
      <c r="X341" s="3"/>
      <c r="Y341" s="3"/>
      <c r="AA341" s="1371" t="s">
        <v>2686</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7" t="s">
        <v>591</v>
      </c>
      <c r="Q343" s="1407"/>
      <c r="R343" s="1407"/>
      <c r="S343" s="1407"/>
      <c r="T343" s="1407"/>
      <c r="U343" s="1407"/>
      <c r="V343" s="1407"/>
      <c r="W343" s="1407"/>
      <c r="X343" s="1407"/>
      <c r="Y343" s="1407"/>
      <c r="Z343" s="1407"/>
      <c r="AA343" s="1407"/>
      <c r="AB343" s="1407"/>
      <c r="AC343" s="1407"/>
      <c r="AD343" s="1407"/>
      <c r="AE343" s="1407"/>
      <c r="BN343" t="s">
        <v>669</v>
      </c>
    </row>
    <row r="344" spans="1:66" ht="12.95"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7" t="s">
        <v>542</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5"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415" t="s">
        <v>591</v>
      </c>
      <c r="N355" s="1415"/>
      <c r="P355" t="s">
        <v>1650</v>
      </c>
      <c r="AJ355" s="1415" t="s">
        <v>591</v>
      </c>
      <c r="AK355" s="1415"/>
    </row>
    <row r="356" spans="1:46" ht="12.95" customHeight="1">
      <c r="D356" s="3" t="s">
        <v>1639</v>
      </c>
      <c r="M356" s="1415" t="s">
        <v>591</v>
      </c>
      <c r="N356" s="1415"/>
      <c r="P356" s="3" t="s">
        <v>1719</v>
      </c>
      <c r="AJ356" s="1382"/>
      <c r="AK356" s="1382"/>
    </row>
    <row r="357" spans="1:46" ht="12.95" customHeight="1">
      <c r="D357" s="3" t="s">
        <v>704</v>
      </c>
      <c r="M357" s="1415" t="s">
        <v>591</v>
      </c>
      <c r="N357" s="1415"/>
      <c r="P357" t="s">
        <v>1649</v>
      </c>
      <c r="AJ357" s="1415" t="s">
        <v>591</v>
      </c>
      <c r="AK357" s="1415"/>
    </row>
    <row r="358" spans="1:46" ht="12.95" customHeight="1">
      <c r="D358" s="3" t="s">
        <v>705</v>
      </c>
      <c r="M358" s="1415" t="s">
        <v>545</v>
      </c>
      <c r="N358" s="1415"/>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545</v>
      </c>
      <c r="O363" s="1415"/>
      <c r="P363" s="40"/>
      <c r="Q363" s="40"/>
      <c r="R363" s="40"/>
      <c r="S363" s="40"/>
      <c r="T363" s="40"/>
      <c r="U363" s="40"/>
      <c r="V363" s="40"/>
      <c r="W363" s="40"/>
      <c r="X363" s="40"/>
      <c r="Y363" s="40"/>
      <c r="Z363" s="40"/>
      <c r="AC363" s="40"/>
      <c r="AD363" s="40"/>
      <c r="AE363" s="40"/>
    </row>
    <row r="364" spans="1:46" ht="12.95" customHeight="1">
      <c r="E364" t="s">
        <v>370</v>
      </c>
      <c r="Y364" s="1415" t="s">
        <v>591</v>
      </c>
      <c r="Z364" s="1415"/>
    </row>
    <row r="365" spans="1:46" ht="12.95" customHeight="1">
      <c r="D365" s="4" t="s">
        <v>978</v>
      </c>
      <c r="Q365" s="1407" t="s">
        <v>2691</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545</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706</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448</v>
      </c>
      <c r="F370" s="4"/>
      <c r="G370" s="4"/>
      <c r="H370" s="4"/>
      <c r="I370" s="4"/>
      <c r="J370" s="4"/>
      <c r="K370" s="4"/>
      <c r="L370" s="4"/>
      <c r="N370" s="1581" t="s">
        <v>2692</v>
      </c>
      <c r="O370" s="1390"/>
      <c r="P370" s="1390"/>
      <c r="Q370" s="1390"/>
      <c r="R370" s="4"/>
      <c r="U370" s="4" t="s">
        <v>449</v>
      </c>
      <c r="V370" s="4"/>
      <c r="W370" s="4"/>
      <c r="X370" s="4"/>
      <c r="Y370" s="4"/>
      <c r="Z370" s="4"/>
      <c r="AA370" s="4"/>
      <c r="AB370" s="4"/>
      <c r="AC370" s="1390">
        <v>12</v>
      </c>
      <c r="AD370" s="1390"/>
      <c r="AE370" s="1390"/>
      <c r="AF370" s="1390"/>
    </row>
    <row r="371" spans="1:34" ht="12.95" customHeight="1">
      <c r="E371" s="4" t="s">
        <v>450</v>
      </c>
      <c r="F371" s="4"/>
      <c r="G371" s="4"/>
      <c r="H371" s="4"/>
      <c r="I371" s="4"/>
      <c r="J371" s="4"/>
      <c r="K371" s="4"/>
      <c r="L371" s="4"/>
      <c r="N371" s="1390">
        <v>12</v>
      </c>
      <c r="O371" s="1390"/>
      <c r="P371" s="1390"/>
      <c r="Q371" s="1390"/>
      <c r="R371" s="4"/>
      <c r="U371" s="4" t="s">
        <v>0</v>
      </c>
      <c r="V371" s="4"/>
      <c r="W371" s="4"/>
      <c r="X371" s="4"/>
      <c r="Y371" s="4"/>
      <c r="Z371" s="4"/>
      <c r="AA371" s="4"/>
      <c r="AB371" s="4"/>
      <c r="AC371" s="1390">
        <v>78</v>
      </c>
      <c r="AD371" s="1390"/>
      <c r="AE371" s="1390"/>
      <c r="AF371" s="1390"/>
    </row>
    <row r="372" spans="1:34" ht="12.95" customHeight="1">
      <c r="E372" s="4" t="s">
        <v>1</v>
      </c>
      <c r="F372" s="4"/>
      <c r="G372" s="4"/>
      <c r="H372" s="4"/>
      <c r="I372" s="4"/>
      <c r="J372" s="4"/>
      <c r="K372" s="4"/>
      <c r="L372" s="4"/>
      <c r="N372" s="1390">
        <v>2</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t="s">
        <v>2693</v>
      </c>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43">
        <v>2006</v>
      </c>
      <c r="T377" s="1443"/>
      <c r="U377" s="1" t="s">
        <v>306</v>
      </c>
      <c r="V377" s="1443">
        <v>859</v>
      </c>
      <c r="W377" s="1443"/>
      <c r="Y377" t="s">
        <v>2079</v>
      </c>
      <c r="AC377" s="27" t="s">
        <v>305</v>
      </c>
      <c r="AD377" s="1443">
        <v>2007</v>
      </c>
      <c r="AE377" s="1443"/>
      <c r="AF377" s="1" t="s">
        <v>306</v>
      </c>
      <c r="AG377" s="1443">
        <v>923</v>
      </c>
      <c r="AH377" s="1443"/>
    </row>
    <row r="378" spans="1:34" ht="12.95" customHeight="1">
      <c r="E378" s="4" t="s">
        <v>987</v>
      </c>
      <c r="F378" s="4"/>
      <c r="G378" s="4"/>
      <c r="H378" s="4"/>
      <c r="I378" s="4"/>
      <c r="J378" s="4"/>
      <c r="K378" s="4"/>
      <c r="L378" s="4"/>
      <c r="N378" s="1443" t="s">
        <v>2694</v>
      </c>
      <c r="O378" s="1443"/>
      <c r="P378" s="1443"/>
    </row>
    <row r="379" spans="1:34" ht="12.95" customHeight="1">
      <c r="E379" s="204" t="s">
        <v>2085</v>
      </c>
      <c r="F379" s="4"/>
      <c r="G379" s="4"/>
      <c r="H379" s="4"/>
      <c r="I379" s="4"/>
      <c r="J379" s="4"/>
      <c r="K379" s="4"/>
      <c r="L379" s="4"/>
      <c r="AG379" s="1446" t="s">
        <v>591</v>
      </c>
      <c r="AH379" s="1446"/>
    </row>
    <row r="380" spans="1:34" ht="12.95" customHeight="1">
      <c r="E380" s="4"/>
      <c r="F380" s="4"/>
      <c r="G380" s="4" t="s">
        <v>2086</v>
      </c>
      <c r="H380" s="4"/>
      <c r="I380" s="4"/>
      <c r="J380" s="4"/>
      <c r="K380" s="4"/>
      <c r="L380" s="4"/>
      <c r="AG380" s="1446" t="s">
        <v>591</v>
      </c>
      <c r="AH380" s="1446"/>
    </row>
    <row r="381" spans="1:34" ht="12.95" customHeight="1">
      <c r="E381" s="4"/>
      <c r="F381" s="4"/>
      <c r="G381" s="320" t="s">
        <v>988</v>
      </c>
      <c r="H381" s="4"/>
      <c r="I381" s="4"/>
      <c r="J381" s="4"/>
      <c r="K381" s="4"/>
      <c r="L381" s="4"/>
      <c r="V381" s="1415" t="s">
        <v>591</v>
      </c>
      <c r="W381" s="1415"/>
      <c r="Y381" s="22" t="s">
        <v>980</v>
      </c>
    </row>
    <row r="382" spans="1:34" ht="12.95" customHeight="1">
      <c r="E382" s="4" t="s">
        <v>981</v>
      </c>
      <c r="F382" s="4"/>
      <c r="G382" s="4"/>
      <c r="H382" s="4"/>
      <c r="I382" s="4"/>
      <c r="J382" s="4"/>
      <c r="K382" s="4"/>
      <c r="L382" s="4"/>
      <c r="V382" s="1415" t="s">
        <v>591</v>
      </c>
      <c r="W382" s="1415"/>
      <c r="Y382" s="4" t="s">
        <v>982</v>
      </c>
    </row>
    <row r="383" spans="1:34" ht="12.95" customHeight="1"/>
    <row r="384" spans="1:34" ht="12.95" customHeight="1">
      <c r="A384" s="2" t="s">
        <v>78</v>
      </c>
      <c r="B384" s="2"/>
    </row>
    <row r="385" spans="4:36" ht="12.95" customHeight="1">
      <c r="D385" t="s">
        <v>428</v>
      </c>
      <c r="J385" s="1407" t="s">
        <v>2695</v>
      </c>
      <c r="K385" s="1407"/>
      <c r="L385" s="1407"/>
      <c r="M385" s="1407"/>
      <c r="N385" s="1407"/>
      <c r="O385" s="1407"/>
      <c r="P385" s="1407"/>
      <c r="Q385" s="1407"/>
      <c r="R385" s="1407"/>
      <c r="S385" s="1407"/>
      <c r="T385" s="1407"/>
      <c r="U385" s="1407"/>
      <c r="V385" s="8" t="s">
        <v>83</v>
      </c>
      <c r="W385" s="8"/>
      <c r="X385" s="8"/>
      <c r="Y385" s="8"/>
      <c r="Z385" s="8"/>
      <c r="AA385" s="8"/>
      <c r="AB385" s="8"/>
      <c r="AC385" s="1407" t="s">
        <v>2696</v>
      </c>
      <c r="AD385" s="1407"/>
      <c r="AE385" s="1407"/>
      <c r="AF385" s="1407"/>
      <c r="AG385" s="1407"/>
      <c r="AH385" s="1407"/>
      <c r="AI385" s="1407"/>
      <c r="AJ385" s="1407"/>
    </row>
    <row r="386" spans="4:36" ht="12.95" customHeight="1">
      <c r="D386" s="3" t="s">
        <v>1182</v>
      </c>
      <c r="J386" s="1371" t="s">
        <v>2696</v>
      </c>
      <c r="K386" s="1371"/>
      <c r="L386" s="1371"/>
      <c r="M386" s="1371"/>
      <c r="N386" s="1371"/>
      <c r="O386" s="1371"/>
      <c r="P386" s="1371"/>
      <c r="Q386" s="1371"/>
      <c r="R386" s="1371"/>
      <c r="S386" s="1371"/>
      <c r="T386" s="1371"/>
      <c r="U386" s="1371"/>
      <c r="V386" s="3" t="s">
        <v>1182</v>
      </c>
      <c r="W386" s="8"/>
      <c r="X386" s="8"/>
      <c r="Y386" s="8"/>
      <c r="Z386" s="8"/>
      <c r="AA386" s="8"/>
      <c r="AB386" s="8"/>
      <c r="AC386" s="1407" t="s">
        <v>2699</v>
      </c>
      <c r="AD386" s="1407"/>
      <c r="AE386" s="1407"/>
      <c r="AF386" s="1407"/>
      <c r="AG386" s="1407"/>
      <c r="AH386" s="1407"/>
      <c r="AI386" s="1407"/>
      <c r="AJ386" s="1407"/>
    </row>
    <row r="387" spans="4:36" ht="12.95" customHeight="1">
      <c r="D387" s="3" t="s">
        <v>441</v>
      </c>
      <c r="J387" s="1371" t="s">
        <v>2700</v>
      </c>
      <c r="K387" s="1371"/>
      <c r="L387" s="1371"/>
      <c r="M387" s="1371"/>
      <c r="N387" s="1371"/>
      <c r="O387" s="1371"/>
      <c r="P387" s="1371"/>
      <c r="Q387" s="1371"/>
      <c r="R387" s="1371"/>
      <c r="S387" s="1371"/>
      <c r="T387" s="1371"/>
      <c r="U387" s="1371"/>
      <c r="V387" s="3" t="s">
        <v>441</v>
      </c>
      <c r="W387" s="8"/>
      <c r="X387" s="8"/>
      <c r="Y387" s="8"/>
      <c r="Z387" s="8"/>
      <c r="AA387" s="8"/>
      <c r="AB387" s="8"/>
      <c r="AC387" s="1407" t="s">
        <v>2701</v>
      </c>
      <c r="AD387" s="1407"/>
      <c r="AE387" s="1407"/>
      <c r="AF387" s="1407"/>
      <c r="AG387" s="1407"/>
      <c r="AH387" s="1407"/>
      <c r="AI387" s="1407"/>
      <c r="AJ387" s="1407"/>
    </row>
    <row r="388" spans="4:36" ht="12.95" customHeight="1">
      <c r="D388" t="s">
        <v>1178</v>
      </c>
      <c r="J388" s="1427" t="s">
        <v>2697</v>
      </c>
      <c r="K388" s="1427"/>
      <c r="L388" s="1427"/>
      <c r="M388" s="1427"/>
      <c r="N388" s="1427"/>
      <c r="O388" s="1427"/>
      <c r="P388" s="1427"/>
      <c r="Q388" s="1427"/>
      <c r="R388" s="1427"/>
      <c r="S388" s="1427"/>
      <c r="T388" s="1427"/>
      <c r="U388" s="1427"/>
      <c r="V388" s="1407" t="s">
        <v>2698</v>
      </c>
      <c r="W388" s="1407"/>
      <c r="X388" s="1407"/>
      <c r="Y388" s="1407"/>
      <c r="Z388" s="1407"/>
      <c r="AA388" s="1407"/>
      <c r="AB388" s="1407"/>
      <c r="AC388" s="1407"/>
      <c r="AD388" s="1407"/>
      <c r="AE388" s="1407"/>
      <c r="AF388" s="1407"/>
      <c r="AG388" s="1407"/>
      <c r="AH388" s="1407"/>
      <c r="AI388" s="1407"/>
      <c r="AJ388" s="1407"/>
    </row>
    <row r="389" spans="4:36" ht="12.95" customHeight="1">
      <c r="D389" t="s">
        <v>4</v>
      </c>
      <c r="Q389" s="1593">
        <v>45902</v>
      </c>
      <c r="R389" s="1593"/>
      <c r="S389" s="1593"/>
      <c r="T389" s="1593"/>
      <c r="U389" s="1593"/>
      <c r="V389" t="s">
        <v>309</v>
      </c>
      <c r="AI389" s="1415" t="s">
        <v>669</v>
      </c>
      <c r="AJ389" s="1415"/>
    </row>
    <row r="390" spans="4:36" ht="12.95" customHeight="1">
      <c r="D390" t="s">
        <v>5</v>
      </c>
      <c r="Q390" s="1520">
        <v>46205</v>
      </c>
      <c r="R390" s="1521"/>
      <c r="S390" s="1521"/>
      <c r="T390" s="1521"/>
      <c r="U390" s="1521"/>
      <c r="W390" s="21" t="s">
        <v>74</v>
      </c>
      <c r="AG390" s="1448"/>
      <c r="AH390" s="1448"/>
      <c r="AI390" s="1448"/>
      <c r="AJ390" s="1448"/>
    </row>
    <row r="391" spans="4:36" ht="12.95" customHeight="1">
      <c r="D391" t="s">
        <v>427</v>
      </c>
      <c r="Q391" s="1449">
        <v>15457394</v>
      </c>
      <c r="R391" s="1449"/>
      <c r="S391" s="1449"/>
      <c r="T391" s="1449"/>
      <c r="U391" s="1449"/>
      <c r="V391" s="3" t="s">
        <v>1181</v>
      </c>
      <c r="AG391" s="1518">
        <v>45840</v>
      </c>
      <c r="AH391" s="1518"/>
      <c r="AI391" s="1518"/>
      <c r="AJ391" s="1518"/>
    </row>
    <row r="392" spans="4:36" ht="12.95" customHeight="1">
      <c r="D392" t="s">
        <v>88</v>
      </c>
      <c r="I392" s="1545"/>
      <c r="J392" s="1545"/>
      <c r="K392" s="1545"/>
      <c r="L392" s="1545"/>
      <c r="M392" s="1545"/>
      <c r="N392" s="1545"/>
      <c r="Q392" s="4" t="s">
        <v>206</v>
      </c>
      <c r="S392" s="1447"/>
      <c r="T392" s="1447"/>
      <c r="U392" s="1447"/>
      <c r="V392" t="s">
        <v>73</v>
      </c>
      <c r="AI392" s="1415" t="s">
        <v>669</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82"/>
      <c r="R394" s="1582"/>
      <c r="S394" s="1582"/>
      <c r="T394" s="1582"/>
      <c r="U394" s="1582"/>
      <c r="V394" t="s">
        <v>1163</v>
      </c>
      <c r="AG394" s="1448"/>
      <c r="AH394" s="1448"/>
      <c r="AI394" s="1448"/>
      <c r="AJ394" s="1448"/>
    </row>
    <row r="395" spans="4:36" ht="12.95" customHeight="1">
      <c r="D395" t="s">
        <v>1162</v>
      </c>
      <c r="AG395" s="1448"/>
      <c r="AH395" s="1448"/>
      <c r="AI395" s="1448"/>
      <c r="AJ395" s="1448"/>
    </row>
    <row r="396" spans="4:36" ht="12.95" customHeight="1">
      <c r="AG396" s="456"/>
      <c r="AH396" s="456"/>
      <c r="AI396" s="456"/>
      <c r="AJ396" s="456"/>
    </row>
    <row r="397" spans="4:36" ht="12.95" customHeight="1">
      <c r="D397" s="3" t="s">
        <v>2142</v>
      </c>
      <c r="AG397" s="456"/>
      <c r="AH397" s="456"/>
      <c r="AI397" s="1415" t="s">
        <v>669</v>
      </c>
      <c r="AJ397" s="1415"/>
    </row>
    <row r="398" spans="4:36" ht="12.95"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1660</v>
      </c>
      <c r="S401" s="1434" t="s">
        <v>669</v>
      </c>
      <c r="T401" s="1434"/>
      <c r="U401" s="1434"/>
      <c r="V401" t="s">
        <v>1661</v>
      </c>
      <c r="AG401" s="1523"/>
      <c r="AH401" s="1523"/>
      <c r="AI401" s="1523"/>
      <c r="AJ401" s="1523"/>
    </row>
    <row r="402" spans="1:36" ht="12.95" customHeight="1">
      <c r="D402" s="3" t="s">
        <v>1658</v>
      </c>
      <c r="S402" s="1434" t="s">
        <v>591</v>
      </c>
      <c r="T402" s="1434"/>
      <c r="U402" s="1434"/>
      <c r="V402" t="s">
        <v>1663</v>
      </c>
      <c r="AE402" s="1517"/>
      <c r="AF402" s="1517"/>
      <c r="AG402" s="1517"/>
      <c r="AH402" s="1517"/>
      <c r="AI402" s="1517"/>
      <c r="AJ402" s="1517"/>
    </row>
    <row r="403" spans="1:36" ht="12.95"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1662</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1665</v>
      </c>
      <c r="E405" s="477"/>
      <c r="F405" s="477"/>
      <c r="G405" s="477"/>
      <c r="H405" s="477"/>
      <c r="I405" s="477"/>
      <c r="J405" s="477"/>
      <c r="K405" s="477"/>
      <c r="L405" s="477"/>
      <c r="M405" s="477"/>
      <c r="N405" s="477"/>
      <c r="O405" s="477"/>
      <c r="P405" s="477"/>
      <c r="Q405" s="477"/>
      <c r="R405" s="477"/>
      <c r="S405" s="1445" t="s">
        <v>2702</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522" t="s">
        <v>2703</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591</v>
      </c>
      <c r="S411" s="1415"/>
      <c r="AC411" s="27" t="s">
        <v>570</v>
      </c>
      <c r="AD411" s="1390"/>
      <c r="AE411" s="1390"/>
    </row>
    <row r="412" spans="1:36" ht="12.95" customHeight="1">
      <c r="E412" t="s">
        <v>107</v>
      </c>
      <c r="R412" s="1415" t="s">
        <v>545</v>
      </c>
      <c r="S412" s="1415"/>
      <c r="AC412" s="27" t="s">
        <v>570</v>
      </c>
      <c r="AD412" s="1390">
        <v>2</v>
      </c>
      <c r="AE412" s="1390"/>
    </row>
    <row r="413" spans="1:36" ht="12.95" customHeight="1">
      <c r="E413" t="s">
        <v>108</v>
      </c>
      <c r="S413" s="1415" t="s">
        <v>591</v>
      </c>
      <c r="T413" s="1415"/>
    </row>
    <row r="414" spans="1:36" ht="12.95" customHeight="1">
      <c r="E414" t="s">
        <v>170</v>
      </c>
      <c r="H414" s="1583" t="s">
        <v>334</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5"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5" customHeight="1"/>
    <row r="417" spans="1:39" ht="12.95" customHeight="1">
      <c r="A417" s="2" t="s">
        <v>590</v>
      </c>
      <c r="B417" s="2"/>
      <c r="C417" s="2"/>
      <c r="D417" s="2" t="s">
        <v>114</v>
      </c>
      <c r="AF417" s="2" t="s">
        <v>957</v>
      </c>
    </row>
    <row r="418" spans="1:39" ht="12.95" customHeight="1">
      <c r="E418" s="1443"/>
      <c r="F418" s="1443"/>
      <c r="G418" s="1443"/>
      <c r="H418" s="13" t="s">
        <v>115</v>
      </c>
      <c r="I418" s="1443"/>
      <c r="J418" s="1443"/>
      <c r="K418" s="1443"/>
      <c r="L418" t="s">
        <v>116</v>
      </c>
      <c r="N418" s="27" t="s">
        <v>575</v>
      </c>
      <c r="P418" s="1586">
        <v>5.23</v>
      </c>
      <c r="Q418" s="1586"/>
      <c r="R418" s="1586"/>
      <c r="S418" t="s">
        <v>117</v>
      </c>
      <c r="W418" s="1444">
        <f>IF(E418&gt;0,(E418*I418),(P418*43560))</f>
        <v>227818.80000000002</v>
      </c>
      <c r="X418" s="1444"/>
      <c r="Y418" s="1444"/>
      <c r="Z418" t="s">
        <v>118</v>
      </c>
      <c r="AF418" s="1587">
        <f>IFERROR(IF(P418&gt;0,(AG437/P418),(AG437/(W418/43560))),0)</f>
        <v>14.913957934990439</v>
      </c>
      <c r="AG418" s="1587"/>
      <c r="AH418" s="1587"/>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1736</v>
      </c>
      <c r="F421" s="1013"/>
      <c r="G421" s="1013"/>
      <c r="H421" s="1013"/>
      <c r="I421" s="1585">
        <v>5.23</v>
      </c>
      <c r="J421" s="1585"/>
      <c r="K421" s="1585"/>
      <c r="L421" s="1013"/>
      <c r="M421" s="118"/>
      <c r="N421" s="1013"/>
      <c r="O421" s="1013"/>
      <c r="P421" s="1839">
        <f>(DU755+DU778+DU800)/I421</f>
        <v>38.240917782026763</v>
      </c>
      <c r="Q421" s="1839"/>
      <c r="R421" s="1839"/>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5">
        <v>12</v>
      </c>
      <c r="Q424" s="1415"/>
      <c r="S424" t="s">
        <v>189</v>
      </c>
      <c r="AE424" s="1415">
        <v>12</v>
      </c>
      <c r="AF424" s="1415"/>
    </row>
    <row r="425" spans="1:39" ht="12.95" customHeight="1">
      <c r="E425" t="s">
        <v>190</v>
      </c>
      <c r="P425" s="1415">
        <v>0</v>
      </c>
      <c r="Q425" s="1415"/>
      <c r="S425" t="s">
        <v>131</v>
      </c>
      <c r="AE425" s="1415" t="s">
        <v>591</v>
      </c>
      <c r="AF425" s="1415"/>
    </row>
    <row r="426" spans="1:39" ht="12.95" customHeight="1">
      <c r="F426" s="28" t="s">
        <v>132</v>
      </c>
    </row>
    <row r="427" spans="1:39" ht="12.95"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5" customHeight="1">
      <c r="E429" t="s">
        <v>608</v>
      </c>
      <c r="P429" s="1"/>
      <c r="Q429" s="1415" t="s">
        <v>669</v>
      </c>
      <c r="R429" s="1415"/>
    </row>
    <row r="430" spans="1:39" ht="12.95" customHeight="1">
      <c r="F430" t="s">
        <v>609</v>
      </c>
      <c r="P430" s="1"/>
      <c r="Q430" s="1"/>
      <c r="AF430" s="1415" t="s">
        <v>545</v>
      </c>
      <c r="AG430" s="1505"/>
    </row>
    <row r="431" spans="1:39" ht="12.95" customHeight="1"/>
    <row r="432" spans="1:39" ht="12.95" customHeight="1">
      <c r="A432" s="2"/>
      <c r="B432" s="2"/>
      <c r="C432" s="2"/>
      <c r="E432" s="4" t="s">
        <v>308</v>
      </c>
      <c r="Z432" s="1415" t="s">
        <v>669</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5" customHeight="1"/>
    <row r="436" spans="1:55" ht="12.95" customHeight="1">
      <c r="A436" s="2" t="s">
        <v>467</v>
      </c>
      <c r="B436" s="2"/>
      <c r="C436" s="2"/>
      <c r="D436" s="2" t="s">
        <v>764</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78</v>
      </c>
      <c r="AH437" s="1385"/>
      <c r="AI437" s="1385"/>
      <c r="AJ437" s="1385"/>
    </row>
    <row r="438" spans="1:55" ht="12.95"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77</v>
      </c>
      <c r="AH439" s="1385"/>
      <c r="AI439" s="1385"/>
      <c r="AJ439" s="1385"/>
    </row>
    <row r="440" spans="1:55" ht="12.95"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77</v>
      </c>
      <c r="AH440" s="1385"/>
      <c r="AI440" s="1385"/>
      <c r="AJ440" s="1385"/>
    </row>
    <row r="441" spans="1:55" ht="12.95"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86179</v>
      </c>
      <c r="AH442" s="1416"/>
      <c r="AI442" s="1416"/>
      <c r="AJ442" s="1416"/>
    </row>
    <row r="443" spans="1:55" ht="12.95"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86179</v>
      </c>
      <c r="AH443" s="1416"/>
      <c r="AI443" s="1416"/>
      <c r="AJ443" s="1416"/>
    </row>
    <row r="444" spans="1:55" ht="12.95"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0</v>
      </c>
      <c r="AH446" s="1416"/>
      <c r="AI446" s="1416"/>
      <c r="AJ446" s="1416"/>
      <c r="AZ446" s="34"/>
      <c r="BA446" s="34"/>
      <c r="BB446" s="34"/>
      <c r="BC446" s="34"/>
    </row>
    <row r="447" spans="1:55" ht="12.95"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1199</v>
      </c>
      <c r="AH448" s="1416"/>
      <c r="AI448" s="1416"/>
      <c r="AJ448" s="1416"/>
      <c r="AZ448" s="3"/>
      <c r="BA448" s="3"/>
      <c r="BB448" s="3"/>
      <c r="BC448" s="3"/>
    </row>
    <row r="449" spans="1:55" ht="12.95"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8" t="s">
        <v>1039</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9">
        <f>AG442+AG446+AG448+AG449</f>
        <v>87378</v>
      </c>
      <c r="AH450" s="1429"/>
      <c r="AI450" s="1429"/>
      <c r="AJ450" s="1429"/>
      <c r="AZ450" s="3"/>
      <c r="BA450" s="3"/>
      <c r="BB450" s="3"/>
      <c r="BC450" s="3"/>
    </row>
    <row r="451" spans="1:55" ht="12.95" customHeight="1">
      <c r="D451" s="1589" t="s">
        <v>1206</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2.95"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358816.61538461538</v>
      </c>
      <c r="AD454" s="1373"/>
      <c r="AE454" s="1373"/>
      <c r="AF454" s="137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358816.61538461538</v>
      </c>
      <c r="AD455" s="1373"/>
      <c r="AE455" s="1373"/>
      <c r="AF455" s="137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330300.5</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5"/>
      <c r="H474" s="1676"/>
      <c r="I474" s="1676"/>
      <c r="J474" s="1676"/>
      <c r="K474" s="1676"/>
      <c r="L474" s="1676"/>
      <c r="M474" s="1676"/>
      <c r="N474" s="1676"/>
      <c r="O474" s="1676"/>
      <c r="P474" s="1676"/>
      <c r="Q474" s="1676"/>
      <c r="R474" s="1676"/>
      <c r="S474" s="1676"/>
      <c r="T474" s="1676"/>
      <c r="U474" s="1676"/>
      <c r="V474" s="1677"/>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7" t="s">
        <v>810</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5"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2704</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2704</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2704</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669</v>
      </c>
      <c r="R489" s="1460"/>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5"/>
      <c r="T490" s="1530"/>
      <c r="U490" s="1530"/>
      <c r="V490" s="1530"/>
      <c r="W490" s="1530"/>
      <c r="X490" s="1530"/>
      <c r="Y490" s="1530"/>
      <c r="Z490" s="1530"/>
      <c r="AA490" s="1530"/>
      <c r="AB490" s="1530"/>
      <c r="AC490" s="1530"/>
      <c r="AD490" s="1530"/>
      <c r="AE490" s="1530"/>
      <c r="AF490" s="1530"/>
      <c r="AG490" s="1530"/>
      <c r="AH490" s="1530"/>
      <c r="AI490" s="1530"/>
      <c r="AJ490" s="1530"/>
      <c r="AK490" s="1576"/>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2705</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88">
        <v>4.2361111111111113E-2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v>138</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c r="N495" s="1382"/>
      <c r="O495" s="1382"/>
      <c r="P495" s="1383"/>
      <c r="Q495" s="121" t="s">
        <v>1670</v>
      </c>
      <c r="R495" s="5"/>
      <c r="S495" s="5"/>
      <c r="T495" s="5"/>
      <c r="U495" s="5"/>
      <c r="V495" s="5"/>
      <c r="W495" s="5"/>
      <c r="X495" s="5"/>
      <c r="Y495" s="5"/>
      <c r="Z495" s="5"/>
      <c r="AA495" s="5"/>
      <c r="AB495" s="5"/>
      <c r="AC495" s="5"/>
      <c r="AD495" s="5"/>
      <c r="AE495" s="5"/>
      <c r="AF495" s="5"/>
      <c r="AG495" s="5"/>
      <c r="AH495" s="1381">
        <v>138</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591</v>
      </c>
      <c r="AD501" s="1390"/>
      <c r="AE501" s="1390"/>
      <c r="AF501" s="1390"/>
      <c r="AG501" s="13" t="s">
        <v>403</v>
      </c>
      <c r="AH501" s="1427">
        <v>0</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403</v>
      </c>
      <c r="AH502" s="1427">
        <v>2026</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591</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591</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591</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591</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5</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1184</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91"/>
      <c r="AI512" s="1591"/>
      <c r="AJ512" s="1591"/>
      <c r="AK512" s="1592"/>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8"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2104</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416</v>
      </c>
      <c r="AC515" s="1389">
        <v>9</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416</v>
      </c>
      <c r="AC518" s="1389">
        <v>9</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7">
        <v>2028</v>
      </c>
      <c r="AI519" s="1427"/>
      <c r="AJ519" s="1427"/>
      <c r="AK519" s="1428"/>
      <c r="BB519" s="3"/>
      <c r="BC519" s="3"/>
      <c r="BD519" s="3"/>
      <c r="BE519" s="3"/>
      <c r="BF519" s="3"/>
      <c r="BG519" s="3"/>
      <c r="BH519" s="3"/>
      <c r="BI519" s="3"/>
      <c r="BJ519" s="3"/>
      <c r="BK519" s="3"/>
      <c r="BL519" s="3"/>
      <c r="BM519" s="3"/>
      <c r="BN519" s="3" t="s">
        <v>2110</v>
      </c>
    </row>
    <row r="520" spans="2:66" ht="12.95" customHeight="1">
      <c r="B520" s="1396" t="s">
        <v>419</v>
      </c>
      <c r="C520" s="1397"/>
      <c r="D520" s="1397"/>
      <c r="E520" s="1397"/>
      <c r="F520" s="1397"/>
      <c r="G520" s="1397"/>
      <c r="H520" s="1398"/>
      <c r="I520" s="41" t="s">
        <v>420</v>
      </c>
      <c r="J520" s="42"/>
      <c r="K520" s="42"/>
      <c r="L520" s="42"/>
      <c r="M520" s="42"/>
      <c r="N520" s="42"/>
      <c r="O520" s="1433" t="s">
        <v>2677</v>
      </c>
      <c r="P520" s="1434"/>
      <c r="Q520" s="1434"/>
      <c r="R520" s="1434"/>
      <c r="S520" s="1434"/>
      <c r="T520" s="1434"/>
      <c r="U520" s="1434"/>
      <c r="V520" s="1434"/>
      <c r="W520" s="1434"/>
      <c r="X520" s="1434"/>
      <c r="Y520" s="1434"/>
      <c r="Z520" s="1434"/>
      <c r="AA520" s="1434"/>
      <c r="AB520" s="58"/>
      <c r="AC520" s="1355" t="s">
        <v>591</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421</v>
      </c>
      <c r="AB521" s="65"/>
      <c r="AC521" s="1389">
        <v>7</v>
      </c>
      <c r="AD521" s="1390"/>
      <c r="AE521" s="1390"/>
      <c r="AF521" s="1390"/>
      <c r="AG521" s="13" t="s">
        <v>403</v>
      </c>
      <c r="AH521" s="1427">
        <v>2024</v>
      </c>
      <c r="AI521" s="1427"/>
      <c r="AJ521" s="1427"/>
      <c r="AK521" s="1428"/>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8</v>
      </c>
      <c r="AD522" s="1390"/>
      <c r="AE522" s="1390"/>
      <c r="AF522" s="1390"/>
      <c r="AG522" s="38" t="s">
        <v>403</v>
      </c>
      <c r="AH522" s="1427">
        <v>2024</v>
      </c>
      <c r="AI522" s="1427"/>
      <c r="AJ522" s="1427"/>
      <c r="AK522" s="1428"/>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591</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421</v>
      </c>
      <c r="AC524" s="1389" t="s">
        <v>591</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591</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591</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421</v>
      </c>
      <c r="AC527" s="1389" t="s">
        <v>591</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591</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591</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421</v>
      </c>
      <c r="AC530" s="1389" t="s">
        <v>591</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591</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421</v>
      </c>
      <c r="AC533" s="1389" t="s">
        <v>591</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591</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421</v>
      </c>
      <c r="AC536" s="1389" t="s">
        <v>591</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5</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563</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564</v>
      </c>
      <c r="AC540" s="1389">
        <v>5</v>
      </c>
      <c r="AD540" s="1390"/>
      <c r="AE540" s="1390"/>
      <c r="AF540" s="1390"/>
      <c r="AG540" s="38" t="s">
        <v>403</v>
      </c>
      <c r="AH540" s="1427">
        <v>2028</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565</v>
      </c>
      <c r="AC541" s="1389">
        <v>5</v>
      </c>
      <c r="AD541" s="1390"/>
      <c r="AE541" s="1390"/>
      <c r="AF541" s="1390"/>
      <c r="AG541" s="38" t="s">
        <v>403</v>
      </c>
      <c r="AH541" s="1427">
        <v>2028</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8</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2706</v>
      </c>
      <c r="D554" s="1439"/>
      <c r="E554" s="1439"/>
      <c r="F554" s="1439"/>
      <c r="G554" s="1439"/>
      <c r="H554" s="1439"/>
      <c r="I554" s="1439"/>
      <c r="J554" s="1439"/>
      <c r="K554" s="1439"/>
      <c r="L554" s="1439"/>
      <c r="M554" s="1439" t="s">
        <v>2119</v>
      </c>
      <c r="N554" s="1439"/>
      <c r="O554" s="1439"/>
      <c r="P554" s="1439"/>
      <c r="Q554" s="1425">
        <v>24</v>
      </c>
      <c r="R554" s="1425"/>
      <c r="S554" s="1426"/>
      <c r="T554" s="1424"/>
      <c r="U554" s="1425"/>
      <c r="V554" s="1426"/>
      <c r="W554" s="1421">
        <v>5.8500000000000003E-2</v>
      </c>
      <c r="X554" s="1422"/>
      <c r="Y554" s="1423"/>
      <c r="Z554" s="1430" t="s">
        <v>2707</v>
      </c>
      <c r="AA554" s="1430"/>
      <c r="AB554" s="1430"/>
      <c r="AC554" s="1430"/>
      <c r="AD554" s="1430"/>
      <c r="AE554" s="1412">
        <v>1</v>
      </c>
      <c r="AF554" s="1413"/>
      <c r="AG554" s="1413"/>
      <c r="AH554" s="1414"/>
      <c r="AI554" s="1436"/>
      <c r="AJ554" s="1437"/>
      <c r="AK554" s="1437"/>
      <c r="AL554" s="1438"/>
      <c r="AM554" s="1465">
        <v>7904531</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2706</v>
      </c>
      <c r="D555" s="1440"/>
      <c r="E555" s="1440"/>
      <c r="F555" s="1440"/>
      <c r="G555" s="1440"/>
      <c r="H555" s="1440"/>
      <c r="I555" s="1440"/>
      <c r="J555" s="1440"/>
      <c r="K555" s="1440"/>
      <c r="L555" s="1440"/>
      <c r="M555" s="1439" t="s">
        <v>2120</v>
      </c>
      <c r="N555" s="1439"/>
      <c r="O555" s="1439"/>
      <c r="P555" s="1439"/>
      <c r="Q555" s="1424">
        <v>24</v>
      </c>
      <c r="R555" s="1425"/>
      <c r="S555" s="1426"/>
      <c r="T555" s="1424"/>
      <c r="U555" s="1425"/>
      <c r="V555" s="1426"/>
      <c r="W555" s="1421">
        <v>5.8500000000000003E-2</v>
      </c>
      <c r="X555" s="1422"/>
      <c r="Y555" s="1423"/>
      <c r="Z555" s="1430" t="s">
        <v>2707</v>
      </c>
      <c r="AA555" s="1430"/>
      <c r="AB555" s="1430"/>
      <c r="AC555" s="1430"/>
      <c r="AD555" s="1430"/>
      <c r="AE555" s="1412">
        <v>1</v>
      </c>
      <c r="AF555" s="1413"/>
      <c r="AG555" s="1413"/>
      <c r="AH555" s="1414"/>
      <c r="AI555" s="1436"/>
      <c r="AJ555" s="1437"/>
      <c r="AK555" s="1437"/>
      <c r="AL555" s="1438"/>
      <c r="AM555" s="1465">
        <v>2377860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2706</v>
      </c>
      <c r="D556" s="1440"/>
      <c r="E556" s="1440"/>
      <c r="F556" s="1440"/>
      <c r="G556" s="1440"/>
      <c r="H556" s="1440"/>
      <c r="I556" s="1440"/>
      <c r="J556" s="1440"/>
      <c r="K556" s="1440"/>
      <c r="L556" s="1440"/>
      <c r="M556" s="1439" t="s">
        <v>2118</v>
      </c>
      <c r="N556" s="1439"/>
      <c r="O556" s="1439"/>
      <c r="P556" s="1439"/>
      <c r="Q556" s="1424">
        <v>24</v>
      </c>
      <c r="R556" s="1425"/>
      <c r="S556" s="1426"/>
      <c r="T556" s="1424"/>
      <c r="U556" s="1425"/>
      <c r="V556" s="1426"/>
      <c r="W556" s="1421">
        <v>5.8500000000000003E-2</v>
      </c>
      <c r="X556" s="1422"/>
      <c r="Y556" s="1423"/>
      <c r="Z556" s="1430" t="s">
        <v>2707</v>
      </c>
      <c r="AA556" s="1430"/>
      <c r="AB556" s="1430"/>
      <c r="AC556" s="1430"/>
      <c r="AD556" s="1430"/>
      <c r="AE556" s="1412">
        <v>1</v>
      </c>
      <c r="AF556" s="1413"/>
      <c r="AG556" s="1413"/>
      <c r="AH556" s="1414"/>
      <c r="AI556" s="1436"/>
      <c r="AJ556" s="1437"/>
      <c r="AK556" s="1437"/>
      <c r="AL556" s="1438"/>
      <c r="AM556" s="1465">
        <v>1743119</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581</v>
      </c>
      <c r="C557" s="1440" t="s">
        <v>2677</v>
      </c>
      <c r="D557" s="1440"/>
      <c r="E557" s="1440"/>
      <c r="F557" s="1440"/>
      <c r="G557" s="1440"/>
      <c r="H557" s="1440"/>
      <c r="I557" s="1440"/>
      <c r="J557" s="1440"/>
      <c r="K557" s="1440"/>
      <c r="L557" s="1440"/>
      <c r="M557" s="1439" t="s">
        <v>2115</v>
      </c>
      <c r="N557" s="1439"/>
      <c r="O557" s="1439"/>
      <c r="P557" s="1439"/>
      <c r="Q557" s="1424">
        <v>228</v>
      </c>
      <c r="R557" s="1425"/>
      <c r="S557" s="1426"/>
      <c r="T557" s="1424"/>
      <c r="U557" s="1425"/>
      <c r="V557" s="1426"/>
      <c r="W557" s="1421">
        <v>0.03</v>
      </c>
      <c r="X557" s="1422"/>
      <c r="Y557" s="1423"/>
      <c r="Z557" s="1430" t="s">
        <v>2707</v>
      </c>
      <c r="AA557" s="1430"/>
      <c r="AB557" s="1430"/>
      <c r="AC557" s="1430"/>
      <c r="AD557" s="1430"/>
      <c r="AE557" s="1412">
        <v>2</v>
      </c>
      <c r="AF557" s="1413"/>
      <c r="AG557" s="1413"/>
      <c r="AH557" s="1414"/>
      <c r="AI557" s="1436"/>
      <c r="AJ557" s="1437"/>
      <c r="AK557" s="1437"/>
      <c r="AL557" s="1438"/>
      <c r="AM557" s="1465">
        <v>8825000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763</v>
      </c>
      <c r="C558" s="1440" t="s">
        <v>2677</v>
      </c>
      <c r="D558" s="1440"/>
      <c r="E558" s="1440"/>
      <c r="F558" s="1440"/>
      <c r="G558" s="1440"/>
      <c r="H558" s="1440"/>
      <c r="I558" s="1440"/>
      <c r="J558" s="1440"/>
      <c r="K558" s="1440"/>
      <c r="L558" s="1440"/>
      <c r="M558" s="1439" t="s">
        <v>2104</v>
      </c>
      <c r="N558" s="1439"/>
      <c r="O558" s="1439"/>
      <c r="P558" s="1439"/>
      <c r="Q558" s="1424"/>
      <c r="R558" s="1425"/>
      <c r="S558" s="1426"/>
      <c r="T558" s="1424"/>
      <c r="U558" s="1425"/>
      <c r="V558" s="1426"/>
      <c r="W558" s="1421"/>
      <c r="X558" s="1422"/>
      <c r="Y558" s="1423"/>
      <c r="Z558" s="1430" t="s">
        <v>1184</v>
      </c>
      <c r="AA558" s="1430"/>
      <c r="AB558" s="1430"/>
      <c r="AC558" s="1430"/>
      <c r="AD558" s="1430"/>
      <c r="AE558" s="1412">
        <v>2</v>
      </c>
      <c r="AF558" s="1413"/>
      <c r="AG558" s="1413"/>
      <c r="AH558" s="1414"/>
      <c r="AI558" s="1436"/>
      <c r="AJ558" s="1437"/>
      <c r="AK558" s="1437"/>
      <c r="AL558" s="1438"/>
      <c r="AM558" s="1465">
        <v>3658198</v>
      </c>
      <c r="AN558" s="1466"/>
      <c r="AO558" s="1466"/>
      <c r="AP558" s="1466"/>
      <c r="AQ558" s="1466"/>
      <c r="AR558" s="1466"/>
      <c r="AS558" s="1467"/>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0" t="s">
        <v>2730</v>
      </c>
      <c r="D559" s="1440"/>
      <c r="E559" s="1440"/>
      <c r="F559" s="1440"/>
      <c r="G559" s="1440"/>
      <c r="H559" s="1440"/>
      <c r="I559" s="1440"/>
      <c r="J559" s="1440"/>
      <c r="K559" s="1440"/>
      <c r="L559" s="1440"/>
      <c r="M559" s="1439" t="s">
        <v>2110</v>
      </c>
      <c r="N559" s="1439"/>
      <c r="O559" s="1439"/>
      <c r="P559" s="1439"/>
      <c r="Q559" s="1424"/>
      <c r="R559" s="1425"/>
      <c r="S559" s="1426"/>
      <c r="T559" s="1424"/>
      <c r="U559" s="1425"/>
      <c r="V559" s="1426"/>
      <c r="W559" s="1421"/>
      <c r="X559" s="1422"/>
      <c r="Y559" s="1423"/>
      <c r="Z559" s="1430" t="s">
        <v>1184</v>
      </c>
      <c r="AA559" s="1430"/>
      <c r="AB559" s="1430"/>
      <c r="AC559" s="1430"/>
      <c r="AD559" s="1430"/>
      <c r="AE559" s="1412"/>
      <c r="AF559" s="1413"/>
      <c r="AG559" s="1413"/>
      <c r="AH559" s="1414"/>
      <c r="AI559" s="1436"/>
      <c r="AJ559" s="1437"/>
      <c r="AK559" s="1437"/>
      <c r="AL559" s="1438"/>
      <c r="AM559" s="1465">
        <v>1820645</v>
      </c>
      <c r="AN559" s="1466"/>
      <c r="AO559" s="1466"/>
      <c r="AP559" s="1466"/>
      <c r="AQ559" s="1466"/>
      <c r="AR559" s="1466"/>
      <c r="AS559" s="1467"/>
      <c r="AT559" s="1148" t="str">
        <f t="shared" si="0"/>
        <v/>
      </c>
      <c r="AU559" s="1147"/>
      <c r="BB559" s="3"/>
      <c r="BC559" s="3"/>
      <c r="BD559" s="3"/>
      <c r="BE559" s="3"/>
      <c r="BF559" s="3"/>
      <c r="BG559" s="3"/>
      <c r="BH559" s="3" t="s">
        <v>584</v>
      </c>
      <c r="BI559" s="3" t="str">
        <f>AG665</f>
        <v>No</v>
      </c>
    </row>
    <row r="560" spans="1:61" ht="12.95" customHeight="1">
      <c r="B560" s="52" t="s">
        <v>455</v>
      </c>
      <c r="C560" s="1440" t="s">
        <v>2673</v>
      </c>
      <c r="D560" s="1440"/>
      <c r="E560" s="1440"/>
      <c r="F560" s="1440"/>
      <c r="G560" s="1440"/>
      <c r="H560" s="1440"/>
      <c r="I560" s="1440"/>
      <c r="J560" s="1440"/>
      <c r="K560" s="1440"/>
      <c r="L560" s="1440"/>
      <c r="M560" s="1439" t="s">
        <v>2123</v>
      </c>
      <c r="N560" s="1439"/>
      <c r="O560" s="1439"/>
      <c r="P560" s="1439"/>
      <c r="Q560" s="1424"/>
      <c r="R560" s="1425"/>
      <c r="S560" s="1426"/>
      <c r="T560" s="1424"/>
      <c r="U560" s="1425"/>
      <c r="V560" s="1426"/>
      <c r="W560" s="1421"/>
      <c r="X560" s="1422"/>
      <c r="Y560" s="1423"/>
      <c r="Z560" s="1430" t="s">
        <v>1184</v>
      </c>
      <c r="AA560" s="1430"/>
      <c r="AB560" s="1430"/>
      <c r="AC560" s="1430"/>
      <c r="AD560" s="1430"/>
      <c r="AE560" s="1412"/>
      <c r="AF560" s="1413"/>
      <c r="AG560" s="1413"/>
      <c r="AH560" s="1414"/>
      <c r="AI560" s="1436"/>
      <c r="AJ560" s="1437"/>
      <c r="AK560" s="1437"/>
      <c r="AL560" s="1438"/>
      <c r="AM560" s="1465">
        <v>488598</v>
      </c>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456</v>
      </c>
      <c r="C561" s="1440" t="s">
        <v>2673</v>
      </c>
      <c r="D561" s="1440"/>
      <c r="E561" s="1440"/>
      <c r="F561" s="1440"/>
      <c r="G561" s="1440"/>
      <c r="H561" s="1440"/>
      <c r="I561" s="1440"/>
      <c r="J561" s="1440"/>
      <c r="K561" s="1440"/>
      <c r="L561" s="1440"/>
      <c r="M561" s="1439" t="s">
        <v>2106</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5">
        <v>1169745</v>
      </c>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461</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27987696</v>
      </c>
      <c r="AN566" s="1473"/>
      <c r="AO566" s="1473"/>
      <c r="AP566" s="1473"/>
      <c r="AQ566" s="1473"/>
      <c r="AR566" s="1473"/>
      <c r="AS566" s="1474"/>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3" t="str">
        <f>C554</f>
        <v>Citibank, N.A.</v>
      </c>
      <c r="H568" s="1483"/>
      <c r="I568" s="1483"/>
      <c r="J568" s="1483"/>
      <c r="K568" s="1483"/>
      <c r="L568" s="1483"/>
      <c r="M568" s="1483"/>
      <c r="N568" s="1483"/>
      <c r="O568" s="1483"/>
      <c r="P568" s="1483"/>
      <c r="Q568" s="1483"/>
      <c r="R568" s="1483"/>
      <c r="S568" s="8"/>
      <c r="T568" s="55" t="s">
        <v>113</v>
      </c>
      <c r="U568" t="s">
        <v>463</v>
      </c>
      <c r="Z568" s="1483" t="str">
        <f>C555</f>
        <v>Citibank, N.A.</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2714</v>
      </c>
      <c r="H569" s="1407"/>
      <c r="I569" s="1407"/>
      <c r="J569" s="1407"/>
      <c r="K569" s="1407"/>
      <c r="L569" s="1407"/>
      <c r="M569" s="1407"/>
      <c r="N569" s="1407"/>
      <c r="O569" s="1407"/>
      <c r="P569" s="1407"/>
      <c r="Q569" s="1407"/>
      <c r="R569" s="1407"/>
      <c r="S569" s="8"/>
      <c r="T569" s="22"/>
      <c r="U569" t="s">
        <v>85</v>
      </c>
      <c r="Z569" s="1407" t="s">
        <v>2714</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580</v>
      </c>
      <c r="G570" s="1407" t="s">
        <v>2715</v>
      </c>
      <c r="H570" s="1407"/>
      <c r="I570" s="1407"/>
      <c r="J570" s="1407"/>
      <c r="K570" s="1407"/>
      <c r="L570" s="1407"/>
      <c r="M570" s="1407"/>
      <c r="N570" s="1407"/>
      <c r="O570" s="1407"/>
      <c r="P570" s="1407"/>
      <c r="Q570" s="1407"/>
      <c r="R570" s="1407"/>
      <c r="T570" s="22"/>
      <c r="U570" t="s">
        <v>580</v>
      </c>
      <c r="Z570" s="1371" t="s">
        <v>2715</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2716</v>
      </c>
      <c r="H571" s="1407"/>
      <c r="I571" s="1407"/>
      <c r="J571" s="1407"/>
      <c r="K571" s="1407"/>
      <c r="L571" s="1407"/>
      <c r="M571" s="1407"/>
      <c r="N571" s="1407"/>
      <c r="O571" s="1407"/>
      <c r="P571" s="1407"/>
      <c r="Q571" s="1407"/>
      <c r="R571" s="1407"/>
      <c r="S571" s="8"/>
      <c r="T571" s="22"/>
      <c r="U571" t="s">
        <v>17</v>
      </c>
      <c r="Z571" s="1371" t="s">
        <v>2716</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531" t="s">
        <v>2721</v>
      </c>
      <c r="H572" s="1487"/>
      <c r="I572" s="1487"/>
      <c r="J572" s="1487"/>
      <c r="K572" s="1487"/>
      <c r="L572" s="1487"/>
      <c r="O572" s="33" t="s">
        <v>206</v>
      </c>
      <c r="P572" s="1471"/>
      <c r="Q572" s="1471"/>
      <c r="R572" s="1471"/>
      <c r="S572" s="10"/>
      <c r="T572" s="22"/>
      <c r="U572" t="s">
        <v>316</v>
      </c>
      <c r="Z572" s="1531">
        <v>8055570930</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2722</v>
      </c>
      <c r="I573" s="1407"/>
      <c r="J573" s="1407"/>
      <c r="K573" s="1407"/>
      <c r="L573" s="1407"/>
      <c r="M573" s="1407"/>
      <c r="N573" s="1407"/>
      <c r="O573" s="1407"/>
      <c r="P573" s="1407"/>
      <c r="Q573" s="1407"/>
      <c r="R573" s="1407"/>
      <c r="S573" s="8"/>
      <c r="T573" s="22"/>
      <c r="U573" t="s">
        <v>18</v>
      </c>
      <c r="AA573" s="1407" t="s">
        <v>2734</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1185</v>
      </c>
      <c r="H574" s="8"/>
      <c r="I574" s="8"/>
      <c r="J574" s="8"/>
      <c r="K574" s="8"/>
      <c r="L574" s="8"/>
      <c r="M574" s="1603"/>
      <c r="N574" s="1603"/>
      <c r="O574" s="1603"/>
      <c r="P574" s="1603"/>
      <c r="Q574" s="1603"/>
      <c r="R574" s="1603"/>
      <c r="S574" s="8"/>
      <c r="T574" s="22"/>
      <c r="U574" s="320" t="s">
        <v>1185</v>
      </c>
      <c r="AA574" s="8"/>
      <c r="AB574" s="8"/>
      <c r="AC574" s="8"/>
      <c r="AD574" s="8"/>
      <c r="AE574" s="8"/>
      <c r="AF574" s="1603"/>
      <c r="AG574" s="1603"/>
      <c r="AH574" s="1603"/>
      <c r="AI574" s="1603"/>
      <c r="AJ574" s="1603"/>
      <c r="AK574" s="1603"/>
      <c r="BB574" s="3"/>
      <c r="BC574" s="3"/>
      <c r="BD574" s="3"/>
      <c r="BE574" s="3"/>
      <c r="BF574" s="3"/>
      <c r="BG574" s="3"/>
      <c r="BH574" s="3"/>
      <c r="BI574" s="3"/>
    </row>
    <row r="575" spans="1:61" ht="12.95" customHeight="1">
      <c r="A575" s="22"/>
      <c r="B575" t="s">
        <v>20</v>
      </c>
      <c r="N575" s="1415" t="s">
        <v>545</v>
      </c>
      <c r="O575" s="1415"/>
      <c r="T575" s="22"/>
      <c r="U575" t="s">
        <v>20</v>
      </c>
      <c r="AG575" s="1415" t="s">
        <v>545</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3" t="str">
        <f>C556</f>
        <v>Citibank, N.A.</v>
      </c>
      <c r="H577" s="1483"/>
      <c r="I577" s="1483"/>
      <c r="J577" s="1483"/>
      <c r="K577" s="1483"/>
      <c r="L577" s="1483"/>
      <c r="M577" s="1483"/>
      <c r="N577" s="1483"/>
      <c r="O577" s="1483"/>
      <c r="P577" s="1483"/>
      <c r="Q577" s="1483"/>
      <c r="R577" s="1483"/>
      <c r="T577" s="55" t="s">
        <v>581</v>
      </c>
      <c r="U577" t="s">
        <v>463</v>
      </c>
      <c r="Z577" s="1483" t="str">
        <f>C557</f>
        <v>Town of Mammoth Lakes</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2714</v>
      </c>
      <c r="H578" s="1407"/>
      <c r="I578" s="1407"/>
      <c r="J578" s="1407"/>
      <c r="K578" s="1407"/>
      <c r="L578" s="1407"/>
      <c r="M578" s="1407"/>
      <c r="N578" s="1407"/>
      <c r="O578" s="1407"/>
      <c r="P578" s="1407"/>
      <c r="Q578" s="1407"/>
      <c r="R578" s="1407"/>
      <c r="T578" s="22"/>
      <c r="U578" t="s">
        <v>85</v>
      </c>
      <c r="Z578" s="1407" t="s">
        <v>2717</v>
      </c>
      <c r="AA578" s="1407"/>
      <c r="AB578" s="1407"/>
      <c r="AC578" s="1407"/>
      <c r="AD578" s="1407"/>
      <c r="AE578" s="1407"/>
      <c r="AF578" s="1407"/>
      <c r="AG578" s="1407"/>
      <c r="AH578" s="1407"/>
      <c r="AI578" s="1407"/>
      <c r="AJ578" s="1407"/>
      <c r="AK578" s="1407"/>
      <c r="BB578" s="3"/>
      <c r="BC578" s="3"/>
    </row>
    <row r="579" spans="1:55" ht="12.95" customHeight="1">
      <c r="A579" s="22"/>
      <c r="B579" t="s">
        <v>580</v>
      </c>
      <c r="G579" s="1371" t="s">
        <v>2715</v>
      </c>
      <c r="H579" s="1371"/>
      <c r="I579" s="1371"/>
      <c r="J579" s="1371"/>
      <c r="K579" s="1371"/>
      <c r="L579" s="1371"/>
      <c r="M579" s="1371"/>
      <c r="N579" s="1371"/>
      <c r="O579" s="1371"/>
      <c r="P579" s="1371"/>
      <c r="Q579" s="1371"/>
      <c r="R579" s="1371"/>
      <c r="T579" s="22"/>
      <c r="U579" t="s">
        <v>580</v>
      </c>
      <c r="Z579" s="1371" t="s">
        <v>2718</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2716</v>
      </c>
      <c r="H580" s="1371"/>
      <c r="I580" s="1371"/>
      <c r="J580" s="1371"/>
      <c r="K580" s="1371"/>
      <c r="L580" s="1371"/>
      <c r="M580" s="1371"/>
      <c r="N580" s="1371"/>
      <c r="O580" s="1371"/>
      <c r="P580" s="1371"/>
      <c r="Q580" s="1371"/>
      <c r="R580" s="1371"/>
      <c r="T580" s="22"/>
      <c r="U580" t="s">
        <v>17</v>
      </c>
      <c r="Z580" s="1371" t="s">
        <v>2719</v>
      </c>
      <c r="AA580" s="1371"/>
      <c r="AB580" s="1371"/>
      <c r="AC580" s="1371"/>
      <c r="AD580" s="1371"/>
      <c r="AE580" s="1371"/>
      <c r="AF580" s="1371"/>
      <c r="AG580" s="1371"/>
      <c r="AH580" s="1371"/>
      <c r="AI580" s="1371"/>
      <c r="AJ580" s="1371"/>
      <c r="AK580" s="1371"/>
      <c r="BB580" s="3"/>
      <c r="BC580" s="3"/>
    </row>
    <row r="581" spans="1:55" ht="12.95" customHeight="1">
      <c r="A581" s="22"/>
      <c r="B581" t="s">
        <v>316</v>
      </c>
      <c r="G581" s="1531">
        <v>8055570930</v>
      </c>
      <c r="H581" s="1487"/>
      <c r="I581" s="1487"/>
      <c r="J581" s="1487"/>
      <c r="K581" s="1487"/>
      <c r="L581" s="1487"/>
      <c r="O581" s="33" t="s">
        <v>206</v>
      </c>
      <c r="P581" s="1471"/>
      <c r="Q581" s="1471"/>
      <c r="R581" s="1471"/>
      <c r="T581" s="22"/>
      <c r="U581" t="s">
        <v>316</v>
      </c>
      <c r="Z581" s="1531">
        <v>7609653631</v>
      </c>
      <c r="AA581" s="1487"/>
      <c r="AB581" s="1487"/>
      <c r="AC581" s="1487"/>
      <c r="AD581" s="1487"/>
      <c r="AE581" s="1487"/>
      <c r="AH581" s="33" t="s">
        <v>206</v>
      </c>
      <c r="AI581" s="1471"/>
      <c r="AJ581" s="1471"/>
      <c r="AK581" s="1471"/>
      <c r="BB581" s="3"/>
      <c r="BC581" s="3"/>
    </row>
    <row r="582" spans="1:55" ht="12.95" customHeight="1">
      <c r="A582" s="22"/>
      <c r="B582" t="s">
        <v>18</v>
      </c>
      <c r="H582" s="1407" t="s">
        <v>2733</v>
      </c>
      <c r="I582" s="1407"/>
      <c r="J582" s="1407"/>
      <c r="K582" s="1407"/>
      <c r="L582" s="1407"/>
      <c r="M582" s="1407"/>
      <c r="N582" s="1407"/>
      <c r="O582" s="1407"/>
      <c r="P582" s="1407"/>
      <c r="Q582" s="1407"/>
      <c r="R582" s="1407"/>
      <c r="T582" s="22"/>
      <c r="U582" t="s">
        <v>18</v>
      </c>
      <c r="AA582" s="1407" t="s">
        <v>2724</v>
      </c>
      <c r="AB582" s="1407"/>
      <c r="AC582" s="1407"/>
      <c r="AD582" s="1407"/>
      <c r="AE582" s="1407"/>
      <c r="AF582" s="1407"/>
      <c r="AG582" s="1407"/>
      <c r="AH582" s="1407"/>
      <c r="AI582" s="1407"/>
      <c r="AJ582" s="1407"/>
      <c r="AK582" s="1407"/>
      <c r="BB582" s="3"/>
      <c r="BC582" s="3"/>
    </row>
    <row r="583" spans="1:55" ht="12.95" customHeight="1">
      <c r="A583" s="22"/>
      <c r="B583" t="s">
        <v>20</v>
      </c>
      <c r="N583" s="1415" t="s">
        <v>545</v>
      </c>
      <c r="O583" s="1415"/>
      <c r="T583" s="22"/>
      <c r="U583" t="s">
        <v>20</v>
      </c>
      <c r="AG583" s="1415" t="s">
        <v>545</v>
      </c>
      <c r="AH583" s="1415"/>
      <c r="BB583" s="3"/>
      <c r="BC583" s="3"/>
    </row>
    <row r="584" spans="1:55" ht="12.95" customHeight="1">
      <c r="A584" s="22"/>
      <c r="T584" s="22"/>
      <c r="BB584" s="3"/>
      <c r="BC584" s="3"/>
    </row>
    <row r="585" spans="1:55" ht="12.95" customHeight="1">
      <c r="A585" s="55" t="s">
        <v>763</v>
      </c>
      <c r="B585" t="s">
        <v>463</v>
      </c>
      <c r="G585" s="1483" t="str">
        <f>C558</f>
        <v>Town of Mammoth Lakes</v>
      </c>
      <c r="H585" s="1483"/>
      <c r="I585" s="1483"/>
      <c r="J585" s="1483"/>
      <c r="K585" s="1483"/>
      <c r="L585" s="1483"/>
      <c r="M585" s="1483"/>
      <c r="N585" s="1483"/>
      <c r="O585" s="1483"/>
      <c r="P585" s="1483"/>
      <c r="Q585" s="1483"/>
      <c r="R585" s="1483"/>
      <c r="T585" s="55" t="s">
        <v>584</v>
      </c>
      <c r="U585" t="s">
        <v>463</v>
      </c>
      <c r="Z585" s="1483" t="str">
        <f>C559</f>
        <v>Boston Financial</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2717</v>
      </c>
      <c r="H586" s="1407"/>
      <c r="I586" s="1407"/>
      <c r="J586" s="1407"/>
      <c r="K586" s="1407"/>
      <c r="L586" s="1407"/>
      <c r="M586" s="1407"/>
      <c r="N586" s="1407"/>
      <c r="O586" s="1407"/>
      <c r="P586" s="1407"/>
      <c r="Q586" s="1407"/>
      <c r="R586" s="1407"/>
      <c r="T586" s="22"/>
      <c r="U586" t="s">
        <v>85</v>
      </c>
      <c r="Z586" s="1407" t="s">
        <v>2735</v>
      </c>
      <c r="AA586" s="1407"/>
      <c r="AB586" s="1407"/>
      <c r="AC586" s="1407"/>
      <c r="AD586" s="1407"/>
      <c r="AE586" s="1407"/>
      <c r="AF586" s="1407"/>
      <c r="AG586" s="1407"/>
      <c r="AH586" s="1407"/>
      <c r="AI586" s="1407"/>
      <c r="AJ586" s="1407"/>
      <c r="AK586" s="1407"/>
      <c r="BB586" s="3"/>
      <c r="BC586" s="3"/>
    </row>
    <row r="587" spans="1:55" ht="12.95" customHeight="1">
      <c r="A587" s="22"/>
      <c r="B587" t="s">
        <v>580</v>
      </c>
      <c r="G587" s="1407" t="s">
        <v>2718</v>
      </c>
      <c r="H587" s="1407"/>
      <c r="I587" s="1407"/>
      <c r="J587" s="1407"/>
      <c r="K587" s="1407"/>
      <c r="L587" s="1407"/>
      <c r="M587" s="1407"/>
      <c r="N587" s="1407"/>
      <c r="O587" s="1407"/>
      <c r="P587" s="1407"/>
      <c r="Q587" s="1407"/>
      <c r="R587" s="1407"/>
      <c r="T587" s="22"/>
      <c r="U587" t="s">
        <v>580</v>
      </c>
      <c r="Z587" s="1371" t="s">
        <v>2736</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2719</v>
      </c>
      <c r="H588" s="1407"/>
      <c r="I588" s="1407"/>
      <c r="J588" s="1407"/>
      <c r="K588" s="1407"/>
      <c r="L588" s="1407"/>
      <c r="M588" s="1407"/>
      <c r="N588" s="1407"/>
      <c r="O588" s="1407"/>
      <c r="P588" s="1407"/>
      <c r="Q588" s="1407"/>
      <c r="R588" s="1407"/>
      <c r="T588" s="22"/>
      <c r="U588" t="s">
        <v>17</v>
      </c>
      <c r="Z588" s="1371" t="s">
        <v>2737</v>
      </c>
      <c r="AA588" s="1371"/>
      <c r="AB588" s="1371"/>
      <c r="AC588" s="1371"/>
      <c r="AD588" s="1371"/>
      <c r="AE588" s="1371"/>
      <c r="AF588" s="1371"/>
      <c r="AG588" s="1371"/>
      <c r="AH588" s="1371"/>
      <c r="AI588" s="1371"/>
      <c r="AJ588" s="1371"/>
      <c r="AK588" s="1371"/>
    </row>
    <row r="589" spans="1:55" ht="12.95" customHeight="1">
      <c r="A589" s="22"/>
      <c r="B589" t="s">
        <v>316</v>
      </c>
      <c r="G589" s="1531">
        <v>7609653631</v>
      </c>
      <c r="H589" s="1487"/>
      <c r="I589" s="1487"/>
      <c r="J589" s="1487"/>
      <c r="K589" s="1487"/>
      <c r="L589" s="1487"/>
      <c r="O589" s="33" t="s">
        <v>206</v>
      </c>
      <c r="P589" s="1471"/>
      <c r="Q589" s="1471"/>
      <c r="R589" s="1471"/>
      <c r="T589" s="22"/>
      <c r="U589" t="s">
        <v>316</v>
      </c>
      <c r="Z589" s="1531">
        <v>7745675593</v>
      </c>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t="s">
        <v>2725</v>
      </c>
      <c r="I590" s="1407"/>
      <c r="J590" s="1407"/>
      <c r="K590" s="1407"/>
      <c r="L590" s="1407"/>
      <c r="M590" s="1407"/>
      <c r="N590" s="1407"/>
      <c r="O590" s="1407"/>
      <c r="P590" s="1407"/>
      <c r="Q590" s="1407"/>
      <c r="R590" s="1407"/>
      <c r="T590" s="22"/>
      <c r="U590" t="s">
        <v>18</v>
      </c>
      <c r="AA590" s="1407" t="s">
        <v>2732</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545</v>
      </c>
      <c r="O591" s="1415"/>
      <c r="T591" s="22"/>
      <c r="U591" t="s">
        <v>20</v>
      </c>
      <c r="AG591" s="1415" t="s">
        <v>545</v>
      </c>
      <c r="AH591" s="1415"/>
      <c r="AZ591" s="3"/>
      <c r="BA591" s="3"/>
      <c r="BB591" s="3"/>
      <c r="BC591" s="3"/>
    </row>
    <row r="592" spans="1:55" ht="12.95" customHeight="1">
      <c r="A592" s="22"/>
      <c r="T592" s="22"/>
      <c r="AZ592" s="3"/>
      <c r="BA592" s="3"/>
      <c r="BB592" s="3"/>
      <c r="BC592" s="3"/>
    </row>
    <row r="593" spans="1:55" ht="12.95" customHeight="1">
      <c r="A593" s="55" t="s">
        <v>455</v>
      </c>
      <c r="B593" t="s">
        <v>463</v>
      </c>
      <c r="G593" s="1483" t="str">
        <f>C560</f>
        <v>West Development Ventures, LLC</v>
      </c>
      <c r="H593" s="1483"/>
      <c r="I593" s="1483"/>
      <c r="J593" s="1483"/>
      <c r="K593" s="1483"/>
      <c r="L593" s="1483"/>
      <c r="M593" s="1483"/>
      <c r="N593" s="1483"/>
      <c r="O593" s="1483"/>
      <c r="P593" s="1483"/>
      <c r="Q593" s="1483"/>
      <c r="R593" s="1483"/>
      <c r="T593" s="55" t="s">
        <v>456</v>
      </c>
      <c r="U593" t="s">
        <v>463</v>
      </c>
      <c r="Z593" s="1483" t="str">
        <f>C561</f>
        <v>West Development Ventures, LLC</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2720</v>
      </c>
      <c r="H594" s="1407"/>
      <c r="I594" s="1407"/>
      <c r="J594" s="1407"/>
      <c r="K594" s="1407"/>
      <c r="L594" s="1407"/>
      <c r="M594" s="1407"/>
      <c r="N594" s="1407"/>
      <c r="O594" s="1407"/>
      <c r="P594" s="1407"/>
      <c r="Q594" s="1407"/>
      <c r="R594" s="1407"/>
      <c r="S594"/>
      <c r="T594" s="22"/>
      <c r="U594" t="s">
        <v>85</v>
      </c>
      <c r="V594"/>
      <c r="W594"/>
      <c r="X594"/>
      <c r="Y594"/>
      <c r="Z594" s="1407" t="s">
        <v>2720</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7" t="s">
        <v>68</v>
      </c>
      <c r="H595" s="1407"/>
      <c r="I595" s="1407"/>
      <c r="J595" s="1407"/>
      <c r="K595" s="1407"/>
      <c r="L595" s="1407"/>
      <c r="M595" s="1407"/>
      <c r="N595" s="1407"/>
      <c r="O595" s="1407"/>
      <c r="P595" s="1407"/>
      <c r="Q595" s="1407"/>
      <c r="R595" s="1407"/>
      <c r="S595"/>
      <c r="T595" s="22"/>
      <c r="U595" t="s">
        <v>580</v>
      </c>
      <c r="V595"/>
      <c r="W595"/>
      <c r="X595"/>
      <c r="Y595"/>
      <c r="Z595" s="1371" t="s">
        <v>68</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2621</v>
      </c>
      <c r="H596" s="1407"/>
      <c r="I596" s="1407"/>
      <c r="J596" s="1407"/>
      <c r="K596" s="1407"/>
      <c r="L596" s="1407"/>
      <c r="M596" s="1407"/>
      <c r="N596" s="1407"/>
      <c r="O596" s="1407"/>
      <c r="P596" s="1407"/>
      <c r="Q596" s="1407"/>
      <c r="R596" s="1407"/>
      <c r="S596"/>
      <c r="T596" s="22"/>
      <c r="U596" t="s">
        <v>17</v>
      </c>
      <c r="V596"/>
      <c r="W596"/>
      <c r="X596"/>
      <c r="Y596"/>
      <c r="Z596" s="1371" t="s">
        <v>2621</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v>9168345986</v>
      </c>
      <c r="H597" s="1487"/>
      <c r="I597" s="1487"/>
      <c r="J597" s="1487"/>
      <c r="K597" s="1487"/>
      <c r="L597" s="1487"/>
      <c r="M597"/>
      <c r="N597"/>
      <c r="O597" s="33" t="s">
        <v>206</v>
      </c>
      <c r="P597" s="1471"/>
      <c r="Q597" s="1471"/>
      <c r="R597" s="1471"/>
      <c r="S597"/>
      <c r="T597" s="22"/>
      <c r="U597" t="s">
        <v>316</v>
      </c>
      <c r="V597"/>
      <c r="W597"/>
      <c r="X597"/>
      <c r="Y597"/>
      <c r="Z597" s="1487">
        <v>9168345986</v>
      </c>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2731</v>
      </c>
      <c r="I598" s="1407"/>
      <c r="J598" s="1407"/>
      <c r="K598" s="1407"/>
      <c r="L598" s="1407"/>
      <c r="M598" s="1407"/>
      <c r="N598" s="1407"/>
      <c r="O598" s="1407"/>
      <c r="P598" s="1407"/>
      <c r="Q598" s="1407"/>
      <c r="R598" s="1407"/>
      <c r="S598"/>
      <c r="T598" s="22"/>
      <c r="U598" t="s">
        <v>18</v>
      </c>
      <c r="V598"/>
      <c r="W598"/>
      <c r="X598"/>
      <c r="Y598"/>
      <c r="Z598"/>
      <c r="AA598" s="1407" t="s">
        <v>2320</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545</v>
      </c>
      <c r="O599" s="1415"/>
      <c r="T599" s="22"/>
      <c r="U599" t="s">
        <v>20</v>
      </c>
      <c r="AG599" s="1415" t="s">
        <v>545</v>
      </c>
      <c r="AH599" s="1415"/>
      <c r="BB599" s="3"/>
      <c r="BC599" s="3"/>
    </row>
    <row r="600" spans="1:55" ht="12.95" customHeight="1">
      <c r="A600" s="22"/>
      <c r="T600" s="22"/>
      <c r="BB600" s="3"/>
      <c r="BC600" s="3"/>
    </row>
    <row r="601" spans="1:55" ht="12.95" customHeight="1">
      <c r="A601" s="55" t="s">
        <v>461</v>
      </c>
      <c r="B601" t="s">
        <v>463</v>
      </c>
      <c r="G601" s="1483">
        <f>C562</f>
        <v>0</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483">
        <f>C564</f>
        <v>0</v>
      </c>
      <c r="H609" s="1483"/>
      <c r="I609" s="1483"/>
      <c r="J609" s="1483"/>
      <c r="K609" s="1483"/>
      <c r="L609" s="1483"/>
      <c r="M609" s="1483"/>
      <c r="N609" s="1483"/>
      <c r="O609" s="1483"/>
      <c r="P609" s="1483"/>
      <c r="Q609" s="1483"/>
      <c r="R609" s="1483"/>
      <c r="T609" s="55" t="s">
        <v>363</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669</v>
      </c>
      <c r="O615" s="1415"/>
      <c r="U615" t="s">
        <v>20</v>
      </c>
      <c r="AG615" s="1415" t="s">
        <v>669</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3" t="s">
        <v>2102</v>
      </c>
      <c r="C624" s="1673"/>
      <c r="D624" s="1673"/>
      <c r="E624" s="1673"/>
      <c r="F624" s="1673"/>
      <c r="G624" s="1673"/>
      <c r="H624" s="1673"/>
      <c r="I624" s="1673"/>
      <c r="J624" s="1673"/>
      <c r="K624" s="1673"/>
      <c r="L624" s="1673"/>
      <c r="M624" s="1678" t="s">
        <v>2103</v>
      </c>
      <c r="N624" s="1678"/>
      <c r="O624" s="1678"/>
      <c r="P624" s="1678"/>
      <c r="Q624" s="1678" t="s">
        <v>1852</v>
      </c>
      <c r="R624" s="1678"/>
      <c r="S624" s="1678"/>
      <c r="T624" s="1678" t="s">
        <v>1850</v>
      </c>
      <c r="U624" s="1678"/>
      <c r="V624" s="1678"/>
      <c r="W624" s="1674" t="s">
        <v>453</v>
      </c>
      <c r="X624" s="1674"/>
      <c r="Y624" s="1674"/>
      <c r="Z624" s="1397" t="s">
        <v>2132</v>
      </c>
      <c r="AA624" s="1397"/>
      <c r="AB624" s="1398"/>
      <c r="AC624" s="1679" t="s">
        <v>1676</v>
      </c>
      <c r="AD624" s="1680"/>
      <c r="AE624" s="1681"/>
      <c r="AF624" s="1396" t="s">
        <v>1930</v>
      </c>
      <c r="AG624" s="1397"/>
      <c r="AH624" s="1397"/>
      <c r="AI624" s="1397"/>
      <c r="AJ624" s="1398"/>
      <c r="AK624" s="1594" t="s">
        <v>1931</v>
      </c>
      <c r="AL624" s="1595"/>
      <c r="AM624" s="1595"/>
      <c r="AN624" s="1596"/>
      <c r="AO624" s="1678" t="s">
        <v>454</v>
      </c>
      <c r="AP624" s="1678"/>
      <c r="AQ624" s="1678"/>
      <c r="AR624" s="1678"/>
      <c r="AS624" s="1678"/>
      <c r="AU624" s="3"/>
      <c r="AZ624" s="3"/>
      <c r="BA624" s="3"/>
      <c r="BB624" s="3"/>
      <c r="BC624" s="3"/>
    </row>
    <row r="625" spans="2:157" ht="12.95" customHeight="1">
      <c r="B625" s="1673"/>
      <c r="C625" s="1673"/>
      <c r="D625" s="1673"/>
      <c r="E625" s="1673"/>
      <c r="F625" s="1673"/>
      <c r="G625" s="1673"/>
      <c r="H625" s="1673"/>
      <c r="I625" s="1673"/>
      <c r="J625" s="1673"/>
      <c r="K625" s="1673"/>
      <c r="L625" s="1673"/>
      <c r="M625" s="1678"/>
      <c r="N625" s="1678"/>
      <c r="O625" s="1678"/>
      <c r="P625" s="1678"/>
      <c r="Q625" s="1678"/>
      <c r="R625" s="1678"/>
      <c r="S625" s="1678"/>
      <c r="T625" s="1678"/>
      <c r="U625" s="1678"/>
      <c r="V625" s="1678"/>
      <c r="W625" s="1674"/>
      <c r="X625" s="1674"/>
      <c r="Y625" s="1674"/>
      <c r="Z625" s="1400"/>
      <c r="AA625" s="1400"/>
      <c r="AB625" s="1401"/>
      <c r="AC625" s="1682"/>
      <c r="AD625" s="1683"/>
      <c r="AE625" s="1684"/>
      <c r="AF625" s="1399"/>
      <c r="AG625" s="1400"/>
      <c r="AH625" s="1400"/>
      <c r="AI625" s="1400"/>
      <c r="AJ625" s="1401"/>
      <c r="AK625" s="1597"/>
      <c r="AL625" s="1598"/>
      <c r="AM625" s="1598"/>
      <c r="AN625" s="1599"/>
      <c r="AO625" s="1678"/>
      <c r="AP625" s="1678"/>
      <c r="AQ625" s="1678"/>
      <c r="AR625" s="1678"/>
      <c r="AS625" s="1678"/>
      <c r="AU625" s="3"/>
      <c r="AZ625" s="3"/>
      <c r="BA625" s="3"/>
      <c r="BB625" s="3"/>
      <c r="BC625" s="3"/>
      <c r="BD625" s="3"/>
    </row>
    <row r="626" spans="2:157" ht="12.95" customHeight="1">
      <c r="B626" s="1673"/>
      <c r="C626" s="1673"/>
      <c r="D626" s="1673"/>
      <c r="E626" s="1673"/>
      <c r="F626" s="1673"/>
      <c r="G626" s="1673"/>
      <c r="H626" s="1673"/>
      <c r="I626" s="1673"/>
      <c r="J626" s="1673"/>
      <c r="K626" s="1673"/>
      <c r="L626" s="1673"/>
      <c r="M626" s="1678"/>
      <c r="N626" s="1678"/>
      <c r="O626" s="1678"/>
      <c r="P626" s="1678"/>
      <c r="Q626" s="1678"/>
      <c r="R626" s="1678"/>
      <c r="S626" s="1678"/>
      <c r="T626" s="1678"/>
      <c r="U626" s="1678"/>
      <c r="V626" s="1678"/>
      <c r="W626" s="1674"/>
      <c r="X626" s="1674"/>
      <c r="Y626" s="1674"/>
      <c r="Z626" s="1403"/>
      <c r="AA626" s="1403"/>
      <c r="AB626" s="1404"/>
      <c r="AC626" s="1685"/>
      <c r="AD626" s="1686"/>
      <c r="AE626" s="1687"/>
      <c r="AF626" s="1402"/>
      <c r="AG626" s="1403"/>
      <c r="AH626" s="1403"/>
      <c r="AI626" s="1403"/>
      <c r="AJ626" s="1404"/>
      <c r="AK626" s="1600"/>
      <c r="AL626" s="1601"/>
      <c r="AM626" s="1601"/>
      <c r="AN626" s="1602"/>
      <c r="AO626" s="1678"/>
      <c r="AP626" s="1678"/>
      <c r="AQ626" s="1678"/>
      <c r="AR626" s="1678"/>
      <c r="AS626" s="1678"/>
      <c r="AT626" s="3"/>
      <c r="AU626" s="3"/>
      <c r="AZ626" s="3"/>
      <c r="BA626" s="3"/>
      <c r="BB626" s="3"/>
      <c r="BC626" s="3"/>
      <c r="BD626" s="3"/>
    </row>
    <row r="627" spans="2:157" ht="12.95" customHeight="1">
      <c r="B627" s="51" t="s">
        <v>112</v>
      </c>
      <c r="C627" s="1479" t="s">
        <v>2706</v>
      </c>
      <c r="D627" s="1479"/>
      <c r="E627" s="1479"/>
      <c r="F627" s="1479"/>
      <c r="G627" s="1479"/>
      <c r="H627" s="1479"/>
      <c r="I627" s="1479"/>
      <c r="J627" s="1479"/>
      <c r="K627" s="1479"/>
      <c r="L627" s="1479"/>
      <c r="M627" s="1493" t="s">
        <v>2119</v>
      </c>
      <c r="N627" s="1493"/>
      <c r="O627" s="1493"/>
      <c r="P627" s="1493"/>
      <c r="Q627" s="1509">
        <v>204</v>
      </c>
      <c r="R627" s="1509"/>
      <c r="S627" s="1510"/>
      <c r="T627" s="1508">
        <v>420</v>
      </c>
      <c r="U627" s="1509"/>
      <c r="V627" s="1510"/>
      <c r="W627" s="1480">
        <v>6.25E-2</v>
      </c>
      <c r="X627" s="1481"/>
      <c r="Y627" s="1482"/>
      <c r="Z627" s="1476" t="s">
        <v>2131</v>
      </c>
      <c r="AA627" s="1477"/>
      <c r="AB627" s="1478"/>
      <c r="AC627" s="1381">
        <v>1</v>
      </c>
      <c r="AD627" s="1382"/>
      <c r="AE627" s="1383"/>
      <c r="AF627" s="1490">
        <v>377998</v>
      </c>
      <c r="AG627" s="1491"/>
      <c r="AH627" s="1491"/>
      <c r="AI627" s="1491"/>
      <c r="AJ627" s="1492"/>
      <c r="AK627" s="1484"/>
      <c r="AL627" s="1485"/>
      <c r="AM627" s="1485"/>
      <c r="AN627" s="1486"/>
      <c r="AO627" s="1642">
        <v>5365556</v>
      </c>
      <c r="AP627" s="1642"/>
      <c r="AQ627" s="1642"/>
      <c r="AR627" s="1642"/>
      <c r="AS627" s="1642"/>
      <c r="AT627" s="3"/>
      <c r="AU627" s="3"/>
      <c r="AZ627" s="3"/>
      <c r="BA627" s="3"/>
      <c r="BB627" s="3"/>
      <c r="BC627" s="3"/>
      <c r="BD627" s="3"/>
    </row>
    <row r="628" spans="2:157" ht="12.95" customHeight="1">
      <c r="B628" s="52" t="s">
        <v>113</v>
      </c>
      <c r="C628" s="1479" t="s">
        <v>2677</v>
      </c>
      <c r="D628" s="1479"/>
      <c r="E628" s="1479"/>
      <c r="F628" s="1479"/>
      <c r="G628" s="1479"/>
      <c r="H628" s="1479"/>
      <c r="I628" s="1479"/>
      <c r="J628" s="1479"/>
      <c r="K628" s="1479"/>
      <c r="L628" s="1479"/>
      <c r="M628" s="1493" t="s">
        <v>2115</v>
      </c>
      <c r="N628" s="1493"/>
      <c r="O628" s="1493"/>
      <c r="P628" s="1493"/>
      <c r="Q628" s="1508">
        <v>660</v>
      </c>
      <c r="R628" s="1509"/>
      <c r="S628" s="1510"/>
      <c r="T628" s="1508"/>
      <c r="U628" s="1509"/>
      <c r="V628" s="1510"/>
      <c r="W628" s="1480">
        <v>0.03</v>
      </c>
      <c r="X628" s="1481"/>
      <c r="Y628" s="1482"/>
      <c r="Z628" s="1476" t="s">
        <v>457</v>
      </c>
      <c r="AA628" s="1477"/>
      <c r="AB628" s="1478"/>
      <c r="AC628" s="1381"/>
      <c r="AD628" s="1382"/>
      <c r="AE628" s="1383"/>
      <c r="AF628" s="1490"/>
      <c r="AG628" s="1491"/>
      <c r="AH628" s="1491"/>
      <c r="AI628" s="1491"/>
      <c r="AJ628" s="1492"/>
      <c r="AK628" s="1484"/>
      <c r="AL628" s="1485"/>
      <c r="AM628" s="1485"/>
      <c r="AN628" s="1486"/>
      <c r="AO628" s="1475">
        <v>8825000</v>
      </c>
      <c r="AP628" s="1338"/>
      <c r="AQ628" s="1338"/>
      <c r="AR628" s="1338"/>
      <c r="AS628" s="1339"/>
      <c r="AT628" s="1148" t="str">
        <f>IF(AND(NOT(C627=""),C628="",NOT(C629="")),"!","")</f>
        <v/>
      </c>
      <c r="AU628" s="3"/>
      <c r="AZ628" s="3"/>
      <c r="BA628" s="3"/>
      <c r="BB628" s="3"/>
      <c r="BC628" s="3"/>
      <c r="BD628" s="3"/>
    </row>
    <row r="629" spans="2:157" ht="12.95" customHeight="1">
      <c r="B629" s="52" t="s">
        <v>119</v>
      </c>
      <c r="C629" s="1479" t="s">
        <v>2677</v>
      </c>
      <c r="D629" s="1479"/>
      <c r="E629" s="1479"/>
      <c r="F629" s="1479"/>
      <c r="G629" s="1479"/>
      <c r="H629" s="1479"/>
      <c r="I629" s="1479"/>
      <c r="J629" s="1479"/>
      <c r="K629" s="1479"/>
      <c r="L629" s="1479"/>
      <c r="M629" s="1493" t="s">
        <v>2104</v>
      </c>
      <c r="N629" s="1493"/>
      <c r="O629" s="1493"/>
      <c r="P629" s="1493"/>
      <c r="Q629" s="1508"/>
      <c r="R629" s="1509"/>
      <c r="S629" s="1510"/>
      <c r="T629" s="1508"/>
      <c r="U629" s="1509"/>
      <c r="V629" s="1510"/>
      <c r="W629" s="1480"/>
      <c r="X629" s="1481"/>
      <c r="Y629" s="1482"/>
      <c r="Z629" s="1476" t="s">
        <v>1184</v>
      </c>
      <c r="AA629" s="1477"/>
      <c r="AB629" s="1478"/>
      <c r="AC629" s="1381"/>
      <c r="AD629" s="1382"/>
      <c r="AE629" s="1383"/>
      <c r="AF629" s="1490"/>
      <c r="AG629" s="1491"/>
      <c r="AH629" s="1491"/>
      <c r="AI629" s="1491"/>
      <c r="AJ629" s="1492"/>
      <c r="AK629" s="1484"/>
      <c r="AL629" s="1485"/>
      <c r="AM629" s="1485"/>
      <c r="AN629" s="1486"/>
      <c r="AO629" s="1475">
        <v>3658198</v>
      </c>
      <c r="AP629" s="1338"/>
      <c r="AQ629" s="1338"/>
      <c r="AR629" s="1338"/>
      <c r="AS629" s="1339"/>
      <c r="AT629" s="1148" t="str">
        <f t="shared" ref="AT629:AT638" si="1">IF(AND(NOT(C628=""),C629="",NOT(C630="")),"!","")</f>
        <v/>
      </c>
      <c r="AU629" s="3"/>
      <c r="AZ629" s="3"/>
      <c r="BA629" s="3"/>
      <c r="BB629" s="3"/>
      <c r="BC629" s="3"/>
      <c r="BD629" s="3"/>
    </row>
    <row r="630" spans="2:157" ht="12.95" customHeight="1">
      <c r="B630" s="52" t="s">
        <v>581</v>
      </c>
      <c r="C630" s="1479" t="s">
        <v>2673</v>
      </c>
      <c r="D630" s="1489"/>
      <c r="E630" s="1489"/>
      <c r="F630" s="1489"/>
      <c r="G630" s="1489"/>
      <c r="H630" s="1489"/>
      <c r="I630" s="1489"/>
      <c r="J630" s="1489"/>
      <c r="K630" s="1489"/>
      <c r="L630" s="1489"/>
      <c r="M630" s="1493" t="s">
        <v>2123</v>
      </c>
      <c r="N630" s="1493"/>
      <c r="O630" s="1493"/>
      <c r="P630" s="1493"/>
      <c r="Q630" s="1508"/>
      <c r="R630" s="1509"/>
      <c r="S630" s="1510"/>
      <c r="T630" s="1508"/>
      <c r="U630" s="1509"/>
      <c r="V630" s="1510"/>
      <c r="W630" s="1480"/>
      <c r="X630" s="1481"/>
      <c r="Y630" s="1482"/>
      <c r="Z630" s="1476" t="s">
        <v>1184</v>
      </c>
      <c r="AA630" s="1477"/>
      <c r="AB630" s="1478"/>
      <c r="AC630" s="1381"/>
      <c r="AD630" s="1382"/>
      <c r="AE630" s="1383"/>
      <c r="AF630" s="1490"/>
      <c r="AG630" s="1491"/>
      <c r="AH630" s="1491"/>
      <c r="AI630" s="1491"/>
      <c r="AJ630" s="1492"/>
      <c r="AK630" s="1484"/>
      <c r="AL630" s="1485"/>
      <c r="AM630" s="1485"/>
      <c r="AN630" s="1486"/>
      <c r="AO630" s="1475">
        <v>488598</v>
      </c>
      <c r="AP630" s="1338"/>
      <c r="AQ630" s="1338"/>
      <c r="AR630" s="1338"/>
      <c r="AS630" s="1339"/>
      <c r="AT630" s="1148" t="str">
        <f t="shared" si="1"/>
        <v/>
      </c>
      <c r="AU630" s="3"/>
      <c r="AZ630" s="3"/>
      <c r="BA630" s="3"/>
      <c r="BB630" s="3"/>
      <c r="BC630" s="3"/>
      <c r="BD630" s="3"/>
    </row>
    <row r="631" spans="2:157" ht="12.95" customHeight="1">
      <c r="B631" s="52" t="s">
        <v>763</v>
      </c>
      <c r="C631" s="1479" t="s">
        <v>2673</v>
      </c>
      <c r="D631" s="1489"/>
      <c r="E631" s="1489"/>
      <c r="F631" s="1489"/>
      <c r="G631" s="1489"/>
      <c r="H631" s="1489"/>
      <c r="I631" s="1489"/>
      <c r="J631" s="1489"/>
      <c r="K631" s="1489"/>
      <c r="L631" s="1489"/>
      <c r="M631" s="1493" t="s">
        <v>2106</v>
      </c>
      <c r="N631" s="1493"/>
      <c r="O631" s="1493"/>
      <c r="P631" s="1493"/>
      <c r="Q631" s="1508"/>
      <c r="R631" s="1509"/>
      <c r="S631" s="1510"/>
      <c r="T631" s="1508"/>
      <c r="U631" s="1509"/>
      <c r="V631" s="1510"/>
      <c r="W631" s="1480"/>
      <c r="X631" s="1481"/>
      <c r="Y631" s="1482"/>
      <c r="Z631" s="1476" t="s">
        <v>1184</v>
      </c>
      <c r="AA631" s="1477"/>
      <c r="AB631" s="1478"/>
      <c r="AC631" s="1381"/>
      <c r="AD631" s="1382"/>
      <c r="AE631" s="1383"/>
      <c r="AF631" s="1490"/>
      <c r="AG631" s="1491"/>
      <c r="AH631" s="1491"/>
      <c r="AI631" s="1491"/>
      <c r="AJ631" s="1492"/>
      <c r="AK631" s="1484"/>
      <c r="AL631" s="1485"/>
      <c r="AM631" s="1485"/>
      <c r="AN631" s="1486"/>
      <c r="AO631" s="1475">
        <v>547119</v>
      </c>
      <c r="AP631" s="1338"/>
      <c r="AQ631" s="1338"/>
      <c r="AR631" s="1338"/>
      <c r="AS631" s="1339"/>
      <c r="AT631" s="1148" t="str">
        <f t="shared" si="1"/>
        <v/>
      </c>
      <c r="AU631" s="3"/>
      <c r="AZ631" s="3"/>
      <c r="BA631" s="3"/>
      <c r="BB631" s="3"/>
      <c r="BC631" s="3"/>
      <c r="BD631" s="3"/>
    </row>
    <row r="632" spans="2:157" ht="12.95" customHeight="1">
      <c r="B632" s="52" t="s">
        <v>584</v>
      </c>
      <c r="C632" s="1489"/>
      <c r="D632" s="1489"/>
      <c r="E632" s="1489"/>
      <c r="F632" s="1489"/>
      <c r="G632" s="1489"/>
      <c r="H632" s="1489"/>
      <c r="I632" s="1489"/>
      <c r="J632" s="1489"/>
      <c r="K632" s="1489"/>
      <c r="L632" s="1489"/>
      <c r="M632" s="1493" t="s">
        <v>1184</v>
      </c>
      <c r="N632" s="1493"/>
      <c r="O632" s="1493"/>
      <c r="P632" s="1493"/>
      <c r="Q632" s="1508"/>
      <c r="R632" s="1509"/>
      <c r="S632" s="1510"/>
      <c r="T632" s="1508"/>
      <c r="U632" s="1509"/>
      <c r="V632" s="1510"/>
      <c r="W632" s="1480"/>
      <c r="X632" s="1481"/>
      <c r="Y632" s="1482"/>
      <c r="Z632" s="1476" t="s">
        <v>1184</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455</v>
      </c>
      <c r="C633" s="1489"/>
      <c r="D633" s="1489"/>
      <c r="E633" s="1489"/>
      <c r="F633" s="1489"/>
      <c r="G633" s="1489"/>
      <c r="H633" s="1489"/>
      <c r="I633" s="1489"/>
      <c r="J633" s="1489"/>
      <c r="K633" s="1489"/>
      <c r="L633" s="1489"/>
      <c r="M633" s="1493" t="s">
        <v>1184</v>
      </c>
      <c r="N633" s="1493"/>
      <c r="O633" s="1493"/>
      <c r="P633" s="1493"/>
      <c r="Q633" s="1508"/>
      <c r="R633" s="1509"/>
      <c r="S633" s="1510"/>
      <c r="T633" s="1508"/>
      <c r="U633" s="1509"/>
      <c r="V633" s="1510"/>
      <c r="W633" s="1480"/>
      <c r="X633" s="1481"/>
      <c r="Y633" s="1482"/>
      <c r="Z633" s="1476" t="s">
        <v>1184</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456</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1184</v>
      </c>
      <c r="BB634" s="3"/>
      <c r="BC634" s="3"/>
      <c r="BD634" s="3"/>
    </row>
    <row r="635" spans="2:157" ht="12.95" customHeight="1">
      <c r="B635" s="52" t="s">
        <v>461</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t="e">
        <f t="shared" ref="EC635:EC669" si="3">FE718*(CU718/$CU$753)</f>
        <v>#VALUE!</v>
      </c>
      <c r="ED635" s="1369"/>
      <c r="EE635" s="1369"/>
      <c r="EF635" s="1369"/>
      <c r="EG635" s="1369"/>
      <c r="EH635" s="1369">
        <f t="shared" ref="EH635:EH669" si="4">FJ718*(CZ718/$CZ$753)</f>
        <v>13.939393939393939</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646</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t="e">
        <f t="shared" si="3"/>
        <v>#VALUE!</v>
      </c>
      <c r="ED636" s="1369"/>
      <c r="EE636" s="1369"/>
      <c r="EF636" s="1369"/>
      <c r="EG636" s="1369"/>
      <c r="EH636" s="1369">
        <f t="shared" si="4"/>
        <v>41.363636363636367</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t="e">
        <f t="shared" si="3"/>
        <v>#VALUE!</v>
      </c>
      <c r="ED637" s="1369"/>
      <c r="EE637" s="1369"/>
      <c r="EF637" s="1369"/>
      <c r="EG637" s="1369"/>
      <c r="EH637" s="1369">
        <f t="shared" si="4"/>
        <v>26.151515151515152</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f t="shared" si="4"/>
        <v>78.181818181818187</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18884471</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262.54545454545456</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9103225</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557.39393939393938</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7"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8"/>
      <c r="AO641" s="1472">
        <f>AO639+AO640</f>
        <v>27987696</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f t="shared" si="5"/>
        <v>23.5</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23.31818181818182</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463</v>
      </c>
      <c r="G643" s="1483" t="str">
        <f>C627</f>
        <v>Citibank, N.A.</v>
      </c>
      <c r="H643" s="1483"/>
      <c r="I643" s="1483"/>
      <c r="J643" s="1483"/>
      <c r="K643" s="1483"/>
      <c r="L643" s="1483"/>
      <c r="M643" s="1483"/>
      <c r="N643" s="1483"/>
      <c r="O643" s="1483"/>
      <c r="P643" s="1483"/>
      <c r="Q643" s="1483"/>
      <c r="R643" s="1483"/>
      <c r="S643" s="8"/>
      <c r="T643" s="55" t="s">
        <v>113</v>
      </c>
      <c r="U643" t="s">
        <v>463</v>
      </c>
      <c r="Z643" s="1483" t="str">
        <f>C628</f>
        <v>Town of Mammoth Lakes</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44.727272727272727</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2714</v>
      </c>
      <c r="H644" s="1407"/>
      <c r="I644" s="1407"/>
      <c r="J644" s="1407"/>
      <c r="K644" s="1407"/>
      <c r="L644" s="1407"/>
      <c r="M644" s="1407"/>
      <c r="N644" s="1407"/>
      <c r="O644" s="1407"/>
      <c r="P644" s="1407"/>
      <c r="Q644" s="1407"/>
      <c r="R644" s="1407"/>
      <c r="S644" s="8"/>
      <c r="T644" s="22"/>
      <c r="U644" t="s">
        <v>85</v>
      </c>
      <c r="Z644" s="1407" t="s">
        <v>2717</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44.727272727272727</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580</v>
      </c>
      <c r="G645" s="1407" t="s">
        <v>2715</v>
      </c>
      <c r="H645" s="1407"/>
      <c r="I645" s="1407"/>
      <c r="J645" s="1407"/>
      <c r="K645" s="1407"/>
      <c r="L645" s="1407"/>
      <c r="M645" s="1407"/>
      <c r="N645" s="1407"/>
      <c r="O645" s="1407"/>
      <c r="P645" s="1407"/>
      <c r="Q645" s="1407"/>
      <c r="R645" s="1407"/>
      <c r="T645" s="22"/>
      <c r="U645" t="s">
        <v>580</v>
      </c>
      <c r="Z645" s="1371" t="s">
        <v>2718</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450.54545454545456</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2716</v>
      </c>
      <c r="H646" s="1407"/>
      <c r="I646" s="1407"/>
      <c r="J646" s="1407"/>
      <c r="K646" s="1407"/>
      <c r="L646" s="1407"/>
      <c r="M646" s="1407"/>
      <c r="N646" s="1407"/>
      <c r="O646" s="1407"/>
      <c r="P646" s="1407"/>
      <c r="Q646" s="1407"/>
      <c r="R646" s="1407"/>
      <c r="S646" s="8"/>
      <c r="T646" s="22"/>
      <c r="U646" t="s">
        <v>17</v>
      </c>
      <c r="Z646" s="1371" t="s">
        <v>2719</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563.18181818181813</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531" t="s">
        <v>2721</v>
      </c>
      <c r="H647" s="1487"/>
      <c r="I647" s="1487"/>
      <c r="J647" s="1487"/>
      <c r="K647" s="1487"/>
      <c r="L647" s="1487"/>
      <c r="O647" s="33" t="s">
        <v>206</v>
      </c>
      <c r="P647" s="1471"/>
      <c r="Q647" s="1471"/>
      <c r="R647" s="1471"/>
      <c r="S647" s="10"/>
      <c r="T647" s="22"/>
      <c r="U647" t="s">
        <v>316</v>
      </c>
      <c r="Z647" s="1531" t="s">
        <v>2723</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2726</v>
      </c>
      <c r="I648" s="1407"/>
      <c r="J648" s="1407"/>
      <c r="K648" s="1407"/>
      <c r="L648" s="1407"/>
      <c r="M648" s="1407"/>
      <c r="N648" s="1407"/>
      <c r="O648" s="1407"/>
      <c r="P648" s="1407"/>
      <c r="Q648" s="1407"/>
      <c r="R648" s="1407"/>
      <c r="S648" s="8"/>
      <c r="T648" s="22"/>
      <c r="U648" t="s">
        <v>18</v>
      </c>
      <c r="AA648" s="1407" t="s">
        <v>2727</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463</v>
      </c>
      <c r="G651" s="1483" t="str">
        <f>C629</f>
        <v>Town of Mammoth Lakes</v>
      </c>
      <c r="H651" s="1483"/>
      <c r="I651" s="1483"/>
      <c r="J651" s="1483"/>
      <c r="K651" s="1483"/>
      <c r="L651" s="1483"/>
      <c r="M651" s="1483"/>
      <c r="N651" s="1483"/>
      <c r="O651" s="1483"/>
      <c r="P651" s="1483"/>
      <c r="Q651" s="1483"/>
      <c r="R651" s="1483"/>
      <c r="T651" s="55" t="s">
        <v>581</v>
      </c>
      <c r="U651" t="s">
        <v>463</v>
      </c>
      <c r="Z651" s="1483" t="str">
        <f>C630</f>
        <v>West Development Ventures, LLC</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2717</v>
      </c>
      <c r="H652" s="1407"/>
      <c r="I652" s="1407"/>
      <c r="J652" s="1407"/>
      <c r="K652" s="1407"/>
      <c r="L652" s="1407"/>
      <c r="M652" s="1407"/>
      <c r="N652" s="1407"/>
      <c r="O652" s="1407"/>
      <c r="P652" s="1407"/>
      <c r="Q652" s="1407"/>
      <c r="R652" s="1407"/>
      <c r="T652" s="22"/>
      <c r="U652" t="s">
        <v>85</v>
      </c>
      <c r="Z652" s="1407" t="s">
        <v>2720</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580</v>
      </c>
      <c r="G653" s="1371" t="s">
        <v>2718</v>
      </c>
      <c r="H653" s="1371"/>
      <c r="I653" s="1371"/>
      <c r="J653" s="1371"/>
      <c r="K653" s="1371"/>
      <c r="L653" s="1371"/>
      <c r="M653" s="1371"/>
      <c r="N653" s="1371"/>
      <c r="O653" s="1371"/>
      <c r="P653" s="1371"/>
      <c r="Q653" s="1371"/>
      <c r="R653" s="1371"/>
      <c r="T653" s="22"/>
      <c r="U653" t="s">
        <v>580</v>
      </c>
      <c r="Z653" s="1371" t="s">
        <v>68</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2719</v>
      </c>
      <c r="H654" s="1371"/>
      <c r="I654" s="1371"/>
      <c r="J654" s="1371"/>
      <c r="K654" s="1371"/>
      <c r="L654" s="1371"/>
      <c r="M654" s="1371"/>
      <c r="N654" s="1371"/>
      <c r="O654" s="1371"/>
      <c r="P654" s="1371"/>
      <c r="Q654" s="1371"/>
      <c r="R654" s="1371"/>
      <c r="T654" s="22"/>
      <c r="U654" t="s">
        <v>17</v>
      </c>
      <c r="Z654" s="1371" t="s">
        <v>2621</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531" t="s">
        <v>2723</v>
      </c>
      <c r="H655" s="1487"/>
      <c r="I655" s="1487"/>
      <c r="J655" s="1487"/>
      <c r="K655" s="1487"/>
      <c r="L655" s="1487"/>
      <c r="O655" s="33" t="s">
        <v>206</v>
      </c>
      <c r="P655" s="1471"/>
      <c r="Q655" s="1471"/>
      <c r="R655" s="1471"/>
      <c r="T655" s="22"/>
      <c r="U655" t="s">
        <v>316</v>
      </c>
      <c r="Z655" s="1531" t="s">
        <v>2622</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2728</v>
      </c>
      <c r="I656" s="1407"/>
      <c r="J656" s="1407"/>
      <c r="K656" s="1407"/>
      <c r="L656" s="1407"/>
      <c r="M656" s="1407"/>
      <c r="N656" s="1407"/>
      <c r="O656" s="1407"/>
      <c r="P656" s="1407"/>
      <c r="Q656" s="1407"/>
      <c r="R656" s="1407"/>
      <c r="T656" s="22"/>
      <c r="U656" t="s">
        <v>18</v>
      </c>
      <c r="AA656" s="1407" t="s">
        <v>2731</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763</v>
      </c>
      <c r="B659" t="s">
        <v>463</v>
      </c>
      <c r="G659" s="1483" t="str">
        <f>C631</f>
        <v>West Development Ventures, LLC</v>
      </c>
      <c r="H659" s="1483"/>
      <c r="I659" s="1483"/>
      <c r="J659" s="1483"/>
      <c r="K659" s="1483"/>
      <c r="L659" s="1483"/>
      <c r="M659" s="1483"/>
      <c r="N659" s="1483"/>
      <c r="O659" s="1483"/>
      <c r="P659" s="1483"/>
      <c r="Q659" s="1483"/>
      <c r="R659" s="1483"/>
      <c r="T659" s="55" t="s">
        <v>584</v>
      </c>
      <c r="U659" t="s">
        <v>463</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t="s">
        <v>2720</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580</v>
      </c>
      <c r="G661" s="1407" t="s">
        <v>68</v>
      </c>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t="s">
        <v>2621</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531" t="s">
        <v>2622</v>
      </c>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t="s">
        <v>2729</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545</v>
      </c>
      <c r="O665" s="1415"/>
      <c r="T665" s="22"/>
      <c r="U665" t="s">
        <v>20</v>
      </c>
      <c r="AG665" s="1415" t="s">
        <v>669</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0</v>
      </c>
      <c r="ED670" s="1369"/>
      <c r="EE670" s="1369"/>
      <c r="EF670" s="1369"/>
      <c r="EG670" s="1369"/>
      <c r="EH670" s="1369">
        <f>SUMIF(EH635:EL669,"&gt;0")</f>
        <v>979.57575757575751</v>
      </c>
      <c r="EI670" s="1369"/>
      <c r="EJ670" s="1369"/>
      <c r="EK670" s="1369"/>
      <c r="EL670" s="1369"/>
      <c r="EM670" s="1369">
        <f>SUMIF(EM635:EQ669,"&gt;0")</f>
        <v>1150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669</v>
      </c>
      <c r="O673" s="1415"/>
      <c r="T673" s="22"/>
      <c r="U673" t="s">
        <v>20</v>
      </c>
      <c r="AG673" s="1415" t="s">
        <v>669</v>
      </c>
      <c r="AH673" s="1415"/>
      <c r="AZ673" s="3"/>
    </row>
    <row r="674" spans="1:52" ht="12.95" customHeight="1">
      <c r="A674" s="22"/>
      <c r="T674" s="22"/>
      <c r="AZ674" s="3"/>
    </row>
    <row r="675" spans="1:52" ht="12.95"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669</v>
      </c>
      <c r="O681" s="1415"/>
      <c r="T681" s="22"/>
      <c r="U681" t="s">
        <v>20</v>
      </c>
      <c r="AG681" s="1415" t="s">
        <v>669</v>
      </c>
      <c r="AH681" s="1415"/>
      <c r="AZ681" s="3"/>
    </row>
    <row r="682" spans="1:52" ht="12.95" customHeight="1">
      <c r="A682" s="22"/>
      <c r="T682" s="22"/>
      <c r="AZ682" s="3"/>
    </row>
    <row r="683" spans="1:52" ht="12.95" customHeight="1">
      <c r="A683" s="55" t="s">
        <v>362</v>
      </c>
      <c r="B683" t="s">
        <v>463</v>
      </c>
      <c r="G683" s="1483">
        <f>C637</f>
        <v>0</v>
      </c>
      <c r="H683" s="1483"/>
      <c r="I683" s="1483"/>
      <c r="J683" s="1483"/>
      <c r="K683" s="1483"/>
      <c r="L683" s="1483"/>
      <c r="M683" s="1483"/>
      <c r="N683" s="1483"/>
      <c r="O683" s="1483"/>
      <c r="P683" s="1483"/>
      <c r="Q683" s="1483"/>
      <c r="R683" s="1483"/>
      <c r="T683" s="55" t="s">
        <v>363</v>
      </c>
      <c r="U683" t="s">
        <v>463</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669</v>
      </c>
      <c r="O689" s="1415"/>
      <c r="U689" t="s">
        <v>20</v>
      </c>
      <c r="AG689" s="1415" t="s">
        <v>669</v>
      </c>
      <c r="AH689" s="1415"/>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545</v>
      </c>
      <c r="AF693" s="1415"/>
      <c r="AZ693" s="3"/>
    </row>
    <row r="694" spans="1:67" ht="12.95" customHeight="1">
      <c r="B694" s="135"/>
      <c r="C694" s="135"/>
      <c r="D694" s="136" t="s">
        <v>438</v>
      </c>
      <c r="E694" s="135"/>
      <c r="F694" s="135"/>
      <c r="G694" s="135"/>
      <c r="H694" s="135"/>
      <c r="AE694" s="1415" t="s">
        <v>669</v>
      </c>
      <c r="AF694" s="1415"/>
      <c r="AZ694" s="3"/>
    </row>
    <row r="695" spans="1:67" ht="12.95" customHeight="1">
      <c r="B695" s="135"/>
      <c r="C695" s="135"/>
      <c r="D695" s="136" t="s">
        <v>920</v>
      </c>
      <c r="E695" s="135"/>
      <c r="F695" s="135"/>
      <c r="G695" s="135"/>
      <c r="H695" s="135"/>
      <c r="AE695" s="1506">
        <v>45909</v>
      </c>
      <c r="AF695" s="1506"/>
      <c r="AG695" s="1506"/>
      <c r="AH695" s="1506"/>
      <c r="AI695" s="1506"/>
    </row>
    <row r="696" spans="1:67" ht="12.95" customHeight="1">
      <c r="B696" s="135"/>
      <c r="C696" s="135"/>
      <c r="D696" s="317" t="s">
        <v>983</v>
      </c>
      <c r="E696" s="135"/>
      <c r="F696" s="135"/>
      <c r="G696" s="135"/>
      <c r="H696" s="135"/>
      <c r="AE696" s="1669">
        <v>45980</v>
      </c>
      <c r="AF696" s="1669"/>
      <c r="AG696" s="1669"/>
      <c r="AH696" s="1669"/>
      <c r="AI696" s="1669"/>
    </row>
    <row r="697" spans="1:67" ht="12.95" customHeight="1">
      <c r="B697" s="135"/>
      <c r="C697" s="135"/>
    </row>
    <row r="698" spans="1:67" ht="12.95" customHeight="1">
      <c r="B698" s="135"/>
      <c r="C698" s="135"/>
      <c r="D698" s="136" t="s">
        <v>816</v>
      </c>
      <c r="E698" s="135"/>
      <c r="F698" s="135"/>
      <c r="G698" s="135"/>
      <c r="H698" s="135"/>
      <c r="AE698" s="1506">
        <v>46143</v>
      </c>
      <c r="AF698" s="1506"/>
      <c r="AG698" s="1506"/>
      <c r="AH698" s="1506"/>
      <c r="AI698" s="1506"/>
    </row>
    <row r="699" spans="1:67" ht="12.95" customHeight="1">
      <c r="B699" s="135"/>
      <c r="C699" s="135"/>
      <c r="D699" s="136" t="s">
        <v>436</v>
      </c>
      <c r="E699" s="135"/>
      <c r="F699" s="135"/>
      <c r="G699" s="135"/>
      <c r="H699" s="135"/>
      <c r="AE699" s="1689">
        <v>0.29998999999999998</v>
      </c>
      <c r="AF699" s="1689"/>
      <c r="AG699" s="1689"/>
      <c r="AH699" s="1689"/>
      <c r="AI699" s="1689"/>
    </row>
    <row r="700" spans="1:67" ht="12.95" customHeight="1">
      <c r="B700" s="135"/>
      <c r="C700" s="135"/>
      <c r="D700" s="136" t="s">
        <v>437</v>
      </c>
      <c r="E700" s="135"/>
      <c r="F700" s="135"/>
      <c r="G700" s="135"/>
      <c r="H700" s="135"/>
      <c r="W700" s="1483" t="str">
        <f>H335</f>
        <v xml:space="preserve">California Munifical Finance Authority </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669</v>
      </c>
      <c r="AF702" s="1415"/>
      <c r="AZ702" s="4" t="s">
        <v>324</v>
      </c>
    </row>
    <row r="703" spans="1:67" ht="12.95"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1679</v>
      </c>
      <c r="L714" s="1512"/>
      <c r="M714" s="1512"/>
      <c r="N714" s="1513"/>
      <c r="O714" s="1494" t="s">
        <v>447</v>
      </c>
      <c r="P714" s="1495"/>
      <c r="Q714" s="1495"/>
      <c r="R714" s="1495"/>
      <c r="S714" s="1496"/>
      <c r="T714" s="1507" t="s">
        <v>1949</v>
      </c>
      <c r="U714" s="1495"/>
      <c r="V714" s="1495"/>
      <c r="W714" s="1496"/>
      <c r="X714" s="1507" t="s">
        <v>1951</v>
      </c>
      <c r="Y714" s="1495"/>
      <c r="Z714" s="1495"/>
      <c r="AA714" s="1495"/>
      <c r="AB714" s="1496"/>
      <c r="AC714" s="1507" t="s">
        <v>1950</v>
      </c>
      <c r="AD714" s="1495"/>
      <c r="AE714" s="1495"/>
      <c r="AF714" s="1495"/>
      <c r="AG714" s="1496"/>
      <c r="AH714" s="1507" t="s">
        <v>1952</v>
      </c>
      <c r="AI714" s="1495"/>
      <c r="AJ714" s="1496"/>
      <c r="AK714" s="1507"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9" t="s">
        <v>633</v>
      </c>
      <c r="CQ717" s="1800"/>
      <c r="CR717" s="1800"/>
      <c r="CS717" s="1800"/>
      <c r="CT717" s="1801"/>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2.95" customHeight="1">
      <c r="A718" s="4"/>
      <c r="B718" s="1355" t="s">
        <v>163</v>
      </c>
      <c r="C718" s="1356"/>
      <c r="D718" s="1356"/>
      <c r="E718" s="1356"/>
      <c r="F718" s="1357"/>
      <c r="G718" s="1364">
        <v>1</v>
      </c>
      <c r="H718" s="1365"/>
      <c r="I718" s="1365"/>
      <c r="J718" s="1366"/>
      <c r="K718" s="1608">
        <v>1015</v>
      </c>
      <c r="L718" s="1609"/>
      <c r="M718" s="1609"/>
      <c r="N718" s="1610"/>
      <c r="O718" s="1468">
        <v>460</v>
      </c>
      <c r="P718" s="1469"/>
      <c r="Q718" s="1469"/>
      <c r="R718" s="1469"/>
      <c r="S718" s="1470"/>
      <c r="T718" s="1468">
        <v>228</v>
      </c>
      <c r="U718" s="1469"/>
      <c r="V718" s="1469"/>
      <c r="W718" s="1470"/>
      <c r="X718" s="1358">
        <f t="shared" ref="X718:X741" si="8">O718+T718</f>
        <v>688</v>
      </c>
      <c r="Y718" s="1359"/>
      <c r="Z718" s="1359"/>
      <c r="AA718" s="1359"/>
      <c r="AB718" s="1360"/>
      <c r="AC718" s="1617">
        <v>0.3</v>
      </c>
      <c r="AD718" s="1618"/>
      <c r="AE718" s="1618"/>
      <c r="AF718" s="1618"/>
      <c r="AG718" s="1619"/>
      <c r="AH718" s="1361">
        <f>IF($AC718&gt;0,($X718/$AZ718), "")</f>
        <v>0.29991281604184827</v>
      </c>
      <c r="AI718" s="1362"/>
      <c r="AJ718" s="1363"/>
      <c r="AK718" s="1355" t="s">
        <v>591</v>
      </c>
      <c r="AL718" s="1356"/>
      <c r="AM718" s="1356"/>
      <c r="AN718" s="1356"/>
      <c r="AO718" s="1357"/>
      <c r="AP718" s="3"/>
      <c r="AQ718" s="3"/>
      <c r="AR718" s="3"/>
      <c r="AS718" s="3"/>
      <c r="AZ718" s="118">
        <f t="shared" ref="AZ718:AZ752" si="9">IF($G718=0,"N/A",VLOOKUP($T$189,TC_Rent,(MATCH($B718,bedrooms,FALSE)),FALSE))</f>
        <v>2294</v>
      </c>
      <c r="BA718" s="3"/>
      <c r="BB718" s="3"/>
      <c r="BC718" s="3"/>
      <c r="BD718" s="3"/>
      <c r="BE718" s="204"/>
      <c r="BF718" s="293">
        <f t="shared" ref="BF718:BF752" si="10">G718</f>
        <v>1</v>
      </c>
      <c r="BG718" s="297">
        <f t="shared" ref="BG718:BG752" si="11">IF($BF$753=0,0,BF718/$BF$753)</f>
        <v>1.2987012987012988E-2</v>
      </c>
      <c r="BH718" s="298">
        <f t="shared" ref="BH718:BH752" si="12">IF(BG718=0,"",BG718*AC718)</f>
        <v>3.8961038961038961E-3</v>
      </c>
      <c r="BI718" s="3"/>
      <c r="BJ718" s="3"/>
      <c r="BK718" s="3"/>
      <c r="BL718" s="3"/>
      <c r="BM718" s="3"/>
      <c r="BN718" s="3"/>
      <c r="BS718" s="293">
        <f t="shared" ref="BS718:BS752" si="13">G718</f>
        <v>1</v>
      </c>
      <c r="BT718" s="297">
        <f t="shared" ref="BT718:BT752" si="14">IF($BS$753=0,0,BS718/$BS$753)</f>
        <v>1.2987012987012988E-2</v>
      </c>
      <c r="BU718" s="298">
        <f t="shared" ref="BU718:BU752" si="15">IF(BT718=0,"",BT718*AH718)</f>
        <v>3.8949716369071209E-3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1</v>
      </c>
      <c r="CN718" s="1337"/>
      <c r="CO718" s="3"/>
      <c r="CP718" s="1332">
        <f t="shared" ref="CP718:CP752" si="18">IF(B718="SRO/Studio",G718,0)</f>
        <v>0</v>
      </c>
      <c r="CQ718" s="1333"/>
      <c r="CR718" s="1333"/>
      <c r="CS718" s="1333"/>
      <c r="CT718" s="1334"/>
      <c r="CU718" s="1354">
        <f t="shared" ref="CU718:CU752" si="19">IF(B718="1 Bedroom",G718,0)</f>
        <v>0</v>
      </c>
      <c r="CV718" s="1354"/>
      <c r="CW718" s="1354"/>
      <c r="CX718" s="1354"/>
      <c r="CY718" s="1354"/>
      <c r="CZ718" s="1354">
        <f t="shared" ref="CZ718:CZ752" si="20">IF(B718="2 Bedrooms",G718,0)</f>
        <v>1</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1</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t="str">
        <f t="shared" ref="FE718:FE752" si="31">IF(CU718&gt;0,O718,"")</f>
        <v/>
      </c>
      <c r="FF718" s="1352"/>
      <c r="FG718" s="1352"/>
      <c r="FH718" s="1352"/>
      <c r="FI718" s="1353"/>
      <c r="FJ718" s="1351">
        <f t="shared" ref="FJ718:FJ752" si="32">IF(CZ718&gt;0,O718,"")</f>
        <v>460</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163</v>
      </c>
      <c r="C719" s="1356"/>
      <c r="D719" s="1356"/>
      <c r="E719" s="1356"/>
      <c r="F719" s="1357"/>
      <c r="G719" s="1364">
        <v>3</v>
      </c>
      <c r="H719" s="1365"/>
      <c r="I719" s="1365"/>
      <c r="J719" s="1366"/>
      <c r="K719" s="1608">
        <v>1011</v>
      </c>
      <c r="L719" s="1609"/>
      <c r="M719" s="1609"/>
      <c r="N719" s="1610"/>
      <c r="O719" s="1468">
        <v>455</v>
      </c>
      <c r="P719" s="1469"/>
      <c r="Q719" s="1469"/>
      <c r="R719" s="1469"/>
      <c r="S719" s="1470"/>
      <c r="T719" s="1468">
        <v>233</v>
      </c>
      <c r="U719" s="1469"/>
      <c r="V719" s="1469"/>
      <c r="W719" s="1470"/>
      <c r="X719" s="1358">
        <f t="shared" si="8"/>
        <v>688</v>
      </c>
      <c r="Y719" s="1359"/>
      <c r="Z719" s="1359"/>
      <c r="AA719" s="1359"/>
      <c r="AB719" s="1360"/>
      <c r="AC719" s="1617">
        <v>0.3</v>
      </c>
      <c r="AD719" s="1618"/>
      <c r="AE719" s="1618"/>
      <c r="AF719" s="1618"/>
      <c r="AG719" s="1619"/>
      <c r="AH719" s="1361">
        <f t="shared" ref="AH719:AH752" si="36">IF($AC719&gt;0,($X719/$AZ719), "")</f>
        <v>0.29991281604184827</v>
      </c>
      <c r="AI719" s="1362"/>
      <c r="AJ719" s="1363"/>
      <c r="AK719" s="1355" t="s">
        <v>591</v>
      </c>
      <c r="AL719" s="1356"/>
      <c r="AM719" s="1356"/>
      <c r="AN719" s="1356"/>
      <c r="AO719" s="1357"/>
      <c r="AP719" s="3"/>
      <c r="AQ719" s="3"/>
      <c r="AR719" s="3"/>
      <c r="AS719" s="3"/>
      <c r="AZ719" s="118">
        <f t="shared" si="9"/>
        <v>2294</v>
      </c>
      <c r="BA719" s="3"/>
      <c r="BB719" s="3"/>
      <c r="BC719" s="3"/>
      <c r="BD719" s="3"/>
      <c r="BE719" s="204"/>
      <c r="BF719" s="294">
        <f t="shared" si="10"/>
        <v>3</v>
      </c>
      <c r="BG719" s="297">
        <f t="shared" si="11"/>
        <v>3.896103896103896E-2</v>
      </c>
      <c r="BH719" s="298">
        <f t="shared" si="12"/>
        <v>1.1688311688311687E-2</v>
      </c>
      <c r="BI719" s="3"/>
      <c r="BJ719" s="3"/>
      <c r="BK719" s="3"/>
      <c r="BL719" s="3"/>
      <c r="BM719" s="3"/>
      <c r="BN719" s="3"/>
      <c r="BS719" s="294">
        <f t="shared" si="13"/>
        <v>3</v>
      </c>
      <c r="BT719" s="297">
        <f t="shared" si="14"/>
        <v>3.896103896103896E-2</v>
      </c>
      <c r="BU719" s="298">
        <f t="shared" si="15"/>
        <v>1.1684914910721361E-2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3</v>
      </c>
      <c r="CN719" s="1337"/>
      <c r="CO719" s="3"/>
      <c r="CP719" s="1332">
        <f t="shared" si="18"/>
        <v>0</v>
      </c>
      <c r="CQ719" s="1333"/>
      <c r="CR719" s="1333"/>
      <c r="CS719" s="1333"/>
      <c r="CT719" s="1334"/>
      <c r="CU719" s="1354">
        <f t="shared" si="19"/>
        <v>0</v>
      </c>
      <c r="CV719" s="1354"/>
      <c r="CW719" s="1354"/>
      <c r="CX719" s="1354"/>
      <c r="CY719" s="1354"/>
      <c r="CZ719" s="1354">
        <f t="shared" si="20"/>
        <v>3</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3</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t="str">
        <f t="shared" si="31"/>
        <v/>
      </c>
      <c r="FF719" s="1352"/>
      <c r="FG719" s="1352"/>
      <c r="FH719" s="1352"/>
      <c r="FI719" s="1353"/>
      <c r="FJ719" s="1351">
        <f t="shared" si="32"/>
        <v>455</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163</v>
      </c>
      <c r="C720" s="1356"/>
      <c r="D720" s="1356"/>
      <c r="E720" s="1356"/>
      <c r="F720" s="1357"/>
      <c r="G720" s="1364">
        <v>1</v>
      </c>
      <c r="H720" s="1365"/>
      <c r="I720" s="1365"/>
      <c r="J720" s="1366"/>
      <c r="K720" s="1608">
        <v>1015</v>
      </c>
      <c r="L720" s="1609"/>
      <c r="M720" s="1609"/>
      <c r="N720" s="1610"/>
      <c r="O720" s="1468">
        <v>863</v>
      </c>
      <c r="P720" s="1469"/>
      <c r="Q720" s="1469"/>
      <c r="R720" s="1469"/>
      <c r="S720" s="1470"/>
      <c r="T720" s="1468">
        <v>228</v>
      </c>
      <c r="U720" s="1469"/>
      <c r="V720" s="1469"/>
      <c r="W720" s="1470"/>
      <c r="X720" s="1358">
        <f t="shared" si="8"/>
        <v>1091</v>
      </c>
      <c r="Y720" s="1359"/>
      <c r="Z720" s="1359"/>
      <c r="AA720" s="1359"/>
      <c r="AB720" s="1360"/>
      <c r="AC720" s="1617">
        <v>0.5</v>
      </c>
      <c r="AD720" s="1618"/>
      <c r="AE720" s="1618"/>
      <c r="AF720" s="1618"/>
      <c r="AG720" s="1619"/>
      <c r="AH720" s="1361">
        <f t="shared" si="36"/>
        <v>0.47558849171752399</v>
      </c>
      <c r="AI720" s="1362"/>
      <c r="AJ720" s="1363"/>
      <c r="AK720" s="1355" t="s">
        <v>591</v>
      </c>
      <c r="AL720" s="1356"/>
      <c r="AM720" s="1356"/>
      <c r="AN720" s="1356"/>
      <c r="AO720" s="1357"/>
      <c r="AP720" s="3"/>
      <c r="AQ720" s="3"/>
      <c r="AR720" s="3"/>
      <c r="AS720" s="3"/>
      <c r="AZ720" s="118">
        <f t="shared" si="9"/>
        <v>2294</v>
      </c>
      <c r="BA720" s="3"/>
      <c r="BB720" s="3"/>
      <c r="BC720" s="3"/>
      <c r="BD720" s="3"/>
      <c r="BE720" s="204"/>
      <c r="BF720" s="294">
        <f t="shared" si="10"/>
        <v>1</v>
      </c>
      <c r="BG720" s="297">
        <f t="shared" si="11"/>
        <v>1.2987012987012988E-2</v>
      </c>
      <c r="BH720" s="298">
        <f t="shared" si="12"/>
        <v>6.4935064935064939E-3</v>
      </c>
      <c r="BI720" s="3"/>
      <c r="BJ720" s="3"/>
      <c r="BK720" s="3"/>
      <c r="BL720" s="3"/>
      <c r="BM720" s="3"/>
      <c r="BN720" s="3"/>
      <c r="BS720" s="294">
        <f t="shared" si="13"/>
        <v>1</v>
      </c>
      <c r="BT720" s="297">
        <f t="shared" si="14"/>
        <v>1.2987012987012988E-2</v>
      </c>
      <c r="BU720" s="298">
        <f t="shared" si="15"/>
        <v>6.1764739184094032E-3</v>
      </c>
      <c r="CC720" s="3"/>
      <c r="CD720" s="3"/>
      <c r="CE720" s="3"/>
      <c r="CF720" s="3"/>
      <c r="CG720" s="1351">
        <f t="shared" si="37"/>
        <v>1</v>
      </c>
      <c r="CH720" s="1353"/>
      <c r="CI720" s="1335">
        <f t="shared" si="38"/>
        <v>1</v>
      </c>
      <c r="CJ720" s="1337"/>
      <c r="CK720" s="1351">
        <f t="shared" si="16"/>
        <v>0</v>
      </c>
      <c r="CL720" s="1353"/>
      <c r="CM720" s="1335">
        <f t="shared" si="17"/>
        <v>0</v>
      </c>
      <c r="CN720" s="1337"/>
      <c r="CO720" s="3"/>
      <c r="CP720" s="1332">
        <f t="shared" si="18"/>
        <v>0</v>
      </c>
      <c r="CQ720" s="1333"/>
      <c r="CR720" s="1333"/>
      <c r="CS720" s="1333"/>
      <c r="CT720" s="1334"/>
      <c r="CU720" s="1354">
        <f t="shared" si="19"/>
        <v>0</v>
      </c>
      <c r="CV720" s="1354"/>
      <c r="CW720" s="1354"/>
      <c r="CX720" s="1354"/>
      <c r="CY720" s="1354"/>
      <c r="CZ720" s="1354">
        <f t="shared" si="20"/>
        <v>1</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t="str">
        <f t="shared" si="31"/>
        <v/>
      </c>
      <c r="FF720" s="1352"/>
      <c r="FG720" s="1352"/>
      <c r="FH720" s="1352"/>
      <c r="FI720" s="1353"/>
      <c r="FJ720" s="1351">
        <f t="shared" si="32"/>
        <v>863</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163</v>
      </c>
      <c r="C721" s="1356"/>
      <c r="D721" s="1356"/>
      <c r="E721" s="1356"/>
      <c r="F721" s="1357"/>
      <c r="G721" s="1364">
        <v>3</v>
      </c>
      <c r="H721" s="1365"/>
      <c r="I721" s="1365"/>
      <c r="J721" s="1366"/>
      <c r="K721" s="1608">
        <v>1011</v>
      </c>
      <c r="L721" s="1609"/>
      <c r="M721" s="1609"/>
      <c r="N721" s="1610"/>
      <c r="O721" s="1745">
        <v>860</v>
      </c>
      <c r="P721" s="1469"/>
      <c r="Q721" s="1469"/>
      <c r="R721" s="1469"/>
      <c r="S721" s="1470"/>
      <c r="T721" s="1468">
        <v>233</v>
      </c>
      <c r="U721" s="1469"/>
      <c r="V721" s="1469"/>
      <c r="W721" s="1470"/>
      <c r="X721" s="1358">
        <f t="shared" si="8"/>
        <v>1093</v>
      </c>
      <c r="Y721" s="1359"/>
      <c r="Z721" s="1359"/>
      <c r="AA721" s="1359"/>
      <c r="AB721" s="1360"/>
      <c r="AC721" s="1617">
        <v>0.5</v>
      </c>
      <c r="AD721" s="1618"/>
      <c r="AE721" s="1618"/>
      <c r="AF721" s="1618"/>
      <c r="AG721" s="1619"/>
      <c r="AH721" s="1361">
        <f t="shared" si="36"/>
        <v>0.47646033129904097</v>
      </c>
      <c r="AI721" s="1362"/>
      <c r="AJ721" s="1363"/>
      <c r="AK721" s="1355" t="s">
        <v>591</v>
      </c>
      <c r="AL721" s="1356"/>
      <c r="AM721" s="1356"/>
      <c r="AN721" s="1356"/>
      <c r="AO721" s="1357"/>
      <c r="AP721" s="3"/>
      <c r="AQ721" s="3"/>
      <c r="AR721" s="3"/>
      <c r="AS721" s="3"/>
      <c r="AY721" s="116"/>
      <c r="AZ721" s="118">
        <f t="shared" si="9"/>
        <v>2294</v>
      </c>
      <c r="BA721" s="3"/>
      <c r="BB721" s="3"/>
      <c r="BC721" s="3"/>
      <c r="BD721" s="3"/>
      <c r="BE721" s="204"/>
      <c r="BF721" s="294">
        <f t="shared" si="10"/>
        <v>3</v>
      </c>
      <c r="BG721" s="297">
        <f t="shared" si="11"/>
        <v>3.896103896103896E-2</v>
      </c>
      <c r="BH721" s="298">
        <f t="shared" si="12"/>
        <v>1.948051948051948E-2</v>
      </c>
      <c r="BI721" s="3"/>
      <c r="BJ721" s="3"/>
      <c r="BK721" s="3"/>
      <c r="BL721" s="3"/>
      <c r="BM721" s="3"/>
      <c r="BN721" s="3"/>
      <c r="BS721" s="294">
        <f t="shared" si="13"/>
        <v>3</v>
      </c>
      <c r="BT721" s="297">
        <f t="shared" si="14"/>
        <v>3.896103896103896E-2</v>
      </c>
      <c r="BU721" s="298">
        <f t="shared" si="15"/>
        <v>1.8563389531131465E-2</v>
      </c>
      <c r="CC721" s="3"/>
      <c r="CD721" s="3"/>
      <c r="CE721" s="3"/>
      <c r="CF721" s="3"/>
      <c r="CG721" s="1351">
        <f t="shared" si="37"/>
        <v>1</v>
      </c>
      <c r="CH721" s="1353"/>
      <c r="CI721" s="1335">
        <f t="shared" si="38"/>
        <v>3</v>
      </c>
      <c r="CJ721" s="1337"/>
      <c r="CK721" s="1351">
        <f t="shared" si="16"/>
        <v>0</v>
      </c>
      <c r="CL721" s="1353"/>
      <c r="CM721" s="1335">
        <f t="shared" si="17"/>
        <v>0</v>
      </c>
      <c r="CN721" s="1337"/>
      <c r="CO721" s="3"/>
      <c r="CP721" s="1332">
        <f t="shared" si="18"/>
        <v>0</v>
      </c>
      <c r="CQ721" s="1333"/>
      <c r="CR721" s="1333"/>
      <c r="CS721" s="1333"/>
      <c r="CT721" s="1334"/>
      <c r="CU721" s="1354">
        <f t="shared" si="19"/>
        <v>0</v>
      </c>
      <c r="CV721" s="1354"/>
      <c r="CW721" s="1354"/>
      <c r="CX721" s="1354"/>
      <c r="CY721" s="1354"/>
      <c r="CZ721" s="1354">
        <f t="shared" si="20"/>
        <v>3</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f t="shared" si="32"/>
        <v>860</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8</v>
      </c>
      <c r="H722" s="1365"/>
      <c r="I722" s="1365"/>
      <c r="J722" s="1366"/>
      <c r="K722" s="1608">
        <v>1015</v>
      </c>
      <c r="L722" s="1609"/>
      <c r="M722" s="1609"/>
      <c r="N722" s="1610"/>
      <c r="O722" s="1468">
        <v>1083</v>
      </c>
      <c r="P722" s="1469"/>
      <c r="Q722" s="1469"/>
      <c r="R722" s="1469"/>
      <c r="S722" s="1470"/>
      <c r="T722" s="1468">
        <v>228</v>
      </c>
      <c r="U722" s="1469"/>
      <c r="V722" s="1469"/>
      <c r="W722" s="1470"/>
      <c r="X722" s="1358">
        <f t="shared" si="8"/>
        <v>1311</v>
      </c>
      <c r="Y722" s="1359"/>
      <c r="Z722" s="1359"/>
      <c r="AA722" s="1359"/>
      <c r="AB722" s="1360"/>
      <c r="AC722" s="1617">
        <v>0.6</v>
      </c>
      <c r="AD722" s="1618"/>
      <c r="AE722" s="1618"/>
      <c r="AF722" s="1618"/>
      <c r="AG722" s="1619"/>
      <c r="AH722" s="1361">
        <f t="shared" si="36"/>
        <v>0.57149084568439412</v>
      </c>
      <c r="AI722" s="1362"/>
      <c r="AJ722" s="1363"/>
      <c r="AK722" s="1355" t="s">
        <v>591</v>
      </c>
      <c r="AL722" s="1356"/>
      <c r="AM722" s="1356"/>
      <c r="AN722" s="1356"/>
      <c r="AO722" s="1357"/>
      <c r="AP722" s="3"/>
      <c r="AQ722" s="3"/>
      <c r="AR722" s="3"/>
      <c r="AS722" s="3"/>
      <c r="AY722" s="116"/>
      <c r="AZ722" s="118">
        <f t="shared" si="9"/>
        <v>2294</v>
      </c>
      <c r="BA722" s="3"/>
      <c r="BB722" s="3"/>
      <c r="BC722" s="3"/>
      <c r="BD722" s="3"/>
      <c r="BE722" s="204"/>
      <c r="BF722" s="294">
        <f t="shared" si="10"/>
        <v>8</v>
      </c>
      <c r="BG722" s="297">
        <f t="shared" si="11"/>
        <v>0.1038961038961039</v>
      </c>
      <c r="BH722" s="298">
        <f t="shared" si="12"/>
        <v>6.2337662337662338E-2</v>
      </c>
      <c r="BI722" s="3"/>
      <c r="BJ722" s="3"/>
      <c r="BK722" s="3"/>
      <c r="BL722" s="3"/>
      <c r="BM722" s="3"/>
      <c r="BN722" s="3"/>
      <c r="BS722" s="294">
        <f t="shared" si="13"/>
        <v>8</v>
      </c>
      <c r="BT722" s="297">
        <f t="shared" si="14"/>
        <v>0.1038961038961039</v>
      </c>
      <c r="BU722" s="298">
        <f t="shared" si="15"/>
        <v>5.9375672278898096E-2</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8</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1083</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17</v>
      </c>
      <c r="H723" s="1365"/>
      <c r="I723" s="1365"/>
      <c r="J723" s="1366"/>
      <c r="K723" s="1608">
        <v>1011</v>
      </c>
      <c r="L723" s="1609"/>
      <c r="M723" s="1609"/>
      <c r="N723" s="1610"/>
      <c r="O723" s="1468">
        <v>1082</v>
      </c>
      <c r="P723" s="1469"/>
      <c r="Q723" s="1469"/>
      <c r="R723" s="1469"/>
      <c r="S723" s="1470"/>
      <c r="T723" s="1468">
        <v>233</v>
      </c>
      <c r="U723" s="1469"/>
      <c r="V723" s="1469"/>
      <c r="W723" s="1470"/>
      <c r="X723" s="1358">
        <f t="shared" si="8"/>
        <v>1315</v>
      </c>
      <c r="Y723" s="1359"/>
      <c r="Z723" s="1359"/>
      <c r="AA723" s="1359"/>
      <c r="AB723" s="1360"/>
      <c r="AC723" s="1617">
        <v>0.6</v>
      </c>
      <c r="AD723" s="1618"/>
      <c r="AE723" s="1618"/>
      <c r="AF723" s="1618"/>
      <c r="AG723" s="1619"/>
      <c r="AH723" s="1361">
        <f t="shared" si="36"/>
        <v>0.5732345248474281</v>
      </c>
      <c r="AI723" s="1362"/>
      <c r="AJ723" s="1363"/>
      <c r="AK723" s="1355" t="s">
        <v>591</v>
      </c>
      <c r="AL723" s="1356"/>
      <c r="AM723" s="1356"/>
      <c r="AN723" s="1356"/>
      <c r="AO723" s="1357"/>
      <c r="AP723" s="3"/>
      <c r="AQ723" s="3"/>
      <c r="AR723" s="3"/>
      <c r="AS723" s="3"/>
      <c r="AY723" s="116"/>
      <c r="AZ723" s="118">
        <f t="shared" si="9"/>
        <v>2294</v>
      </c>
      <c r="BA723" s="3"/>
      <c r="BB723" s="3"/>
      <c r="BC723" s="3"/>
      <c r="BD723" s="3"/>
      <c r="BE723" s="204"/>
      <c r="BF723" s="294">
        <f t="shared" si="10"/>
        <v>17</v>
      </c>
      <c r="BG723" s="297">
        <f t="shared" si="11"/>
        <v>0.22077922077922077</v>
      </c>
      <c r="BH723" s="298">
        <f t="shared" si="12"/>
        <v>0.13246753246753246</v>
      </c>
      <c r="BI723" s="3"/>
      <c r="BJ723" s="3"/>
      <c r="BK723" s="3"/>
      <c r="BL723" s="3"/>
      <c r="BM723" s="3"/>
      <c r="BN723" s="3"/>
      <c r="BS723" s="294">
        <f t="shared" si="13"/>
        <v>17</v>
      </c>
      <c r="BT723" s="297">
        <f t="shared" si="14"/>
        <v>0.22077922077922077</v>
      </c>
      <c r="BU723" s="298">
        <f t="shared" si="15"/>
        <v>0.12655827171956205</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17</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1082</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164</v>
      </c>
      <c r="C724" s="1356"/>
      <c r="D724" s="1356"/>
      <c r="E724" s="1356"/>
      <c r="F724" s="1357"/>
      <c r="G724" s="1364">
        <v>2</v>
      </c>
      <c r="H724" s="1365"/>
      <c r="I724" s="1365"/>
      <c r="J724" s="1366"/>
      <c r="K724" s="1608">
        <v>1200</v>
      </c>
      <c r="L724" s="1609"/>
      <c r="M724" s="1609"/>
      <c r="N724" s="1610"/>
      <c r="O724" s="1468">
        <v>517</v>
      </c>
      <c r="P724" s="1469"/>
      <c r="Q724" s="1469"/>
      <c r="R724" s="1469"/>
      <c r="S724" s="1470"/>
      <c r="T724" s="1468">
        <v>279</v>
      </c>
      <c r="U724" s="1469"/>
      <c r="V724" s="1469"/>
      <c r="W724" s="1470"/>
      <c r="X724" s="1358">
        <f t="shared" si="8"/>
        <v>796</v>
      </c>
      <c r="Y724" s="1359"/>
      <c r="Z724" s="1359"/>
      <c r="AA724" s="1359"/>
      <c r="AB724" s="1360"/>
      <c r="AC724" s="1617">
        <v>0.3</v>
      </c>
      <c r="AD724" s="1618"/>
      <c r="AE724" s="1618"/>
      <c r="AF724" s="1618"/>
      <c r="AG724" s="1619"/>
      <c r="AH724" s="1361">
        <f t="shared" si="36"/>
        <v>0.30015082956259426</v>
      </c>
      <c r="AI724" s="1362"/>
      <c r="AJ724" s="1363"/>
      <c r="AK724" s="1355" t="s">
        <v>591</v>
      </c>
      <c r="AL724" s="1356"/>
      <c r="AM724" s="1356"/>
      <c r="AN724" s="1356"/>
      <c r="AO724" s="1357"/>
      <c r="AP724" s="3"/>
      <c r="AQ724" s="3"/>
      <c r="AR724" s="3"/>
      <c r="AS724" s="3"/>
      <c r="AY724" s="116"/>
      <c r="AZ724" s="118">
        <f t="shared" si="9"/>
        <v>2652</v>
      </c>
      <c r="BA724" s="3"/>
      <c r="BB724" s="3"/>
      <c r="BC724" s="3"/>
      <c r="BD724" s="3"/>
      <c r="BE724" s="204"/>
      <c r="BF724" s="294">
        <f t="shared" si="10"/>
        <v>2</v>
      </c>
      <c r="BG724" s="297">
        <f t="shared" si="11"/>
        <v>2.5974025974025976E-2</v>
      </c>
      <c r="BH724" s="298">
        <f t="shared" si="12"/>
        <v>7.7922077922077922E-3</v>
      </c>
      <c r="BI724" s="3"/>
      <c r="BJ724" s="3"/>
      <c r="BK724" s="3"/>
      <c r="BL724" s="3"/>
      <c r="BM724" s="3"/>
      <c r="BN724" s="3"/>
      <c r="BS724" s="294">
        <f t="shared" si="13"/>
        <v>2</v>
      </c>
      <c r="BT724" s="297">
        <f t="shared" si="14"/>
        <v>2.5974025974025976E-2</v>
      </c>
      <c r="BU724" s="298">
        <f t="shared" si="15"/>
        <v>7.7961254431842672E-3</v>
      </c>
      <c r="CC724" s="3"/>
      <c r="CE724" s="3"/>
      <c r="CF724" s="3"/>
      <c r="CG724" s="1351">
        <f t="shared" si="37"/>
        <v>0</v>
      </c>
      <c r="CH724" s="1353"/>
      <c r="CI724" s="1335">
        <f t="shared" si="38"/>
        <v>0</v>
      </c>
      <c r="CJ724" s="1337"/>
      <c r="CK724" s="1351">
        <f t="shared" si="16"/>
        <v>1</v>
      </c>
      <c r="CL724" s="1353"/>
      <c r="CM724" s="1335">
        <f t="shared" si="17"/>
        <v>2</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2</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2</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517</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164</v>
      </c>
      <c r="C725" s="1356"/>
      <c r="D725" s="1356"/>
      <c r="E725" s="1356"/>
      <c r="F725" s="1357"/>
      <c r="G725" s="1364">
        <v>2</v>
      </c>
      <c r="H725" s="1365"/>
      <c r="I725" s="1365"/>
      <c r="J725" s="1366"/>
      <c r="K725" s="1608">
        <v>1199</v>
      </c>
      <c r="L725" s="1609"/>
      <c r="M725" s="1609"/>
      <c r="N725" s="1610"/>
      <c r="O725" s="1468">
        <v>513</v>
      </c>
      <c r="P725" s="1469"/>
      <c r="Q725" s="1469"/>
      <c r="R725" s="1469"/>
      <c r="S725" s="1470"/>
      <c r="T725" s="1468">
        <v>283</v>
      </c>
      <c r="U725" s="1469"/>
      <c r="V725" s="1469"/>
      <c r="W725" s="1470"/>
      <c r="X725" s="1358">
        <f t="shared" si="8"/>
        <v>796</v>
      </c>
      <c r="Y725" s="1359"/>
      <c r="Z725" s="1359"/>
      <c r="AA725" s="1359"/>
      <c r="AB725" s="1360"/>
      <c r="AC725" s="1617">
        <v>0.3</v>
      </c>
      <c r="AD725" s="1618"/>
      <c r="AE725" s="1618"/>
      <c r="AF725" s="1618"/>
      <c r="AG725" s="1619"/>
      <c r="AH725" s="1361">
        <f t="shared" si="36"/>
        <v>0.30015082956259426</v>
      </c>
      <c r="AI725" s="1362"/>
      <c r="AJ725" s="1363"/>
      <c r="AK725" s="1355" t="s">
        <v>591</v>
      </c>
      <c r="AL725" s="1356"/>
      <c r="AM725" s="1356"/>
      <c r="AN725" s="1356"/>
      <c r="AO725" s="1357"/>
      <c r="AP725" s="3"/>
      <c r="AQ725" s="3"/>
      <c r="AR725" s="3"/>
      <c r="AS725" s="3"/>
      <c r="AY725" s="1085"/>
      <c r="AZ725" s="118">
        <f t="shared" si="9"/>
        <v>2652</v>
      </c>
      <c r="BA725" s="3"/>
      <c r="BB725" s="3"/>
      <c r="BC725" s="3"/>
      <c r="BD725" s="3"/>
      <c r="BE725" s="204"/>
      <c r="BF725" s="294">
        <f t="shared" si="10"/>
        <v>2</v>
      </c>
      <c r="BG725" s="297">
        <f t="shared" si="11"/>
        <v>2.5974025974025976E-2</v>
      </c>
      <c r="BH725" s="298">
        <f t="shared" si="12"/>
        <v>7.7922077922077922E-3</v>
      </c>
      <c r="BI725" s="3"/>
      <c r="BJ725" s="3"/>
      <c r="BK725" s="3"/>
      <c r="BL725" s="3"/>
      <c r="BM725" s="3"/>
      <c r="BN725" s="3"/>
      <c r="BS725" s="294">
        <f t="shared" si="13"/>
        <v>2</v>
      </c>
      <c r="BT725" s="297">
        <f t="shared" si="14"/>
        <v>2.5974025974025976E-2</v>
      </c>
      <c r="BU725" s="298">
        <f t="shared" si="15"/>
        <v>7.7961254431842672E-3</v>
      </c>
      <c r="BV725" s="292"/>
      <c r="BW725" s="3"/>
      <c r="BX725" s="3"/>
      <c r="BY725" s="3"/>
      <c r="BZ725" s="3"/>
      <c r="CA725" s="3"/>
      <c r="CB725" s="3"/>
      <c r="CC725" s="3"/>
      <c r="CE725" s="3"/>
      <c r="CF725" s="3"/>
      <c r="CG725" s="1351">
        <f t="shared" si="37"/>
        <v>0</v>
      </c>
      <c r="CH725" s="1353"/>
      <c r="CI725" s="1335">
        <f t="shared" si="38"/>
        <v>0</v>
      </c>
      <c r="CJ725" s="1337"/>
      <c r="CK725" s="1351">
        <f t="shared" si="16"/>
        <v>1</v>
      </c>
      <c r="CL725" s="1353"/>
      <c r="CM725" s="1335">
        <f t="shared" si="17"/>
        <v>2</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2</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2</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513</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164</v>
      </c>
      <c r="C726" s="1356"/>
      <c r="D726" s="1356"/>
      <c r="E726" s="1356"/>
      <c r="F726" s="1357"/>
      <c r="G726" s="1364">
        <v>2</v>
      </c>
      <c r="H726" s="1365"/>
      <c r="I726" s="1365"/>
      <c r="J726" s="1366"/>
      <c r="K726" s="1608">
        <v>1200</v>
      </c>
      <c r="L726" s="1609"/>
      <c r="M726" s="1609"/>
      <c r="N726" s="1610"/>
      <c r="O726" s="1468">
        <v>984</v>
      </c>
      <c r="P726" s="1469"/>
      <c r="Q726" s="1469"/>
      <c r="R726" s="1469"/>
      <c r="S726" s="1470"/>
      <c r="T726" s="1468">
        <v>279</v>
      </c>
      <c r="U726" s="1469"/>
      <c r="V726" s="1469"/>
      <c r="W726" s="1470"/>
      <c r="X726" s="1358">
        <f t="shared" si="8"/>
        <v>1263</v>
      </c>
      <c r="Y726" s="1359"/>
      <c r="Z726" s="1359"/>
      <c r="AA726" s="1359"/>
      <c r="AB726" s="1360"/>
      <c r="AC726" s="1617">
        <v>0.5</v>
      </c>
      <c r="AD726" s="1618"/>
      <c r="AE726" s="1618"/>
      <c r="AF726" s="1618"/>
      <c r="AG726" s="1619"/>
      <c r="AH726" s="1361">
        <f t="shared" si="36"/>
        <v>0.47624434389140269</v>
      </c>
      <c r="AI726" s="1362"/>
      <c r="AJ726" s="1363"/>
      <c r="AK726" s="1355" t="s">
        <v>591</v>
      </c>
      <c r="AL726" s="1356"/>
      <c r="AM726" s="1356"/>
      <c r="AN726" s="1356"/>
      <c r="AO726" s="1357"/>
      <c r="AP726" s="3"/>
      <c r="AQ726" s="3"/>
      <c r="AR726" s="3"/>
      <c r="AS726" s="3"/>
      <c r="AY726" s="1085"/>
      <c r="AZ726" s="118">
        <f t="shared" si="9"/>
        <v>2652</v>
      </c>
      <c r="BA726" s="3"/>
      <c r="BB726" s="3"/>
      <c r="BC726" s="3"/>
      <c r="BD726" s="3"/>
      <c r="BE726" s="204"/>
      <c r="BF726" s="294">
        <f t="shared" si="10"/>
        <v>2</v>
      </c>
      <c r="BG726" s="297">
        <f t="shared" si="11"/>
        <v>2.5974025974025976E-2</v>
      </c>
      <c r="BH726" s="298">
        <f t="shared" si="12"/>
        <v>1.2987012987012988E-2</v>
      </c>
      <c r="BI726" s="3"/>
      <c r="BJ726" s="3"/>
      <c r="BK726" s="3"/>
      <c r="BL726" s="3"/>
      <c r="BM726" s="3"/>
      <c r="BN726" s="3"/>
      <c r="BS726" s="294">
        <f t="shared" si="13"/>
        <v>2</v>
      </c>
      <c r="BT726" s="297">
        <f t="shared" si="14"/>
        <v>2.5974025974025976E-2</v>
      </c>
      <c r="BU726" s="298">
        <f t="shared" si="15"/>
        <v>1.2369982958218253E-2</v>
      </c>
      <c r="BV726" s="3"/>
      <c r="BW726" s="3"/>
      <c r="BX726" s="3"/>
      <c r="BY726" s="3"/>
      <c r="BZ726" s="3"/>
      <c r="CA726" s="3"/>
      <c r="CB726" s="3"/>
      <c r="CC726" s="3"/>
      <c r="CE726" s="3"/>
      <c r="CF726" s="3"/>
      <c r="CG726" s="1351">
        <f t="shared" si="37"/>
        <v>1</v>
      </c>
      <c r="CH726" s="1353"/>
      <c r="CI726" s="1335">
        <f t="shared" si="38"/>
        <v>2</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2</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984</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164</v>
      </c>
      <c r="C727" s="1356"/>
      <c r="D727" s="1356"/>
      <c r="E727" s="1356"/>
      <c r="F727" s="1357"/>
      <c r="G727" s="1364">
        <v>2</v>
      </c>
      <c r="H727" s="1365"/>
      <c r="I727" s="1365"/>
      <c r="J727" s="1366"/>
      <c r="K727" s="1608">
        <v>1199</v>
      </c>
      <c r="L727" s="1609"/>
      <c r="M727" s="1609"/>
      <c r="N727" s="1610"/>
      <c r="O727" s="1468">
        <v>984</v>
      </c>
      <c r="P727" s="1469"/>
      <c r="Q727" s="1469"/>
      <c r="R727" s="1469"/>
      <c r="S727" s="1470"/>
      <c r="T727" s="1468">
        <v>283</v>
      </c>
      <c r="U727" s="1469"/>
      <c r="V727" s="1469"/>
      <c r="W727" s="1470"/>
      <c r="X727" s="1358">
        <f t="shared" si="8"/>
        <v>1267</v>
      </c>
      <c r="Y727" s="1359"/>
      <c r="Z727" s="1359"/>
      <c r="AA727" s="1359"/>
      <c r="AB727" s="1360"/>
      <c r="AC727" s="1617">
        <v>0.5</v>
      </c>
      <c r="AD727" s="1618"/>
      <c r="AE727" s="1618"/>
      <c r="AF727" s="1618"/>
      <c r="AG727" s="1619"/>
      <c r="AH727" s="1361">
        <f t="shared" si="36"/>
        <v>0.47775263951734542</v>
      </c>
      <c r="AI727" s="1362"/>
      <c r="AJ727" s="1363"/>
      <c r="AK727" s="1355" t="s">
        <v>591</v>
      </c>
      <c r="AL727" s="1356"/>
      <c r="AM727" s="1356"/>
      <c r="AN727" s="1356"/>
      <c r="AO727" s="1357"/>
      <c r="AP727" s="3"/>
      <c r="AQ727" s="3"/>
      <c r="AR727" s="3"/>
      <c r="AS727" s="3"/>
      <c r="AY727" s="1085"/>
      <c r="AZ727" s="118">
        <f t="shared" si="9"/>
        <v>2652</v>
      </c>
      <c r="BA727" s="3"/>
      <c r="BB727" s="3"/>
      <c r="BC727" s="3"/>
      <c r="BD727" s="3"/>
      <c r="BE727" s="204"/>
      <c r="BF727" s="294">
        <f t="shared" si="10"/>
        <v>2</v>
      </c>
      <c r="BG727" s="297">
        <f t="shared" si="11"/>
        <v>2.5974025974025976E-2</v>
      </c>
      <c r="BH727" s="298">
        <f t="shared" si="12"/>
        <v>1.2987012987012988E-2</v>
      </c>
      <c r="BI727" s="3"/>
      <c r="BJ727" s="3"/>
      <c r="BK727" s="3"/>
      <c r="BL727" s="3"/>
      <c r="BM727" s="3"/>
      <c r="BN727" s="3"/>
      <c r="BS727" s="294">
        <f t="shared" si="13"/>
        <v>2</v>
      </c>
      <c r="BT727" s="297">
        <f t="shared" si="14"/>
        <v>2.5974025974025976E-2</v>
      </c>
      <c r="BU727" s="298">
        <f t="shared" si="15"/>
        <v>1.2409159467982999E-2</v>
      </c>
      <c r="BV727" s="3"/>
      <c r="BW727" s="3"/>
      <c r="BX727" s="3"/>
      <c r="BY727" s="3"/>
      <c r="BZ727" s="3"/>
      <c r="CA727" s="3"/>
      <c r="CB727" s="3"/>
      <c r="CC727" s="3"/>
      <c r="CE727" s="3"/>
      <c r="CF727" s="3"/>
      <c r="CG727" s="1351">
        <f t="shared" si="37"/>
        <v>1</v>
      </c>
      <c r="CH727" s="1353"/>
      <c r="CI727" s="1335">
        <f t="shared" si="38"/>
        <v>2</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2</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984</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16</v>
      </c>
      <c r="H728" s="1365"/>
      <c r="I728" s="1365"/>
      <c r="J728" s="1366"/>
      <c r="K728" s="1608">
        <v>1200</v>
      </c>
      <c r="L728" s="1609"/>
      <c r="M728" s="1609"/>
      <c r="N728" s="1610"/>
      <c r="O728" s="1468">
        <v>1239</v>
      </c>
      <c r="P728" s="1469"/>
      <c r="Q728" s="1469"/>
      <c r="R728" s="1469"/>
      <c r="S728" s="1470"/>
      <c r="T728" s="1468">
        <v>279</v>
      </c>
      <c r="U728" s="1469"/>
      <c r="V728" s="1469"/>
      <c r="W728" s="1470"/>
      <c r="X728" s="1358">
        <f t="shared" si="8"/>
        <v>1518</v>
      </c>
      <c r="Y728" s="1359"/>
      <c r="Z728" s="1359"/>
      <c r="AA728" s="1359"/>
      <c r="AB728" s="1360"/>
      <c r="AC728" s="1617">
        <v>0.6</v>
      </c>
      <c r="AD728" s="1618"/>
      <c r="AE728" s="1618"/>
      <c r="AF728" s="1618"/>
      <c r="AG728" s="1619"/>
      <c r="AH728" s="1361">
        <f t="shared" si="36"/>
        <v>0.57239819004524883</v>
      </c>
      <c r="AI728" s="1362"/>
      <c r="AJ728" s="1363"/>
      <c r="AK728" s="1355" t="s">
        <v>591</v>
      </c>
      <c r="AL728" s="1356"/>
      <c r="AM728" s="1356"/>
      <c r="AN728" s="1356"/>
      <c r="AO728" s="1357"/>
      <c r="AP728" s="3"/>
      <c r="AQ728" s="3"/>
      <c r="AR728" s="3"/>
      <c r="AS728" s="3"/>
      <c r="AY728" s="1085"/>
      <c r="AZ728" s="118">
        <f t="shared" si="9"/>
        <v>2652</v>
      </c>
      <c r="BA728" s="3"/>
      <c r="BB728" s="3"/>
      <c r="BC728" s="3"/>
      <c r="BD728" s="3"/>
      <c r="BE728" s="204"/>
      <c r="BF728" s="294">
        <f t="shared" si="10"/>
        <v>16</v>
      </c>
      <c r="BG728" s="297">
        <f t="shared" si="11"/>
        <v>0.20779220779220781</v>
      </c>
      <c r="BH728" s="298">
        <f t="shared" si="12"/>
        <v>0.12467532467532468</v>
      </c>
      <c r="BI728" s="3"/>
      <c r="BJ728" s="3"/>
      <c r="BK728" s="3"/>
      <c r="BL728" s="3"/>
      <c r="BM728" s="3"/>
      <c r="BN728" s="3"/>
      <c r="BS728" s="294">
        <f t="shared" si="13"/>
        <v>16</v>
      </c>
      <c r="BT728" s="297">
        <f t="shared" si="14"/>
        <v>0.20779220779220781</v>
      </c>
      <c r="BU728" s="298">
        <f t="shared" si="15"/>
        <v>0.11893988364576599</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16</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1239</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20</v>
      </c>
      <c r="H729" s="1365"/>
      <c r="I729" s="1365"/>
      <c r="J729" s="1366"/>
      <c r="K729" s="1608">
        <v>1199</v>
      </c>
      <c r="L729" s="1609"/>
      <c r="M729" s="1609"/>
      <c r="N729" s="1610"/>
      <c r="O729" s="1468">
        <v>1239</v>
      </c>
      <c r="P729" s="1469"/>
      <c r="Q729" s="1469"/>
      <c r="R729" s="1469"/>
      <c r="S729" s="1470"/>
      <c r="T729" s="1468">
        <v>283</v>
      </c>
      <c r="U729" s="1469"/>
      <c r="V729" s="1469"/>
      <c r="W729" s="1470"/>
      <c r="X729" s="1358">
        <f t="shared" si="8"/>
        <v>1522</v>
      </c>
      <c r="Y729" s="1359"/>
      <c r="Z729" s="1359"/>
      <c r="AA729" s="1359"/>
      <c r="AB729" s="1360"/>
      <c r="AC729" s="1617">
        <v>0.6</v>
      </c>
      <c r="AD729" s="1618"/>
      <c r="AE729" s="1618"/>
      <c r="AF729" s="1618"/>
      <c r="AG729" s="1619"/>
      <c r="AH729" s="1361">
        <f t="shared" si="36"/>
        <v>0.57390648567119151</v>
      </c>
      <c r="AI729" s="1362"/>
      <c r="AJ729" s="1363"/>
      <c r="AK729" s="1355" t="s">
        <v>591</v>
      </c>
      <c r="AL729" s="1356"/>
      <c r="AM729" s="1356"/>
      <c r="AN729" s="1356"/>
      <c r="AO729" s="1357"/>
      <c r="AP729" s="3"/>
      <c r="AQ729" s="3"/>
      <c r="AR729" s="3"/>
      <c r="AS729" s="3"/>
      <c r="AY729" s="1085"/>
      <c r="AZ729" s="118">
        <f t="shared" si="9"/>
        <v>2652</v>
      </c>
      <c r="BA729" s="3"/>
      <c r="BB729" s="3"/>
      <c r="BC729" s="3"/>
      <c r="BD729" s="3"/>
      <c r="BE729" s="204"/>
      <c r="BF729" s="294">
        <f t="shared" si="10"/>
        <v>20</v>
      </c>
      <c r="BG729" s="297">
        <f t="shared" si="11"/>
        <v>0.25974025974025972</v>
      </c>
      <c r="BH729" s="298">
        <f t="shared" si="12"/>
        <v>0.15584415584415581</v>
      </c>
      <c r="BI729" s="3"/>
      <c r="BJ729" s="3"/>
      <c r="BK729" s="3"/>
      <c r="BL729" s="3"/>
      <c r="BM729" s="3"/>
      <c r="BN729" s="3"/>
      <c r="BS729" s="294">
        <f t="shared" si="13"/>
        <v>20</v>
      </c>
      <c r="BT729" s="297">
        <f t="shared" si="14"/>
        <v>0.25974025974025972</v>
      </c>
      <c r="BU729" s="298">
        <f t="shared" si="15"/>
        <v>0.14906661965485493</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20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1239</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8"/>
      <c r="L730" s="1609"/>
      <c r="M730" s="1609"/>
      <c r="N730" s="1610"/>
      <c r="O730" s="1468"/>
      <c r="P730" s="1469"/>
      <c r="Q730" s="1469"/>
      <c r="R730" s="1469"/>
      <c r="S730" s="1470"/>
      <c r="T730" s="1468"/>
      <c r="U730" s="1469"/>
      <c r="V730" s="1469"/>
      <c r="W730" s="1470"/>
      <c r="X730" s="1358">
        <f t="shared" si="8"/>
        <v>0</v>
      </c>
      <c r="Y730" s="1359"/>
      <c r="Z730" s="1359"/>
      <c r="AA730" s="1359"/>
      <c r="AB730" s="1360"/>
      <c r="AC730" s="1617"/>
      <c r="AD730" s="1618"/>
      <c r="AE730" s="1618"/>
      <c r="AF730" s="1618"/>
      <c r="AG730" s="1619"/>
      <c r="AH730" s="1361" t="str">
        <f t="shared" si="36"/>
        <v/>
      </c>
      <c r="AI730" s="1362"/>
      <c r="AJ730" s="1363"/>
      <c r="AK730" s="1355" t="s">
        <v>591</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8"/>
      <c r="L731" s="1609"/>
      <c r="M731" s="1609"/>
      <c r="N731" s="1610"/>
      <c r="O731" s="1468"/>
      <c r="P731" s="1469"/>
      <c r="Q731" s="1469"/>
      <c r="R731" s="1469"/>
      <c r="S731" s="1470"/>
      <c r="T731" s="1468"/>
      <c r="U731" s="1469"/>
      <c r="V731" s="1469"/>
      <c r="W731" s="1470"/>
      <c r="X731" s="1358">
        <f t="shared" si="8"/>
        <v>0</v>
      </c>
      <c r="Y731" s="1359"/>
      <c r="Z731" s="1359"/>
      <c r="AA731" s="1359"/>
      <c r="AB731" s="1360"/>
      <c r="AC731" s="1617"/>
      <c r="AD731" s="1618"/>
      <c r="AE731" s="1618"/>
      <c r="AF731" s="1618"/>
      <c r="AG731" s="1619"/>
      <c r="AH731" s="1361" t="str">
        <f t="shared" si="36"/>
        <v/>
      </c>
      <c r="AI731" s="1362"/>
      <c r="AJ731" s="1363"/>
      <c r="AK731" s="1355" t="s">
        <v>591</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8"/>
      <c r="L732" s="1609"/>
      <c r="M732" s="1609"/>
      <c r="N732" s="1610"/>
      <c r="O732" s="1468"/>
      <c r="P732" s="1469"/>
      <c r="Q732" s="1469"/>
      <c r="R732" s="1469"/>
      <c r="S732" s="1470"/>
      <c r="T732" s="1468"/>
      <c r="U732" s="1469"/>
      <c r="V732" s="1469"/>
      <c r="W732" s="1470"/>
      <c r="X732" s="1358">
        <f t="shared" si="8"/>
        <v>0</v>
      </c>
      <c r="Y732" s="1359"/>
      <c r="Z732" s="1359"/>
      <c r="AA732" s="1359"/>
      <c r="AB732" s="1360"/>
      <c r="AC732" s="1617"/>
      <c r="AD732" s="1618"/>
      <c r="AE732" s="1618"/>
      <c r="AF732" s="1618"/>
      <c r="AG732" s="1619"/>
      <c r="AH732" s="1361" t="str">
        <f t="shared" si="36"/>
        <v/>
      </c>
      <c r="AI732" s="1362"/>
      <c r="AJ732" s="1363"/>
      <c r="AK732" s="1355" t="s">
        <v>591</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8"/>
      <c r="L733" s="1609"/>
      <c r="M733" s="1609"/>
      <c r="N733" s="1610"/>
      <c r="O733" s="1468"/>
      <c r="P733" s="1469"/>
      <c r="Q733" s="1469"/>
      <c r="R733" s="1469"/>
      <c r="S733" s="1470"/>
      <c r="T733" s="1468"/>
      <c r="U733" s="1469"/>
      <c r="V733" s="1469"/>
      <c r="W733" s="1470"/>
      <c r="X733" s="1358">
        <f t="shared" si="8"/>
        <v>0</v>
      </c>
      <c r="Y733" s="1359"/>
      <c r="Z733" s="1359"/>
      <c r="AA733" s="1359"/>
      <c r="AB733" s="1360"/>
      <c r="AC733" s="1617"/>
      <c r="AD733" s="1618"/>
      <c r="AE733" s="1618"/>
      <c r="AF733" s="1618"/>
      <c r="AG733" s="1619"/>
      <c r="AH733" s="1361" t="str">
        <f t="shared" si="36"/>
        <v/>
      </c>
      <c r="AI733" s="1362"/>
      <c r="AJ733" s="1363"/>
      <c r="AK733" s="1355" t="s">
        <v>591</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8"/>
      <c r="L734" s="1609"/>
      <c r="M734" s="1609"/>
      <c r="N734" s="1610"/>
      <c r="O734" s="1468"/>
      <c r="P734" s="1469"/>
      <c r="Q734" s="1469"/>
      <c r="R734" s="1469"/>
      <c r="S734" s="1470"/>
      <c r="T734" s="1468"/>
      <c r="U734" s="1469"/>
      <c r="V734" s="1469"/>
      <c r="W734" s="1470"/>
      <c r="X734" s="1358">
        <f t="shared" si="8"/>
        <v>0</v>
      </c>
      <c r="Y734" s="1359"/>
      <c r="Z734" s="1359"/>
      <c r="AA734" s="1359"/>
      <c r="AB734" s="1360"/>
      <c r="AC734" s="1617"/>
      <c r="AD734" s="1618"/>
      <c r="AE734" s="1618"/>
      <c r="AF734" s="1618"/>
      <c r="AG734" s="1619"/>
      <c r="AH734" s="1361" t="str">
        <f t="shared" si="36"/>
        <v/>
      </c>
      <c r="AI734" s="1362"/>
      <c r="AJ734" s="1363"/>
      <c r="AK734" s="1355" t="s">
        <v>591</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8"/>
      <c r="L735" s="1609"/>
      <c r="M735" s="1609"/>
      <c r="N735" s="1610"/>
      <c r="O735" s="1468"/>
      <c r="P735" s="1469"/>
      <c r="Q735" s="1469"/>
      <c r="R735" s="1469"/>
      <c r="S735" s="1470"/>
      <c r="T735" s="1468"/>
      <c r="U735" s="1469"/>
      <c r="V735" s="1469"/>
      <c r="W735" s="1470"/>
      <c r="X735" s="1358">
        <f t="shared" si="8"/>
        <v>0</v>
      </c>
      <c r="Y735" s="1359"/>
      <c r="Z735" s="1359"/>
      <c r="AA735" s="1359"/>
      <c r="AB735" s="1360"/>
      <c r="AC735" s="1617"/>
      <c r="AD735" s="1618"/>
      <c r="AE735" s="1618"/>
      <c r="AF735" s="1618"/>
      <c r="AG735" s="1619"/>
      <c r="AH735" s="1361" t="str">
        <f t="shared" si="36"/>
        <v/>
      </c>
      <c r="AI735" s="1362"/>
      <c r="AJ735" s="1363"/>
      <c r="AK735" s="1355" t="s">
        <v>591</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8"/>
      <c r="L736" s="1609"/>
      <c r="M736" s="1609"/>
      <c r="N736" s="1610"/>
      <c r="O736" s="1468"/>
      <c r="P736" s="1469"/>
      <c r="Q736" s="1469"/>
      <c r="R736" s="1469"/>
      <c r="S736" s="1470"/>
      <c r="T736" s="1468"/>
      <c r="U736" s="1469"/>
      <c r="V736" s="1469"/>
      <c r="W736" s="1470"/>
      <c r="X736" s="1358">
        <f t="shared" si="8"/>
        <v>0</v>
      </c>
      <c r="Y736" s="1359"/>
      <c r="Z736" s="1359"/>
      <c r="AA736" s="1359"/>
      <c r="AB736" s="1360"/>
      <c r="AC736" s="1617"/>
      <c r="AD736" s="1618"/>
      <c r="AE736" s="1618"/>
      <c r="AF736" s="1618"/>
      <c r="AG736" s="1619"/>
      <c r="AH736" s="1361" t="str">
        <f t="shared" si="36"/>
        <v/>
      </c>
      <c r="AI736" s="1362"/>
      <c r="AJ736" s="1363"/>
      <c r="AK736" s="1355" t="s">
        <v>591</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8"/>
      <c r="L737" s="1609"/>
      <c r="M737" s="1609"/>
      <c r="N737" s="1610"/>
      <c r="O737" s="1468"/>
      <c r="P737" s="1469"/>
      <c r="Q737" s="1469"/>
      <c r="R737" s="1469"/>
      <c r="S737" s="1470"/>
      <c r="T737" s="1468"/>
      <c r="U737" s="1469"/>
      <c r="V737" s="1469"/>
      <c r="W737" s="1470"/>
      <c r="X737" s="1358">
        <f t="shared" si="8"/>
        <v>0</v>
      </c>
      <c r="Y737" s="1359"/>
      <c r="Z737" s="1359"/>
      <c r="AA737" s="1359"/>
      <c r="AB737" s="1360"/>
      <c r="AC737" s="1617"/>
      <c r="AD737" s="1618"/>
      <c r="AE737" s="1618"/>
      <c r="AF737" s="1618"/>
      <c r="AG737" s="1619"/>
      <c r="AH737" s="1361" t="str">
        <f t="shared" si="36"/>
        <v/>
      </c>
      <c r="AI737" s="1362"/>
      <c r="AJ737" s="1363"/>
      <c r="AK737" s="1355" t="s">
        <v>591</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8"/>
      <c r="L738" s="1609"/>
      <c r="M738" s="1609"/>
      <c r="N738" s="1610"/>
      <c r="O738" s="1468"/>
      <c r="P738" s="1469"/>
      <c r="Q738" s="1469"/>
      <c r="R738" s="1469"/>
      <c r="S738" s="1470"/>
      <c r="T738" s="1468"/>
      <c r="U738" s="1469"/>
      <c r="V738" s="1469"/>
      <c r="W738" s="1470"/>
      <c r="X738" s="1358">
        <f t="shared" si="8"/>
        <v>0</v>
      </c>
      <c r="Y738" s="1359"/>
      <c r="Z738" s="1359"/>
      <c r="AA738" s="1359"/>
      <c r="AB738" s="1360"/>
      <c r="AC738" s="1617"/>
      <c r="AD738" s="1618"/>
      <c r="AE738" s="1618"/>
      <c r="AF738" s="1618"/>
      <c r="AG738" s="1619"/>
      <c r="AH738" s="1361" t="str">
        <f t="shared" si="36"/>
        <v/>
      </c>
      <c r="AI738" s="1362"/>
      <c r="AJ738" s="1363"/>
      <c r="AK738" s="1355" t="s">
        <v>591</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8"/>
      <c r="L739" s="1609"/>
      <c r="M739" s="1609"/>
      <c r="N739" s="1610"/>
      <c r="O739" s="1468"/>
      <c r="P739" s="1469"/>
      <c r="Q739" s="1469"/>
      <c r="R739" s="1469"/>
      <c r="S739" s="1470"/>
      <c r="T739" s="1468"/>
      <c r="U739" s="1469"/>
      <c r="V739" s="1469"/>
      <c r="W739" s="1470"/>
      <c r="X739" s="1358">
        <f t="shared" si="8"/>
        <v>0</v>
      </c>
      <c r="Y739" s="1359"/>
      <c r="Z739" s="1359"/>
      <c r="AA739" s="1359"/>
      <c r="AB739" s="1360"/>
      <c r="AC739" s="1617"/>
      <c r="AD739" s="1618"/>
      <c r="AE739" s="1618"/>
      <c r="AF739" s="1618"/>
      <c r="AG739" s="1619"/>
      <c r="AH739" s="1361" t="str">
        <f t="shared" si="36"/>
        <v/>
      </c>
      <c r="AI739" s="1362"/>
      <c r="AJ739" s="1363"/>
      <c r="AK739" s="1355" t="s">
        <v>591</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8"/>
      <c r="L740" s="1609"/>
      <c r="M740" s="1609"/>
      <c r="N740" s="1610"/>
      <c r="O740" s="1468"/>
      <c r="P740" s="1469"/>
      <c r="Q740" s="1469"/>
      <c r="R740" s="1469"/>
      <c r="S740" s="1470"/>
      <c r="T740" s="1468"/>
      <c r="U740" s="1469"/>
      <c r="V740" s="1469"/>
      <c r="W740" s="1470"/>
      <c r="X740" s="1358">
        <f t="shared" si="8"/>
        <v>0</v>
      </c>
      <c r="Y740" s="1359"/>
      <c r="Z740" s="1359"/>
      <c r="AA740" s="1359"/>
      <c r="AB740" s="1360"/>
      <c r="AC740" s="1617"/>
      <c r="AD740" s="1618"/>
      <c r="AE740" s="1618"/>
      <c r="AF740" s="1618"/>
      <c r="AG740" s="1619"/>
      <c r="AH740" s="1361" t="str">
        <f t="shared" si="36"/>
        <v/>
      </c>
      <c r="AI740" s="1362"/>
      <c r="AJ740" s="1363"/>
      <c r="AK740" s="1355" t="s">
        <v>591</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8"/>
      <c r="L741" s="1609"/>
      <c r="M741" s="1609"/>
      <c r="N741" s="1610"/>
      <c r="O741" s="1468"/>
      <c r="P741" s="1469"/>
      <c r="Q741" s="1469"/>
      <c r="R741" s="1469"/>
      <c r="S741" s="1470"/>
      <c r="T741" s="1468"/>
      <c r="U741" s="1469"/>
      <c r="V741" s="1469"/>
      <c r="W741" s="1470"/>
      <c r="X741" s="1358">
        <f t="shared" si="8"/>
        <v>0</v>
      </c>
      <c r="Y741" s="1359"/>
      <c r="Z741" s="1359"/>
      <c r="AA741" s="1359"/>
      <c r="AB741" s="1360"/>
      <c r="AC741" s="1617"/>
      <c r="AD741" s="1618"/>
      <c r="AE741" s="1618"/>
      <c r="AF741" s="1618"/>
      <c r="AG741" s="1619"/>
      <c r="AH741" s="1361" t="str">
        <f t="shared" si="36"/>
        <v/>
      </c>
      <c r="AI741" s="1362"/>
      <c r="AJ741" s="1363"/>
      <c r="AK741" s="1355" t="s">
        <v>591</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8"/>
      <c r="L742" s="1609"/>
      <c r="M742" s="1609"/>
      <c r="N742" s="1610"/>
      <c r="O742" s="1468"/>
      <c r="P742" s="1469"/>
      <c r="Q742" s="1469"/>
      <c r="R742" s="1469"/>
      <c r="S742" s="1470"/>
      <c r="T742" s="1468"/>
      <c r="U742" s="1469"/>
      <c r="V742" s="1469"/>
      <c r="W742" s="1470"/>
      <c r="X742" s="1358">
        <f t="shared" ref="X742:X751" si="39">O742+T742</f>
        <v>0</v>
      </c>
      <c r="Y742" s="1359"/>
      <c r="Z742" s="1359"/>
      <c r="AA742" s="1359"/>
      <c r="AB742" s="1360"/>
      <c r="AC742" s="1617"/>
      <c r="AD742" s="1618"/>
      <c r="AE742" s="1618"/>
      <c r="AF742" s="1618"/>
      <c r="AG742" s="1619"/>
      <c r="AH742" s="1361" t="str">
        <f t="shared" si="36"/>
        <v/>
      </c>
      <c r="AI742" s="1362"/>
      <c r="AJ742" s="1363"/>
      <c r="AK742" s="1355" t="s">
        <v>591</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8"/>
      <c r="L743" s="1609"/>
      <c r="M743" s="1609"/>
      <c r="N743" s="1610"/>
      <c r="O743" s="1468"/>
      <c r="P743" s="1469"/>
      <c r="Q743" s="1469"/>
      <c r="R743" s="1469"/>
      <c r="S743" s="1470"/>
      <c r="T743" s="1468"/>
      <c r="U743" s="1469"/>
      <c r="V743" s="1469"/>
      <c r="W743" s="1470"/>
      <c r="X743" s="1358">
        <f t="shared" si="39"/>
        <v>0</v>
      </c>
      <c r="Y743" s="1359"/>
      <c r="Z743" s="1359"/>
      <c r="AA743" s="1359"/>
      <c r="AB743" s="1360"/>
      <c r="AC743" s="1617"/>
      <c r="AD743" s="1618"/>
      <c r="AE743" s="1618"/>
      <c r="AF743" s="1618"/>
      <c r="AG743" s="1619"/>
      <c r="AH743" s="1361" t="str">
        <f t="shared" si="36"/>
        <v/>
      </c>
      <c r="AI743" s="1362"/>
      <c r="AJ743" s="1363"/>
      <c r="AK743" s="1355" t="s">
        <v>591</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8"/>
      <c r="L744" s="1609"/>
      <c r="M744" s="1609"/>
      <c r="N744" s="1610"/>
      <c r="O744" s="1468"/>
      <c r="P744" s="1469"/>
      <c r="Q744" s="1469"/>
      <c r="R744" s="1469"/>
      <c r="S744" s="1470"/>
      <c r="T744" s="1468"/>
      <c r="U744" s="1469"/>
      <c r="V744" s="1469"/>
      <c r="W744" s="1470"/>
      <c r="X744" s="1358">
        <f t="shared" si="39"/>
        <v>0</v>
      </c>
      <c r="Y744" s="1359"/>
      <c r="Z744" s="1359"/>
      <c r="AA744" s="1359"/>
      <c r="AB744" s="1360"/>
      <c r="AC744" s="1617"/>
      <c r="AD744" s="1618"/>
      <c r="AE744" s="1618"/>
      <c r="AF744" s="1618"/>
      <c r="AG744" s="1619"/>
      <c r="AH744" s="1361" t="str">
        <f t="shared" si="36"/>
        <v/>
      </c>
      <c r="AI744" s="1362"/>
      <c r="AJ744" s="1363"/>
      <c r="AK744" s="1355" t="s">
        <v>591</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8"/>
      <c r="L745" s="1609"/>
      <c r="M745" s="1609"/>
      <c r="N745" s="1610"/>
      <c r="O745" s="1468"/>
      <c r="P745" s="1469"/>
      <c r="Q745" s="1469"/>
      <c r="R745" s="1469"/>
      <c r="S745" s="1470"/>
      <c r="T745" s="1468"/>
      <c r="U745" s="1469"/>
      <c r="V745" s="1469"/>
      <c r="W745" s="1470"/>
      <c r="X745" s="1358">
        <f t="shared" si="39"/>
        <v>0</v>
      </c>
      <c r="Y745" s="1359"/>
      <c r="Z745" s="1359"/>
      <c r="AA745" s="1359"/>
      <c r="AB745" s="1360"/>
      <c r="AC745" s="1617"/>
      <c r="AD745" s="1618"/>
      <c r="AE745" s="1618"/>
      <c r="AF745" s="1618"/>
      <c r="AG745" s="1619"/>
      <c r="AH745" s="1361" t="str">
        <f t="shared" si="36"/>
        <v/>
      </c>
      <c r="AI745" s="1362"/>
      <c r="AJ745" s="1363"/>
      <c r="AK745" s="1355" t="s">
        <v>591</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8"/>
      <c r="L746" s="1609"/>
      <c r="M746" s="1609"/>
      <c r="N746" s="1610"/>
      <c r="O746" s="1468"/>
      <c r="P746" s="1469"/>
      <c r="Q746" s="1469"/>
      <c r="R746" s="1469"/>
      <c r="S746" s="1470"/>
      <c r="T746" s="1468"/>
      <c r="U746" s="1469"/>
      <c r="V746" s="1469"/>
      <c r="W746" s="1470"/>
      <c r="X746" s="1358">
        <f t="shared" si="39"/>
        <v>0</v>
      </c>
      <c r="Y746" s="1359"/>
      <c r="Z746" s="1359"/>
      <c r="AA746" s="1359"/>
      <c r="AB746" s="1360"/>
      <c r="AC746" s="1617"/>
      <c r="AD746" s="1618"/>
      <c r="AE746" s="1618"/>
      <c r="AF746" s="1618"/>
      <c r="AG746" s="1619"/>
      <c r="AH746" s="1361" t="str">
        <f t="shared" si="36"/>
        <v/>
      </c>
      <c r="AI746" s="1362"/>
      <c r="AJ746" s="1363"/>
      <c r="AK746" s="1355" t="s">
        <v>591</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8"/>
      <c r="L747" s="1609"/>
      <c r="M747" s="1609"/>
      <c r="N747" s="1610"/>
      <c r="O747" s="1468"/>
      <c r="P747" s="1469"/>
      <c r="Q747" s="1469"/>
      <c r="R747" s="1469"/>
      <c r="S747" s="1470"/>
      <c r="T747" s="1468"/>
      <c r="U747" s="1469"/>
      <c r="V747" s="1469"/>
      <c r="W747" s="1470"/>
      <c r="X747" s="1358">
        <f t="shared" si="39"/>
        <v>0</v>
      </c>
      <c r="Y747" s="1359"/>
      <c r="Z747" s="1359"/>
      <c r="AA747" s="1359"/>
      <c r="AB747" s="1360"/>
      <c r="AC747" s="1617"/>
      <c r="AD747" s="1618"/>
      <c r="AE747" s="1618"/>
      <c r="AF747" s="1618"/>
      <c r="AG747" s="1619"/>
      <c r="AH747" s="1361" t="str">
        <f t="shared" si="36"/>
        <v/>
      </c>
      <c r="AI747" s="1362"/>
      <c r="AJ747" s="1363"/>
      <c r="AK747" s="1355" t="s">
        <v>591</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8"/>
      <c r="L748" s="1609"/>
      <c r="M748" s="1609"/>
      <c r="N748" s="1610"/>
      <c r="O748" s="1468"/>
      <c r="P748" s="1469"/>
      <c r="Q748" s="1469"/>
      <c r="R748" s="1469"/>
      <c r="S748" s="1470"/>
      <c r="T748" s="1468"/>
      <c r="U748" s="1469"/>
      <c r="V748" s="1469"/>
      <c r="W748" s="1470"/>
      <c r="X748" s="1358">
        <f t="shared" si="39"/>
        <v>0</v>
      </c>
      <c r="Y748" s="1359"/>
      <c r="Z748" s="1359"/>
      <c r="AA748" s="1359"/>
      <c r="AB748" s="1360"/>
      <c r="AC748" s="1617"/>
      <c r="AD748" s="1618"/>
      <c r="AE748" s="1618"/>
      <c r="AF748" s="1618"/>
      <c r="AG748" s="1619"/>
      <c r="AH748" s="1361" t="str">
        <f t="shared" si="36"/>
        <v/>
      </c>
      <c r="AI748" s="1362"/>
      <c r="AJ748" s="1363"/>
      <c r="AK748" s="1355" t="s">
        <v>591</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8"/>
      <c r="L749" s="1609"/>
      <c r="M749" s="1609"/>
      <c r="N749" s="1610"/>
      <c r="O749" s="1468"/>
      <c r="P749" s="1469"/>
      <c r="Q749" s="1469"/>
      <c r="R749" s="1469"/>
      <c r="S749" s="1470"/>
      <c r="T749" s="1468"/>
      <c r="U749" s="1469"/>
      <c r="V749" s="1469"/>
      <c r="W749" s="1470"/>
      <c r="X749" s="1358">
        <f t="shared" si="39"/>
        <v>0</v>
      </c>
      <c r="Y749" s="1359"/>
      <c r="Z749" s="1359"/>
      <c r="AA749" s="1359"/>
      <c r="AB749" s="1360"/>
      <c r="AC749" s="1617"/>
      <c r="AD749" s="1618"/>
      <c r="AE749" s="1618"/>
      <c r="AF749" s="1618"/>
      <c r="AG749" s="1619"/>
      <c r="AH749" s="1361" t="str">
        <f t="shared" si="36"/>
        <v/>
      </c>
      <c r="AI749" s="1362"/>
      <c r="AJ749" s="1363"/>
      <c r="AK749" s="1355" t="s">
        <v>591</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8"/>
      <c r="L750" s="1609"/>
      <c r="M750" s="1609"/>
      <c r="N750" s="1610"/>
      <c r="O750" s="1468"/>
      <c r="P750" s="1469"/>
      <c r="Q750" s="1469"/>
      <c r="R750" s="1469"/>
      <c r="S750" s="1470"/>
      <c r="T750" s="1468"/>
      <c r="U750" s="1469"/>
      <c r="V750" s="1469"/>
      <c r="W750" s="1470"/>
      <c r="X750" s="1358">
        <f t="shared" si="39"/>
        <v>0</v>
      </c>
      <c r="Y750" s="1359"/>
      <c r="Z750" s="1359"/>
      <c r="AA750" s="1359"/>
      <c r="AB750" s="1360"/>
      <c r="AC750" s="1617"/>
      <c r="AD750" s="1618"/>
      <c r="AE750" s="1618"/>
      <c r="AF750" s="1618"/>
      <c r="AG750" s="1619"/>
      <c r="AH750" s="1361" t="str">
        <f t="shared" si="36"/>
        <v/>
      </c>
      <c r="AI750" s="1362"/>
      <c r="AJ750" s="1363"/>
      <c r="AK750" s="1355" t="s">
        <v>591</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8"/>
      <c r="L751" s="1609"/>
      <c r="M751" s="1609"/>
      <c r="N751" s="1610"/>
      <c r="O751" s="1468"/>
      <c r="P751" s="1469"/>
      <c r="Q751" s="1469"/>
      <c r="R751" s="1469"/>
      <c r="S751" s="1470"/>
      <c r="T751" s="1468"/>
      <c r="U751" s="1469"/>
      <c r="V751" s="1469"/>
      <c r="W751" s="1470"/>
      <c r="X751" s="1358">
        <f t="shared" si="39"/>
        <v>0</v>
      </c>
      <c r="Y751" s="1359"/>
      <c r="Z751" s="1359"/>
      <c r="AA751" s="1359"/>
      <c r="AB751" s="1360"/>
      <c r="AC751" s="1617"/>
      <c r="AD751" s="1618"/>
      <c r="AE751" s="1618"/>
      <c r="AF751" s="1618"/>
      <c r="AG751" s="1619"/>
      <c r="AH751" s="1361" t="str">
        <f t="shared" si="36"/>
        <v/>
      </c>
      <c r="AI751" s="1362"/>
      <c r="AJ751" s="1363"/>
      <c r="AK751" s="1355" t="s">
        <v>591</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8"/>
      <c r="L752" s="1609"/>
      <c r="M752" s="1609"/>
      <c r="N752" s="1610"/>
      <c r="O752" s="1468"/>
      <c r="P752" s="1469"/>
      <c r="Q752" s="1469"/>
      <c r="R752" s="1469"/>
      <c r="S752" s="1470"/>
      <c r="T752" s="1468"/>
      <c r="U752" s="1469"/>
      <c r="V752" s="1469"/>
      <c r="W752" s="1470"/>
      <c r="X752" s="1358">
        <f>O752+T752</f>
        <v>0</v>
      </c>
      <c r="Y752" s="1359"/>
      <c r="Z752" s="1359"/>
      <c r="AA752" s="1359"/>
      <c r="AB752" s="1360"/>
      <c r="AC752" s="1617"/>
      <c r="AD752" s="1618"/>
      <c r="AE752" s="1618"/>
      <c r="AF752" s="1618"/>
      <c r="AG752" s="1619"/>
      <c r="AH752" s="1361" t="str">
        <f t="shared" si="36"/>
        <v/>
      </c>
      <c r="AI752" s="1362"/>
      <c r="AJ752" s="1363"/>
      <c r="AK752" s="1355" t="s">
        <v>591</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21">
        <f>SUM(G718:G752)</f>
        <v>77</v>
      </c>
      <c r="H753" s="1722"/>
      <c r="I753" s="1722"/>
      <c r="J753" s="1723"/>
      <c r="K753" s="902" t="s">
        <v>124</v>
      </c>
      <c r="L753" s="5"/>
      <c r="M753" s="5"/>
      <c r="N753" s="46"/>
      <c r="O753" s="1358">
        <f>SUMPRODUCT(G718:G752,O718:O752)</f>
        <v>82926</v>
      </c>
      <c r="P753" s="1359"/>
      <c r="Q753" s="1359"/>
      <c r="R753" s="1359"/>
      <c r="S753" s="1360"/>
      <c r="T753"/>
      <c r="U753"/>
      <c r="V753"/>
      <c r="W753"/>
      <c r="X753" s="904" t="s">
        <v>900</v>
      </c>
      <c r="Y753" s="903"/>
      <c r="Z753" s="903"/>
      <c r="AA753" s="903"/>
      <c r="AB753" s="905"/>
      <c r="AC753" s="1621">
        <f>BH753</f>
        <v>0.55844155844155841</v>
      </c>
      <c r="AD753" s="1622"/>
      <c r="AE753" s="1622"/>
      <c r="AF753" s="1622"/>
      <c r="AG753" s="1623"/>
      <c r="AH753" s="1621">
        <f>IFERROR(BU753,"")</f>
        <v>0.53463159060882015</v>
      </c>
      <c r="AI753" s="1622"/>
      <c r="AJ753" s="1623"/>
      <c r="AK753"/>
      <c r="AL753"/>
      <c r="AM753"/>
      <c r="AN753"/>
      <c r="AO753"/>
      <c r="AP753" s="205"/>
      <c r="AQ753" s="205"/>
      <c r="AR753" s="205"/>
      <c r="AS753" s="205"/>
      <c r="AT753"/>
      <c r="AU753"/>
      <c r="AV753"/>
      <c r="AW753"/>
      <c r="AX753"/>
      <c r="AY753"/>
      <c r="AZ753" s="34"/>
      <c r="BA753" s="34"/>
      <c r="BB753" s="34"/>
      <c r="BC753" s="34"/>
      <c r="BE753" s="290" t="s">
        <v>899</v>
      </c>
      <c r="BF753" s="299">
        <f>SUM(BF718:BF752)</f>
        <v>77</v>
      </c>
      <c r="BG753" s="300">
        <f>SUM(BG718:BG752)</f>
        <v>1</v>
      </c>
      <c r="BH753" s="300">
        <f>SUM(BH718:BH752)</f>
        <v>0.55844155844155841</v>
      </c>
      <c r="BI753"/>
      <c r="BJ753"/>
      <c r="BK753"/>
      <c r="BL753"/>
      <c r="BO753"/>
      <c r="BP753"/>
      <c r="BQ753"/>
      <c r="BR753"/>
      <c r="BS753" s="859">
        <f>SUM(BS718:BS752)</f>
        <v>77</v>
      </c>
      <c r="BT753" s="300">
        <f>SUM(BT718:BT752)</f>
        <v>1</v>
      </c>
      <c r="BU753" s="300">
        <f>SUM(BU718:BU752)</f>
        <v>0.53463159060882015</v>
      </c>
      <c r="CI753" s="1351">
        <f>SUM(CI718:CJ752)</f>
        <v>8</v>
      </c>
      <c r="CJ753" s="1353"/>
      <c r="CM753" s="1351">
        <f>SUM(CM718:CN752)</f>
        <v>8</v>
      </c>
      <c r="CN753" s="1353"/>
      <c r="CP753" s="1351">
        <f>SUM(CP718:CT752)</f>
        <v>0</v>
      </c>
      <c r="CQ753" s="1352"/>
      <c r="CR753" s="1352"/>
      <c r="CS753" s="1352"/>
      <c r="CT753" s="1353"/>
      <c r="CU753" s="1367">
        <f>SUM(CU718:CY752)</f>
        <v>0</v>
      </c>
      <c r="CV753" s="1367"/>
      <c r="CW753" s="1367"/>
      <c r="CX753" s="1367"/>
      <c r="CY753" s="1367"/>
      <c r="CZ753" s="1367">
        <f>SUM(CZ718:DD752)</f>
        <v>33</v>
      </c>
      <c r="DA753" s="1367"/>
      <c r="DB753" s="1367"/>
      <c r="DC753" s="1367"/>
      <c r="DD753" s="1367"/>
      <c r="DE753" s="1367">
        <f>SUM(DE718:DI752)</f>
        <v>44</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0</v>
      </c>
      <c r="EA753" s="1367"/>
      <c r="EB753" s="1367"/>
      <c r="EC753" s="1367"/>
      <c r="ED753" s="1367"/>
      <c r="EE753" s="1367">
        <f>SUM(EE718:EI752)</f>
        <v>4</v>
      </c>
      <c r="EF753" s="1367"/>
      <c r="EG753" s="1367"/>
      <c r="EH753" s="1367"/>
      <c r="EI753" s="1367"/>
      <c r="EJ753" s="1367">
        <f>SUM(EJ718:EN752)</f>
        <v>4</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0</v>
      </c>
      <c r="FF753" s="1367"/>
      <c r="FG753" s="1367"/>
      <c r="FH753" s="1367"/>
      <c r="FI753" s="1367"/>
      <c r="FJ753" s="1367">
        <f>SUM(FJ718:FN752)</f>
        <v>4803</v>
      </c>
      <c r="FK753" s="1367"/>
      <c r="FL753" s="1367"/>
      <c r="FM753" s="1367"/>
      <c r="FN753" s="1367"/>
      <c r="FO753" s="1367">
        <f>SUM(FO718:FS752)</f>
        <v>5476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5" t="s">
        <v>1893</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1860</v>
      </c>
      <c r="DO754" s="1351">
        <f>CP753+CU753+CZ753+DE753+DJ753+DO753</f>
        <v>77</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66</v>
      </c>
      <c r="DE755" s="3"/>
      <c r="DF755" s="3"/>
      <c r="DG755" s="3"/>
      <c r="DH755" s="3"/>
      <c r="DI755" s="861">
        <f>DE753*3</f>
        <v>132</v>
      </c>
      <c r="DJ755" s="3"/>
      <c r="DK755" s="3"/>
      <c r="DL755" s="3"/>
      <c r="DM755" s="3"/>
      <c r="DN755" s="861">
        <f>DJ753*4</f>
        <v>0</v>
      </c>
      <c r="DO755" s="3"/>
      <c r="DP755" s="3"/>
      <c r="DQ755" s="3"/>
      <c r="DR755" s="3"/>
      <c r="DS755" s="861">
        <f>DO753*5</f>
        <v>0</v>
      </c>
      <c r="DU755" s="861">
        <f>CT755+CY755+DD755+DI755+DN755+DS755</f>
        <v>198</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7">
        <f>DU755</f>
        <v>198</v>
      </c>
      <c r="P756" s="1367"/>
      <c r="Q756" s="1367"/>
      <c r="R756" s="1367"/>
      <c r="S756" s="969"/>
      <c r="T756" s="969"/>
      <c r="U756" s="118" t="s">
        <v>1892</v>
      </c>
      <c r="V756" s="1032"/>
      <c r="W756" s="1032"/>
      <c r="X756" s="1032"/>
      <c r="Y756" s="1033"/>
      <c r="Z756" s="1033"/>
      <c r="AA756" s="1033"/>
      <c r="AB756" s="1033"/>
      <c r="AC756" s="1032"/>
      <c r="AD756" s="1032"/>
      <c r="AE756" s="1032"/>
      <c r="AF756" s="1032"/>
      <c r="AG756" s="1717"/>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591</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6" t="s">
        <v>285</v>
      </c>
      <c r="P769" s="1606"/>
      <c r="Q769" s="1606"/>
      <c r="R769" s="1606"/>
      <c r="S769" s="1606"/>
      <c r="T769" s="1511" t="s">
        <v>1679</v>
      </c>
      <c r="U769" s="1512"/>
      <c r="V769" s="1512"/>
      <c r="W769" s="1513"/>
      <c r="X769" s="1494" t="s">
        <v>447</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6"/>
      <c r="P770" s="1606"/>
      <c r="Q770" s="1606"/>
      <c r="R770" s="1606"/>
      <c r="S770" s="1606"/>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6"/>
      <c r="P771" s="1606"/>
      <c r="Q771" s="1606"/>
      <c r="R771" s="1606"/>
      <c r="S771" s="1606"/>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6"/>
      <c r="P772" s="1606"/>
      <c r="Q772" s="1606"/>
      <c r="R772" s="1606"/>
      <c r="S772" s="1606"/>
      <c r="T772" s="1614"/>
      <c r="U772" s="1615"/>
      <c r="V772" s="1615"/>
      <c r="W772" s="1616"/>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4">
        <v>1</v>
      </c>
      <c r="P773" s="1464"/>
      <c r="Q773" s="1464"/>
      <c r="R773" s="1464"/>
      <c r="S773" s="1464"/>
      <c r="T773" s="1608">
        <v>1011</v>
      </c>
      <c r="U773" s="1609"/>
      <c r="V773" s="1609"/>
      <c r="W773" s="1610"/>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8"/>
      <c r="U774" s="1609"/>
      <c r="V774" s="1609"/>
      <c r="W774" s="1610"/>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8"/>
      <c r="U775" s="1609"/>
      <c r="V775" s="1609"/>
      <c r="W775" s="1610"/>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8"/>
      <c r="U776" s="1609"/>
      <c r="V776" s="1609"/>
      <c r="W776" s="1610"/>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2.95"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6" t="s">
        <v>285</v>
      </c>
      <c r="P783" s="1606"/>
      <c r="Q783" s="1606"/>
      <c r="R783" s="1606"/>
      <c r="S783" s="1606"/>
      <c r="T783" s="1511" t="s">
        <v>1679</v>
      </c>
      <c r="U783" s="1512"/>
      <c r="V783" s="1512"/>
      <c r="W783" s="1513"/>
      <c r="X783" s="1494" t="s">
        <v>447</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6"/>
      <c r="P784" s="1606"/>
      <c r="Q784" s="1606"/>
      <c r="R784" s="1606"/>
      <c r="S784" s="1606"/>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6"/>
      <c r="P785" s="1606"/>
      <c r="Q785" s="1606"/>
      <c r="R785" s="1606"/>
      <c r="S785" s="1606"/>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6"/>
      <c r="P786" s="1606"/>
      <c r="Q786" s="1606"/>
      <c r="R786" s="1606"/>
      <c r="S786" s="1606"/>
      <c r="T786" s="1614"/>
      <c r="U786" s="1615"/>
      <c r="V786" s="1615"/>
      <c r="W786" s="1616"/>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8"/>
      <c r="U787" s="1609"/>
      <c r="V787" s="1609"/>
      <c r="W787" s="1610"/>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8"/>
      <c r="U788" s="1609"/>
      <c r="V788" s="1609"/>
      <c r="W788" s="1610"/>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8"/>
      <c r="U789" s="1609"/>
      <c r="V789" s="1609"/>
      <c r="W789" s="1610"/>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8"/>
      <c r="U790" s="1609"/>
      <c r="V790" s="1609"/>
      <c r="W790" s="1610"/>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8"/>
      <c r="U791" s="1609"/>
      <c r="V791" s="1609"/>
      <c r="W791" s="1610"/>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8"/>
      <c r="U792" s="1609"/>
      <c r="V792" s="1609"/>
      <c r="W792" s="1610"/>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8"/>
      <c r="U793" s="1609"/>
      <c r="V793" s="1609"/>
      <c r="W793" s="1610"/>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8"/>
      <c r="U794" s="1609"/>
      <c r="V794" s="1609"/>
      <c r="W794" s="1610"/>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8"/>
      <c r="U795" s="1609"/>
      <c r="V795" s="1609"/>
      <c r="W795" s="1610"/>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8"/>
      <c r="U796" s="1609"/>
      <c r="V796" s="1609"/>
      <c r="W796" s="1610"/>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8">
        <f>SUM(O787:S796)</f>
        <v>0</v>
      </c>
      <c r="P797" s="1628"/>
      <c r="Q797" s="1628"/>
      <c r="R797" s="1628"/>
      <c r="S797" s="1628"/>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82926</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995112</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0</v>
      </c>
      <c r="CV802" s="1349"/>
      <c r="CW802" s="1349"/>
      <c r="CX802" s="1349"/>
      <c r="CY802" s="1350"/>
      <c r="CZ802" s="1348">
        <f>CZ753+CZ777+CZ797</f>
        <v>34</v>
      </c>
      <c r="DA802" s="1349"/>
      <c r="DB802" s="1349"/>
      <c r="DC802" s="1349"/>
      <c r="DD802" s="1350"/>
      <c r="DE802" s="1348">
        <f>DE753+DE777+DE797</f>
        <v>44</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198</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1"/>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v>0</v>
      </c>
      <c r="AA808" s="1520"/>
      <c r="AB808" s="1520"/>
      <c r="AC808" s="1520"/>
      <c r="AD808" s="1520"/>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1950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3120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6" t="s">
        <v>334</v>
      </c>
      <c r="Q816" s="1647"/>
      <c r="R816" s="1647"/>
      <c r="S816" s="1647"/>
      <c r="T816" s="1647"/>
      <c r="U816" s="1647"/>
      <c r="V816" s="1647"/>
      <c r="W816" s="1647"/>
      <c r="X816" s="1647"/>
      <c r="Y816" s="1648"/>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5070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1000182</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0" t="s">
        <v>126</v>
      </c>
      <c r="N823" s="1690"/>
      <c r="O823" s="1690"/>
      <c r="P823" s="1691"/>
      <c r="Q823" s="1625" t="s">
        <v>290</v>
      </c>
      <c r="R823" s="1625"/>
      <c r="S823" s="1625"/>
      <c r="T823" s="1625"/>
      <c r="U823" s="1625" t="s">
        <v>291</v>
      </c>
      <c r="V823" s="1625"/>
      <c r="W823" s="1625"/>
      <c r="X823" s="1625"/>
      <c r="Y823" s="1625" t="s">
        <v>292</v>
      </c>
      <c r="Z823" s="1625"/>
      <c r="AA823" s="1625"/>
      <c r="AB823" s="1625"/>
      <c r="AC823" s="1625" t="s">
        <v>361</v>
      </c>
      <c r="AD823" s="1625"/>
      <c r="AE823" s="1625"/>
      <c r="AF823" s="1625"/>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2"/>
      <c r="N824" s="1692"/>
      <c r="O824" s="1692"/>
      <c r="P824" s="1693"/>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7" t="s">
        <v>40</v>
      </c>
      <c r="D825" s="1483"/>
      <c r="E825" s="1483"/>
      <c r="F825" s="1483"/>
      <c r="G825" s="1483"/>
      <c r="H825" s="1483"/>
      <c r="I825" s="48"/>
      <c r="J825" s="48"/>
      <c r="K825" s="48"/>
      <c r="L825" s="49"/>
      <c r="M825" s="1604"/>
      <c r="N825" s="1604"/>
      <c r="O825" s="1604"/>
      <c r="P825" s="1604"/>
      <c r="Q825" s="1604"/>
      <c r="R825" s="1604"/>
      <c r="S825" s="1604"/>
      <c r="T825" s="1604"/>
      <c r="U825" s="1604"/>
      <c r="V825" s="1604"/>
      <c r="W825" s="1604"/>
      <c r="X825" s="1604"/>
      <c r="Y825" s="1604"/>
      <c r="Z825" s="1604"/>
      <c r="AA825" s="1604"/>
      <c r="AB825" s="1604"/>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604"/>
      <c r="N826" s="1604"/>
      <c r="O826" s="1604"/>
      <c r="P826" s="1604"/>
      <c r="Q826" s="1604"/>
      <c r="R826" s="1604"/>
      <c r="S826" s="1604"/>
      <c r="T826" s="1604"/>
      <c r="U826" s="1604"/>
      <c r="V826" s="1604"/>
      <c r="W826" s="1604"/>
      <c r="X826" s="1604"/>
      <c r="Y826" s="1604"/>
      <c r="Z826" s="1604"/>
      <c r="AA826" s="1604"/>
      <c r="AB826" s="1604"/>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604"/>
      <c r="N827" s="1604"/>
      <c r="O827" s="1604"/>
      <c r="P827" s="1604"/>
      <c r="Q827" s="1604"/>
      <c r="R827" s="1604"/>
      <c r="S827" s="1604"/>
      <c r="T827" s="1604"/>
      <c r="U827" s="1604"/>
      <c r="V827" s="1604"/>
      <c r="W827" s="1604"/>
      <c r="X827" s="1604"/>
      <c r="Y827" s="1604"/>
      <c r="Z827" s="1604"/>
      <c r="AA827" s="1604"/>
      <c r="AB827" s="1604"/>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762</v>
      </c>
      <c r="D828" s="1441"/>
      <c r="E828" s="1441"/>
      <c r="F828" s="1441"/>
      <c r="G828" s="1441"/>
      <c r="H828" s="1441"/>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459</v>
      </c>
      <c r="D829" s="1441"/>
      <c r="E829" s="1441"/>
      <c r="F829" s="1441"/>
      <c r="G829" s="1441"/>
      <c r="H829" s="1441"/>
      <c r="I829" s="60"/>
      <c r="J829" s="60"/>
      <c r="K829" s="60"/>
      <c r="L829" s="61"/>
      <c r="M829" s="1604"/>
      <c r="N829" s="1604"/>
      <c r="O829" s="1604"/>
      <c r="P829" s="1604"/>
      <c r="Q829" s="1604"/>
      <c r="R829" s="1604"/>
      <c r="S829" s="1604"/>
      <c r="T829" s="1604"/>
      <c r="U829" s="1604"/>
      <c r="V829" s="1604"/>
      <c r="W829" s="1604"/>
      <c r="X829" s="1604"/>
      <c r="Y829" s="1604"/>
      <c r="Z829" s="1604"/>
      <c r="AA829" s="1604"/>
      <c r="AB829" s="1604"/>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783</v>
      </c>
      <c r="D830" s="1441"/>
      <c r="E830" s="1441"/>
      <c r="F830" s="1441"/>
      <c r="G830" s="1441"/>
      <c r="H830" s="1441"/>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6" t="s">
        <v>2708</v>
      </c>
      <c r="G831" s="1647"/>
      <c r="H831" s="1647"/>
      <c r="I831" s="1647"/>
      <c r="J831" s="1647"/>
      <c r="K831" s="1647"/>
      <c r="L831" s="1647"/>
      <c r="M831" s="1604"/>
      <c r="N831" s="1604"/>
      <c r="O831" s="1604"/>
      <c r="P831" s="1604"/>
      <c r="Q831" s="1604"/>
      <c r="R831" s="1604"/>
      <c r="S831" s="1604"/>
      <c r="T831" s="1604"/>
      <c r="U831" s="1604"/>
      <c r="V831" s="1604"/>
      <c r="W831" s="1604"/>
      <c r="X831" s="1604"/>
      <c r="Y831" s="1604"/>
      <c r="Z831" s="1604"/>
      <c r="AA831" s="1604"/>
      <c r="AB831" s="1604"/>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3">
        <f>SUM(M825:P831)</f>
        <v>0</v>
      </c>
      <c r="N832" s="1653"/>
      <c r="O832" s="1653"/>
      <c r="P832" s="1653"/>
      <c r="Q832" s="1653">
        <f>SUM(Q825:T831)</f>
        <v>0</v>
      </c>
      <c r="R832" s="1653"/>
      <c r="S832" s="1653"/>
      <c r="T832" s="1653"/>
      <c r="U832" s="1653">
        <f>SUM(U825:X831)</f>
        <v>0</v>
      </c>
      <c r="V832" s="1653"/>
      <c r="W832" s="1653"/>
      <c r="X832" s="1653"/>
      <c r="Y832" s="1653">
        <f>SUM(Y825:AB831)</f>
        <v>0</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9" t="s">
        <v>2742</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c r="BJ841" s="1667"/>
      <c r="BK841" s="1667"/>
      <c r="BL841" s="1667"/>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2">
        <v>8000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2">
        <v>6000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2">
        <v>8000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2"/>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5" customHeight="1">
      <c r="J846" s="45" t="s">
        <v>170</v>
      </c>
      <c r="K846" s="5"/>
      <c r="L846" s="5"/>
      <c r="M846" s="1646" t="s">
        <v>2709</v>
      </c>
      <c r="N846" s="1647"/>
      <c r="O846" s="1647"/>
      <c r="P846" s="1647"/>
      <c r="Q846" s="1647"/>
      <c r="R846" s="1647"/>
      <c r="S846" s="1647"/>
      <c r="T846" s="1647"/>
      <c r="U846" s="1647"/>
      <c r="V846" s="1648"/>
      <c r="W846" s="1642">
        <v>19636</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41636</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8"/>
      <c r="BH848" s="1638"/>
      <c r="BI848" s="1638"/>
      <c r="BJ848" s="1638"/>
      <c r="BK848" s="1638"/>
      <c r="BL848" s="1638"/>
    </row>
    <row r="849" spans="3:55" ht="12.95" customHeight="1">
      <c r="C849" s="2" t="s">
        <v>344</v>
      </c>
      <c r="J849" s="1408" t="s">
        <v>345</v>
      </c>
      <c r="K849" s="1409"/>
      <c r="L849" s="1409"/>
      <c r="M849" s="1409"/>
      <c r="N849" s="1409"/>
      <c r="O849" s="1409"/>
      <c r="P849" s="1409"/>
      <c r="Q849" s="1409"/>
      <c r="R849" s="1409"/>
      <c r="S849" s="1409"/>
      <c r="T849" s="1409"/>
      <c r="U849" s="1409"/>
      <c r="V849" s="1411"/>
      <c r="W849" s="1475">
        <v>49265</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7"/>
      <c r="X851" s="1657"/>
      <c r="Y851" s="1657"/>
      <c r="Z851" s="1657"/>
      <c r="AA851" s="1657"/>
      <c r="AB851" s="1657"/>
      <c r="AC851" s="1657"/>
      <c r="AZ851" s="1624"/>
      <c r="BA851" s="1624"/>
      <c r="BB851" s="14"/>
      <c r="BC851" s="14"/>
    </row>
    <row r="852" spans="3:55" ht="12.95" customHeight="1">
      <c r="J852" s="45" t="s">
        <v>351</v>
      </c>
      <c r="K852" s="5"/>
      <c r="L852" s="5"/>
      <c r="M852" s="5"/>
      <c r="N852" s="5"/>
      <c r="O852" s="5"/>
      <c r="P852" s="5"/>
      <c r="Q852" s="5"/>
      <c r="R852" s="5"/>
      <c r="S852" s="5"/>
      <c r="T852" s="5"/>
      <c r="U852" s="5"/>
      <c r="V852" s="46"/>
      <c r="W852" s="1657">
        <v>3838</v>
      </c>
      <c r="X852" s="1657"/>
      <c r="Y852" s="1657"/>
      <c r="Z852" s="1657"/>
      <c r="AA852" s="1657"/>
      <c r="AB852" s="1657"/>
      <c r="AC852" s="1657"/>
      <c r="AZ852" s="30"/>
      <c r="BA852" s="30"/>
      <c r="BB852" s="14"/>
      <c r="BC852" s="14"/>
    </row>
    <row r="853" spans="3:55" ht="12.95" customHeight="1">
      <c r="J853" s="45" t="s">
        <v>459</v>
      </c>
      <c r="K853" s="5"/>
      <c r="L853" s="5"/>
      <c r="M853" s="5"/>
      <c r="N853" s="5"/>
      <c r="O853" s="5"/>
      <c r="P853" s="5"/>
      <c r="Q853" s="5"/>
      <c r="R853" s="5"/>
      <c r="S853" s="5"/>
      <c r="T853" s="5"/>
      <c r="U853" s="5"/>
      <c r="V853" s="46"/>
      <c r="W853" s="1657">
        <v>8954</v>
      </c>
      <c r="X853" s="1657"/>
      <c r="Y853" s="1657"/>
      <c r="Z853" s="1657"/>
      <c r="AA853" s="1657"/>
      <c r="AB853" s="1657"/>
      <c r="AC853" s="1657"/>
      <c r="AZ853" s="30"/>
      <c r="BA853" s="30"/>
      <c r="BB853" s="14"/>
      <c r="BC853" s="14"/>
    </row>
    <row r="854" spans="3:55" ht="12.95" customHeight="1">
      <c r="J854" s="62" t="s">
        <v>620</v>
      </c>
      <c r="K854" s="5"/>
      <c r="L854" s="5"/>
      <c r="M854" s="5"/>
      <c r="N854" s="5"/>
      <c r="O854" s="5"/>
      <c r="P854" s="5"/>
      <c r="Q854" s="5"/>
      <c r="R854" s="5"/>
      <c r="S854" s="5"/>
      <c r="T854" s="5"/>
      <c r="U854" s="5"/>
      <c r="V854" s="46"/>
      <c r="W854" s="1657">
        <v>60138</v>
      </c>
      <c r="X854" s="1657"/>
      <c r="Y854" s="1657"/>
      <c r="Z854" s="1657"/>
      <c r="AA854" s="1657"/>
      <c r="AB854" s="1657"/>
      <c r="AC854" s="1657"/>
      <c r="AZ854" s="34"/>
      <c r="BA854" s="34"/>
      <c r="BB854" s="34"/>
      <c r="BC854" s="34"/>
    </row>
    <row r="855" spans="3:55" ht="12.95" customHeight="1">
      <c r="J855" s="63"/>
      <c r="K855" s="48"/>
      <c r="L855" s="48"/>
      <c r="M855" s="48"/>
      <c r="N855" s="48"/>
      <c r="O855" s="48"/>
      <c r="P855" s="48"/>
      <c r="Q855" s="48"/>
      <c r="R855" s="48"/>
      <c r="S855" s="48"/>
      <c r="T855" s="48"/>
      <c r="U855" s="48"/>
      <c r="V855" s="54" t="s">
        <v>272</v>
      </c>
      <c r="W855" s="1658">
        <f>SUM(W851:W854)</f>
        <v>72930</v>
      </c>
      <c r="X855" s="1658"/>
      <c r="Y855" s="1658"/>
      <c r="Z855" s="1658"/>
      <c r="AA855" s="1658"/>
      <c r="AB855" s="1658"/>
      <c r="AC855" s="1658"/>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54">
        <v>62400</v>
      </c>
      <c r="X857" s="1655"/>
      <c r="Y857" s="1655"/>
      <c r="Z857" s="1655"/>
      <c r="AA857" s="1655"/>
      <c r="AB857" s="1655"/>
      <c r="AC857" s="1656"/>
      <c r="AD857" s="528"/>
      <c r="AZ857" s="34"/>
      <c r="BA857" s="34"/>
      <c r="BB857" s="34"/>
      <c r="BC857" s="34"/>
    </row>
    <row r="858" spans="3:55" ht="12.95" customHeight="1">
      <c r="C858" s="2" t="s">
        <v>347</v>
      </c>
      <c r="J858" s="121" t="s">
        <v>1655</v>
      </c>
      <c r="K858" s="5"/>
      <c r="L858" s="5"/>
      <c r="M858" s="5"/>
      <c r="N858" s="5"/>
      <c r="O858" s="5"/>
      <c r="P858" s="5"/>
      <c r="Q858" s="5"/>
      <c r="R858" s="5"/>
      <c r="S858" s="5"/>
      <c r="T858" s="1640">
        <v>1</v>
      </c>
      <c r="U858" s="1603"/>
      <c r="V858" s="164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4">
        <v>62400</v>
      </c>
      <c r="X859" s="1655"/>
      <c r="Y859" s="1655"/>
      <c r="Z859" s="1655"/>
      <c r="AA859" s="1655"/>
      <c r="AB859" s="1655"/>
      <c r="AC859" s="1656"/>
      <c r="AD859" s="533"/>
      <c r="AZ859" s="34"/>
      <c r="BA859" s="34"/>
      <c r="BB859" s="34"/>
      <c r="BC859" s="34"/>
    </row>
    <row r="860" spans="3:55" ht="12.95" customHeight="1">
      <c r="C860" s="2"/>
      <c r="J860" s="121" t="s">
        <v>1656</v>
      </c>
      <c r="K860" s="5"/>
      <c r="L860" s="5"/>
      <c r="M860" s="5"/>
      <c r="N860" s="5"/>
      <c r="O860" s="5"/>
      <c r="P860" s="5"/>
      <c r="Q860" s="5"/>
      <c r="R860" s="5"/>
      <c r="S860" s="5"/>
      <c r="T860" s="1640"/>
      <c r="U860" s="1603"/>
      <c r="V860" s="1641"/>
      <c r="W860" s="874"/>
      <c r="X860" s="875"/>
      <c r="Y860" s="875"/>
      <c r="Z860" s="875"/>
      <c r="AA860" s="875"/>
      <c r="AB860" s="875"/>
      <c r="AC860" s="876"/>
      <c r="AD860" s="533"/>
      <c r="AZ860" s="34"/>
      <c r="BA860" s="34"/>
      <c r="BB860" s="34"/>
      <c r="BC860" s="34"/>
    </row>
    <row r="861" spans="3:55" ht="12.95" customHeight="1">
      <c r="J861" s="45" t="s">
        <v>170</v>
      </c>
      <c r="K861" s="5"/>
      <c r="L861" s="5"/>
      <c r="M861" s="1646" t="s">
        <v>2710</v>
      </c>
      <c r="N861" s="1647"/>
      <c r="O861" s="1647"/>
      <c r="P861" s="1647"/>
      <c r="Q861" s="1647"/>
      <c r="R861" s="1647"/>
      <c r="S861" s="1647"/>
      <c r="T861" s="1647"/>
      <c r="U861" s="1647"/>
      <c r="V861" s="1648"/>
      <c r="W861" s="1654">
        <v>18720</v>
      </c>
      <c r="X861" s="1655"/>
      <c r="Y861" s="1655"/>
      <c r="Z861" s="1655"/>
      <c r="AA861" s="1655"/>
      <c r="AB861" s="1655"/>
      <c r="AC861" s="1656"/>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3">
        <f>SUM(W857:W861)</f>
        <v>143520</v>
      </c>
      <c r="X862" s="1644"/>
      <c r="Y862" s="1644"/>
      <c r="Z862" s="1644"/>
      <c r="AA862" s="1644"/>
      <c r="AB862" s="1644"/>
      <c r="AC862" s="164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4">
        <v>39000</v>
      </c>
      <c r="X863" s="1655"/>
      <c r="Y863" s="1655"/>
      <c r="Z863" s="1655"/>
      <c r="AA863" s="1655"/>
      <c r="AB863" s="1655"/>
      <c r="AC863" s="1656"/>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642">
        <v>8000</v>
      </c>
      <c r="X865" s="1642"/>
      <c r="Y865" s="1642"/>
      <c r="Z865" s="1642"/>
      <c r="AA865" s="1642"/>
      <c r="AB865" s="1642"/>
      <c r="AC865" s="1642"/>
      <c r="AU865" s="14"/>
      <c r="AZ865" s="34"/>
      <c r="BA865" s="34"/>
      <c r="BB865" s="34"/>
      <c r="BC865" s="34"/>
    </row>
    <row r="866" spans="3:55" ht="12.95" customHeight="1">
      <c r="J866" s="45" t="s">
        <v>522</v>
      </c>
      <c r="K866" s="5"/>
      <c r="L866" s="5"/>
      <c r="M866" s="5"/>
      <c r="N866" s="5"/>
      <c r="O866" s="5"/>
      <c r="P866" s="5"/>
      <c r="Q866" s="5"/>
      <c r="R866" s="5"/>
      <c r="S866" s="5"/>
      <c r="T866" s="5"/>
      <c r="U866" s="5"/>
      <c r="V866" s="46"/>
      <c r="W866" s="1642">
        <v>20000</v>
      </c>
      <c r="X866" s="1642"/>
      <c r="Y866" s="1642"/>
      <c r="Z866" s="1642"/>
      <c r="AA866" s="1642"/>
      <c r="AB866" s="1642"/>
      <c r="AC866" s="1642"/>
      <c r="AU866" s="4"/>
      <c r="AZ866" s="34"/>
      <c r="BA866" s="34"/>
      <c r="BB866" s="34"/>
      <c r="BC866" s="34"/>
    </row>
    <row r="867" spans="3:55" ht="12.95" customHeight="1">
      <c r="J867" s="45" t="s">
        <v>521</v>
      </c>
      <c r="K867" s="5"/>
      <c r="L867" s="5"/>
      <c r="M867" s="5"/>
      <c r="N867" s="5"/>
      <c r="O867" s="5"/>
      <c r="P867" s="5"/>
      <c r="Q867" s="5"/>
      <c r="R867" s="5"/>
      <c r="S867" s="5"/>
      <c r="T867" s="5"/>
      <c r="U867" s="5"/>
      <c r="V867" s="46"/>
      <c r="W867" s="1642">
        <v>40092</v>
      </c>
      <c r="X867" s="1642"/>
      <c r="Y867" s="1642"/>
      <c r="Z867" s="1642"/>
      <c r="AA867" s="1642"/>
      <c r="AB867" s="1642"/>
      <c r="AC867" s="1642"/>
      <c r="AU867" s="4"/>
      <c r="AZ867" s="34"/>
      <c r="BA867" s="34"/>
      <c r="BB867" s="34"/>
      <c r="BC867" s="34"/>
    </row>
    <row r="868" spans="3:55" ht="12.95" customHeight="1">
      <c r="J868" s="45" t="s">
        <v>520</v>
      </c>
      <c r="K868" s="5"/>
      <c r="L868" s="5"/>
      <c r="M868" s="5"/>
      <c r="N868" s="5"/>
      <c r="O868" s="5"/>
      <c r="P868" s="5"/>
      <c r="Q868" s="5"/>
      <c r="R868" s="5"/>
      <c r="S868" s="5"/>
      <c r="T868" s="5"/>
      <c r="U868" s="5"/>
      <c r="V868" s="46"/>
      <c r="W868" s="1642">
        <v>6000</v>
      </c>
      <c r="X868" s="1642"/>
      <c r="Y868" s="1642"/>
      <c r="Z868" s="1642"/>
      <c r="AA868" s="1642"/>
      <c r="AB868" s="1642"/>
      <c r="AC868" s="1642"/>
      <c r="AU868" s="4"/>
      <c r="AZ868" s="34"/>
      <c r="BA868" s="34"/>
      <c r="BB868" s="34"/>
      <c r="BC868" s="34"/>
    </row>
    <row r="869" spans="3:55" ht="12.95" customHeight="1">
      <c r="J869" s="45" t="s">
        <v>519</v>
      </c>
      <c r="K869" s="5"/>
      <c r="L869" s="5"/>
      <c r="M869" s="5"/>
      <c r="N869" s="5"/>
      <c r="O869" s="5"/>
      <c r="P869" s="5"/>
      <c r="Q869" s="5"/>
      <c r="R869" s="5"/>
      <c r="S869" s="5"/>
      <c r="T869" s="5"/>
      <c r="U869" s="5"/>
      <c r="V869" s="46"/>
      <c r="W869" s="1642">
        <v>20000</v>
      </c>
      <c r="X869" s="1642"/>
      <c r="Y869" s="1642"/>
      <c r="Z869" s="1642"/>
      <c r="AA869" s="1642"/>
      <c r="AB869" s="1642"/>
      <c r="AC869" s="1642"/>
      <c r="AU869" s="4"/>
      <c r="AZ869" s="34"/>
      <c r="BA869" s="34"/>
      <c r="BB869" s="34"/>
      <c r="BC869" s="34"/>
    </row>
    <row r="870" spans="3:55" ht="12.95" customHeight="1">
      <c r="J870" s="45" t="s">
        <v>518</v>
      </c>
      <c r="K870" s="5"/>
      <c r="L870" s="5"/>
      <c r="M870" s="5"/>
      <c r="N870" s="5"/>
      <c r="O870" s="5"/>
      <c r="P870" s="5"/>
      <c r="Q870" s="5"/>
      <c r="R870" s="5"/>
      <c r="S870" s="5"/>
      <c r="T870" s="5"/>
      <c r="U870" s="5"/>
      <c r="V870" s="46"/>
      <c r="W870" s="1642"/>
      <c r="X870" s="1642"/>
      <c r="Y870" s="1642"/>
      <c r="Z870" s="1642"/>
      <c r="AA870" s="1642"/>
      <c r="AB870" s="1642"/>
      <c r="AC870" s="1642"/>
      <c r="AU870" s="4"/>
      <c r="AZ870" s="34"/>
      <c r="BA870" s="34"/>
      <c r="BB870" s="34"/>
      <c r="BC870" s="34"/>
    </row>
    <row r="871" spans="3:55" ht="12.95" customHeight="1">
      <c r="J871" s="45" t="s">
        <v>170</v>
      </c>
      <c r="K871" s="5"/>
      <c r="L871" s="5"/>
      <c r="M871" s="1646" t="s">
        <v>2711</v>
      </c>
      <c r="N871" s="1647"/>
      <c r="O871" s="1647"/>
      <c r="P871" s="1647"/>
      <c r="Q871" s="1647"/>
      <c r="R871" s="1647"/>
      <c r="S871" s="1647"/>
      <c r="T871" s="1647"/>
      <c r="U871" s="1647"/>
      <c r="V871" s="1648"/>
      <c r="W871" s="1642">
        <v>13130</v>
      </c>
      <c r="X871" s="1642"/>
      <c r="Y871" s="1642"/>
      <c r="Z871" s="1642"/>
      <c r="AA871" s="1642"/>
      <c r="AB871" s="1642"/>
      <c r="AC871" s="164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5">
        <f>SUM(W865:W871)</f>
        <v>107222</v>
      </c>
      <c r="X872" s="1605"/>
      <c r="Y872" s="1605"/>
      <c r="Z872" s="1605"/>
      <c r="AA872" s="1605"/>
      <c r="AB872" s="1605"/>
      <c r="AC872" s="16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6" t="s">
        <v>334</v>
      </c>
      <c r="N874" s="1647"/>
      <c r="O874" s="1647"/>
      <c r="P874" s="1647"/>
      <c r="Q874" s="1647"/>
      <c r="R874" s="1647"/>
      <c r="S874" s="1647"/>
      <c r="T874" s="1647"/>
      <c r="U874" s="1647"/>
      <c r="V874" s="1648"/>
      <c r="W874" s="1475"/>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170</v>
      </c>
      <c r="K875" s="5"/>
      <c r="L875" s="5"/>
      <c r="M875" s="1646" t="s">
        <v>334</v>
      </c>
      <c r="N875" s="1647"/>
      <c r="O875" s="1647"/>
      <c r="P875" s="1647"/>
      <c r="Q875" s="1647"/>
      <c r="R875" s="1647"/>
      <c r="S875" s="1647"/>
      <c r="T875" s="1647"/>
      <c r="U875" s="1647"/>
      <c r="V875" s="1648"/>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6" t="s">
        <v>334</v>
      </c>
      <c r="N876" s="1647"/>
      <c r="O876" s="1647"/>
      <c r="P876" s="1647"/>
      <c r="Q876" s="1647"/>
      <c r="R876" s="1647"/>
      <c r="S876" s="1647"/>
      <c r="T876" s="1647"/>
      <c r="U876" s="1647"/>
      <c r="V876" s="1648"/>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6" t="s">
        <v>334</v>
      </c>
      <c r="N877" s="1647"/>
      <c r="O877" s="1647"/>
      <c r="P877" s="1647"/>
      <c r="Q877" s="1647"/>
      <c r="R877" s="1647"/>
      <c r="S877" s="1647"/>
      <c r="T877" s="1647"/>
      <c r="U877" s="1647"/>
      <c r="V877" s="1648"/>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6" t="s">
        <v>334</v>
      </c>
      <c r="N878" s="1647"/>
      <c r="O878" s="1647"/>
      <c r="P878" s="1647"/>
      <c r="Q878" s="1647"/>
      <c r="R878" s="1647"/>
      <c r="S878" s="1647"/>
      <c r="T878" s="1647"/>
      <c r="U878" s="1647"/>
      <c r="V878" s="1648"/>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453573</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9">
        <f>O797+O777+G753</f>
        <v>78</v>
      </c>
      <c r="AD884" s="1649"/>
      <c r="AE884" s="1649"/>
      <c r="AF884" s="1649"/>
      <c r="AG884" s="1649"/>
      <c r="AH884" s="1650"/>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5">
        <f>IF(ISERROR((ROUNDDOWN(AC883/AC884,0))),0,(ROUNDDOWN(AC883/AC884,0)))</f>
        <v>5815</v>
      </c>
      <c r="AD885" s="1605"/>
      <c r="AE885" s="1605"/>
      <c r="AF885" s="1605"/>
      <c r="AG885" s="1605"/>
      <c r="AH885" s="16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1"/>
      <c r="AD886" s="1652"/>
      <c r="AE886" s="1652"/>
      <c r="AF886" s="1652"/>
      <c r="AG886" s="1652"/>
      <c r="AH886" s="165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42"/>
      <c r="AE887" s="1642"/>
      <c r="AF887" s="1642"/>
      <c r="AG887" s="1642"/>
      <c r="AH887" s="164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20000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23400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234</v>
      </c>
      <c r="AD891" s="1338"/>
      <c r="AE891" s="1338"/>
      <c r="AF891" s="1338"/>
      <c r="AG891" s="1338"/>
      <c r="AH891" s="1339"/>
      <c r="AZ891" s="34"/>
      <c r="BA891" s="34"/>
      <c r="BB891" s="34"/>
      <c r="BC891" s="34"/>
    </row>
    <row r="892" spans="3:55" ht="12.95" hidden="1" customHeight="1">
      <c r="C892" s="1408" t="s">
        <v>2232</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70" t="s">
        <v>956</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42"/>
      <c r="AD894" s="1642"/>
      <c r="AE894" s="1642"/>
      <c r="AF894" s="1642"/>
      <c r="AG894" s="1642"/>
      <c r="AH894" s="1642"/>
      <c r="AZ894" s="34"/>
      <c r="BA894" s="34"/>
      <c r="BB894" s="34"/>
      <c r="BC894" s="34"/>
    </row>
    <row r="895" spans="3:55" ht="12.95" customHeight="1">
      <c r="C895" s="1670" t="s">
        <v>956</v>
      </c>
      <c r="D895" s="1671"/>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2"/>
      <c r="AC895" s="1642"/>
      <c r="AD895" s="1642"/>
      <c r="AE895" s="1642"/>
      <c r="AF895" s="1642"/>
      <c r="AG895" s="1642"/>
      <c r="AH895" s="164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9"/>
      <c r="BE899" s="163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9"/>
      <c r="BE900" s="163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8"/>
      <c r="BE901" s="163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8"/>
      <c r="BE902" s="163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8"/>
      <c r="BE905" s="1668"/>
      <c r="BF905" s="1668"/>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7"/>
      <c r="BE906" s="1667"/>
      <c r="BF906" s="1667"/>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5" customHeight="1">
      <c r="AZ909" s="34"/>
      <c r="BB909" s="30"/>
      <c r="BC909" s="816"/>
    </row>
    <row r="910" spans="1:58" ht="12.95"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9"/>
      <c r="BE910" s="1638"/>
      <c r="BF910" s="911"/>
    </row>
    <row r="911" spans="1:58" ht="12.95"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792</v>
      </c>
      <c r="G915" s="1715"/>
      <c r="H915" s="1715"/>
      <c r="I915" s="1715"/>
      <c r="J915" s="1715"/>
      <c r="K915" s="1715"/>
      <c r="L915" s="1715"/>
      <c r="M915" s="1715"/>
      <c r="N915" s="1715"/>
      <c r="O915" s="1715"/>
      <c r="P915" s="1715"/>
      <c r="Q915" s="1715"/>
      <c r="R915" s="1715"/>
      <c r="S915" s="1715"/>
      <c r="T915" s="1716"/>
      <c r="U915" s="1758" t="s">
        <v>31</v>
      </c>
      <c r="V915" s="1690"/>
      <c r="W915" s="1690"/>
      <c r="X915" s="1690"/>
      <c r="Y915" s="1690"/>
      <c r="Z915" s="1690"/>
      <c r="AA915" s="43"/>
      <c r="AB915" s="105"/>
      <c r="AC915" s="105"/>
      <c r="AD915" s="105"/>
      <c r="AE915" s="105"/>
      <c r="AF915" s="106"/>
      <c r="AZ915" s="34"/>
      <c r="BA915" s="34"/>
      <c r="BB915" s="34"/>
      <c r="BC915" s="34"/>
    </row>
    <row r="916" spans="1:58" ht="12.95" customHeight="1">
      <c r="B916" s="2"/>
      <c r="F916" s="1759" t="s">
        <v>818</v>
      </c>
      <c r="G916" s="1760"/>
      <c r="H916" s="1760"/>
      <c r="I916" s="1760"/>
      <c r="J916" s="1760"/>
      <c r="K916" s="1760"/>
      <c r="L916" s="1760"/>
      <c r="M916" s="1760"/>
      <c r="N916" s="1760"/>
      <c r="O916" s="1760"/>
      <c r="P916" s="1760"/>
      <c r="Q916" s="1760"/>
      <c r="R916" s="1760"/>
      <c r="S916" s="1760"/>
      <c r="T916" s="1782"/>
      <c r="U916" s="1759"/>
      <c r="V916" s="1760"/>
      <c r="W916" s="1760"/>
      <c r="X916" s="1760"/>
      <c r="Y916" s="1760"/>
      <c r="Z916" s="1760"/>
      <c r="AA916" s="44"/>
      <c r="AB916" s="4"/>
      <c r="AC916" s="4"/>
      <c r="AD916" s="4"/>
      <c r="AE916" s="4"/>
      <c r="AF916" s="107"/>
      <c r="AZ916" s="34"/>
      <c r="BA916" s="34"/>
      <c r="BB916" s="34"/>
      <c r="BC916" s="34"/>
    </row>
    <row r="917" spans="1:58" ht="12.95" customHeight="1">
      <c r="B917" s="2"/>
      <c r="F917" s="1761"/>
      <c r="G917" s="1692"/>
      <c r="H917" s="1692"/>
      <c r="I917" s="1692"/>
      <c r="J917" s="1692"/>
      <c r="K917" s="1692"/>
      <c r="L917" s="1692"/>
      <c r="M917" s="1692"/>
      <c r="N917" s="1692"/>
      <c r="O917" s="1692"/>
      <c r="P917" s="1692"/>
      <c r="Q917" s="1692"/>
      <c r="R917" s="1692"/>
      <c r="S917" s="1692"/>
      <c r="T917" s="1693"/>
      <c r="U917" s="1761"/>
      <c r="V917" s="1692"/>
      <c r="W917" s="1692"/>
      <c r="X917" s="1692"/>
      <c r="Y917" s="1692"/>
      <c r="Z917" s="1692"/>
      <c r="AA917" s="108"/>
      <c r="AB917" s="1431" t="s">
        <v>391</v>
      </c>
      <c r="AC917" s="1431"/>
      <c r="AD917" s="1431"/>
      <c r="AE917" s="1431"/>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32" t="s">
        <v>545</v>
      </c>
      <c r="V918" s="1427"/>
      <c r="W918" s="1427"/>
      <c r="X918" s="1427"/>
      <c r="Y918" s="1427"/>
      <c r="Z918" s="1428"/>
      <c r="AA918" s="1636">
        <v>7904531</v>
      </c>
      <c r="AB918" s="1524"/>
      <c r="AC918" s="1524"/>
      <c r="AD918" s="1524"/>
      <c r="AE918" s="1524"/>
      <c r="AF918" s="1637"/>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32" t="s">
        <v>591</v>
      </c>
      <c r="V919" s="1427"/>
      <c r="W919" s="1427"/>
      <c r="X919" s="1427"/>
      <c r="Y919" s="1427"/>
      <c r="Z919" s="1428"/>
      <c r="AA919" s="1636"/>
      <c r="AB919" s="1524"/>
      <c r="AC919" s="1524"/>
      <c r="AD919" s="1524"/>
      <c r="AE919" s="1524"/>
      <c r="AF919" s="1637"/>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32" t="s">
        <v>545</v>
      </c>
      <c r="V920" s="1427"/>
      <c r="W920" s="1427"/>
      <c r="X920" s="1427"/>
      <c r="Y920" s="1427"/>
      <c r="Z920" s="1428"/>
      <c r="AA920" s="1636">
        <v>6825000</v>
      </c>
      <c r="AB920" s="1524"/>
      <c r="AC920" s="1524"/>
      <c r="AD920" s="1524"/>
      <c r="AE920" s="1524"/>
      <c r="AF920" s="1637"/>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32" t="s">
        <v>591</v>
      </c>
      <c r="V921" s="1427"/>
      <c r="W921" s="1427"/>
      <c r="X921" s="1427"/>
      <c r="Y921" s="1427"/>
      <c r="Z921" s="1428"/>
      <c r="AA921" s="1636"/>
      <c r="AB921" s="1524"/>
      <c r="AC921" s="1524"/>
      <c r="AD921" s="1524"/>
      <c r="AE921" s="1524"/>
      <c r="AF921" s="1637"/>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32" t="s">
        <v>591</v>
      </c>
      <c r="V922" s="1427"/>
      <c r="W922" s="1427"/>
      <c r="X922" s="1427"/>
      <c r="Y922" s="1427"/>
      <c r="Z922" s="1428"/>
      <c r="AA922" s="1636"/>
      <c r="AB922" s="1524"/>
      <c r="AC922" s="1524"/>
      <c r="AD922" s="1524"/>
      <c r="AE922" s="1524"/>
      <c r="AF922" s="1637"/>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32" t="s">
        <v>591</v>
      </c>
      <c r="V923" s="1427"/>
      <c r="W923" s="1427"/>
      <c r="X923" s="1427"/>
      <c r="Y923" s="1427"/>
      <c r="Z923" s="1428"/>
      <c r="AA923" s="1636"/>
      <c r="AB923" s="1524"/>
      <c r="AC923" s="1524"/>
      <c r="AD923" s="1524"/>
      <c r="AE923" s="1524"/>
      <c r="AF923" s="1637"/>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32" t="s">
        <v>591</v>
      </c>
      <c r="V924" s="1427"/>
      <c r="W924" s="1427"/>
      <c r="X924" s="1427"/>
      <c r="Y924" s="1427"/>
      <c r="Z924" s="1428"/>
      <c r="AA924" s="1636"/>
      <c r="AB924" s="1524"/>
      <c r="AC924" s="1524"/>
      <c r="AD924" s="1524"/>
      <c r="AE924" s="1524"/>
      <c r="AF924" s="1637"/>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32" t="s">
        <v>591</v>
      </c>
      <c r="V925" s="1427"/>
      <c r="W925" s="1427"/>
      <c r="X925" s="1427"/>
      <c r="Y925" s="1427"/>
      <c r="Z925" s="1428"/>
      <c r="AA925" s="1636"/>
      <c r="AB925" s="1524"/>
      <c r="AC925" s="1524"/>
      <c r="AD925" s="1524"/>
      <c r="AE925" s="1524"/>
      <c r="AF925" s="1637"/>
      <c r="AZ925" s="34"/>
      <c r="BA925" s="34"/>
      <c r="BB925" s="34"/>
      <c r="BC925" s="34"/>
    </row>
    <row r="926" spans="1:58" ht="12.95" customHeight="1">
      <c r="F926" s="1629" t="s">
        <v>2192</v>
      </c>
      <c r="G926" s="1630"/>
      <c r="H926" s="1630"/>
      <c r="I926" s="1630"/>
      <c r="J926" s="1630"/>
      <c r="K926" s="1630"/>
      <c r="L926" s="1630"/>
      <c r="M926" s="1630"/>
      <c r="N926" s="1630"/>
      <c r="O926" s="1630"/>
      <c r="P926" s="1630"/>
      <c r="Q926" s="1630"/>
      <c r="R926" s="1630"/>
      <c r="S926" s="1630"/>
      <c r="T926" s="1631"/>
      <c r="U926" s="1632" t="s">
        <v>591</v>
      </c>
      <c r="V926" s="1427"/>
      <c r="W926" s="1427"/>
      <c r="X926" s="1427"/>
      <c r="Y926" s="1427"/>
      <c r="Z926" s="1428"/>
      <c r="AA926" s="1636"/>
      <c r="AB926" s="1524"/>
      <c r="AC926" s="1524"/>
      <c r="AD926" s="1524"/>
      <c r="AE926" s="1524"/>
      <c r="AF926" s="1637"/>
      <c r="AZ926" s="34"/>
      <c r="BA926" s="34"/>
      <c r="BB926" s="34"/>
      <c r="BC926" s="34"/>
    </row>
    <row r="927" spans="1:58" ht="12.95" customHeight="1">
      <c r="F927" s="1629" t="s">
        <v>679</v>
      </c>
      <c r="G927" s="1630"/>
      <c r="H927" s="1630"/>
      <c r="I927" s="1630"/>
      <c r="J927" s="1630"/>
      <c r="K927" s="1630"/>
      <c r="L927" s="1630"/>
      <c r="M927" s="1630"/>
      <c r="N927" s="1630"/>
      <c r="O927" s="1630"/>
      <c r="P927" s="1630"/>
      <c r="Q927" s="1630"/>
      <c r="R927" s="1630"/>
      <c r="S927" s="1630"/>
      <c r="T927" s="1631"/>
      <c r="U927" s="1632" t="s">
        <v>591</v>
      </c>
      <c r="V927" s="1427"/>
      <c r="W927" s="1427"/>
      <c r="X927" s="1427"/>
      <c r="Y927" s="1427"/>
      <c r="Z927" s="1428"/>
      <c r="AA927" s="1636"/>
      <c r="AB927" s="1524"/>
      <c r="AC927" s="1524"/>
      <c r="AD927" s="1524"/>
      <c r="AE927" s="1524"/>
      <c r="AF927" s="1637"/>
      <c r="AU927" s="2"/>
      <c r="AZ927" s="34"/>
      <c r="BA927" s="34"/>
      <c r="BB927" s="34"/>
      <c r="BC927" s="34"/>
    </row>
    <row r="928" spans="1:58" ht="12.95" customHeight="1">
      <c r="F928" s="1629" t="s">
        <v>2193</v>
      </c>
      <c r="G928" s="1630"/>
      <c r="H928" s="1630"/>
      <c r="I928" s="1630"/>
      <c r="J928" s="1630"/>
      <c r="K928" s="1630"/>
      <c r="L928" s="1630"/>
      <c r="M928" s="1630"/>
      <c r="N928" s="1630"/>
      <c r="O928" s="1630"/>
      <c r="P928" s="1630"/>
      <c r="Q928" s="1630"/>
      <c r="R928" s="1630"/>
      <c r="S928" s="1630"/>
      <c r="T928" s="1631"/>
      <c r="U928" s="1632" t="s">
        <v>591</v>
      </c>
      <c r="V928" s="1427"/>
      <c r="W928" s="1427"/>
      <c r="X928" s="1427"/>
      <c r="Y928" s="1427"/>
      <c r="Z928" s="1428"/>
      <c r="AA928" s="1636"/>
      <c r="AB928" s="1524"/>
      <c r="AC928" s="1524"/>
      <c r="AD928" s="1524"/>
      <c r="AE928" s="1524"/>
      <c r="AF928" s="1637"/>
      <c r="AU928" s="2"/>
      <c r="AZ928" s="34"/>
      <c r="BA928" s="34"/>
      <c r="BB928" s="34"/>
      <c r="BC928" s="34"/>
    </row>
    <row r="929" spans="6:55" ht="12.95" customHeight="1">
      <c r="F929" s="1629" t="s">
        <v>2194</v>
      </c>
      <c r="G929" s="1630"/>
      <c r="H929" s="1630"/>
      <c r="I929" s="1630"/>
      <c r="J929" s="1630"/>
      <c r="K929" s="1630"/>
      <c r="L929" s="1630"/>
      <c r="M929" s="1630"/>
      <c r="N929" s="1630"/>
      <c r="O929" s="1630"/>
      <c r="P929" s="1630"/>
      <c r="Q929" s="1630"/>
      <c r="R929" s="1630"/>
      <c r="S929" s="1630"/>
      <c r="T929" s="1631"/>
      <c r="U929" s="1632" t="s">
        <v>591</v>
      </c>
      <c r="V929" s="1427"/>
      <c r="W929" s="1427"/>
      <c r="X929" s="1427"/>
      <c r="Y929" s="1427"/>
      <c r="Z929" s="1428"/>
      <c r="AA929" s="1636"/>
      <c r="AB929" s="1524"/>
      <c r="AC929" s="1524"/>
      <c r="AD929" s="1524"/>
      <c r="AE929" s="1524"/>
      <c r="AF929" s="1637"/>
      <c r="AU929" s="2"/>
      <c r="AZ929" s="34"/>
      <c r="BA929" s="34"/>
      <c r="BB929" s="34"/>
      <c r="BC929" s="34"/>
    </row>
    <row r="930" spans="6:55" ht="12.95" customHeight="1">
      <c r="F930" s="1629" t="s">
        <v>2195</v>
      </c>
      <c r="G930" s="1630"/>
      <c r="H930" s="1630"/>
      <c r="I930" s="1630"/>
      <c r="J930" s="1630"/>
      <c r="K930" s="1630"/>
      <c r="L930" s="1630"/>
      <c r="M930" s="1630"/>
      <c r="N930" s="1630"/>
      <c r="O930" s="1630"/>
      <c r="P930" s="1630"/>
      <c r="Q930" s="1630"/>
      <c r="R930" s="1630"/>
      <c r="S930" s="1630"/>
      <c r="T930" s="1631"/>
      <c r="U930" s="1632" t="s">
        <v>591</v>
      </c>
      <c r="V930" s="1427"/>
      <c r="W930" s="1427"/>
      <c r="X930" s="1427"/>
      <c r="Y930" s="1427"/>
      <c r="Z930" s="1428"/>
      <c r="AA930" s="1636"/>
      <c r="AB930" s="1524"/>
      <c r="AC930" s="1524"/>
      <c r="AD930" s="1524"/>
      <c r="AE930" s="1524"/>
      <c r="AF930" s="1637"/>
      <c r="AU930" s="2"/>
      <c r="AZ930" s="34"/>
      <c r="BA930" s="34"/>
      <c r="BB930" s="34"/>
      <c r="BC930" s="34"/>
    </row>
    <row r="931" spans="6:55" ht="12.95" customHeight="1">
      <c r="F931" s="1629" t="s">
        <v>2196</v>
      </c>
      <c r="G931" s="1630"/>
      <c r="H931" s="1630"/>
      <c r="I931" s="1630"/>
      <c r="J931" s="1630"/>
      <c r="K931" s="1630"/>
      <c r="L931" s="1630"/>
      <c r="M931" s="1630"/>
      <c r="N931" s="1630"/>
      <c r="O931" s="1630"/>
      <c r="P931" s="1630"/>
      <c r="Q931" s="1630"/>
      <c r="R931" s="1630"/>
      <c r="S931" s="1630"/>
      <c r="T931" s="1631"/>
      <c r="U931" s="1632" t="s">
        <v>591</v>
      </c>
      <c r="V931" s="1427"/>
      <c r="W931" s="1427"/>
      <c r="X931" s="1427"/>
      <c r="Y931" s="1427"/>
      <c r="Z931" s="1428"/>
      <c r="AA931" s="1636"/>
      <c r="AB931" s="1524"/>
      <c r="AC931" s="1524"/>
      <c r="AD931" s="1524"/>
      <c r="AE931" s="1524"/>
      <c r="AF931" s="1637"/>
      <c r="AU931" s="2"/>
      <c r="AZ931" s="34"/>
      <c r="BA931" s="34"/>
      <c r="BB931" s="34"/>
      <c r="BC931" s="34"/>
    </row>
    <row r="932" spans="6:55" ht="12.95" customHeight="1">
      <c r="F932" s="1629" t="s">
        <v>2197</v>
      </c>
      <c r="G932" s="1630"/>
      <c r="H932" s="1630"/>
      <c r="I932" s="1630"/>
      <c r="J932" s="1630"/>
      <c r="K932" s="1630"/>
      <c r="L932" s="1630"/>
      <c r="M932" s="1630"/>
      <c r="N932" s="1630"/>
      <c r="O932" s="1630"/>
      <c r="P932" s="1630"/>
      <c r="Q932" s="1630"/>
      <c r="R932" s="1630"/>
      <c r="S932" s="1630"/>
      <c r="T932" s="1631"/>
      <c r="U932" s="1632" t="s">
        <v>591</v>
      </c>
      <c r="V932" s="1427"/>
      <c r="W932" s="1427"/>
      <c r="X932" s="1427"/>
      <c r="Y932" s="1427"/>
      <c r="Z932" s="1428"/>
      <c r="AA932" s="1636"/>
      <c r="AB932" s="1524"/>
      <c r="AC932" s="1524"/>
      <c r="AD932" s="1524"/>
      <c r="AE932" s="1524"/>
      <c r="AF932" s="1637"/>
      <c r="AZ932" s="30"/>
      <c r="BA932" s="30"/>
    </row>
    <row r="933" spans="6:55" ht="12.95" customHeight="1">
      <c r="F933" s="178" t="s">
        <v>676</v>
      </c>
      <c r="G933" s="5"/>
      <c r="H933" s="5"/>
      <c r="I933" s="5"/>
      <c r="J933" s="5"/>
      <c r="K933" s="5"/>
      <c r="L933" s="5"/>
      <c r="M933" s="5"/>
      <c r="N933" s="5"/>
      <c r="O933" s="5"/>
      <c r="P933" s="5"/>
      <c r="Q933" s="5"/>
      <c r="R933" s="5"/>
      <c r="S933" s="5"/>
      <c r="T933" s="46"/>
      <c r="U933" s="1632" t="s">
        <v>591</v>
      </c>
      <c r="V933" s="1427"/>
      <c r="W933" s="1427"/>
      <c r="X933" s="1427"/>
      <c r="Y933" s="1427"/>
      <c r="Z933" s="1428"/>
      <c r="AA933" s="1636"/>
      <c r="AB933" s="1524"/>
      <c r="AC933" s="1524"/>
      <c r="AD933" s="1524"/>
      <c r="AE933" s="1524"/>
      <c r="AF933" s="1637"/>
    </row>
    <row r="934" spans="6:55" ht="12.95" customHeight="1">
      <c r="F934" s="121" t="s">
        <v>1277</v>
      </c>
      <c r="G934" s="5"/>
      <c r="H934" s="5"/>
      <c r="I934" s="5"/>
      <c r="J934" s="5"/>
      <c r="K934" s="5"/>
      <c r="L934" s="5"/>
      <c r="M934" s="5"/>
      <c r="N934" s="5"/>
      <c r="O934" s="5"/>
      <c r="P934" s="5"/>
      <c r="Q934" s="5"/>
      <c r="R934" s="5"/>
      <c r="S934" s="5"/>
      <c r="T934" s="46"/>
      <c r="U934" s="1632" t="s">
        <v>591</v>
      </c>
      <c r="V934" s="1427"/>
      <c r="W934" s="1427"/>
      <c r="X934" s="1427"/>
      <c r="Y934" s="1427"/>
      <c r="Z934" s="1428"/>
      <c r="AA934" s="1636"/>
      <c r="AB934" s="1524"/>
      <c r="AC934" s="1524"/>
      <c r="AD934" s="1524"/>
      <c r="AE934" s="1524"/>
      <c r="AF934" s="1637"/>
      <c r="AZ934" s="30"/>
      <c r="BA934" s="14"/>
    </row>
    <row r="935" spans="6:55" ht="12.95" customHeight="1">
      <c r="F935" s="66" t="s">
        <v>802</v>
      </c>
      <c r="G935" s="5"/>
      <c r="H935" s="5"/>
      <c r="I935" s="5"/>
      <c r="J935" s="5"/>
      <c r="K935" s="5"/>
      <c r="L935" s="5"/>
      <c r="M935" s="5"/>
      <c r="N935" s="5"/>
      <c r="O935" s="5"/>
      <c r="P935" s="5"/>
      <c r="Q935" s="5"/>
      <c r="R935" s="5"/>
      <c r="S935" s="5"/>
      <c r="T935" s="46"/>
      <c r="U935" s="1632" t="s">
        <v>591</v>
      </c>
      <c r="V935" s="1427"/>
      <c r="W935" s="1427"/>
      <c r="X935" s="1427"/>
      <c r="Y935" s="1427"/>
      <c r="Z935" s="1428"/>
      <c r="AA935" s="1636"/>
      <c r="AB935" s="1524"/>
      <c r="AC935" s="1524"/>
      <c r="AD935" s="1524"/>
      <c r="AE935" s="1524"/>
      <c r="AF935" s="1637"/>
      <c r="AZ935" s="30"/>
      <c r="BA935" s="14"/>
    </row>
    <row r="936" spans="6:55" ht="12.95" customHeight="1">
      <c r="F936" s="1633" t="s">
        <v>2201</v>
      </c>
      <c r="G936" s="1634"/>
      <c r="H936" s="1634"/>
      <c r="I936" s="1634"/>
      <c r="J936" s="1634"/>
      <c r="K936" s="1634"/>
      <c r="L936" s="1634"/>
      <c r="M936" s="1634"/>
      <c r="N936" s="1634"/>
      <c r="O936" s="1634"/>
      <c r="P936" s="1634"/>
      <c r="Q936" s="1634"/>
      <c r="R936" s="1634"/>
      <c r="S936" s="1634"/>
      <c r="T936" s="1635"/>
      <c r="U936" s="1632" t="s">
        <v>591</v>
      </c>
      <c r="V936" s="1427"/>
      <c r="W936" s="1427"/>
      <c r="X936" s="1427"/>
      <c r="Y936" s="1427"/>
      <c r="Z936" s="1428"/>
      <c r="AA936" s="1636"/>
      <c r="AB936" s="1524"/>
      <c r="AC936" s="1524"/>
      <c r="AD936" s="1524"/>
      <c r="AE936" s="1524"/>
      <c r="AF936" s="1637"/>
      <c r="AZ936" s="30"/>
      <c r="BA936" s="14"/>
    </row>
    <row r="937" spans="6:55" ht="12.95" customHeight="1">
      <c r="F937" s="1633" t="s">
        <v>2202</v>
      </c>
      <c r="G937" s="1634"/>
      <c r="H937" s="1634"/>
      <c r="I937" s="1634"/>
      <c r="J937" s="1634"/>
      <c r="K937" s="1634"/>
      <c r="L937" s="1634"/>
      <c r="M937" s="1634"/>
      <c r="N937" s="1634"/>
      <c r="O937" s="1634"/>
      <c r="P937" s="1634"/>
      <c r="Q937" s="1634"/>
      <c r="R937" s="1634"/>
      <c r="S937" s="1634"/>
      <c r="T937" s="1635"/>
      <c r="U937" s="1632" t="s">
        <v>591</v>
      </c>
      <c r="V937" s="1427"/>
      <c r="W937" s="1427"/>
      <c r="X937" s="1427"/>
      <c r="Y937" s="1427"/>
      <c r="Z937" s="1428"/>
      <c r="AA937" s="1636"/>
      <c r="AB937" s="1524"/>
      <c r="AC937" s="1524"/>
      <c r="AD937" s="1524"/>
      <c r="AE937" s="1524"/>
      <c r="AF937" s="1637"/>
      <c r="AZ937" s="30"/>
      <c r="BA937" s="30"/>
    </row>
    <row r="938" spans="6:55" ht="12.95" customHeight="1">
      <c r="F938" s="1629" t="s">
        <v>2198</v>
      </c>
      <c r="G938" s="1630"/>
      <c r="H938" s="1630"/>
      <c r="I938" s="1630"/>
      <c r="J938" s="1630"/>
      <c r="K938" s="1630"/>
      <c r="L938" s="1630"/>
      <c r="M938" s="1630"/>
      <c r="N938" s="1630"/>
      <c r="O938" s="1630"/>
      <c r="P938" s="1630"/>
      <c r="Q938" s="1630"/>
      <c r="R938" s="1630"/>
      <c r="S938" s="1630"/>
      <c r="T938" s="1631"/>
      <c r="U938" s="1632" t="s">
        <v>591</v>
      </c>
      <c r="V938" s="1427"/>
      <c r="W938" s="1427"/>
      <c r="X938" s="1427"/>
      <c r="Y938" s="1427"/>
      <c r="Z938" s="1428"/>
      <c r="AA938" s="1636"/>
      <c r="AB938" s="1524"/>
      <c r="AC938" s="1524"/>
      <c r="AD938" s="1524"/>
      <c r="AE938" s="1524"/>
      <c r="AF938" s="1637"/>
      <c r="AZ938" s="30"/>
      <c r="BA938" s="30"/>
    </row>
    <row r="939" spans="6:55" ht="12.95" customHeight="1">
      <c r="F939" s="1629" t="s">
        <v>2199</v>
      </c>
      <c r="G939" s="1630"/>
      <c r="H939" s="1630"/>
      <c r="I939" s="1630"/>
      <c r="J939" s="1630"/>
      <c r="K939" s="1630"/>
      <c r="L939" s="1630"/>
      <c r="M939" s="1630"/>
      <c r="N939" s="1630"/>
      <c r="O939" s="1630"/>
      <c r="P939" s="1630"/>
      <c r="Q939" s="1630"/>
      <c r="R939" s="1630"/>
      <c r="S939" s="1630"/>
      <c r="T939" s="1631"/>
      <c r="U939" s="1632" t="s">
        <v>591</v>
      </c>
      <c r="V939" s="1427"/>
      <c r="W939" s="1427"/>
      <c r="X939" s="1427"/>
      <c r="Y939" s="1427"/>
      <c r="Z939" s="1428"/>
      <c r="AA939" s="1636"/>
      <c r="AB939" s="1524"/>
      <c r="AC939" s="1524"/>
      <c r="AD939" s="1524"/>
      <c r="AE939" s="1524"/>
      <c r="AF939" s="1637"/>
      <c r="AZ939" s="30"/>
      <c r="BA939" s="30"/>
    </row>
    <row r="940" spans="6:55" ht="12.95" customHeight="1">
      <c r="F940" s="1629" t="s">
        <v>2200</v>
      </c>
      <c r="G940" s="1630"/>
      <c r="H940" s="1630"/>
      <c r="I940" s="1630"/>
      <c r="J940" s="1630"/>
      <c r="K940" s="1630"/>
      <c r="L940" s="1630"/>
      <c r="M940" s="1630"/>
      <c r="N940" s="1630"/>
      <c r="O940" s="1630"/>
      <c r="P940" s="1630"/>
      <c r="Q940" s="1630"/>
      <c r="R940" s="1630"/>
      <c r="S940" s="1630"/>
      <c r="T940" s="1631"/>
      <c r="U940" s="1632" t="s">
        <v>591</v>
      </c>
      <c r="V940" s="1427"/>
      <c r="W940" s="1427"/>
      <c r="X940" s="1427"/>
      <c r="Y940" s="1427"/>
      <c r="Z940" s="1428"/>
      <c r="AA940" s="1636"/>
      <c r="AB940" s="1524"/>
      <c r="AC940" s="1524"/>
      <c r="AD940" s="1524"/>
      <c r="AE940" s="1524"/>
      <c r="AF940" s="1637"/>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2" t="s">
        <v>591</v>
      </c>
      <c r="V941" s="1427"/>
      <c r="W941" s="1427"/>
      <c r="X941" s="1427"/>
      <c r="Y941" s="1427"/>
      <c r="Z941" s="1428"/>
      <c r="AA941" s="1636"/>
      <c r="AB941" s="1524"/>
      <c r="AC941" s="1524"/>
      <c r="AD941" s="1524"/>
      <c r="AE941" s="1524"/>
      <c r="AF941" s="1637"/>
      <c r="AZ941" s="34"/>
      <c r="BA941" s="34"/>
      <c r="BB941" s="14"/>
      <c r="BC941" s="14"/>
    </row>
    <row r="942" spans="6:55" ht="12.95" customHeight="1">
      <c r="F942" s="1633" t="s">
        <v>2203</v>
      </c>
      <c r="G942" s="1634"/>
      <c r="H942" s="1634"/>
      <c r="I942" s="1634"/>
      <c r="J942" s="1634"/>
      <c r="K942" s="1634"/>
      <c r="L942" s="1634"/>
      <c r="M942" s="1634"/>
      <c r="N942" s="1634"/>
      <c r="O942" s="1634"/>
      <c r="P942" s="1634"/>
      <c r="Q942" s="1634"/>
      <c r="R942" s="1634"/>
      <c r="S942" s="1634"/>
      <c r="T942" s="1635"/>
      <c r="U942" s="1632" t="s">
        <v>591</v>
      </c>
      <c r="V942" s="1427"/>
      <c r="W942" s="1427"/>
      <c r="X942" s="1427"/>
      <c r="Y942" s="1427"/>
      <c r="Z942" s="1428"/>
      <c r="AA942" s="1636"/>
      <c r="AB942" s="1524"/>
      <c r="AC942" s="1524"/>
      <c r="AD942" s="1524"/>
      <c r="AE942" s="1524"/>
      <c r="AF942" s="1637"/>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2" t="s">
        <v>591</v>
      </c>
      <c r="V943" s="1427"/>
      <c r="W943" s="1427"/>
      <c r="X943" s="1427"/>
      <c r="Y943" s="1427"/>
      <c r="Z943" s="1428"/>
      <c r="AA943" s="1636"/>
      <c r="AB943" s="1524"/>
      <c r="AC943" s="1524"/>
      <c r="AD943" s="1524"/>
      <c r="AE943" s="1524"/>
      <c r="AF943" s="1637"/>
      <c r="AZ943" s="34"/>
      <c r="BA943" s="34"/>
      <c r="BB943" s="34"/>
      <c r="BC943" s="34"/>
    </row>
    <row r="944" spans="6:55" ht="12.95" customHeight="1">
      <c r="F944" s="1633" t="s">
        <v>2204</v>
      </c>
      <c r="G944" s="1634"/>
      <c r="H944" s="1634"/>
      <c r="I944" s="1634"/>
      <c r="J944" s="1634"/>
      <c r="K944" s="1634"/>
      <c r="L944" s="1634"/>
      <c r="M944" s="1634"/>
      <c r="N944" s="1634"/>
      <c r="O944" s="1634"/>
      <c r="P944" s="1634"/>
      <c r="Q944" s="1634"/>
      <c r="R944" s="1634"/>
      <c r="S944" s="1634"/>
      <c r="T944" s="1635"/>
      <c r="U944" s="1632" t="s">
        <v>591</v>
      </c>
      <c r="V944" s="1427"/>
      <c r="W944" s="1427"/>
      <c r="X944" s="1427"/>
      <c r="Y944" s="1427"/>
      <c r="Z944" s="1428"/>
      <c r="AA944" s="1636"/>
      <c r="AB944" s="1524"/>
      <c r="AC944" s="1524"/>
      <c r="AD944" s="1524"/>
      <c r="AE944" s="1524"/>
      <c r="AF944" s="1637"/>
      <c r="AZ944" s="34"/>
      <c r="BA944" s="34"/>
      <c r="BB944" s="34"/>
      <c r="BC944" s="34"/>
    </row>
    <row r="945" spans="1:55" ht="12.95" customHeight="1">
      <c r="F945" s="45" t="s">
        <v>806</v>
      </c>
      <c r="G945" s="5"/>
      <c r="H945" s="5"/>
      <c r="I945" s="5"/>
      <c r="J945" s="5"/>
      <c r="K945" s="5"/>
      <c r="L945" s="5"/>
      <c r="M945" s="5"/>
      <c r="N945" s="5"/>
      <c r="O945" s="5"/>
      <c r="P945" s="1632" t="s">
        <v>669</v>
      </c>
      <c r="Q945" s="1427"/>
      <c r="R945" s="1427"/>
      <c r="S945" s="1427"/>
      <c r="T945" s="1428"/>
      <c r="U945" s="1632" t="s">
        <v>591</v>
      </c>
      <c r="V945" s="1427"/>
      <c r="W945" s="1427"/>
      <c r="X945" s="1427"/>
      <c r="Y945" s="1427"/>
      <c r="Z945" s="1428"/>
      <c r="AA945" s="1636"/>
      <c r="AB945" s="1524"/>
      <c r="AC945" s="1524"/>
      <c r="AD945" s="1524"/>
      <c r="AE945" s="1524"/>
      <c r="AF945" s="1637"/>
      <c r="AZ945" s="34"/>
      <c r="BA945" s="34"/>
      <c r="BB945" s="34"/>
      <c r="BC945" s="34"/>
    </row>
    <row r="946" spans="1:55" ht="12.95" customHeight="1">
      <c r="F946" s="1629" t="s">
        <v>2191</v>
      </c>
      <c r="G946" s="1630"/>
      <c r="H946" s="1631"/>
      <c r="I946" s="1646" t="s">
        <v>334</v>
      </c>
      <c r="J946" s="1647"/>
      <c r="K946" s="1647"/>
      <c r="L946" s="1647"/>
      <c r="M946" s="1647"/>
      <c r="N946" s="1647"/>
      <c r="O946" s="1647"/>
      <c r="P946" s="1647"/>
      <c r="Q946" s="1647"/>
      <c r="R946" s="1647"/>
      <c r="S946" s="1647"/>
      <c r="T946" s="1648"/>
      <c r="U946" s="1632" t="s">
        <v>591</v>
      </c>
      <c r="V946" s="1427"/>
      <c r="W946" s="1427"/>
      <c r="X946" s="1427"/>
      <c r="Y946" s="1427"/>
      <c r="Z946" s="1428"/>
      <c r="AA946" s="1636"/>
      <c r="AB946" s="1524"/>
      <c r="AC946" s="1524"/>
      <c r="AD946" s="1524"/>
      <c r="AE946" s="1524"/>
      <c r="AF946" s="1637"/>
      <c r="AZ946" s="34"/>
      <c r="BA946" s="34"/>
      <c r="BB946" s="34"/>
      <c r="BC946" s="34"/>
    </row>
    <row r="947" spans="1:55" ht="12.95" customHeight="1">
      <c r="F947" s="45" t="s">
        <v>86</v>
      </c>
      <c r="G947" s="48"/>
      <c r="H947" s="48"/>
      <c r="I947" s="1646" t="s">
        <v>334</v>
      </c>
      <c r="J947" s="1647"/>
      <c r="K947" s="1647"/>
      <c r="L947" s="1647"/>
      <c r="M947" s="1647"/>
      <c r="N947" s="1647"/>
      <c r="O947" s="1647"/>
      <c r="P947" s="1647"/>
      <c r="Q947" s="1647"/>
      <c r="R947" s="1647"/>
      <c r="S947" s="1647"/>
      <c r="T947" s="1648"/>
      <c r="U947" s="1632" t="s">
        <v>591</v>
      </c>
      <c r="V947" s="1427"/>
      <c r="W947" s="1427"/>
      <c r="X947" s="1427"/>
      <c r="Y947" s="1427"/>
      <c r="Z947" s="1428"/>
      <c r="AA947" s="1636"/>
      <c r="AB947" s="1524"/>
      <c r="AC947" s="1524"/>
      <c r="AD947" s="1524"/>
      <c r="AE947" s="1524"/>
      <c r="AF947" s="1637"/>
      <c r="AZ947" s="34"/>
      <c r="BA947" s="34"/>
      <c r="BB947" s="34"/>
      <c r="BC947" s="34"/>
    </row>
    <row r="948" spans="1:55" ht="12.95" customHeight="1">
      <c r="F948" s="45" t="s">
        <v>10</v>
      </c>
      <c r="G948" s="48"/>
      <c r="H948" s="48"/>
      <c r="I948" s="1646" t="s">
        <v>2712</v>
      </c>
      <c r="J948" s="1702"/>
      <c r="K948" s="1702"/>
      <c r="L948" s="1702"/>
      <c r="M948" s="1702"/>
      <c r="N948" s="1702"/>
      <c r="O948" s="1702"/>
      <c r="P948" s="1702"/>
      <c r="Q948" s="1702"/>
      <c r="R948" s="1702"/>
      <c r="S948" s="1702"/>
      <c r="T948" s="1703"/>
      <c r="U948" s="1632" t="s">
        <v>545</v>
      </c>
      <c r="V948" s="1427"/>
      <c r="W948" s="1427"/>
      <c r="X948" s="1427"/>
      <c r="Y948" s="1427"/>
      <c r="Z948" s="1428"/>
      <c r="AA948" s="1636">
        <v>2000000</v>
      </c>
      <c r="AB948" s="1524"/>
      <c r="AC948" s="1524"/>
      <c r="AD948" s="1524"/>
      <c r="AE948" s="1524"/>
      <c r="AF948" s="1637"/>
      <c r="AV948" s="2"/>
      <c r="AW948" s="2"/>
      <c r="AX948" s="2"/>
      <c r="AY948" s="2"/>
      <c r="AZ948" s="34"/>
      <c r="BA948" s="34"/>
      <c r="BB948" s="34"/>
      <c r="BC948" s="34"/>
    </row>
    <row r="949" spans="1:55" ht="12.95" customHeight="1">
      <c r="F949" s="47" t="s">
        <v>170</v>
      </c>
      <c r="G949" s="48"/>
      <c r="H949" s="48"/>
      <c r="I949" s="1646" t="s">
        <v>2713</v>
      </c>
      <c r="J949" s="1702"/>
      <c r="K949" s="1702"/>
      <c r="L949" s="1702"/>
      <c r="M949" s="1702"/>
      <c r="N949" s="1702"/>
      <c r="O949" s="1702"/>
      <c r="P949" s="1702"/>
      <c r="Q949" s="1702"/>
      <c r="R949" s="1702"/>
      <c r="S949" s="1702"/>
      <c r="T949" s="1703"/>
      <c r="U949" s="1632" t="s">
        <v>545</v>
      </c>
      <c r="V949" s="1427"/>
      <c r="W949" s="1427"/>
      <c r="X949" s="1427"/>
      <c r="Y949" s="1427"/>
      <c r="Z949" s="1428"/>
      <c r="AA949" s="1636">
        <v>2377860</v>
      </c>
      <c r="AB949" s="1524"/>
      <c r="AC949" s="1524"/>
      <c r="AD949" s="1524"/>
      <c r="AE949" s="1524"/>
      <c r="AF949" s="1637"/>
      <c r="AU949" s="2"/>
      <c r="AZ949" s="34"/>
      <c r="BA949" s="34"/>
      <c r="BB949" s="34"/>
      <c r="BC949" s="34"/>
    </row>
    <row r="950" spans="1:55" ht="12.95" customHeight="1">
      <c r="F950" s="47" t="s">
        <v>170</v>
      </c>
      <c r="G950" s="48"/>
      <c r="H950" s="48"/>
      <c r="I950" s="1825" t="s">
        <v>334</v>
      </c>
      <c r="J950" s="1702"/>
      <c r="K950" s="1702"/>
      <c r="L950" s="1702"/>
      <c r="M950" s="1702"/>
      <c r="N950" s="1702"/>
      <c r="O950" s="1702"/>
      <c r="P950" s="1702"/>
      <c r="Q950" s="1702"/>
      <c r="R950" s="1702"/>
      <c r="S950" s="1702"/>
      <c r="T950" s="1703"/>
      <c r="U950" s="1632" t="s">
        <v>591</v>
      </c>
      <c r="V950" s="1427"/>
      <c r="W950" s="1427"/>
      <c r="X950" s="1427"/>
      <c r="Y950" s="1427"/>
      <c r="Z950" s="1428"/>
      <c r="AA950" s="1636"/>
      <c r="AB950" s="1524"/>
      <c r="AC950" s="1524"/>
      <c r="AD950" s="1524"/>
      <c r="AE950" s="1524"/>
      <c r="AF950" s="1637"/>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c r="N955" s="1520"/>
      <c r="O955" s="1520"/>
      <c r="P955" s="1520"/>
      <c r="Q955" s="1520"/>
      <c r="R955" s="1520"/>
      <c r="S955" s="1627"/>
      <c r="U955" s="66" t="s">
        <v>11</v>
      </c>
      <c r="V955" s="5"/>
      <c r="W955" s="5"/>
      <c r="X955" s="5"/>
      <c r="Y955" s="5"/>
      <c r="Z955" s="5"/>
      <c r="AA955" s="5"/>
      <c r="AB955" s="5"/>
      <c r="AC955" s="5"/>
      <c r="AD955" s="46"/>
      <c r="AE955" s="1705"/>
      <c r="AF955" s="1520"/>
      <c r="AG955" s="1520"/>
      <c r="AH955" s="1520"/>
      <c r="AI955" s="1520"/>
      <c r="AJ955" s="1520"/>
      <c r="AK955" s="1627"/>
      <c r="AZ955" s="34"/>
      <c r="BA955" s="34"/>
      <c r="BB955" s="34"/>
      <c r="BC955" s="34"/>
    </row>
    <row r="956" spans="1:55" ht="12.95" customHeight="1">
      <c r="C956" s="66" t="s">
        <v>12</v>
      </c>
      <c r="D956" s="5"/>
      <c r="E956" s="5"/>
      <c r="F956" s="5"/>
      <c r="G956" s="5"/>
      <c r="H956" s="5"/>
      <c r="I956" s="5"/>
      <c r="J956" s="5"/>
      <c r="K956" s="5"/>
      <c r="L956" s="46"/>
      <c r="M956" s="1665"/>
      <c r="N956" s="1535"/>
      <c r="O956" s="1535"/>
      <c r="P956" s="1535"/>
      <c r="Q956" s="1535"/>
      <c r="R956" s="1535"/>
      <c r="S956" s="1666"/>
      <c r="U956" s="66" t="s">
        <v>12</v>
      </c>
      <c r="V956" s="5"/>
      <c r="W956" s="5"/>
      <c r="X956" s="5"/>
      <c r="Y956" s="5"/>
      <c r="Z956" s="5"/>
      <c r="AA956" s="5"/>
      <c r="AB956" s="5"/>
      <c r="AC956" s="5"/>
      <c r="AD956" s="46"/>
      <c r="AE956" s="1665"/>
      <c r="AF956" s="1535"/>
      <c r="AG956" s="1535"/>
      <c r="AH956" s="1535"/>
      <c r="AI956" s="1535"/>
      <c r="AJ956" s="1535"/>
      <c r="AK956" s="1666"/>
      <c r="AZ956" s="34"/>
      <c r="BA956" s="34"/>
      <c r="BB956" s="34"/>
      <c r="BC956" s="34"/>
    </row>
    <row r="957" spans="1:55" ht="12.95" customHeight="1">
      <c r="C957" s="66" t="s">
        <v>880</v>
      </c>
      <c r="D957" s="5"/>
      <c r="E957" s="5"/>
      <c r="J957" s="1810" t="s">
        <v>307</v>
      </c>
      <c r="K957" s="1811"/>
      <c r="L957" s="1811"/>
      <c r="M957" s="1811"/>
      <c r="N957" s="1811"/>
      <c r="O957" s="1811"/>
      <c r="P957" s="1811"/>
      <c r="Q957" s="1811"/>
      <c r="R957" s="1811"/>
      <c r="S957" s="1812"/>
      <c r="U957" s="66" t="s">
        <v>880</v>
      </c>
      <c r="V957" s="5"/>
      <c r="W957" s="5"/>
      <c r="AB957" s="1810" t="s">
        <v>307</v>
      </c>
      <c r="AC957" s="1811"/>
      <c r="AD957" s="1811"/>
      <c r="AE957" s="1811"/>
      <c r="AF957" s="1811"/>
      <c r="AG957" s="1811"/>
      <c r="AH957" s="1811"/>
      <c r="AI957" s="1811"/>
      <c r="AJ957" s="1811"/>
      <c r="AK957" s="1812"/>
      <c r="AZ957" s="34"/>
      <c r="BA957" s="34"/>
      <c r="BB957" s="34"/>
      <c r="BC957" s="34"/>
    </row>
    <row r="958" spans="1:55" ht="12.95"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1"/>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c r="N959" s="1612"/>
      <c r="O959" s="1612"/>
      <c r="P959" s="1612"/>
      <c r="Q959" s="1612"/>
      <c r="R959" s="1612"/>
      <c r="S959" s="1613"/>
      <c r="U959" s="66" t="s">
        <v>14</v>
      </c>
      <c r="V959" s="5"/>
      <c r="W959" s="5"/>
      <c r="X959" s="5"/>
      <c r="Y959" s="5"/>
      <c r="Z959" s="5"/>
      <c r="AA959" s="5"/>
      <c r="AB959" s="5"/>
      <c r="AC959" s="5"/>
      <c r="AD959" s="46"/>
      <c r="AE959" s="1726"/>
      <c r="AF959" s="1612"/>
      <c r="AG959" s="1612"/>
      <c r="AH959" s="1612"/>
      <c r="AI959" s="1612"/>
      <c r="AJ959" s="1612"/>
      <c r="AK959" s="1613"/>
      <c r="AV959" s="2"/>
      <c r="AW959" s="2"/>
      <c r="AX959" s="2"/>
      <c r="AY959" s="2"/>
      <c r="AZ959" s="34"/>
      <c r="BA959" s="34"/>
      <c r="BB959" s="34"/>
      <c r="BC959" s="34"/>
    </row>
    <row r="960" spans="1:55" ht="12.95" customHeight="1">
      <c r="C960" s="66" t="s">
        <v>15</v>
      </c>
      <c r="D960" s="5"/>
      <c r="E960" s="5"/>
      <c r="F960" s="5"/>
      <c r="G960" s="5"/>
      <c r="H960" s="5"/>
      <c r="I960" s="5"/>
      <c r="J960" s="5"/>
      <c r="K960" s="5"/>
      <c r="L960" s="46"/>
      <c r="M960" s="1636"/>
      <c r="N960" s="1524"/>
      <c r="O960" s="1524"/>
      <c r="P960" s="1524"/>
      <c r="Q960" s="1524"/>
      <c r="R960" s="1524"/>
      <c r="S960" s="1637"/>
      <c r="U960" s="66" t="s">
        <v>15</v>
      </c>
      <c r="V960" s="5"/>
      <c r="W960" s="5"/>
      <c r="X960" s="5"/>
      <c r="Y960" s="5"/>
      <c r="Z960" s="5"/>
      <c r="AA960" s="5"/>
      <c r="AB960" s="5"/>
      <c r="AC960" s="5"/>
      <c r="AD960" s="46"/>
      <c r="AE960" s="1636"/>
      <c r="AF960" s="1524"/>
      <c r="AG960" s="1524"/>
      <c r="AH960" s="1524"/>
      <c r="AI960" s="1524"/>
      <c r="AJ960" s="1524"/>
      <c r="AK960" s="1637"/>
      <c r="AV960" s="2"/>
      <c r="AW960" s="2"/>
      <c r="AX960" s="2"/>
      <c r="AY960" s="2"/>
      <c r="AZ960" s="34"/>
      <c r="BA960" s="34"/>
      <c r="BB960" s="34"/>
      <c r="BC960" s="34"/>
    </row>
    <row r="961" spans="1:64" ht="12.95" customHeight="1">
      <c r="C961" s="66" t="s">
        <v>16</v>
      </c>
      <c r="D961" s="5"/>
      <c r="E961" s="5"/>
      <c r="F961" s="5"/>
      <c r="G961" s="5"/>
      <c r="H961" s="5"/>
      <c r="I961" s="5"/>
      <c r="J961" s="5"/>
      <c r="K961" s="5"/>
      <c r="L961" s="46"/>
      <c r="M961" s="1636"/>
      <c r="N961" s="1524"/>
      <c r="O961" s="1524"/>
      <c r="P961" s="1524"/>
      <c r="Q961" s="1524"/>
      <c r="R961" s="1524"/>
      <c r="S961" s="1637"/>
      <c r="U961" s="66" t="s">
        <v>16</v>
      </c>
      <c r="V961" s="5"/>
      <c r="W961" s="5"/>
      <c r="X961" s="5"/>
      <c r="Y961" s="5"/>
      <c r="Z961" s="5"/>
      <c r="AA961" s="5"/>
      <c r="AB961" s="5"/>
      <c r="AC961" s="5"/>
      <c r="AD961" s="46"/>
      <c r="AE961" s="1636"/>
      <c r="AF961" s="1524"/>
      <c r="AG961" s="1524"/>
      <c r="AH961" s="1524"/>
      <c r="AI961" s="1524"/>
      <c r="AJ961" s="1524"/>
      <c r="AK961" s="1637"/>
      <c r="AV961" s="2"/>
      <c r="AW961" s="2"/>
      <c r="AX961" s="2"/>
      <c r="AY961" s="2"/>
      <c r="AZ961" s="34"/>
      <c r="BB961" s="34"/>
      <c r="BC961" s="34"/>
    </row>
    <row r="962" spans="1:64" ht="12.95" customHeight="1">
      <c r="C962" s="121" t="s">
        <v>1661</v>
      </c>
      <c r="D962" s="5"/>
      <c r="E962" s="5"/>
      <c r="F962" s="5"/>
      <c r="G962" s="5"/>
      <c r="H962" s="5"/>
      <c r="I962" s="5"/>
      <c r="J962" s="5"/>
      <c r="K962" s="5"/>
      <c r="L962" s="46"/>
      <c r="M962" s="1778"/>
      <c r="N962" s="1779"/>
      <c r="O962" s="1779"/>
      <c r="P962" s="1779"/>
      <c r="Q962" s="1779"/>
      <c r="R962" s="1779"/>
      <c r="S962" s="1780"/>
      <c r="U962" s="121" t="s">
        <v>1661</v>
      </c>
      <c r="V962" s="5"/>
      <c r="W962" s="5"/>
      <c r="X962" s="5"/>
      <c r="Y962" s="5"/>
      <c r="Z962" s="5"/>
      <c r="AA962" s="5"/>
      <c r="AB962" s="5"/>
      <c r="AC962" s="5"/>
      <c r="AD962" s="46"/>
      <c r="AE962" s="1778"/>
      <c r="AF962" s="1779"/>
      <c r="AG962" s="1779"/>
      <c r="AH962" s="1779"/>
      <c r="AI962" s="1779"/>
      <c r="AJ962" s="1779"/>
      <c r="AK962" s="1780"/>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62"/>
      <c r="N967" s="1663"/>
      <c r="O967" s="1663"/>
      <c r="P967" s="1663"/>
      <c r="Q967" s="1663"/>
      <c r="R967" s="1663"/>
      <c r="S967" s="1664"/>
      <c r="T967" s="66" t="s">
        <v>790</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62"/>
      <c r="N968" s="1663"/>
      <c r="O968" s="1663"/>
      <c r="P968" s="1663"/>
      <c r="Q968" s="1663"/>
      <c r="R968" s="1663"/>
      <c r="S968" s="1664"/>
      <c r="T968" s="66" t="s">
        <v>789</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9" t="s">
        <v>591</v>
      </c>
      <c r="N969" s="1710"/>
      <c r="O969" s="1710"/>
      <c r="P969" s="1710"/>
      <c r="Q969" s="1710"/>
      <c r="R969" s="1710"/>
      <c r="S969" s="1711"/>
      <c r="T969" s="45" t="s">
        <v>337</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62"/>
      <c r="N970" s="1663"/>
      <c r="O970" s="1663"/>
      <c r="P970" s="1663"/>
      <c r="Q970" s="1663"/>
      <c r="R970" s="1663"/>
      <c r="S970" s="1664"/>
      <c r="T970" s="45" t="s">
        <v>338</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62"/>
      <c r="N971" s="1663"/>
      <c r="O971" s="1663"/>
      <c r="P971" s="1663"/>
      <c r="Q971" s="1663"/>
      <c r="R971" s="1663"/>
      <c r="S971" s="1664"/>
      <c r="T971" s="45" t="s">
        <v>376</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10" t="s">
        <v>307</v>
      </c>
      <c r="N972" s="1811"/>
      <c r="O972" s="1811"/>
      <c r="P972" s="1811"/>
      <c r="Q972" s="1811"/>
      <c r="R972" s="1811"/>
      <c r="S972" s="1812"/>
      <c r="T972" s="1765"/>
      <c r="U972" s="1766"/>
      <c r="V972" s="1766"/>
      <c r="W972" s="1766"/>
      <c r="X972" s="1766"/>
      <c r="Y972" s="1766"/>
      <c r="Z972" s="1767"/>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62"/>
      <c r="N973" s="1663"/>
      <c r="O973" s="1663"/>
      <c r="P973" s="1663"/>
      <c r="Q973" s="1663"/>
      <c r="R973" s="1663"/>
      <c r="S973" s="1664"/>
      <c r="T973" s="1765"/>
      <c r="U973" s="1766"/>
      <c r="V973" s="1766"/>
      <c r="W973" s="1766"/>
      <c r="X973" s="1766"/>
      <c r="Y973" s="1766"/>
      <c r="Z973" s="1767"/>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669</v>
      </c>
      <c r="P974" s="1372"/>
      <c r="Q974" s="92"/>
      <c r="R974" s="92"/>
      <c r="S974" s="93"/>
      <c r="T974" s="41" t="s">
        <v>170</v>
      </c>
      <c r="U974" s="42"/>
      <c r="V974" s="42"/>
      <c r="W974" s="1813" t="s">
        <v>334</v>
      </c>
      <c r="X974" s="1814"/>
      <c r="Y974" s="1814"/>
      <c r="Z974" s="1814"/>
      <c r="AA974" s="1814"/>
      <c r="AB974" s="1814"/>
      <c r="AC974" s="1814"/>
      <c r="AD974" s="1814"/>
      <c r="AE974" s="1814"/>
      <c r="AF974" s="1814"/>
      <c r="AG974" s="1815"/>
      <c r="AU974" s="68"/>
      <c r="AV974" s="95"/>
      <c r="AW974" s="95"/>
      <c r="AX974" s="95"/>
      <c r="AY974" s="95"/>
      <c r="AZ974" s="34"/>
      <c r="BB974" s="34"/>
      <c r="BC974" s="34"/>
      <c r="BD974" s="34"/>
      <c r="BE974" s="34"/>
      <c r="BF974" s="34"/>
      <c r="BG974" s="34"/>
      <c r="BH974" s="34"/>
      <c r="BI974" s="34"/>
      <c r="BJ974" s="34"/>
      <c r="BK974" s="34"/>
      <c r="BL974" s="34"/>
    </row>
    <row r="975" spans="1:64" ht="12.95" customHeight="1">
      <c r="F975" s="1607" t="s">
        <v>33</v>
      </c>
      <c r="G975" s="1483"/>
      <c r="H975" s="1483"/>
      <c r="I975" s="1483"/>
      <c r="J975" s="1483"/>
      <c r="K975" s="1483"/>
      <c r="L975" s="1483"/>
      <c r="M975" s="1662"/>
      <c r="N975" s="1663"/>
      <c r="O975" s="1663"/>
      <c r="P975" s="1663"/>
      <c r="Q975" s="1663"/>
      <c r="R975" s="1663"/>
      <c r="S975" s="1664"/>
      <c r="T975" s="47"/>
      <c r="U975" s="48"/>
      <c r="V975" s="48"/>
      <c r="W975" s="48"/>
      <c r="X975" s="48"/>
      <c r="Y975" s="48"/>
      <c r="Z975" s="124" t="s">
        <v>134</v>
      </c>
      <c r="AA975" s="1762"/>
      <c r="AB975" s="1763"/>
      <c r="AC975" s="1763"/>
      <c r="AD975" s="1763"/>
      <c r="AE975" s="1763"/>
      <c r="AF975" s="1763"/>
      <c r="AG975" s="176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7" t="s">
        <v>548</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5"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5"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3" t="s">
        <v>638</v>
      </c>
      <c r="E985" s="1794"/>
      <c r="F985" s="1794"/>
      <c r="G985" s="1794"/>
      <c r="H985" s="1794"/>
      <c r="I985" s="1794"/>
      <c r="J985" s="1794"/>
      <c r="K985" s="1794"/>
      <c r="L985" s="1794"/>
      <c r="M985" s="1794"/>
      <c r="N985" s="1794"/>
      <c r="O985" s="1794"/>
      <c r="P985" s="1794"/>
      <c r="Q985" s="1795"/>
      <c r="R985" s="1793" t="s">
        <v>639</v>
      </c>
      <c r="S985" s="1794"/>
      <c r="T985" s="1794"/>
      <c r="U985" s="1794"/>
      <c r="V985" s="1794"/>
      <c r="W985" s="1794"/>
      <c r="X985" s="1794"/>
      <c r="Y985" s="1794"/>
      <c r="Z985" s="1794"/>
      <c r="AA985" s="1795"/>
      <c r="AB985" s="1793" t="s">
        <v>640</v>
      </c>
      <c r="AC985" s="1794"/>
      <c r="AD985" s="1794"/>
      <c r="AE985" s="1794"/>
      <c r="AF985" s="1794"/>
      <c r="AG985" s="1794"/>
      <c r="AH985" s="1794"/>
      <c r="AI985" s="1795"/>
      <c r="AJ985" s="1793" t="s">
        <v>641</v>
      </c>
      <c r="AK985" s="1794"/>
      <c r="AL985" s="1794"/>
      <c r="AM985" s="1794"/>
      <c r="AN985" s="1794"/>
      <c r="AO985" s="1794"/>
      <c r="AP985" s="1794"/>
      <c r="AQ985" s="1795"/>
      <c r="AR985" s="68"/>
      <c r="AS985" s="68"/>
      <c r="AT985" s="68"/>
      <c r="AU985" s="68"/>
      <c r="AV985" s="68"/>
      <c r="AW985" s="68"/>
      <c r="AX985" s="68"/>
      <c r="AY985" s="68"/>
      <c r="AZ985" s="30"/>
      <c r="BB985" s="14"/>
      <c r="BC985" s="14"/>
    </row>
    <row r="986" spans="1:64" ht="12.95" customHeight="1">
      <c r="A986" s="14"/>
      <c r="B986" s="73"/>
      <c r="C986" s="929"/>
      <c r="D986" s="1799" t="s">
        <v>633</v>
      </c>
      <c r="E986" s="1800"/>
      <c r="F986" s="1800"/>
      <c r="G986" s="1800"/>
      <c r="H986" s="1800"/>
      <c r="I986" s="1800"/>
      <c r="J986" s="1800"/>
      <c r="K986" s="1800"/>
      <c r="L986" s="1800"/>
      <c r="M986" s="1800"/>
      <c r="N986" s="1800"/>
      <c r="O986" s="1800"/>
      <c r="P986" s="1800"/>
      <c r="Q986" s="1801"/>
      <c r="R986" s="1786">
        <f>IF(ISNA(IF($CU$122="4%",(INDEX($CS$160:$CW$217,MATCH($DG$122,$CR$160:$CR$217,0),MATCH(D986,$CS$159:$CW$159,0))),(INDEX($CZ$160:$DD$217,MATCH($DG$122,$CY$160:$CY$217,0),MATCH(D986,$CZ$159:$DD$159,0))))),0,IF($CU$122="4%",(INDEX($CS$160:$CW$217,MATCH($DG$122,$CR$160:$CR$217,0),MATCH(D986,$CS$159:$CW$159,0))),(INDEX($CZ$160:$DD$217,MATCH($DG$122,$CY$160:$CY$217,0),MATCH(D986,$CZ$159:$DD$159,0)))))</f>
        <v>352022</v>
      </c>
      <c r="S986" s="1786"/>
      <c r="T986" s="1786"/>
      <c r="U986" s="1786"/>
      <c r="V986" s="1786"/>
      <c r="W986" s="1786"/>
      <c r="X986" s="1786"/>
      <c r="Y986" s="1786"/>
      <c r="Z986" s="1786"/>
      <c r="AA986" s="1786"/>
      <c r="AB986" s="1783">
        <f>CP802</f>
        <v>0</v>
      </c>
      <c r="AC986" s="1784"/>
      <c r="AD986" s="1784"/>
      <c r="AE986" s="1784"/>
      <c r="AF986" s="1784"/>
      <c r="AG986" s="1784"/>
      <c r="AH986" s="1784"/>
      <c r="AI986" s="1785"/>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9" t="s">
        <v>325</v>
      </c>
      <c r="E987" s="1800"/>
      <c r="F987" s="1800"/>
      <c r="G987" s="1800"/>
      <c r="H987" s="1800"/>
      <c r="I987" s="1800"/>
      <c r="J987" s="1800"/>
      <c r="K987" s="1800"/>
      <c r="L987" s="1800"/>
      <c r="M987" s="1800"/>
      <c r="N987" s="1800"/>
      <c r="O987" s="1800"/>
      <c r="P987" s="1800"/>
      <c r="Q987" s="1801"/>
      <c r="R987" s="1786">
        <f>IF(ISNA(IF($CU$122="4%",(INDEX($CS$160:$CW$217,MATCH($DG$122,$CR$160:$CR$217,0),MATCH(D987,$CS$159:$CW$159,0))),(INDEX($CZ$160:$DD$217,MATCH($DG$122,$CY$160:$CY$217,0),MATCH(D987,$CZ$159:$DD$159,0))))),0,IF($CU$122="4%",(INDEX($CS$160:$CW$217,MATCH($DG$122,$CR$160:$CR$217,0),MATCH(D987,$CS$159:$CW$159,0))),(INDEX($CZ$160:$DD$217,MATCH($DG$122,$CY$160:$CY$217,0),MATCH(D987,$CZ$159:$DD$159,0)))))</f>
        <v>405878</v>
      </c>
      <c r="S987" s="1786"/>
      <c r="T987" s="1786"/>
      <c r="U987" s="1786"/>
      <c r="V987" s="1786"/>
      <c r="W987" s="1786"/>
      <c r="X987" s="1786"/>
      <c r="Y987" s="1786"/>
      <c r="Z987" s="1786"/>
      <c r="AA987" s="1786"/>
      <c r="AB987" s="1783">
        <f>CU802</f>
        <v>0</v>
      </c>
      <c r="AC987" s="1784"/>
      <c r="AD987" s="1784"/>
      <c r="AE987" s="1784"/>
      <c r="AF987" s="1784"/>
      <c r="AG987" s="1784"/>
      <c r="AH987" s="1784"/>
      <c r="AI987" s="1785"/>
      <c r="AJ987" s="1718">
        <f>IF(ISERROR((R987*AB987)),0,(R987*AB987))</f>
        <v>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9" t="s">
        <v>163</v>
      </c>
      <c r="E988" s="1800"/>
      <c r="F988" s="1800"/>
      <c r="G988" s="1800"/>
      <c r="H988" s="1800"/>
      <c r="I988" s="1800"/>
      <c r="J988" s="1800"/>
      <c r="K988" s="1800"/>
      <c r="L988" s="1800"/>
      <c r="M988" s="1800"/>
      <c r="N988" s="1800"/>
      <c r="O988" s="1800"/>
      <c r="P988" s="1800"/>
      <c r="Q988" s="1801"/>
      <c r="R988" s="1786">
        <f>IF(ISNA(IF($CU$122="4%",(INDEX($CS$160:$CW$217,MATCH($DG$122,$CR$160:$CR$217,0),MATCH(D988,$CS$159:$CW$159,0))),(INDEX($CZ$160:$DD$217,MATCH($DG$122,$CY$160:$CY$217,0),MATCH(D988,$CZ$159:$DD$159,0))))),0,IF($CU$122="4%",(INDEX($CS$160:$CW$217,MATCH($DG$122,$CR$160:$CR$217,0),MATCH(D988,$CS$159:$CW$159,0))),(INDEX($CZ$160:$DD$217,MATCH($DG$122,$CY$160:$CY$217,0),MATCH(D988,$CZ$159:$DD$159,0)))))</f>
        <v>489600</v>
      </c>
      <c r="S988" s="1786"/>
      <c r="T988" s="1786"/>
      <c r="U988" s="1786"/>
      <c r="V988" s="1786"/>
      <c r="W988" s="1786"/>
      <c r="X988" s="1786"/>
      <c r="Y988" s="1786"/>
      <c r="Z988" s="1786"/>
      <c r="AA988" s="1786"/>
      <c r="AB988" s="1783">
        <f>CZ802</f>
        <v>34</v>
      </c>
      <c r="AC988" s="1784"/>
      <c r="AD988" s="1784"/>
      <c r="AE988" s="1784"/>
      <c r="AF988" s="1784"/>
      <c r="AG988" s="1784"/>
      <c r="AH988" s="1784"/>
      <c r="AI988" s="1785"/>
      <c r="AJ988" s="1718">
        <f>IF(ISERROR((R988*AB988)),0,(R988*AB988))</f>
        <v>16646400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9" t="s">
        <v>164</v>
      </c>
      <c r="E989" s="1800"/>
      <c r="F989" s="1800"/>
      <c r="G989" s="1800"/>
      <c r="H989" s="1800"/>
      <c r="I989" s="1800"/>
      <c r="J989" s="1800"/>
      <c r="K989" s="1800"/>
      <c r="L989" s="1800"/>
      <c r="M989" s="1800"/>
      <c r="N989" s="1800"/>
      <c r="O989" s="1800"/>
      <c r="P989" s="1800"/>
      <c r="Q989" s="1801"/>
      <c r="R989" s="1786">
        <f>IF(ISNA(IF($CU$122="4%",(INDEX($CS$160:$CW$217,MATCH($DG$122,$CR$160:$CR$217,0),MATCH(D989,$CS$159:$CW$159,0))),(INDEX($CZ$160:$DD$217,MATCH($DG$122,$CY$160:$CY$217,0),MATCH(D989,$CZ$159:$DD$159,0))))),0,IF($CU$122="4%",(INDEX($CS$160:$CW$217,MATCH($DG$122,$CR$160:$CR$217,0),MATCH(D989,$CS$159:$CW$159,0))),(INDEX($CZ$160:$DD$217,MATCH($DG$122,$CY$160:$CY$217,0),MATCH(D989,$CZ$159:$DD$159,0)))))</f>
        <v>626688</v>
      </c>
      <c r="S989" s="1786"/>
      <c r="T989" s="1786"/>
      <c r="U989" s="1786"/>
      <c r="V989" s="1786"/>
      <c r="W989" s="1786"/>
      <c r="X989" s="1786"/>
      <c r="Y989" s="1786"/>
      <c r="Z989" s="1786"/>
      <c r="AA989" s="1786"/>
      <c r="AB989" s="1783">
        <f>DE802</f>
        <v>44</v>
      </c>
      <c r="AC989" s="1784"/>
      <c r="AD989" s="1784"/>
      <c r="AE989" s="1784"/>
      <c r="AF989" s="1784"/>
      <c r="AG989" s="1784"/>
      <c r="AH989" s="1784"/>
      <c r="AI989" s="1785"/>
      <c r="AJ989" s="1718">
        <f>IF(ISERROR((R989*AB989)),0,(R989*AB989))</f>
        <v>27574272</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9" t="s">
        <v>460</v>
      </c>
      <c r="E990" s="1800"/>
      <c r="F990" s="1800"/>
      <c r="G990" s="1800"/>
      <c r="H990" s="1800"/>
      <c r="I990" s="1800"/>
      <c r="J990" s="1800"/>
      <c r="K990" s="1800"/>
      <c r="L990" s="1800"/>
      <c r="M990" s="1800"/>
      <c r="N990" s="1800"/>
      <c r="O990" s="1800"/>
      <c r="P990" s="1800"/>
      <c r="Q990" s="1801"/>
      <c r="R990" s="1786">
        <f>IF(ISNA(IF($CU$122="4%",(INDEX($CS$160:$CW$217,MATCH($DG$122,$CR$160:$CR$217,0),MATCH(D990,$CS$159:$CW$159,0))),(INDEX($CZ$160:$DD$217,MATCH($DG$122,$CY$160:$CY$217,0),MATCH(D990,$CZ$159:$DD$159,0))))),0,IF($CU$122="4%",(INDEX($CS$160:$CW$217,MATCH($DG$122,$CR$160:$CR$217,0),MATCH(D990,$CS$159:$CW$159,0))),(INDEX($CZ$160:$DD$217,MATCH($DG$122,$CY$160:$CY$217,0),MATCH(D990,$CZ$159:$DD$159,0)))))</f>
        <v>698170</v>
      </c>
      <c r="S990" s="1786"/>
      <c r="T990" s="1786"/>
      <c r="U990" s="1786"/>
      <c r="V990" s="1786"/>
      <c r="W990" s="1786"/>
      <c r="X990" s="1786"/>
      <c r="Y990" s="1786"/>
      <c r="Z990" s="1786"/>
      <c r="AA990" s="1786"/>
      <c r="AB990" s="1783">
        <f>DO802+DJ802</f>
        <v>0</v>
      </c>
      <c r="AC990" s="1784"/>
      <c r="AD990" s="1784"/>
      <c r="AE990" s="1784"/>
      <c r="AF990" s="1784"/>
      <c r="AG990" s="1784"/>
      <c r="AH990" s="1784"/>
      <c r="AI990" s="1785"/>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791</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3">
        <f>SUM(AB986:AI990)</f>
        <v>78</v>
      </c>
      <c r="AC991" s="1784"/>
      <c r="AD991" s="1784"/>
      <c r="AE991" s="1784"/>
      <c r="AF991" s="1784"/>
      <c r="AG991" s="1784"/>
      <c r="AH991" s="1784"/>
      <c r="AI991" s="1785"/>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6" t="s">
        <v>512</v>
      </c>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7"/>
      <c r="AF992" s="1797"/>
      <c r="AG992" s="1797"/>
      <c r="AH992" s="1797"/>
      <c r="AI992" s="1798"/>
      <c r="AJ992" s="1718">
        <f>SUM(AJ986:AQ990)</f>
        <v>44220672</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9"/>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c r="AA993" s="1750"/>
      <c r="AB993" s="1750"/>
      <c r="AC993" s="1750"/>
      <c r="AD993" s="1750"/>
      <c r="AE993" s="1751"/>
      <c r="AF993" s="1829" t="s">
        <v>666</v>
      </c>
      <c r="AG993" s="1830"/>
      <c r="AH993" s="1830"/>
      <c r="AI993" s="1831"/>
      <c r="AJ993" s="1749"/>
      <c r="AK993" s="1750"/>
      <c r="AL993" s="1750"/>
      <c r="AM993" s="1750"/>
      <c r="AN993" s="1750"/>
      <c r="AO993" s="1750"/>
      <c r="AP993" s="1750"/>
      <c r="AQ993" s="1751"/>
      <c r="AR993" s="68"/>
      <c r="AS993" s="68"/>
      <c r="AT993" s="68"/>
      <c r="AU993" s="68"/>
      <c r="AV993" s="68"/>
      <c r="AW993" s="68"/>
      <c r="AX993" s="68"/>
      <c r="AY993" s="68"/>
      <c r="AZ993" s="34"/>
      <c r="BA993" s="34"/>
      <c r="BB993" s="34"/>
      <c r="BC993" s="34"/>
    </row>
    <row r="994" spans="1:55" ht="12.95" customHeight="1">
      <c r="A994" s="14"/>
      <c r="B994" s="73"/>
      <c r="C994" s="927" t="s">
        <v>668</v>
      </c>
      <c r="D994" s="1736" t="s">
        <v>1220</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2" t="s">
        <v>669</v>
      </c>
      <c r="AH994" s="1833"/>
      <c r="AI994" s="87"/>
      <c r="AJ994" s="1727">
        <f>ROUND(IF(AND(AG994="yes",D1000&gt;0),AJ992*0.2,0),0)</f>
        <v>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7"/>
      <c r="C995" s="256"/>
      <c r="D995" s="1771" t="s">
        <v>2234</v>
      </c>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7"/>
      <c r="C996" s="25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7"/>
      <c r="C997" s="25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7"/>
      <c r="C998" s="256"/>
      <c r="D998" s="1771"/>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7"/>
      <c r="C999" s="256"/>
      <c r="D999" s="1774" t="s">
        <v>2205</v>
      </c>
      <c r="E999" s="1775"/>
      <c r="F999" s="1775"/>
      <c r="G999" s="1775"/>
      <c r="H999" s="1775"/>
      <c r="I999" s="1775"/>
      <c r="J999" s="1775"/>
      <c r="K999" s="1775"/>
      <c r="L999" s="1775"/>
      <c r="M999" s="1775"/>
      <c r="N999" s="1775"/>
      <c r="O999" s="1775"/>
      <c r="P999" s="1775"/>
      <c r="Q999" s="1775"/>
      <c r="R999" s="1775"/>
      <c r="S999" s="1775"/>
      <c r="T999" s="1775"/>
      <c r="U999" s="1775"/>
      <c r="V999" s="1775"/>
      <c r="W999" s="1775"/>
      <c r="X999" s="1775"/>
      <c r="Y999" s="1775"/>
      <c r="Z999" s="1775"/>
      <c r="AA999" s="1775"/>
      <c r="AB999" s="1775"/>
      <c r="AC999" s="1775"/>
      <c r="AD999" s="1775"/>
      <c r="AE999" s="1776"/>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7"/>
      <c r="C1000" s="256"/>
      <c r="D1000" s="1742"/>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5"/>
      <c r="C1001" s="318"/>
      <c r="D1001" s="1768" t="s">
        <v>1286</v>
      </c>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70"/>
      <c r="AF1001" s="79"/>
      <c r="AG1001" s="1754" t="s">
        <v>669</v>
      </c>
      <c r="AH1001" s="1755"/>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7"/>
      <c r="C1002" s="82"/>
      <c r="D1002" s="1771" t="s">
        <v>1284</v>
      </c>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77</v>
      </c>
      <c r="AZ1003" s="34"/>
      <c r="BB1003" s="34"/>
    </row>
    <row r="1004" spans="1:55" ht="12.95" customHeight="1">
      <c r="A1004" s="14"/>
      <c r="B1004" s="25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7"/>
      <c r="C1005" s="82"/>
      <c r="D1005" s="1771"/>
      <c r="E1005" s="1772"/>
      <c r="F1005" s="1772"/>
      <c r="G1005" s="1772"/>
      <c r="H1005" s="1772"/>
      <c r="I1005" s="1772"/>
      <c r="J1005" s="1772"/>
      <c r="K1005" s="1772"/>
      <c r="L1005" s="1772"/>
      <c r="M1005" s="1772"/>
      <c r="N1005" s="1772"/>
      <c r="O1005" s="1772"/>
      <c r="P1005" s="1772"/>
      <c r="Q1005" s="1772"/>
      <c r="R1005" s="1772"/>
      <c r="S1005" s="1772"/>
      <c r="T1005" s="1772"/>
      <c r="U1005" s="1772"/>
      <c r="V1005" s="1772"/>
      <c r="W1005" s="1772"/>
      <c r="X1005" s="1772"/>
      <c r="Y1005" s="1772"/>
      <c r="Z1005" s="1772"/>
      <c r="AA1005" s="1772"/>
      <c r="AB1005" s="1772"/>
      <c r="AC1005" s="1772"/>
      <c r="AD1005" s="1772"/>
      <c r="AE1005" s="1773"/>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0.1</v>
      </c>
      <c r="AZ1005" s="34"/>
      <c r="BB1005" s="34"/>
    </row>
    <row r="1006" spans="1:55" ht="12.95" customHeight="1">
      <c r="A1006" s="14"/>
      <c r="B1006" s="75"/>
      <c r="C1006" s="76"/>
      <c r="D1006" s="1774"/>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0.1</v>
      </c>
      <c r="AZ1006" s="34"/>
      <c r="BB1006" s="34"/>
    </row>
    <row r="1007" spans="1:55" ht="12.95" customHeight="1">
      <c r="A1007" s="14"/>
      <c r="B1007" s="255"/>
      <c r="C1007" s="80" t="s">
        <v>672</v>
      </c>
      <c r="D1007" s="1768" t="s">
        <v>1683</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86"/>
      <c r="AG1007" s="1754" t="s">
        <v>669</v>
      </c>
      <c r="AH1007" s="1755"/>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9" t="s">
        <v>1285</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6"/>
      <c r="E1010" s="1747"/>
      <c r="F1010" s="1747"/>
      <c r="G1010" s="1747"/>
      <c r="H1010" s="1747"/>
      <c r="I1010" s="1747"/>
      <c r="J1010" s="1747"/>
      <c r="K1010" s="1747"/>
      <c r="L1010" s="1747"/>
      <c r="M1010" s="1747"/>
      <c r="N1010" s="1747"/>
      <c r="O1010" s="1747"/>
      <c r="P1010" s="1747"/>
      <c r="Q1010" s="1747"/>
      <c r="R1010" s="1747"/>
      <c r="S1010" s="1747"/>
      <c r="T1010" s="1747"/>
      <c r="U1010" s="1747"/>
      <c r="V1010" s="1747"/>
      <c r="W1010" s="1747"/>
      <c r="X1010" s="1747"/>
      <c r="Y1010" s="1747"/>
      <c r="Z1010" s="1747"/>
      <c r="AA1010" s="1747"/>
      <c r="AB1010" s="1747"/>
      <c r="AC1010" s="1747"/>
      <c r="AD1010" s="1747"/>
      <c r="AE1010" s="1748"/>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212</v>
      </c>
      <c r="D1011" s="1768" t="s">
        <v>1287</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9"/>
      <c r="AG1011" s="1754" t="s">
        <v>669</v>
      </c>
      <c r="AH1011" s="1755"/>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6" t="s">
        <v>1288</v>
      </c>
      <c r="E1012" s="1747"/>
      <c r="F1012" s="1747"/>
      <c r="G1012" s="1747"/>
      <c r="H1012" s="1747"/>
      <c r="I1012" s="1747"/>
      <c r="J1012" s="1747"/>
      <c r="K1012" s="1747"/>
      <c r="L1012" s="1747"/>
      <c r="M1012" s="1747"/>
      <c r="N1012" s="1747"/>
      <c r="O1012" s="1747"/>
      <c r="P1012" s="1747"/>
      <c r="Q1012" s="1747"/>
      <c r="R1012" s="1747"/>
      <c r="S1012" s="1747"/>
      <c r="T1012" s="1747"/>
      <c r="U1012" s="1747"/>
      <c r="V1012" s="1747"/>
      <c r="W1012" s="1747"/>
      <c r="X1012" s="1747"/>
      <c r="Y1012" s="1747"/>
      <c r="Z1012" s="1747"/>
      <c r="AA1012" s="1747"/>
      <c r="AB1012" s="1747"/>
      <c r="AC1012" s="1747"/>
      <c r="AD1012" s="1747"/>
      <c r="AE1012" s="1748"/>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1841</v>
      </c>
      <c r="AZ1012" s="3" t="s">
        <v>2606</v>
      </c>
    </row>
    <row r="1013" spans="1:52" ht="12.95" customHeight="1">
      <c r="A1013" s="14"/>
      <c r="B1013" s="79"/>
      <c r="C1013" s="80" t="s">
        <v>215</v>
      </c>
      <c r="D1013" s="1768" t="s">
        <v>1289</v>
      </c>
      <c r="E1013" s="1769"/>
      <c r="F1013" s="1769"/>
      <c r="G1013" s="1769"/>
      <c r="H1013" s="1769"/>
      <c r="I1013" s="1769"/>
      <c r="J1013" s="1769"/>
      <c r="K1013" s="1769"/>
      <c r="L1013" s="1769"/>
      <c r="M1013" s="1769"/>
      <c r="N1013" s="1769"/>
      <c r="O1013" s="1769"/>
      <c r="P1013" s="1769"/>
      <c r="Q1013" s="1769"/>
      <c r="R1013" s="1769"/>
      <c r="S1013" s="1769"/>
      <c r="T1013" s="1769"/>
      <c r="U1013" s="1769"/>
      <c r="V1013" s="1769"/>
      <c r="W1013" s="1769"/>
      <c r="X1013" s="1769"/>
      <c r="Y1013" s="1769"/>
      <c r="Z1013" s="1769"/>
      <c r="AA1013" s="1769"/>
      <c r="AB1013" s="1769"/>
      <c r="AC1013" s="1769"/>
      <c r="AD1013" s="1769"/>
      <c r="AE1013" s="1770"/>
      <c r="AF1013" s="79"/>
      <c r="AG1013" s="1754" t="s">
        <v>669</v>
      </c>
      <c r="AH1013" s="1755"/>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9" t="s">
        <v>1290</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3" t="str">
        <f>IF(AND(AG1013="yes",T212&lt;&gt;1),"The project may not be eligible for this boost","")</f>
        <v/>
      </c>
      <c r="AG1014" s="1854"/>
      <c r="AH1014" s="1854"/>
      <c r="AI1014" s="1855"/>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6"/>
      <c r="E1015" s="1747"/>
      <c r="F1015" s="1747"/>
      <c r="G1015" s="1747"/>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8"/>
      <c r="AF1015" s="1856"/>
      <c r="AG1015" s="1857"/>
      <c r="AH1015" s="1857"/>
      <c r="AI1015" s="1858"/>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5" customHeight="1">
      <c r="A1016" s="14"/>
      <c r="B1016" s="79"/>
      <c r="C1016" s="80" t="s">
        <v>218</v>
      </c>
      <c r="D1016" s="1736" t="s">
        <v>2235</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4" t="s">
        <v>669</v>
      </c>
      <c r="AH1016" s="1755"/>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5" customHeight="1">
      <c r="A1017" s="14"/>
      <c r="B1017" s="73"/>
      <c r="C1017" s="74"/>
      <c r="D1017" s="1699" t="s">
        <v>1291</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7" t="str">
        <f>IF(AND(AG1016="Yes",AY1024=0),AY1027,"")</f>
        <v/>
      </c>
      <c r="AG1017" s="1848"/>
      <c r="AH1017" s="1848"/>
      <c r="AI1017" s="1849"/>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5"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7"/>
      <c r="AG1018" s="1848"/>
      <c r="AH1018" s="1848"/>
      <c r="AI1018" s="1849"/>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5" customHeight="1">
      <c r="A1019" s="14"/>
      <c r="B1019" s="81"/>
      <c r="C1019" s="82"/>
      <c r="D1019" s="1746"/>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1850"/>
      <c r="AG1019" s="1851"/>
      <c r="AH1019" s="1851"/>
      <c r="AI1019" s="1852"/>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5" customHeight="1">
      <c r="A1020" s="14"/>
      <c r="B1020" s="79"/>
      <c r="C1020" s="80" t="s">
        <v>223</v>
      </c>
      <c r="D1020" s="1816" t="s">
        <v>1292</v>
      </c>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79"/>
      <c r="AG1020" s="1754" t="s">
        <v>669</v>
      </c>
      <c r="AH1020" s="1755"/>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5" customHeight="1">
      <c r="A1021" s="14"/>
      <c r="B1021" s="81"/>
      <c r="C1021" s="84"/>
      <c r="D1021" s="1819"/>
      <c r="E1021" s="1820"/>
      <c r="F1021" s="1820"/>
      <c r="G1021" s="1820"/>
      <c r="H1021" s="1820"/>
      <c r="I1021" s="1820"/>
      <c r="J1021" s="1820"/>
      <c r="K1021" s="1820"/>
      <c r="L1021" s="1820"/>
      <c r="M1021" s="1820"/>
      <c r="N1021" s="1820"/>
      <c r="O1021" s="1820"/>
      <c r="P1021" s="1820"/>
      <c r="Q1021" s="1820"/>
      <c r="R1021" s="1820"/>
      <c r="S1021" s="1820"/>
      <c r="T1021" s="1820"/>
      <c r="U1021" s="1820"/>
      <c r="V1021" s="1820"/>
      <c r="W1021" s="1820"/>
      <c r="X1021" s="1820"/>
      <c r="Y1021" s="1820"/>
      <c r="Z1021" s="1820"/>
      <c r="AA1021" s="1820"/>
      <c r="AB1021" s="1820"/>
      <c r="AC1021" s="1820"/>
      <c r="AD1021" s="1820"/>
      <c r="AE1021" s="1821"/>
      <c r="AF1021" s="1834" t="str">
        <f>IF(AG1020="yes","Please Select Type and Enter Amount:","")</f>
        <v/>
      </c>
      <c r="AG1021" s="1835"/>
      <c r="AH1021" s="1835"/>
      <c r="AI1021" s="1836"/>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5" customHeight="1">
      <c r="A1022" s="14"/>
      <c r="B1022" s="81"/>
      <c r="C1022" s="84"/>
      <c r="D1022" s="1699" t="s">
        <v>1293</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34"/>
      <c r="AG1022" s="1835"/>
      <c r="AH1022" s="1835"/>
      <c r="AI1022" s="1836"/>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5"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77"/>
      <c r="AG1023" s="1777"/>
      <c r="AH1023" s="1777"/>
      <c r="AI1023" s="1777"/>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6" t="s">
        <v>591</v>
      </c>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1777"/>
      <c r="AG1024" s="1777"/>
      <c r="AH1024" s="1777"/>
      <c r="AI1024" s="1777"/>
      <c r="AJ1024" s="1733"/>
      <c r="AK1024" s="1734"/>
      <c r="AL1024" s="1734"/>
      <c r="AM1024" s="1734"/>
      <c r="AN1024" s="1734"/>
      <c r="AO1024" s="1734"/>
      <c r="AP1024" s="1734"/>
      <c r="AQ1024" s="1735"/>
      <c r="AR1024" s="68"/>
      <c r="AS1024" s="68"/>
      <c r="AT1024" s="68"/>
      <c r="AU1024" s="68"/>
      <c r="AV1024" s="68"/>
      <c r="AW1024" s="68"/>
      <c r="AX1024" s="1032" t="s">
        <v>2605</v>
      </c>
      <c r="AY1024" s="201">
        <f>IF(SUM(AY1013:AY1023)&lt;=0.2,SUM(AY1013:AY1023),0.2)</f>
        <v>0</v>
      </c>
    </row>
    <row r="1025" spans="1:57" ht="12.95" customHeight="1">
      <c r="A1025" s="14"/>
      <c r="B1025" s="79"/>
      <c r="C1025" s="80" t="s">
        <v>229</v>
      </c>
      <c r="D1025" s="1768" t="s">
        <v>1294</v>
      </c>
      <c r="E1025" s="1769"/>
      <c r="F1025" s="1769"/>
      <c r="G1025" s="1769"/>
      <c r="H1025" s="1769"/>
      <c r="I1025" s="1769"/>
      <c r="J1025" s="1769"/>
      <c r="K1025" s="1769"/>
      <c r="L1025" s="1769"/>
      <c r="M1025" s="1769"/>
      <c r="N1025" s="1769"/>
      <c r="O1025" s="1769"/>
      <c r="P1025" s="1769"/>
      <c r="Q1025" s="1769"/>
      <c r="R1025" s="1769"/>
      <c r="S1025" s="1769"/>
      <c r="T1025" s="1769"/>
      <c r="U1025" s="1769"/>
      <c r="V1025" s="1769"/>
      <c r="W1025" s="1769"/>
      <c r="X1025" s="1769"/>
      <c r="Y1025" s="1769"/>
      <c r="Z1025" s="1769"/>
      <c r="AA1025" s="1769"/>
      <c r="AB1025" s="1769"/>
      <c r="AC1025" s="1769"/>
      <c r="AD1025" s="1769"/>
      <c r="AE1025" s="1770"/>
      <c r="AF1025" s="79"/>
      <c r="AG1025" s="1754" t="s">
        <v>669</v>
      </c>
      <c r="AH1025" s="1755"/>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9" t="s">
        <v>1690</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22" t="str">
        <f>IF(AG1025="yes","Enter Amount:","")</f>
        <v/>
      </c>
      <c r="AG1026" s="1823"/>
      <c r="AH1026" s="1823"/>
      <c r="AI1026" s="1824"/>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77"/>
      <c r="AG1027" s="1777"/>
      <c r="AH1027" s="1777"/>
      <c r="AI1027" s="1777"/>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6"/>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1777"/>
      <c r="AG1028" s="1777"/>
      <c r="AH1028" s="1777"/>
      <c r="AI1028" s="1777"/>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234</v>
      </c>
      <c r="D1029" s="1736" t="s">
        <v>1295</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4" t="s">
        <v>669</v>
      </c>
      <c r="AH1029" s="1755"/>
      <c r="AI1029" s="87"/>
      <c r="AJ1029" s="1727">
        <f>ROUND(IF(AG1029="yes",(AJ992*0.1),0),0)</f>
        <v>0</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9" t="s">
        <v>1296</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6"/>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9" t="s">
        <v>687</v>
      </c>
      <c r="D1032" s="1768" t="s">
        <v>1686</v>
      </c>
      <c r="E1032" s="1769"/>
      <c r="F1032" s="1769"/>
      <c r="G1032" s="1769"/>
      <c r="H1032" s="1769"/>
      <c r="I1032" s="1769"/>
      <c r="J1032" s="1769"/>
      <c r="K1032" s="1769"/>
      <c r="L1032" s="1769"/>
      <c r="M1032" s="1769"/>
      <c r="N1032" s="1769"/>
      <c r="O1032" s="1769"/>
      <c r="P1032" s="1769"/>
      <c r="Q1032" s="1769"/>
      <c r="R1032" s="1769"/>
      <c r="S1032" s="1769"/>
      <c r="T1032" s="1769"/>
      <c r="U1032" s="1769"/>
      <c r="V1032" s="1769"/>
      <c r="W1032" s="1769"/>
      <c r="X1032" s="1769"/>
      <c r="Y1032" s="1769"/>
      <c r="Z1032" s="1769"/>
      <c r="AA1032" s="1769"/>
      <c r="AB1032" s="1769"/>
      <c r="AC1032" s="1769"/>
      <c r="AD1032" s="1769"/>
      <c r="AE1032" s="1770"/>
      <c r="AF1032" s="79"/>
      <c r="AG1032" s="1754" t="s">
        <v>669</v>
      </c>
      <c r="AH1032" s="1755"/>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5"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6"/>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6"/>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7"/>
      <c r="E1035" s="1808"/>
      <c r="F1035" s="1808"/>
      <c r="G1035" s="1808"/>
      <c r="H1035" s="1808"/>
      <c r="I1035" s="1808"/>
      <c r="J1035" s="1808"/>
      <c r="K1035" s="1808"/>
      <c r="L1035" s="1808"/>
      <c r="M1035" s="1808"/>
      <c r="N1035" s="1808"/>
      <c r="O1035" s="1808"/>
      <c r="P1035" s="1808"/>
      <c r="Q1035" s="1808"/>
      <c r="R1035" s="1808"/>
      <c r="S1035" s="1808"/>
      <c r="T1035" s="1808"/>
      <c r="U1035" s="1808"/>
      <c r="V1035" s="1808"/>
      <c r="W1035" s="1808"/>
      <c r="X1035" s="1808"/>
      <c r="Y1035" s="1808"/>
      <c r="Z1035" s="1808"/>
      <c r="AA1035" s="1808"/>
      <c r="AB1035" s="1808"/>
      <c r="AC1035" s="1808"/>
      <c r="AD1035" s="1808"/>
      <c r="AE1035" s="1809"/>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9" t="s">
        <v>687</v>
      </c>
      <c r="D1036" s="1736" t="s">
        <v>1688</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6" t="s">
        <v>669</v>
      </c>
      <c r="AH1036" s="1757"/>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5"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6"/>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6"/>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74846.153846153844</v>
      </c>
      <c r="BB1038" s="1183" t="s">
        <v>2488</v>
      </c>
      <c r="BC1038" s="1183"/>
      <c r="BD1038" s="1183"/>
      <c r="BE1038" s="1183"/>
    </row>
    <row r="1039" spans="1:57" ht="12.95" customHeight="1">
      <c r="A1039" s="14"/>
      <c r="B1039" s="73"/>
      <c r="C1039" s="74"/>
      <c r="D1039" s="180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6"/>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0.20779220779220781</v>
      </c>
      <c r="BB1039" s="3" t="s">
        <v>2492</v>
      </c>
    </row>
    <row r="1040" spans="1:57" ht="12.95" customHeight="1">
      <c r="A1040" s="14"/>
      <c r="B1040" s="73"/>
      <c r="C1040" s="74"/>
      <c r="D1040" s="1807"/>
      <c r="E1040" s="1808"/>
      <c r="F1040" s="1808"/>
      <c r="G1040" s="1808"/>
      <c r="H1040" s="1808"/>
      <c r="I1040" s="1808"/>
      <c r="J1040" s="1808"/>
      <c r="K1040" s="1808"/>
      <c r="L1040" s="1808"/>
      <c r="M1040" s="1808"/>
      <c r="N1040" s="1808"/>
      <c r="O1040" s="1808"/>
      <c r="P1040" s="1808"/>
      <c r="Q1040" s="1808"/>
      <c r="R1040" s="1808"/>
      <c r="S1040" s="1808"/>
      <c r="T1040" s="1808"/>
      <c r="U1040" s="1808"/>
      <c r="V1040" s="1808"/>
      <c r="W1040" s="1808"/>
      <c r="X1040" s="1808"/>
      <c r="Y1040" s="1808"/>
      <c r="Z1040" s="1808"/>
      <c r="AA1040" s="1808"/>
      <c r="AB1040" s="1808"/>
      <c r="AC1040" s="1808"/>
      <c r="AD1040" s="1808"/>
      <c r="AE1040" s="1809"/>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8" t="s">
        <v>1297</v>
      </c>
      <c r="E1041" s="1769"/>
      <c r="F1041" s="1769"/>
      <c r="G1041" s="1769"/>
      <c r="H1041" s="1769"/>
      <c r="I1041" s="1769"/>
      <c r="J1041" s="1769"/>
      <c r="K1041" s="1769"/>
      <c r="L1041" s="1769"/>
      <c r="M1041" s="1769"/>
      <c r="N1041" s="1769"/>
      <c r="O1041" s="1769"/>
      <c r="P1041" s="1769"/>
      <c r="Q1041" s="1769"/>
      <c r="R1041" s="1769"/>
      <c r="S1041" s="1769"/>
      <c r="T1041" s="1769"/>
      <c r="U1041" s="1769"/>
      <c r="V1041" s="1769"/>
      <c r="W1041" s="1769"/>
      <c r="X1041" s="1769"/>
      <c r="Y1041" s="1769"/>
      <c r="Z1041" s="1769"/>
      <c r="AA1041" s="1769"/>
      <c r="AB1041" s="1769"/>
      <c r="AC1041" s="1769"/>
      <c r="AD1041" s="1769"/>
      <c r="AE1041" s="1770"/>
      <c r="AF1041" s="79"/>
      <c r="AG1041" s="1754" t="s">
        <v>669</v>
      </c>
      <c r="AH1041" s="1755"/>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2490</v>
      </c>
    </row>
    <row r="1042" spans="1:56" ht="12.95" customHeight="1">
      <c r="A1042" s="14"/>
      <c r="B1042" s="73"/>
      <c r="C1042" s="74"/>
      <c r="D1042" s="1699" t="s">
        <v>2144</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2491</v>
      </c>
    </row>
    <row r="1043" spans="1:56" ht="12.95"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6"/>
      <c r="E1044" s="1747"/>
      <c r="F1044" s="1747"/>
      <c r="G1044" s="1747"/>
      <c r="H1044" s="1747"/>
      <c r="I1044" s="1747"/>
      <c r="J1044" s="1747"/>
      <c r="K1044" s="1747"/>
      <c r="L1044" s="1747"/>
      <c r="M1044" s="1747"/>
      <c r="N1044" s="1747"/>
      <c r="O1044" s="1747"/>
      <c r="P1044" s="1747"/>
      <c r="Q1044" s="1747"/>
      <c r="R1044" s="1747"/>
      <c r="S1044" s="1747"/>
      <c r="T1044" s="1747"/>
      <c r="U1044" s="1747"/>
      <c r="V1044" s="1747"/>
      <c r="W1044" s="1747"/>
      <c r="X1044" s="1747"/>
      <c r="Y1044" s="1747"/>
      <c r="Z1044" s="1747"/>
      <c r="AA1044" s="1747"/>
      <c r="AB1044" s="1747"/>
      <c r="AC1044" s="1747"/>
      <c r="AD1044" s="1747"/>
      <c r="AE1044" s="1748"/>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1684</v>
      </c>
      <c r="D1045" s="1736" t="s">
        <v>1864</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2" t="str">
        <f>IF(X1048&gt;0,"Yes","No")</f>
        <v>Yes</v>
      </c>
      <c r="AH1045" s="1753"/>
      <c r="AI1045" s="87"/>
      <c r="AJ1045" s="1727">
        <f>IF((X1048=0),0,AY1005*AJ992)</f>
        <v>4422067.2</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9" t="s">
        <v>1299</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1323577.2</v>
      </c>
      <c r="BA1046" s="1182">
        <f>IF(BA1040,20%,15%)</f>
        <v>0.15</v>
      </c>
      <c r="BB1046" s="3" t="s">
        <v>2478</v>
      </c>
      <c r="BC1046" s="3" t="s">
        <v>2479</v>
      </c>
      <c r="BD1046" s="3"/>
    </row>
    <row r="1047" spans="1:56" ht="12.95"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791">
        <f>AY1003</f>
        <v>77</v>
      </c>
      <c r="J1048" s="1792"/>
      <c r="K1048" s="7"/>
      <c r="L1048" s="133"/>
      <c r="M1048" s="133"/>
      <c r="N1048" s="133"/>
      <c r="O1048" s="133"/>
      <c r="P1048" s="133"/>
      <c r="Q1048" s="133"/>
      <c r="R1048" s="133"/>
      <c r="S1048" s="133"/>
      <c r="T1048" s="133"/>
      <c r="U1048" s="133"/>
      <c r="V1048" s="134" t="s">
        <v>973</v>
      </c>
      <c r="W1048" s="48"/>
      <c r="X1048" s="1789">
        <f>CI753</f>
        <v>8</v>
      </c>
      <c r="Y1048" s="1790"/>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743619.70000000007</v>
      </c>
      <c r="BA1048" s="1182" cm="1">
        <f t="array" ref="BA1048">_xlfn.IFS(X180="Yes",5%,$BA$1038&gt;50000,15%,BA1039&gt;=30%,15%,TRUE,5%)</f>
        <v>0.05</v>
      </c>
      <c r="BB1048" s="3" t="s">
        <v>2478</v>
      </c>
      <c r="BC1048" s="3" t="s">
        <v>2481</v>
      </c>
      <c r="BD1048" s="3"/>
    </row>
    <row r="1049" spans="1:56" ht="12.95" customHeight="1">
      <c r="A1049" s="14"/>
      <c r="B1049" s="79"/>
      <c r="C1049" s="131" t="s">
        <v>1685</v>
      </c>
      <c r="D1049" s="1768" t="s">
        <v>2170</v>
      </c>
      <c r="E1049" s="1769"/>
      <c r="F1049" s="1769"/>
      <c r="G1049" s="1769"/>
      <c r="H1049" s="1769"/>
      <c r="I1049" s="1769"/>
      <c r="J1049" s="1769"/>
      <c r="K1049" s="1769"/>
      <c r="L1049" s="1769"/>
      <c r="M1049" s="1769"/>
      <c r="N1049" s="1769"/>
      <c r="O1049" s="1769"/>
      <c r="P1049" s="1769"/>
      <c r="Q1049" s="1769"/>
      <c r="R1049" s="1769"/>
      <c r="S1049" s="1769"/>
      <c r="T1049" s="1769"/>
      <c r="U1049" s="1769"/>
      <c r="V1049" s="1769"/>
      <c r="W1049" s="1769"/>
      <c r="X1049" s="1769"/>
      <c r="Y1049" s="1769"/>
      <c r="Z1049" s="1769"/>
      <c r="AA1049" s="1769"/>
      <c r="AB1049" s="1769"/>
      <c r="AC1049" s="1769"/>
      <c r="AD1049" s="1769"/>
      <c r="AE1049" s="1770"/>
      <c r="AF1049" s="73"/>
      <c r="AG1049" s="1752" t="str">
        <f>IF(X1052&gt;0,"Yes","No")</f>
        <v>Yes</v>
      </c>
      <c r="AH1049" s="1753"/>
      <c r="AI1049" s="83"/>
      <c r="AJ1049" s="1727">
        <f>IF((X1052=0),0,(2*AY1006)*AJ992)</f>
        <v>8844134.4000000004</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9" t="s">
        <v>1298</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5"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2067196</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1">
        <f>AY1003</f>
        <v>77</v>
      </c>
      <c r="J1052" s="1792"/>
      <c r="K1052" s="14"/>
      <c r="L1052" s="133"/>
      <c r="M1052" s="133"/>
      <c r="N1052" s="133"/>
      <c r="O1052" s="133"/>
      <c r="P1052" s="133"/>
      <c r="Q1052" s="133"/>
      <c r="R1052" s="133"/>
      <c r="S1052" s="133"/>
      <c r="T1052" s="133"/>
      <c r="U1052" s="133"/>
      <c r="V1052" s="134" t="s">
        <v>974</v>
      </c>
      <c r="X1052" s="1789">
        <f>CM753</f>
        <v>8</v>
      </c>
      <c r="Y1052" s="1790"/>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7" t="s">
        <v>513</v>
      </c>
      <c r="E1053" s="1787"/>
      <c r="F1053" s="1787"/>
      <c r="G1053" s="1787"/>
      <c r="H1053" s="1787"/>
      <c r="I1053" s="1787"/>
      <c r="J1053" s="1787"/>
      <c r="K1053" s="1787"/>
      <c r="L1053" s="1787"/>
      <c r="M1053" s="1787"/>
      <c r="N1053" s="1787"/>
      <c r="O1053" s="1787"/>
      <c r="P1053" s="1787"/>
      <c r="Q1053" s="1787"/>
      <c r="R1053" s="1787"/>
      <c r="S1053" s="1787"/>
      <c r="T1053" s="1787"/>
      <c r="U1053" s="1787"/>
      <c r="V1053" s="1787"/>
      <c r="W1053" s="1787"/>
      <c r="X1053" s="1787"/>
      <c r="Y1053" s="1787"/>
      <c r="Z1053" s="1787"/>
      <c r="AA1053" s="1787"/>
      <c r="AB1053" s="1787"/>
      <c r="AC1053" s="1787"/>
      <c r="AD1053" s="1787"/>
      <c r="AE1053" s="1787"/>
      <c r="AF1053" s="1787"/>
      <c r="AG1053" s="1787"/>
      <c r="AH1053" s="1787"/>
      <c r="AI1053" s="1788"/>
      <c r="AJ1053" s="1802">
        <f>SUM(AJ992:AQ1052)</f>
        <v>57486873.600000001</v>
      </c>
      <c r="AK1053" s="1803"/>
      <c r="AL1053" s="1803"/>
      <c r="AM1053" s="1803"/>
      <c r="AN1053" s="1803"/>
      <c r="AO1053" s="1803"/>
      <c r="AP1053" s="1803"/>
      <c r="AQ1053" s="1804"/>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2067196</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25763439</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2067196.9</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0.58261073011283049</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2067197</v>
      </c>
      <c r="BB1058" s="3" t="s">
        <v>2493</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v>
      </c>
      <c r="BB1059" s="3" t="s">
        <v>2494</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1" t="s">
        <v>794</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591</v>
      </c>
      <c r="B1065" s="1415"/>
      <c r="C1065" s="1860">
        <v>1</v>
      </c>
      <c r="D1065" s="1860"/>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591</v>
      </c>
      <c r="B1067" s="1415"/>
      <c r="C1067" s="1860">
        <v>2</v>
      </c>
      <c r="D1067" s="1860"/>
      <c r="E1067" s="1862" t="s">
        <v>2237</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2.95"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2.95"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591</v>
      </c>
      <c r="B1081" s="1415"/>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591</v>
      </c>
      <c r="B1085" s="1415"/>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591</v>
      </c>
      <c r="B1097" s="1415"/>
      <c r="C1097" s="1860">
        <v>9</v>
      </c>
      <c r="D1097" s="1860"/>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0"/>
      <c r="D1098" s="1860"/>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591</v>
      </c>
      <c r="B1100" s="1415"/>
      <c r="C1100" s="1860">
        <v>10</v>
      </c>
      <c r="D1100" s="1860"/>
      <c r="E1100" s="1861" t="s">
        <v>2238</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2.95"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591</v>
      </c>
      <c r="B1103" s="1415"/>
      <c r="C1103" s="1860">
        <v>11</v>
      </c>
      <c r="D1103" s="1860"/>
      <c r="E1103" s="1861" t="s">
        <v>2240</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2.95"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56" workbookViewId="0">
      <selection activeCell="S80" sqref="S8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2)Town of Mammoth Lakes</v>
      </c>
      <c r="H2" s="139" t="str">
        <f>Application!B629&amp;Application!C629</f>
        <v>3)Town of Mammoth Lakes</v>
      </c>
      <c r="I2" s="139" t="str">
        <f>Application!B630&amp;Application!C630</f>
        <v>4)West Development Ventures, LLC</v>
      </c>
      <c r="J2" s="139" t="str">
        <f>Application!B631&amp;Application!C631</f>
        <v>5)West Development Ventures, LLC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585000</v>
      </c>
      <c r="C4" s="147">
        <v>585000</v>
      </c>
      <c r="D4" s="147"/>
      <c r="E4" s="147">
        <v>585000</v>
      </c>
      <c r="F4" s="147"/>
      <c r="G4" s="147"/>
      <c r="H4" s="147"/>
      <c r="I4" s="147"/>
      <c r="J4" s="147"/>
      <c r="K4" s="147"/>
      <c r="L4" s="147"/>
      <c r="M4" s="147"/>
      <c r="N4" s="147"/>
      <c r="O4" s="147"/>
      <c r="P4" s="147"/>
      <c r="Q4" s="147"/>
      <c r="R4" s="516">
        <f>SUM(E4:Q4)</f>
        <v>585000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585000</v>
      </c>
      <c r="C8" s="146">
        <f t="shared" ref="C8:Q8" si="0">SUM(C4:C7)</f>
        <v>585000</v>
      </c>
      <c r="D8" s="146">
        <f t="shared" si="0"/>
        <v>0</v>
      </c>
      <c r="E8" s="146">
        <f t="shared" si="0"/>
        <v>585000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585000</v>
      </c>
      <c r="S8" s="148"/>
      <c r="T8" s="148"/>
      <c r="U8" s="143"/>
    </row>
    <row r="9" spans="1:21" s="144" customFormat="1">
      <c r="A9" s="145" t="s">
        <v>594</v>
      </c>
      <c r="B9" s="146">
        <f>SUM(C9+D9)</f>
        <v>14872394</v>
      </c>
      <c r="C9" s="147">
        <v>14872394</v>
      </c>
      <c r="D9" s="147"/>
      <c r="E9" s="147">
        <v>2389196</v>
      </c>
      <c r="F9" s="147"/>
      <c r="G9" s="147">
        <v>8825000</v>
      </c>
      <c r="H9" s="147">
        <v>3658198</v>
      </c>
      <c r="I9" s="147"/>
      <c r="J9" s="147"/>
      <c r="K9" s="147"/>
      <c r="L9" s="147"/>
      <c r="M9" s="147"/>
      <c r="N9" s="147"/>
      <c r="O9" s="147"/>
      <c r="P9" s="147"/>
      <c r="Q9" s="147"/>
      <c r="R9" s="516">
        <f>SUM(E9:Q9)</f>
        <v>14872394</v>
      </c>
      <c r="S9" s="148"/>
      <c r="T9" s="147">
        <v>14872394</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14872394</v>
      </c>
      <c r="C11" s="146">
        <f t="shared" ref="C11:Q11" si="1">SUM(C9:C10)</f>
        <v>14872394</v>
      </c>
      <c r="D11" s="146">
        <f t="shared" si="1"/>
        <v>0</v>
      </c>
      <c r="E11" s="146">
        <f t="shared" si="1"/>
        <v>2389196</v>
      </c>
      <c r="F11" s="146">
        <f t="shared" si="1"/>
        <v>0</v>
      </c>
      <c r="G11" s="146">
        <f t="shared" si="1"/>
        <v>8825000</v>
      </c>
      <c r="H11" s="146">
        <f t="shared" si="1"/>
        <v>3658198</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14872394</v>
      </c>
      <c r="S11" s="148"/>
      <c r="T11" s="150">
        <f>SUM(T9:T10)</f>
        <v>14872394</v>
      </c>
      <c r="U11" s="143"/>
    </row>
    <row r="12" spans="1:21" s="144" customFormat="1">
      <c r="A12" s="149" t="s">
        <v>84</v>
      </c>
      <c r="B12" s="146">
        <f t="shared" ref="B12:Q12" si="2">SUM(B8+B11)</f>
        <v>15457394</v>
      </c>
      <c r="C12" s="146">
        <f t="shared" si="2"/>
        <v>15457394</v>
      </c>
      <c r="D12" s="146">
        <f t="shared" si="2"/>
        <v>0</v>
      </c>
      <c r="E12" s="146">
        <f t="shared" si="2"/>
        <v>2974196</v>
      </c>
      <c r="F12" s="146">
        <f t="shared" si="2"/>
        <v>0</v>
      </c>
      <c r="G12" s="146">
        <f t="shared" si="2"/>
        <v>8825000</v>
      </c>
      <c r="H12" s="146">
        <f t="shared" si="2"/>
        <v>3658198</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15457394</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5838000</v>
      </c>
      <c r="C18" s="147">
        <v>5838000</v>
      </c>
      <c r="D18" s="147"/>
      <c r="E18" s="147">
        <v>287135</v>
      </c>
      <c r="F18" s="147">
        <v>5365556</v>
      </c>
      <c r="G18" s="147"/>
      <c r="H18" s="147"/>
      <c r="I18" s="147">
        <v>185309</v>
      </c>
      <c r="J18" s="147"/>
      <c r="K18" s="147"/>
      <c r="L18" s="147"/>
      <c r="M18" s="147"/>
      <c r="N18" s="147"/>
      <c r="O18" s="147"/>
      <c r="P18" s="147"/>
      <c r="Q18" s="147"/>
      <c r="R18" s="516">
        <f>SUM(E18:Q18)</f>
        <v>5838000</v>
      </c>
      <c r="S18" s="147">
        <v>5838000</v>
      </c>
      <c r="T18" s="147"/>
      <c r="U18" s="143"/>
    </row>
    <row r="19" spans="1:21" s="144" customFormat="1">
      <c r="A19" s="145" t="s">
        <v>600</v>
      </c>
      <c r="B19" s="146">
        <f t="shared" si="3"/>
        <v>116766</v>
      </c>
      <c r="C19" s="147">
        <v>116766</v>
      </c>
      <c r="D19" s="147"/>
      <c r="E19" s="147">
        <v>116766</v>
      </c>
      <c r="F19" s="147"/>
      <c r="G19" s="147"/>
      <c r="H19" s="147"/>
      <c r="I19" s="147"/>
      <c r="J19" s="147"/>
      <c r="K19" s="147"/>
      <c r="L19" s="147"/>
      <c r="M19" s="147"/>
      <c r="N19" s="147"/>
      <c r="O19" s="147"/>
      <c r="P19" s="147"/>
      <c r="Q19" s="147"/>
      <c r="R19" s="516">
        <f>SUM(E19:Q19)</f>
        <v>116766</v>
      </c>
      <c r="S19" s="147">
        <v>116766</v>
      </c>
      <c r="T19" s="147"/>
      <c r="U19" s="143"/>
    </row>
    <row r="20" spans="1:21" s="144" customFormat="1">
      <c r="A20" s="145" t="s">
        <v>137</v>
      </c>
      <c r="B20" s="146">
        <f t="shared" si="3"/>
        <v>350298</v>
      </c>
      <c r="C20" s="147">
        <v>350298</v>
      </c>
      <c r="D20" s="147"/>
      <c r="E20" s="147">
        <v>350298</v>
      </c>
      <c r="F20" s="147"/>
      <c r="G20" s="147"/>
      <c r="H20" s="147"/>
      <c r="I20" s="147"/>
      <c r="J20" s="147"/>
      <c r="K20" s="147"/>
      <c r="L20" s="147"/>
      <c r="M20" s="147"/>
      <c r="N20" s="147"/>
      <c r="O20" s="147"/>
      <c r="P20" s="147"/>
      <c r="Q20" s="147"/>
      <c r="R20" s="516">
        <f t="shared" ref="R20:R27" si="4">SUM(E20:Q20)</f>
        <v>350298</v>
      </c>
      <c r="S20" s="147">
        <v>350298</v>
      </c>
      <c r="T20" s="147"/>
      <c r="U20" s="143"/>
    </row>
    <row r="21" spans="1:21" s="144" customFormat="1">
      <c r="A21" s="145" t="s">
        <v>138</v>
      </c>
      <c r="B21" s="146">
        <f t="shared" si="3"/>
        <v>350298</v>
      </c>
      <c r="C21" s="147">
        <v>350298</v>
      </c>
      <c r="D21" s="147"/>
      <c r="E21" s="147">
        <v>350298</v>
      </c>
      <c r="F21" s="147"/>
      <c r="G21" s="147"/>
      <c r="H21" s="147"/>
      <c r="I21" s="147"/>
      <c r="J21" s="147"/>
      <c r="K21" s="147"/>
      <c r="L21" s="147"/>
      <c r="M21" s="147"/>
      <c r="N21" s="147"/>
      <c r="O21" s="147"/>
      <c r="P21" s="147"/>
      <c r="Q21" s="147"/>
      <c r="R21" s="516">
        <f t="shared" si="4"/>
        <v>350298</v>
      </c>
      <c r="S21" s="147">
        <v>350298</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72395</v>
      </c>
      <c r="C23" s="147">
        <v>72395</v>
      </c>
      <c r="D23" s="147"/>
      <c r="E23" s="147">
        <v>72395</v>
      </c>
      <c r="F23" s="147"/>
      <c r="G23" s="147"/>
      <c r="H23" s="147"/>
      <c r="I23" s="147"/>
      <c r="J23" s="147"/>
      <c r="K23" s="147"/>
      <c r="L23" s="147"/>
      <c r="M23" s="147"/>
      <c r="N23" s="147"/>
      <c r="O23" s="147"/>
      <c r="P23" s="147"/>
      <c r="Q23" s="147"/>
      <c r="R23" s="516">
        <f t="shared" si="4"/>
        <v>72395</v>
      </c>
      <c r="S23" s="147">
        <v>72395</v>
      </c>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6727757</v>
      </c>
      <c r="C26" s="146">
        <f>SUM(C17:C25)</f>
        <v>6727757</v>
      </c>
      <c r="D26" s="146">
        <f t="shared" ref="D26:Q26" si="5">SUM(D17:D25)</f>
        <v>0</v>
      </c>
      <c r="E26" s="146">
        <f t="shared" si="5"/>
        <v>1176892</v>
      </c>
      <c r="F26" s="146">
        <f t="shared" si="5"/>
        <v>5365556</v>
      </c>
      <c r="G26" s="146">
        <f t="shared" si="5"/>
        <v>0</v>
      </c>
      <c r="H26" s="146">
        <f t="shared" si="5"/>
        <v>0</v>
      </c>
      <c r="I26" s="146">
        <f t="shared" si="5"/>
        <v>185309</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6727757</v>
      </c>
      <c r="S26" s="150">
        <f>SUM(S17:S25)</f>
        <v>6727757</v>
      </c>
      <c r="T26" s="150">
        <f>SUM(T17:T25)</f>
        <v>0</v>
      </c>
      <c r="U26" s="143"/>
    </row>
    <row r="27" spans="1:21" s="144" customFormat="1">
      <c r="A27" s="149" t="s">
        <v>141</v>
      </c>
      <c r="B27" s="146">
        <f>SUM(C27:D27)</f>
        <v>680801</v>
      </c>
      <c r="C27" s="147">
        <v>680801</v>
      </c>
      <c r="D27" s="147"/>
      <c r="E27" s="147">
        <v>680801</v>
      </c>
      <c r="F27" s="147"/>
      <c r="G27" s="147"/>
      <c r="H27" s="147"/>
      <c r="I27" s="147"/>
      <c r="J27" s="147"/>
      <c r="K27" s="147"/>
      <c r="L27" s="147"/>
      <c r="M27" s="147"/>
      <c r="N27" s="147"/>
      <c r="O27" s="147"/>
      <c r="P27" s="147"/>
      <c r="Q27" s="147"/>
      <c r="R27" s="516">
        <f t="shared" si="4"/>
        <v>680801</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192500</v>
      </c>
      <c r="C40" s="147">
        <v>192500</v>
      </c>
      <c r="D40" s="147"/>
      <c r="E40" s="147">
        <v>192500</v>
      </c>
      <c r="F40" s="147"/>
      <c r="G40" s="147"/>
      <c r="H40" s="147"/>
      <c r="I40" s="147"/>
      <c r="J40" s="147"/>
      <c r="K40" s="147"/>
      <c r="L40" s="147"/>
      <c r="M40" s="147"/>
      <c r="N40" s="147"/>
      <c r="O40" s="147"/>
      <c r="P40" s="147"/>
      <c r="Q40" s="147"/>
      <c r="R40" s="516">
        <f>SUM(E40:Q40)</f>
        <v>192500</v>
      </c>
      <c r="S40" s="147">
        <v>192500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192500</v>
      </c>
      <c r="C42" s="146">
        <f>SUM(C39:C41)</f>
        <v>192500</v>
      </c>
      <c r="D42" s="146">
        <f>SUM(D39:D41)</f>
        <v>0</v>
      </c>
      <c r="E42" s="146">
        <f t="shared" ref="E42:T42" si="9">SUM(E40:E41)</f>
        <v>192500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192500</v>
      </c>
      <c r="S42" s="150">
        <f t="shared" si="9"/>
        <v>192500</v>
      </c>
      <c r="T42" s="150">
        <f t="shared" si="9"/>
        <v>0</v>
      </c>
      <c r="U42" s="143"/>
    </row>
    <row r="43" spans="1:21" s="144" customFormat="1">
      <c r="A43" s="149" t="s">
        <v>148</v>
      </c>
      <c r="B43" s="146">
        <f>SUM(C43:D43)</f>
        <v>14500</v>
      </c>
      <c r="C43" s="147">
        <v>14500</v>
      </c>
      <c r="D43" s="147"/>
      <c r="E43" s="147">
        <v>14500</v>
      </c>
      <c r="F43" s="147"/>
      <c r="G43" s="147"/>
      <c r="H43" s="147"/>
      <c r="I43" s="147"/>
      <c r="J43" s="147"/>
      <c r="K43" s="147"/>
      <c r="L43" s="147"/>
      <c r="M43" s="147"/>
      <c r="N43" s="147"/>
      <c r="O43" s="147"/>
      <c r="P43" s="147"/>
      <c r="Q43" s="147"/>
      <c r="R43" s="516">
        <f>SUM(E43:Q43)</f>
        <v>14500</v>
      </c>
      <c r="S43" s="147">
        <v>14500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608355</v>
      </c>
      <c r="C45" s="147">
        <v>608355</v>
      </c>
      <c r="D45" s="147"/>
      <c r="E45" s="147">
        <v>608355</v>
      </c>
      <c r="F45" s="147"/>
      <c r="G45" s="147"/>
      <c r="H45" s="147"/>
      <c r="I45" s="147"/>
      <c r="J45" s="147"/>
      <c r="K45" s="147"/>
      <c r="L45" s="147"/>
      <c r="M45" s="147"/>
      <c r="N45" s="147"/>
      <c r="O45" s="147"/>
      <c r="P45" s="147"/>
      <c r="Q45" s="147"/>
      <c r="R45" s="516">
        <f t="shared" ref="R45:R53" si="11">SUM(E45:Q45)</f>
        <v>608355</v>
      </c>
      <c r="S45" s="147">
        <v>517086</v>
      </c>
      <c r="T45" s="147"/>
      <c r="U45" s="143"/>
    </row>
    <row r="46" spans="1:21" s="144" customFormat="1">
      <c r="A46" s="145" t="s">
        <v>151</v>
      </c>
      <c r="B46" s="146">
        <f t="shared" si="10"/>
        <v>195800</v>
      </c>
      <c r="C46" s="147">
        <v>195800</v>
      </c>
      <c r="D46" s="147"/>
      <c r="E46" s="147">
        <v>195800</v>
      </c>
      <c r="F46" s="147"/>
      <c r="G46" s="147"/>
      <c r="H46" s="147"/>
      <c r="I46" s="147"/>
      <c r="J46" s="147"/>
      <c r="K46" s="147"/>
      <c r="L46" s="147"/>
      <c r="M46" s="147"/>
      <c r="N46" s="147"/>
      <c r="O46" s="147"/>
      <c r="P46" s="147"/>
      <c r="Q46" s="147"/>
      <c r="R46" s="516">
        <f t="shared" si="11"/>
        <v>195800</v>
      </c>
      <c r="S46" s="147">
        <v>195800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40000</v>
      </c>
      <c r="C50" s="147">
        <v>40000</v>
      </c>
      <c r="D50" s="147"/>
      <c r="E50" s="147">
        <v>40000</v>
      </c>
      <c r="F50" s="147"/>
      <c r="G50" s="147"/>
      <c r="H50" s="147"/>
      <c r="I50" s="147"/>
      <c r="J50" s="147"/>
      <c r="K50" s="147"/>
      <c r="L50" s="147"/>
      <c r="M50" s="147"/>
      <c r="N50" s="147"/>
      <c r="O50" s="147"/>
      <c r="P50" s="147"/>
      <c r="Q50" s="147"/>
      <c r="R50" s="516">
        <f t="shared" si="11"/>
        <v>40000</v>
      </c>
      <c r="S50" s="147">
        <v>40000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58500</v>
      </c>
      <c r="C52" s="147">
        <v>58500</v>
      </c>
      <c r="D52" s="147"/>
      <c r="E52" s="147">
        <v>58500</v>
      </c>
      <c r="F52" s="147"/>
      <c r="G52" s="147"/>
      <c r="H52" s="147"/>
      <c r="I52" s="147"/>
      <c r="J52" s="147"/>
      <c r="K52" s="147"/>
      <c r="L52" s="147"/>
      <c r="M52" s="147"/>
      <c r="N52" s="147"/>
      <c r="O52" s="147"/>
      <c r="P52" s="147"/>
      <c r="Q52" s="147"/>
      <c r="R52" s="516">
        <f t="shared" si="11"/>
        <v>58500</v>
      </c>
      <c r="S52" s="147"/>
      <c r="T52" s="147"/>
      <c r="U52" s="143"/>
    </row>
    <row r="53" spans="1:21" s="144" customFormat="1">
      <c r="A53" s="1149" t="s">
        <v>2738</v>
      </c>
      <c r="B53" s="146">
        <f t="shared" si="10"/>
        <v>190000</v>
      </c>
      <c r="C53" s="147">
        <v>190000</v>
      </c>
      <c r="D53" s="147"/>
      <c r="E53" s="147">
        <v>190000</v>
      </c>
      <c r="F53" s="147"/>
      <c r="G53" s="147"/>
      <c r="H53" s="147"/>
      <c r="I53" s="147"/>
      <c r="J53" s="147"/>
      <c r="K53" s="147"/>
      <c r="L53" s="147"/>
      <c r="M53" s="147"/>
      <c r="N53" s="147"/>
      <c r="O53" s="147"/>
      <c r="P53" s="147"/>
      <c r="Q53" s="147"/>
      <c r="R53" s="516">
        <f t="shared" si="11"/>
        <v>190000</v>
      </c>
      <c r="S53" s="147">
        <v>190000</v>
      </c>
      <c r="T53" s="147"/>
      <c r="U53" s="143"/>
    </row>
    <row r="54" spans="1:21" s="153" customFormat="1">
      <c r="A54" s="149" t="s">
        <v>157</v>
      </c>
      <c r="B54" s="150">
        <f>SUM(C54:D54)</f>
        <v>1092655</v>
      </c>
      <c r="C54" s="150">
        <f t="shared" ref="C54:T54" si="12">SUM(C45:C53)</f>
        <v>1092655</v>
      </c>
      <c r="D54" s="150">
        <f t="shared" si="12"/>
        <v>0</v>
      </c>
      <c r="E54" s="150">
        <f t="shared" si="12"/>
        <v>1092655</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1092655</v>
      </c>
      <c r="S54" s="150">
        <f t="shared" si="12"/>
        <v>942886</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v>10000</v>
      </c>
      <c r="F56" s="147"/>
      <c r="G56" s="147"/>
      <c r="H56" s="147"/>
      <c r="I56" s="147"/>
      <c r="J56" s="147"/>
      <c r="K56" s="147"/>
      <c r="L56" s="147"/>
      <c r="M56" s="147"/>
      <c r="N56" s="147"/>
      <c r="O56" s="147"/>
      <c r="P56" s="147"/>
      <c r="Q56" s="147"/>
      <c r="R56" s="516">
        <f t="shared" ref="R56:R61" si="14">SUM(E56:Q56)</f>
        <v>10000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2738</v>
      </c>
      <c r="B61" s="146">
        <f t="shared" si="13"/>
        <v>229680</v>
      </c>
      <c r="C61" s="147">
        <v>229680</v>
      </c>
      <c r="D61" s="147"/>
      <c r="E61" s="147">
        <v>229680</v>
      </c>
      <c r="F61" s="147"/>
      <c r="G61" s="147"/>
      <c r="H61" s="147"/>
      <c r="I61" s="147"/>
      <c r="J61" s="147"/>
      <c r="K61" s="147"/>
      <c r="L61" s="147"/>
      <c r="M61" s="147"/>
      <c r="N61" s="147"/>
      <c r="O61" s="147"/>
      <c r="P61" s="147"/>
      <c r="Q61" s="147"/>
      <c r="R61" s="516">
        <f t="shared" si="14"/>
        <v>229680</v>
      </c>
      <c r="S61" s="148"/>
      <c r="T61" s="148"/>
      <c r="U61" s="143"/>
    </row>
    <row r="62" spans="1:21" s="144" customFormat="1" ht="13.7" customHeight="1">
      <c r="A62" s="149" t="s">
        <v>301</v>
      </c>
      <c r="B62" s="146">
        <f>SUM(C62:D62)</f>
        <v>239680</v>
      </c>
      <c r="C62" s="146">
        <f t="shared" ref="C62:R62" si="15">SUM(C56:C61)</f>
        <v>239680</v>
      </c>
      <c r="D62" s="146">
        <f t="shared" si="15"/>
        <v>0</v>
      </c>
      <c r="E62" s="146">
        <f t="shared" si="15"/>
        <v>239680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239680</v>
      </c>
      <c r="S62" s="148"/>
      <c r="T62" s="148"/>
      <c r="U62" s="143"/>
    </row>
    <row r="63" spans="1:21" s="144" customFormat="1">
      <c r="A63" s="154" t="s">
        <v>302</v>
      </c>
      <c r="B63" s="146">
        <f t="shared" ref="B63:R63" si="16">SUM(B8+B11+B13+B14+B15+B26+B27+B38+B42+B43+B54+B62)</f>
        <v>24405287</v>
      </c>
      <c r="C63" s="146">
        <f t="shared" si="16"/>
        <v>24405287</v>
      </c>
      <c r="D63" s="146">
        <f t="shared" si="16"/>
        <v>0</v>
      </c>
      <c r="E63" s="146">
        <f t="shared" si="16"/>
        <v>6371224</v>
      </c>
      <c r="F63" s="146">
        <f t="shared" si="16"/>
        <v>5365556</v>
      </c>
      <c r="G63" s="146">
        <f t="shared" si="16"/>
        <v>8825000</v>
      </c>
      <c r="H63" s="146">
        <f t="shared" si="16"/>
        <v>3658198</v>
      </c>
      <c r="I63" s="146">
        <f t="shared" si="16"/>
        <v>185309</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24405287</v>
      </c>
      <c r="S63" s="146">
        <f>SUM(S10+S13+S14+S15+S26+S27+S38+S42+S43+S54)</f>
        <v>7877643</v>
      </c>
      <c r="T63" s="146">
        <f>SUM(T11+T13+T14+T15+T26+T27+T38+T42+T43+T54)</f>
        <v>14872394</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16">
        <f>SUM(E65:Q65)</f>
        <v>60000</v>
      </c>
      <c r="S65" s="147">
        <v>60000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2739</v>
      </c>
      <c r="B69" s="146">
        <f>SUM(C69+D69)</f>
        <v>135000</v>
      </c>
      <c r="C69" s="147">
        <v>135000</v>
      </c>
      <c r="D69" s="147"/>
      <c r="E69" s="147">
        <v>135000</v>
      </c>
      <c r="F69" s="147"/>
      <c r="G69" s="147"/>
      <c r="H69" s="147"/>
      <c r="I69" s="147"/>
      <c r="J69" s="147"/>
      <c r="K69" s="147"/>
      <c r="L69" s="147"/>
      <c r="M69" s="147"/>
      <c r="N69" s="147"/>
      <c r="O69" s="147"/>
      <c r="P69" s="147"/>
      <c r="Q69" s="147"/>
      <c r="R69" s="516">
        <f>SUM(E69:Q69)</f>
        <v>135000</v>
      </c>
      <c r="S69" s="147">
        <v>67500</v>
      </c>
      <c r="T69" s="147"/>
      <c r="U69" s="143"/>
    </row>
    <row r="70" spans="1:21" s="144" customFormat="1">
      <c r="A70" s="149" t="s">
        <v>1645</v>
      </c>
      <c r="B70" s="146">
        <f>SUM(C70:D70)</f>
        <v>195000</v>
      </c>
      <c r="C70" s="146">
        <f>SUM(C65:C69)</f>
        <v>195000</v>
      </c>
      <c r="D70" s="146">
        <f>SUM(D65:D69)</f>
        <v>0</v>
      </c>
      <c r="E70" s="146">
        <f t="shared" ref="E70:T70" si="17">SUM(E65:E69)</f>
        <v>195000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195000</v>
      </c>
      <c r="S70" s="150">
        <f t="shared" si="17"/>
        <v>127500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303289</v>
      </c>
      <c r="C75" s="147">
        <v>303289</v>
      </c>
      <c r="D75" s="147"/>
      <c r="E75" s="147"/>
      <c r="F75" s="147"/>
      <c r="G75" s="147"/>
      <c r="H75" s="147"/>
      <c r="I75" s="147">
        <v>303289</v>
      </c>
      <c r="J75" s="147"/>
      <c r="K75" s="147"/>
      <c r="L75" s="147"/>
      <c r="M75" s="147"/>
      <c r="N75" s="147"/>
      <c r="O75" s="147"/>
      <c r="P75" s="147"/>
      <c r="Q75" s="147"/>
      <c r="R75" s="516">
        <f>SUM(E75:Q75)</f>
        <v>303289</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303289</v>
      </c>
      <c r="C77" s="146">
        <f>SUM(C72:C76)</f>
        <v>303289</v>
      </c>
      <c r="D77" s="146">
        <f>SUM(D72:D76)</f>
        <v>0</v>
      </c>
      <c r="E77" s="146">
        <f t="shared" ref="E77:Q77" si="18">SUM(E72:E76)</f>
        <v>0</v>
      </c>
      <c r="F77" s="146">
        <f t="shared" si="18"/>
        <v>0</v>
      </c>
      <c r="G77" s="146">
        <f t="shared" si="18"/>
        <v>0</v>
      </c>
      <c r="H77" s="146">
        <f t="shared" si="18"/>
        <v>0</v>
      </c>
      <c r="I77" s="146">
        <f t="shared" si="18"/>
        <v>303289</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303289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584130</v>
      </c>
      <c r="C79" s="147">
        <v>584130</v>
      </c>
      <c r="D79" s="147"/>
      <c r="E79" s="147">
        <v>584130</v>
      </c>
      <c r="F79" s="147"/>
      <c r="G79" s="147"/>
      <c r="H79" s="147"/>
      <c r="I79" s="147"/>
      <c r="J79" s="147"/>
      <c r="K79" s="147"/>
      <c r="L79" s="147"/>
      <c r="M79" s="147"/>
      <c r="N79" s="147"/>
      <c r="O79" s="147"/>
      <c r="P79" s="147"/>
      <c r="Q79" s="147"/>
      <c r="R79" s="516">
        <f>SUM(E79:Q79)</f>
        <v>584130</v>
      </c>
      <c r="S79" s="147">
        <v>584130</v>
      </c>
      <c r="T79" s="147"/>
      <c r="U79" s="143"/>
    </row>
    <row r="80" spans="1:21" s="144" customFormat="1">
      <c r="A80" s="283" t="s">
        <v>58</v>
      </c>
      <c r="B80" s="146">
        <f>SUM(C80:D80)</f>
        <v>157500</v>
      </c>
      <c r="C80" s="147">
        <v>157500</v>
      </c>
      <c r="D80" s="147"/>
      <c r="E80" s="147">
        <v>157500</v>
      </c>
      <c r="F80" s="147"/>
      <c r="G80" s="147"/>
      <c r="H80" s="147"/>
      <c r="I80" s="147"/>
      <c r="J80" s="147"/>
      <c r="K80" s="147"/>
      <c r="L80" s="147"/>
      <c r="M80" s="147"/>
      <c r="N80" s="147"/>
      <c r="O80" s="147"/>
      <c r="P80" s="147"/>
      <c r="Q80" s="147"/>
      <c r="R80" s="516">
        <f>SUM(E80:Q80)</f>
        <v>157500</v>
      </c>
      <c r="S80" s="147">
        <v>39375</v>
      </c>
      <c r="T80" s="147"/>
      <c r="U80" s="143"/>
    </row>
    <row r="81" spans="1:21" s="144" customFormat="1">
      <c r="A81" s="149" t="s">
        <v>1209</v>
      </c>
      <c r="B81" s="146">
        <f>SUM(C81:D81)</f>
        <v>741630</v>
      </c>
      <c r="C81" s="509">
        <f>SUM(C79:C80)</f>
        <v>741630</v>
      </c>
      <c r="D81" s="509">
        <f t="shared" ref="D81:T81" si="19">SUM(D79:D80)</f>
        <v>0</v>
      </c>
      <c r="E81" s="509">
        <f t="shared" si="19"/>
        <v>741630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741630</v>
      </c>
      <c r="S81" s="509">
        <f t="shared" si="19"/>
        <v>623505</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65093</v>
      </c>
      <c r="C83" s="147">
        <v>65093</v>
      </c>
      <c r="D83" s="147"/>
      <c r="E83" s="147">
        <v>65093</v>
      </c>
      <c r="F83" s="147"/>
      <c r="G83" s="147"/>
      <c r="H83" s="147"/>
      <c r="I83" s="147"/>
      <c r="J83" s="147"/>
      <c r="K83" s="147"/>
      <c r="L83" s="147"/>
      <c r="M83" s="147"/>
      <c r="N83" s="147"/>
      <c r="O83" s="147"/>
      <c r="P83" s="147"/>
      <c r="Q83" s="147"/>
      <c r="R83" s="516">
        <f t="shared" ref="R83:R95" si="21">SUM(E83:Q83)</f>
        <v>65093</v>
      </c>
      <c r="S83" s="148"/>
      <c r="T83" s="148"/>
      <c r="U83" s="143"/>
    </row>
    <row r="84" spans="1:21" s="144" customFormat="1">
      <c r="A84" s="145" t="s">
        <v>767</v>
      </c>
      <c r="B84" s="146">
        <f t="shared" si="20"/>
        <v>85200</v>
      </c>
      <c r="C84" s="147">
        <v>85200</v>
      </c>
      <c r="D84" s="147"/>
      <c r="E84" s="147">
        <v>85200</v>
      </c>
      <c r="F84" s="147"/>
      <c r="G84" s="147"/>
      <c r="H84" s="147"/>
      <c r="I84" s="147"/>
      <c r="J84" s="147"/>
      <c r="K84" s="147"/>
      <c r="L84" s="147"/>
      <c r="M84" s="147"/>
      <c r="N84" s="147"/>
      <c r="O84" s="147"/>
      <c r="P84" s="147"/>
      <c r="Q84" s="147"/>
      <c r="R84" s="516">
        <f t="shared" si="21"/>
        <v>85200</v>
      </c>
      <c r="S84" s="147">
        <v>85200</v>
      </c>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75000</v>
      </c>
      <c r="C89" s="147">
        <v>75000</v>
      </c>
      <c r="D89" s="147"/>
      <c r="E89" s="147">
        <v>75000</v>
      </c>
      <c r="F89" s="147"/>
      <c r="G89" s="147"/>
      <c r="H89" s="147"/>
      <c r="I89" s="147"/>
      <c r="J89" s="147"/>
      <c r="K89" s="147"/>
      <c r="L89" s="147"/>
      <c r="M89" s="147"/>
      <c r="N89" s="147"/>
      <c r="O89" s="147"/>
      <c r="P89" s="147"/>
      <c r="Q89" s="147"/>
      <c r="R89" s="516">
        <f t="shared" si="21"/>
        <v>75000</v>
      </c>
      <c r="S89" s="147">
        <v>75000</v>
      </c>
      <c r="T89" s="147"/>
      <c r="U89" s="143"/>
    </row>
    <row r="90" spans="1:21" s="144" customFormat="1">
      <c r="A90" s="145" t="s">
        <v>773</v>
      </c>
      <c r="B90" s="146">
        <f t="shared" si="20"/>
        <v>5000</v>
      </c>
      <c r="C90" s="147">
        <v>5000</v>
      </c>
      <c r="D90" s="147"/>
      <c r="E90" s="147">
        <v>5000</v>
      </c>
      <c r="F90" s="147"/>
      <c r="G90" s="147"/>
      <c r="H90" s="147"/>
      <c r="I90" s="147"/>
      <c r="J90" s="147"/>
      <c r="K90" s="147"/>
      <c r="L90" s="147"/>
      <c r="M90" s="147"/>
      <c r="N90" s="147"/>
      <c r="O90" s="147"/>
      <c r="P90" s="147"/>
      <c r="Q90" s="147"/>
      <c r="R90" s="516">
        <f t="shared" si="21"/>
        <v>5000</v>
      </c>
      <c r="S90" s="147">
        <v>5000</v>
      </c>
      <c r="T90" s="147"/>
      <c r="U90" s="143"/>
    </row>
    <row r="91" spans="1:21" s="144" customFormat="1">
      <c r="A91" s="145" t="s">
        <v>372</v>
      </c>
      <c r="B91" s="146">
        <f t="shared" si="20"/>
        <v>35000</v>
      </c>
      <c r="C91" s="147">
        <v>35000</v>
      </c>
      <c r="D91" s="147"/>
      <c r="E91" s="147">
        <v>35000</v>
      </c>
      <c r="F91" s="147"/>
      <c r="G91" s="147"/>
      <c r="H91" s="147"/>
      <c r="I91" s="147"/>
      <c r="J91" s="147"/>
      <c r="K91" s="147"/>
      <c r="L91" s="147"/>
      <c r="M91" s="147"/>
      <c r="N91" s="147"/>
      <c r="O91" s="147"/>
      <c r="P91" s="147"/>
      <c r="Q91" s="147"/>
      <c r="R91" s="516">
        <f t="shared" si="21"/>
        <v>35000</v>
      </c>
      <c r="S91" s="147">
        <v>20000</v>
      </c>
      <c r="T91" s="147"/>
      <c r="U91" s="143"/>
    </row>
    <row r="92" spans="1:21" s="144" customFormat="1">
      <c r="A92" s="283" t="s">
        <v>1211</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275293</v>
      </c>
      <c r="C96" s="146">
        <f t="shared" ref="C96:R96" si="22">SUM(C83:C95)</f>
        <v>275293</v>
      </c>
      <c r="D96" s="146">
        <f t="shared" si="22"/>
        <v>0</v>
      </c>
      <c r="E96" s="146">
        <f t="shared" si="22"/>
        <v>275293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275293</v>
      </c>
      <c r="S96" s="150">
        <f>SUM(S84:S87,S89:S95)</f>
        <v>195200</v>
      </c>
      <c r="T96" s="146">
        <f>SUM(T84:T87,T89:T95)</f>
        <v>0</v>
      </c>
      <c r="U96" s="143"/>
    </row>
    <row r="97" spans="1:21" s="144" customFormat="1">
      <c r="A97" s="149" t="s">
        <v>775</v>
      </c>
      <c r="B97" s="146">
        <f>SUM(C97:D97)</f>
        <v>25920499</v>
      </c>
      <c r="C97" s="146">
        <f t="shared" ref="C97:R97" si="23">SUM(C63+C70+C77+C81+C96)</f>
        <v>25920499</v>
      </c>
      <c r="D97" s="146">
        <f t="shared" si="23"/>
        <v>0</v>
      </c>
      <c r="E97" s="146">
        <f t="shared" si="23"/>
        <v>7583147</v>
      </c>
      <c r="F97" s="146">
        <f t="shared" si="23"/>
        <v>5365556</v>
      </c>
      <c r="G97" s="146">
        <f t="shared" si="23"/>
        <v>8825000</v>
      </c>
      <c r="H97" s="146">
        <f t="shared" si="23"/>
        <v>3658198</v>
      </c>
      <c r="I97" s="146">
        <f t="shared" si="23"/>
        <v>488598</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25920499</v>
      </c>
      <c r="S97" s="146">
        <f>SUM(S63+S70+S81+S96)</f>
        <v>8823848</v>
      </c>
      <c r="T97" s="146">
        <f>SUM(T63+T70+T81+T96)</f>
        <v>14872394</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2067197</v>
      </c>
      <c r="C99" s="979">
        <v>2067197</v>
      </c>
      <c r="D99" s="979"/>
      <c r="E99" s="979">
        <v>1520078</v>
      </c>
      <c r="F99" s="147"/>
      <c r="G99" s="147"/>
      <c r="H99" s="147"/>
      <c r="I99" s="147"/>
      <c r="J99" s="147">
        <v>547119</v>
      </c>
      <c r="K99" s="147"/>
      <c r="L99" s="147"/>
      <c r="M99" s="147"/>
      <c r="N99" s="147"/>
      <c r="O99" s="147"/>
      <c r="P99" s="147"/>
      <c r="Q99" s="147"/>
      <c r="R99" s="516">
        <f>SUM(E99:Q99)</f>
        <v>2067197</v>
      </c>
      <c r="S99" s="147">
        <v>1323577</v>
      </c>
      <c r="T99" s="147">
        <v>743620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2067197</v>
      </c>
      <c r="C104" s="146">
        <f>SUM(C99:C103)</f>
        <v>2067197</v>
      </c>
      <c r="D104" s="146">
        <f t="shared" ref="D104:T104" si="24">SUM(D99:D103)</f>
        <v>0</v>
      </c>
      <c r="E104" s="146">
        <f t="shared" si="24"/>
        <v>1520078</v>
      </c>
      <c r="F104" s="146">
        <f t="shared" si="24"/>
        <v>0</v>
      </c>
      <c r="G104" s="146">
        <f t="shared" si="24"/>
        <v>0</v>
      </c>
      <c r="H104" s="146">
        <f t="shared" si="24"/>
        <v>0</v>
      </c>
      <c r="I104" s="146">
        <f t="shared" si="24"/>
        <v>0</v>
      </c>
      <c r="J104" s="146">
        <f t="shared" si="24"/>
        <v>547119</v>
      </c>
      <c r="K104" s="146">
        <f t="shared" si="24"/>
        <v>0</v>
      </c>
      <c r="L104" s="146">
        <f t="shared" si="24"/>
        <v>0</v>
      </c>
      <c r="M104" s="146">
        <f t="shared" si="24"/>
        <v>0</v>
      </c>
      <c r="N104" s="146">
        <f t="shared" si="24"/>
        <v>0</v>
      </c>
      <c r="O104" s="146">
        <f t="shared" si="24"/>
        <v>0</v>
      </c>
      <c r="P104" s="146">
        <f t="shared" si="24"/>
        <v>0</v>
      </c>
      <c r="Q104" s="146">
        <f t="shared" si="24"/>
        <v>0</v>
      </c>
      <c r="R104" s="342">
        <f t="shared" si="24"/>
        <v>2067197</v>
      </c>
      <c r="S104" s="150">
        <f t="shared" si="24"/>
        <v>1323577</v>
      </c>
      <c r="T104" s="150">
        <f t="shared" si="24"/>
        <v>743620</v>
      </c>
      <c r="U104" s="143"/>
    </row>
    <row r="105" spans="1:21" s="144" customFormat="1">
      <c r="A105" s="149" t="s">
        <v>780</v>
      </c>
      <c r="B105" s="150">
        <f>SUM(C105:D105)</f>
        <v>27987696</v>
      </c>
      <c r="C105" s="150">
        <f t="shared" ref="C105:R105" si="25">SUM(C97+C104)</f>
        <v>27987696</v>
      </c>
      <c r="D105" s="150">
        <f t="shared" si="25"/>
        <v>0</v>
      </c>
      <c r="E105" s="150">
        <f t="shared" si="25"/>
        <v>9103225</v>
      </c>
      <c r="F105" s="150">
        <f t="shared" si="25"/>
        <v>5365556</v>
      </c>
      <c r="G105" s="150">
        <f t="shared" si="25"/>
        <v>8825000</v>
      </c>
      <c r="H105" s="150">
        <f t="shared" si="25"/>
        <v>3658198</v>
      </c>
      <c r="I105" s="150">
        <f t="shared" si="25"/>
        <v>488598</v>
      </c>
      <c r="J105" s="150">
        <f t="shared" si="25"/>
        <v>547119</v>
      </c>
      <c r="K105" s="150">
        <f t="shared" si="25"/>
        <v>0</v>
      </c>
      <c r="L105" s="150">
        <f t="shared" si="25"/>
        <v>0</v>
      </c>
      <c r="M105" s="150">
        <f t="shared" si="25"/>
        <v>0</v>
      </c>
      <c r="N105" s="150">
        <f t="shared" si="25"/>
        <v>0</v>
      </c>
      <c r="O105" s="150">
        <f t="shared" si="25"/>
        <v>0</v>
      </c>
      <c r="P105" s="150">
        <f t="shared" si="25"/>
        <v>0</v>
      </c>
      <c r="Q105" s="150">
        <f t="shared" si="25"/>
        <v>0</v>
      </c>
      <c r="R105" s="342">
        <f t="shared" si="25"/>
        <v>27987696</v>
      </c>
      <c r="S105" s="150">
        <f>S97+S104</f>
        <v>10147425</v>
      </c>
      <c r="T105" s="150">
        <f>T97+T104</f>
        <v>15616014</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10147425</v>
      </c>
      <c r="T107" s="150">
        <f>T105+T106</f>
        <v>15616014</v>
      </c>
    </row>
    <row r="108" spans="1:21" s="189" customFormat="1">
      <c r="A108" s="162" t="s">
        <v>879</v>
      </c>
      <c r="B108" s="157"/>
      <c r="C108" s="157"/>
      <c r="D108" s="157"/>
      <c r="E108" s="301">
        <f>Application!AO640</f>
        <v>9103225</v>
      </c>
      <c r="F108" s="301">
        <f>Application!AO627</f>
        <v>5365556</v>
      </c>
      <c r="G108" s="301">
        <f>Application!AO628</f>
        <v>8825000</v>
      </c>
      <c r="H108" s="301">
        <f>Application!AO629</f>
        <v>3658198</v>
      </c>
      <c r="I108" s="301">
        <f>Application!AO630</f>
        <v>488598</v>
      </c>
      <c r="J108" s="301">
        <f>Application!AO631</f>
        <v>547119</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3" t="s">
        <v>990</v>
      </c>
      <c r="E122" s="1873"/>
      <c r="F122" s="1873"/>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5" t="s">
        <v>1224</v>
      </c>
      <c r="E123" s="1555"/>
      <c r="F123" s="1555"/>
      <c r="G123" s="1555"/>
      <c r="H123" s="1555"/>
      <c r="I123" s="1555"/>
      <c r="J123" s="1555"/>
      <c r="K123" s="1555"/>
      <c r="L123" s="1555"/>
      <c r="M123" s="1555"/>
      <c r="N123" s="1555"/>
      <c r="O123" s="1555"/>
      <c r="P123" s="1555"/>
      <c r="Q123" s="1555"/>
      <c r="R123" s="1555"/>
      <c r="S123" s="1555"/>
      <c r="T123" s="324"/>
      <c r="U123" s="326"/>
    </row>
    <row r="124" spans="1:21" ht="12.75">
      <c r="A124" s="117" t="s">
        <v>992</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75">
      <c r="A125" s="117" t="s">
        <v>993</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75">
      <c r="A129" s="117" t="s">
        <v>300</v>
      </c>
      <c r="B129" s="333"/>
      <c r="C129" s="117"/>
      <c r="D129" s="1872" t="s">
        <v>997</v>
      </c>
      <c r="E129" s="1872"/>
      <c r="F129" s="1872"/>
      <c r="G129" s="1872"/>
      <c r="H129" s="1872"/>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6" t="s">
        <v>1000</v>
      </c>
      <c r="E132" s="1866"/>
      <c r="F132" s="1866"/>
      <c r="G132" s="1866"/>
      <c r="H132" s="1866"/>
      <c r="I132" s="117"/>
      <c r="J132" s="1866" t="s">
        <v>1001</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2.75">
      <c r="A139" s="1863" t="s">
        <v>1004</v>
      </c>
      <c r="B139" s="1863"/>
      <c r="C139" s="186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1227</v>
      </c>
      <c r="B1" s="1877"/>
      <c r="C1" s="1877"/>
      <c r="D1" s="1877"/>
      <c r="E1" s="1877"/>
      <c r="F1" s="1877"/>
      <c r="G1" s="1877"/>
      <c r="H1" s="1877"/>
      <c r="I1" s="1877"/>
      <c r="J1" s="1878"/>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585000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585000</v>
      </c>
      <c r="C8" s="361">
        <f>SUM(C4:C7)</f>
        <v>0</v>
      </c>
      <c r="D8" s="361">
        <f>SUM(D4:D7)</f>
        <v>0</v>
      </c>
      <c r="E8" s="363"/>
      <c r="F8" s="363"/>
      <c r="G8" s="363"/>
      <c r="H8" s="363"/>
      <c r="I8" s="363"/>
      <c r="J8" s="363"/>
      <c r="K8" s="359"/>
    </row>
    <row r="9" spans="1:11" s="360" customFormat="1">
      <c r="A9" s="364" t="s">
        <v>594</v>
      </c>
      <c r="B9" s="361">
        <f>'Sources and Uses Budget'!C9</f>
        <v>14872394</v>
      </c>
      <c r="C9" s="362"/>
      <c r="D9" s="362"/>
      <c r="E9" s="363"/>
      <c r="F9" s="363"/>
      <c r="G9" s="363"/>
      <c r="H9" s="361">
        <f>'Sources and Uses Budget'!T9</f>
        <v>14872394</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14872394</v>
      </c>
      <c r="C11" s="361">
        <f>SUM(C9:C10)</f>
        <v>0</v>
      </c>
      <c r="D11" s="361">
        <f>SUM(D9:D10)</f>
        <v>0</v>
      </c>
      <c r="E11" s="363"/>
      <c r="F11" s="363"/>
      <c r="G11" s="363"/>
      <c r="H11" s="361">
        <f>'Sources and Uses Budget'!T11</f>
        <v>14872394</v>
      </c>
      <c r="I11" s="361">
        <f>SUM(I9:I10)</f>
        <v>0</v>
      </c>
      <c r="J11" s="361">
        <f>SUM(J9:J10)</f>
        <v>0</v>
      </c>
      <c r="K11" s="359"/>
    </row>
    <row r="12" spans="1:11" s="360" customFormat="1">
      <c r="A12" s="365" t="s">
        <v>84</v>
      </c>
      <c r="B12" s="361">
        <f>'Sources and Uses Budget'!C12</f>
        <v>15457394</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5838000</v>
      </c>
      <c r="C18" s="362"/>
      <c r="D18" s="362"/>
      <c r="E18" s="361">
        <f>'Sources and Uses Budget'!S18</f>
        <v>5838000</v>
      </c>
      <c r="F18" s="362"/>
      <c r="G18" s="362"/>
      <c r="H18" s="361">
        <f>'Sources and Uses Budget'!T18</f>
        <v>0</v>
      </c>
      <c r="I18" s="362"/>
      <c r="J18" s="362"/>
      <c r="K18" s="359"/>
    </row>
    <row r="19" spans="1:11" s="360" customFormat="1">
      <c r="A19" s="364" t="s">
        <v>600</v>
      </c>
      <c r="B19" s="361">
        <f>'Sources and Uses Budget'!C19</f>
        <v>116766</v>
      </c>
      <c r="C19" s="362"/>
      <c r="D19" s="362"/>
      <c r="E19" s="361">
        <f>'Sources and Uses Budget'!S19</f>
        <v>116766</v>
      </c>
      <c r="F19" s="362"/>
      <c r="G19" s="362"/>
      <c r="H19" s="361">
        <f>'Sources and Uses Budget'!T19</f>
        <v>0</v>
      </c>
      <c r="I19" s="362"/>
      <c r="J19" s="362"/>
      <c r="K19" s="359"/>
    </row>
    <row r="20" spans="1:11" s="360" customFormat="1">
      <c r="A20" s="364" t="s">
        <v>137</v>
      </c>
      <c r="B20" s="361">
        <f>'Sources and Uses Budget'!C20</f>
        <v>350298</v>
      </c>
      <c r="C20" s="362"/>
      <c r="D20" s="362"/>
      <c r="E20" s="361">
        <f>'Sources and Uses Budget'!S20</f>
        <v>350298</v>
      </c>
      <c r="F20" s="362"/>
      <c r="G20" s="362"/>
      <c r="H20" s="361">
        <f>'Sources and Uses Budget'!T20</f>
        <v>0</v>
      </c>
      <c r="I20" s="362"/>
      <c r="J20" s="362"/>
      <c r="K20" s="359"/>
    </row>
    <row r="21" spans="1:11" s="360" customFormat="1">
      <c r="A21" s="364" t="s">
        <v>138</v>
      </c>
      <c r="B21" s="361">
        <f>'Sources and Uses Budget'!C21</f>
        <v>350298</v>
      </c>
      <c r="C21" s="362"/>
      <c r="D21" s="362"/>
      <c r="E21" s="361">
        <f>'Sources and Uses Budget'!S21</f>
        <v>350298</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72395</v>
      </c>
      <c r="C23" s="362"/>
      <c r="D23" s="362"/>
      <c r="E23" s="361">
        <f>'Sources and Uses Budget'!S23</f>
        <v>72395</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6727757</v>
      </c>
      <c r="C26" s="361">
        <f>SUM(C17:C25)</f>
        <v>0</v>
      </c>
      <c r="D26" s="361">
        <f>SUM(D17:D25)</f>
        <v>0</v>
      </c>
      <c r="E26" s="361">
        <f>'Sources and Uses Budget'!S26</f>
        <v>6727757</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680801</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192500</v>
      </c>
      <c r="C40" s="362"/>
      <c r="D40" s="362"/>
      <c r="E40" s="361">
        <f>'Sources and Uses Budget'!S40</f>
        <v>192500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192500</v>
      </c>
      <c r="C42" s="361">
        <f>SUM(C39:C41)</f>
        <v>0</v>
      </c>
      <c r="D42" s="361">
        <f>SUM(D39:D41)</f>
        <v>0</v>
      </c>
      <c r="E42" s="361">
        <f>'Sources and Uses Budget'!S42</f>
        <v>192500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14500</v>
      </c>
      <c r="C43" s="362"/>
      <c r="D43" s="362"/>
      <c r="E43" s="361">
        <f>'Sources and Uses Budget'!S43</f>
        <v>14500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608355</v>
      </c>
      <c r="C45" s="362"/>
      <c r="D45" s="362"/>
      <c r="E45" s="361">
        <f>'Sources and Uses Budget'!S45</f>
        <v>517086</v>
      </c>
      <c r="F45" s="362"/>
      <c r="G45" s="362"/>
      <c r="H45" s="361">
        <f>'Sources and Uses Budget'!T45</f>
        <v>0</v>
      </c>
      <c r="I45" s="362"/>
      <c r="J45" s="362"/>
      <c r="K45" s="359"/>
    </row>
    <row r="46" spans="1:11" s="360" customFormat="1">
      <c r="A46" s="364" t="s">
        <v>151</v>
      </c>
      <c r="B46" s="361">
        <f>'Sources and Uses Budget'!C46</f>
        <v>195800</v>
      </c>
      <c r="C46" s="362"/>
      <c r="D46" s="362"/>
      <c r="E46" s="361">
        <f>'Sources and Uses Budget'!S46</f>
        <v>195800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40000</v>
      </c>
      <c r="C50" s="362"/>
      <c r="D50" s="362"/>
      <c r="E50" s="361">
        <f>'Sources and Uses Budget'!S50</f>
        <v>40000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58500</v>
      </c>
      <c r="C52" s="362"/>
      <c r="D52" s="362"/>
      <c r="E52" s="361">
        <f>'Sources and Uses Budget'!S52</f>
        <v>0</v>
      </c>
      <c r="F52" s="362"/>
      <c r="G52" s="362"/>
      <c r="H52" s="361">
        <f>'Sources and Uses Budget'!T52</f>
        <v>0</v>
      </c>
      <c r="I52" s="362"/>
      <c r="J52" s="362"/>
      <c r="K52" s="359"/>
    </row>
    <row r="53" spans="1:11" s="360" customFormat="1">
      <c r="A53" s="364" t="str">
        <f>'Sources and Uses Budget'!$A53</f>
        <v>Costs of Issuance</v>
      </c>
      <c r="B53" s="361">
        <f>'Sources and Uses Budget'!C53</f>
        <v>190000</v>
      </c>
      <c r="C53" s="362"/>
      <c r="D53" s="362"/>
      <c r="E53" s="361">
        <f>'Sources and Uses Budget'!S53</f>
        <v>190000</v>
      </c>
      <c r="F53" s="362"/>
      <c r="G53" s="362"/>
      <c r="H53" s="361">
        <f>'Sources and Uses Budget'!T53</f>
        <v>0</v>
      </c>
      <c r="I53" s="362"/>
      <c r="J53" s="362"/>
      <c r="K53" s="359"/>
    </row>
    <row r="54" spans="1:11" s="369" customFormat="1">
      <c r="A54" s="365" t="s">
        <v>157</v>
      </c>
      <c r="B54" s="361">
        <f>'Sources and Uses Budget'!C54</f>
        <v>1092655</v>
      </c>
      <c r="C54" s="367">
        <f>SUM(C45:C53)</f>
        <v>0</v>
      </c>
      <c r="D54" s="367">
        <f>SUM(D45:D53)</f>
        <v>0</v>
      </c>
      <c r="E54" s="361">
        <f>'Sources and Uses Budget'!S54</f>
        <v>942886</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Costs of Issuance</v>
      </c>
      <c r="B61" s="361">
        <f>'Sources and Uses Budget'!C61</f>
        <v>229680</v>
      </c>
      <c r="C61" s="362"/>
      <c r="D61" s="362"/>
      <c r="E61" s="363"/>
      <c r="F61" s="363"/>
      <c r="G61" s="363"/>
      <c r="H61" s="363"/>
      <c r="I61" s="363"/>
      <c r="J61" s="363"/>
      <c r="K61" s="359"/>
    </row>
    <row r="62" spans="1:11" s="360" customFormat="1" ht="13.7" customHeight="1">
      <c r="A62" s="365" t="s">
        <v>301</v>
      </c>
      <c r="B62" s="361">
        <f>'Sources and Uses Budget'!C62</f>
        <v>239680</v>
      </c>
      <c r="C62" s="361">
        <f>SUM(C56:C61)</f>
        <v>0</v>
      </c>
      <c r="D62" s="361">
        <f>SUM(D56:D61)</f>
        <v>0</v>
      </c>
      <c r="E62" s="363"/>
      <c r="F62" s="363"/>
      <c r="G62" s="363"/>
      <c r="H62" s="363"/>
      <c r="I62" s="363"/>
      <c r="J62" s="363"/>
      <c r="K62" s="359"/>
    </row>
    <row r="63" spans="1:11" s="360" customFormat="1">
      <c r="A63" s="370" t="s">
        <v>302</v>
      </c>
      <c r="B63" s="361">
        <f>'Sources and Uses Budget'!C63</f>
        <v>24405287</v>
      </c>
      <c r="C63" s="361">
        <f>SUM(C8+C11+C13+C14+C15+C26+C27+C38+C42+C43+C54+C62)</f>
        <v>0</v>
      </c>
      <c r="D63" s="361">
        <f>SUM(D8+D11+D13+D14+D15+D26+D27+D38+D42+D43+D54+D62)</f>
        <v>0</v>
      </c>
      <c r="E63" s="361">
        <f>'Sources and Uses Budget'!S63</f>
        <v>7877643</v>
      </c>
      <c r="F63" s="361">
        <f>SUM(F10+F13+F14+F15+F26+F27+F38+F42+F43+F54)</f>
        <v>0</v>
      </c>
      <c r="G63" s="361">
        <f>SUM(G10+G13+G14+G15+G26+G27+G38+G42+G43+G54)</f>
        <v>0</v>
      </c>
      <c r="H63" s="361">
        <f>'Sources and Uses Budget'!T63</f>
        <v>14872394</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60000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 Counsel</v>
      </c>
      <c r="B69" s="361">
        <f>'Sources and Uses Budget'!C69</f>
        <v>135000</v>
      </c>
      <c r="C69" s="362"/>
      <c r="D69" s="362"/>
      <c r="E69" s="361">
        <f>'Sources and Uses Budget'!S69</f>
        <v>67500</v>
      </c>
      <c r="F69" s="362"/>
      <c r="G69" s="362"/>
      <c r="H69" s="361">
        <f>'Sources and Uses Budget'!T69</f>
        <v>0</v>
      </c>
      <c r="I69" s="362"/>
      <c r="J69" s="362"/>
      <c r="K69" s="359"/>
    </row>
    <row r="70" spans="1:11" s="360" customFormat="1">
      <c r="A70" s="365" t="s">
        <v>601</v>
      </c>
      <c r="B70" s="361">
        <f>'Sources and Uses Budget'!C70</f>
        <v>195000</v>
      </c>
      <c r="C70" s="361">
        <f>SUM(C64:C69)</f>
        <v>0</v>
      </c>
      <c r="D70" s="361">
        <f>SUM(D64:D69)</f>
        <v>0</v>
      </c>
      <c r="E70" s="361">
        <f>'Sources and Uses Budget'!S70</f>
        <v>127500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303289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303289</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584130</v>
      </c>
      <c r="C79" s="362"/>
      <c r="D79" s="362"/>
      <c r="E79" s="361">
        <f>'Sources and Uses Budget'!S79</f>
        <v>584130</v>
      </c>
      <c r="F79" s="362"/>
      <c r="G79" s="362"/>
      <c r="H79" s="361">
        <f>'Sources and Uses Budget'!T79</f>
        <v>0</v>
      </c>
      <c r="I79" s="362"/>
      <c r="J79" s="362"/>
      <c r="K79" s="359"/>
    </row>
    <row r="80" spans="1:11" s="360" customFormat="1">
      <c r="A80" s="364" t="s">
        <v>58</v>
      </c>
      <c r="B80" s="361">
        <f>'Sources and Uses Budget'!C80</f>
        <v>157500</v>
      </c>
      <c r="C80" s="362"/>
      <c r="D80" s="362"/>
      <c r="E80" s="361">
        <f>'Sources and Uses Budget'!S80</f>
        <v>39375</v>
      </c>
      <c r="F80" s="362"/>
      <c r="G80" s="362"/>
      <c r="H80" s="361">
        <f>'Sources and Uses Budget'!T80</f>
        <v>0</v>
      </c>
      <c r="I80" s="362"/>
      <c r="J80" s="362"/>
      <c r="K80" s="359"/>
    </row>
    <row r="81" spans="1:11" s="360" customFormat="1">
      <c r="A81" s="365" t="s">
        <v>1209</v>
      </c>
      <c r="B81" s="361">
        <f>'Sources and Uses Budget'!C81</f>
        <v>741630</v>
      </c>
      <c r="C81" s="361">
        <f>SUM(C79:C80)</f>
        <v>0</v>
      </c>
      <c r="D81" s="361">
        <f>SUM(D79:D80)</f>
        <v>0</v>
      </c>
      <c r="E81" s="361">
        <f>'Sources and Uses Budget'!S81</f>
        <v>623505</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65093</v>
      </c>
      <c r="C83" s="362"/>
      <c r="D83" s="362"/>
      <c r="E83" s="363"/>
      <c r="F83" s="363"/>
      <c r="G83" s="363"/>
      <c r="H83" s="363"/>
      <c r="I83" s="363"/>
      <c r="J83" s="363"/>
      <c r="K83" s="359"/>
    </row>
    <row r="84" spans="1:11" s="360" customFormat="1">
      <c r="A84" s="145" t="s">
        <v>767</v>
      </c>
      <c r="B84" s="361">
        <f>'Sources and Uses Budget'!C84</f>
        <v>85200</v>
      </c>
      <c r="C84" s="362"/>
      <c r="D84" s="362"/>
      <c r="E84" s="361">
        <f>'Sources and Uses Budget'!S84</f>
        <v>85200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75000</v>
      </c>
      <c r="C89" s="362"/>
      <c r="D89" s="362"/>
      <c r="E89" s="361">
        <f>'Sources and Uses Budget'!S89</f>
        <v>75000</v>
      </c>
      <c r="F89" s="362"/>
      <c r="G89" s="362"/>
      <c r="H89" s="361">
        <f>'Sources and Uses Budget'!T89</f>
        <v>0</v>
      </c>
      <c r="I89" s="362"/>
      <c r="J89" s="362"/>
      <c r="K89" s="359"/>
    </row>
    <row r="90" spans="1:11" s="360" customFormat="1">
      <c r="A90" s="145" t="s">
        <v>773</v>
      </c>
      <c r="B90" s="361">
        <f>'Sources and Uses Budget'!C90</f>
        <v>5000</v>
      </c>
      <c r="C90" s="362"/>
      <c r="D90" s="362"/>
      <c r="E90" s="361">
        <f>'Sources and Uses Budget'!S90</f>
        <v>5000</v>
      </c>
      <c r="F90" s="362"/>
      <c r="G90" s="362"/>
      <c r="H90" s="361">
        <f>'Sources and Uses Budget'!T90</f>
        <v>0</v>
      </c>
      <c r="I90" s="362"/>
      <c r="J90" s="362"/>
      <c r="K90" s="359"/>
    </row>
    <row r="91" spans="1:11" s="360" customFormat="1">
      <c r="A91" s="155" t="s">
        <v>372</v>
      </c>
      <c r="B91" s="361">
        <f>'Sources and Uses Budget'!C91</f>
        <v>35000</v>
      </c>
      <c r="C91" s="362"/>
      <c r="D91" s="362"/>
      <c r="E91" s="361">
        <f>'Sources and Uses Budget'!S91</f>
        <v>20000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275293</v>
      </c>
      <c r="C96" s="361">
        <f>SUM(C83:C95)</f>
        <v>0</v>
      </c>
      <c r="D96" s="361">
        <f>SUM(D83:D95)</f>
        <v>0</v>
      </c>
      <c r="E96" s="361">
        <f>'Sources and Uses Budget'!S96</f>
        <v>195200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25920499</v>
      </c>
      <c r="C97" s="361">
        <f>SUM(C63+C70+C77+C81+C96)</f>
        <v>0</v>
      </c>
      <c r="D97" s="361">
        <f>SUM(D63+D70+D77+D81+D96)</f>
        <v>0</v>
      </c>
      <c r="E97" s="361">
        <f>'Sources and Uses Budget'!S97</f>
        <v>8823848</v>
      </c>
      <c r="F97" s="367">
        <f>SUM(+F63+F70+F81+F96)</f>
        <v>0</v>
      </c>
      <c r="G97" s="367">
        <f>SUM(+G63+G70+G81+G96)</f>
        <v>0</v>
      </c>
      <c r="H97" s="361">
        <f>'Sources and Uses Budget'!T97</f>
        <v>14872394</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2067197</v>
      </c>
      <c r="C99" s="362"/>
      <c r="D99" s="362"/>
      <c r="E99" s="361">
        <f>'Sources and Uses Budget'!S99</f>
        <v>1323577</v>
      </c>
      <c r="F99" s="362"/>
      <c r="G99" s="362"/>
      <c r="H99" s="361">
        <f>'Sources and Uses Budget'!T99</f>
        <v>743620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2067197</v>
      </c>
      <c r="C104" s="361">
        <f>SUM(C99:C103)</f>
        <v>0</v>
      </c>
      <c r="D104" s="361">
        <f>SUM(D99:D103)</f>
        <v>0</v>
      </c>
      <c r="E104" s="361">
        <f>'Sources and Uses Budget'!S104</f>
        <v>1323577</v>
      </c>
      <c r="F104" s="367">
        <f>SUM(F99:F103)</f>
        <v>0</v>
      </c>
      <c r="G104" s="367">
        <f>SUM(G99:G103)</f>
        <v>0</v>
      </c>
      <c r="H104" s="361">
        <f>'Sources and Uses Budget'!T104</f>
        <v>743620</v>
      </c>
      <c r="I104" s="367">
        <f>SUM(I99:I103)</f>
        <v>0</v>
      </c>
      <c r="J104" s="367">
        <f>SUM(J99:J103)</f>
        <v>0</v>
      </c>
      <c r="K104" s="359"/>
    </row>
    <row r="105" spans="1:11" s="360" customFormat="1">
      <c r="A105" s="365" t="s">
        <v>1030</v>
      </c>
      <c r="B105" s="361">
        <f>'Sources and Uses Budget'!C105</f>
        <v>27987696</v>
      </c>
      <c r="C105" s="367">
        <f>SUM(C97+C104)</f>
        <v>0</v>
      </c>
      <c r="D105" s="367">
        <f>SUM(D97+D104)</f>
        <v>0</v>
      </c>
      <c r="E105" s="361">
        <f>'Sources and Uses Budget'!S105</f>
        <v>10147425</v>
      </c>
      <c r="F105" s="367">
        <f>F97+F104</f>
        <v>0</v>
      </c>
      <c r="G105" s="367">
        <f>G97+G104</f>
        <v>0</v>
      </c>
      <c r="H105" s="361">
        <f>'Sources and Uses Budget'!T105</f>
        <v>15616014</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10147425</v>
      </c>
      <c r="F107" s="367">
        <f>F105+F106</f>
        <v>0</v>
      </c>
      <c r="G107" s="367">
        <f>G105+G106</f>
        <v>0</v>
      </c>
      <c r="H107" s="361">
        <f>'Sources and Uses Budget'!T107</f>
        <v>15616014</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7" t="s">
        <v>2456</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2455</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9" t="str">
        <f>IF(Application!H18="","",Application!H18)</f>
        <v xml:space="preserve">Mammoth Lakes Family Apartments </v>
      </c>
      <c r="M4" s="1880"/>
      <c r="N4" s="1880"/>
      <c r="O4" s="1880"/>
      <c r="P4" s="1880"/>
      <c r="Q4" s="1880"/>
      <c r="R4" s="1880"/>
      <c r="S4" s="1880"/>
      <c r="T4" s="1880"/>
      <c r="U4" s="1880"/>
      <c r="V4" s="1880"/>
      <c r="W4" s="1880"/>
      <c r="X4" s="1880"/>
      <c r="Y4" s="1880"/>
      <c r="Z4" s="1880"/>
      <c r="AA4" s="1880"/>
      <c r="AB4" s="1880"/>
      <c r="AC4" s="1881"/>
      <c r="AD4" s="1190"/>
      <c r="AE4" s="1190"/>
      <c r="AF4" s="1893" t="s">
        <v>2454</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2453</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9" t="str">
        <f>IF(Application!H16="","",Application!H16)</f>
        <v xml:space="preserve">West Development Ventures, LLC </v>
      </c>
      <c r="M6" s="1880"/>
      <c r="N6" s="1880"/>
      <c r="O6" s="1880"/>
      <c r="P6" s="1880"/>
      <c r="Q6" s="1880"/>
      <c r="R6" s="1880"/>
      <c r="S6" s="1880"/>
      <c r="T6" s="1880"/>
      <c r="U6" s="1880"/>
      <c r="V6" s="1880"/>
      <c r="W6" s="1880"/>
      <c r="X6" s="1880"/>
      <c r="Y6" s="1880"/>
      <c r="Z6" s="1880"/>
      <c r="AA6" s="1880"/>
      <c r="AB6" s="1880"/>
      <c r="AC6" s="1881"/>
      <c r="AD6" s="1190"/>
      <c r="AE6" s="1190"/>
      <c r="AF6" s="1882" t="s">
        <v>2451</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2450</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Yes</v>
      </c>
      <c r="AC8" s="1885"/>
      <c r="AD8" s="1886"/>
      <c r="AE8" s="1190"/>
      <c r="AF8" s="1882" t="s">
        <v>2448</v>
      </c>
      <c r="AG8" s="1882"/>
      <c r="AH8" s="1882"/>
      <c r="AI8" s="1882"/>
      <c r="AJ8" s="1882"/>
      <c r="AK8" s="1882"/>
      <c r="AL8" s="1882"/>
      <c r="AM8" s="1882"/>
      <c r="AN8" s="1882"/>
      <c r="AO8" s="1882"/>
      <c r="AP8" s="1883" t="s">
        <v>2098</v>
      </c>
      <c r="AQ8" s="1883"/>
      <c r="AR8" s="1883"/>
      <c r="AS8" s="1883"/>
      <c r="AT8" s="1883"/>
      <c r="AU8" s="1883"/>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2447</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8">
        <f>Application!AO627</f>
        <v>5365556</v>
      </c>
      <c r="O10" s="1908"/>
      <c r="P10" s="1908"/>
      <c r="Q10" s="1908"/>
      <c r="R10" s="1908"/>
      <c r="S10" s="1908"/>
      <c r="T10" s="1908"/>
      <c r="U10" s="1190"/>
      <c r="V10" s="1190"/>
      <c r="W10" s="1190"/>
      <c r="X10" s="1193"/>
      <c r="Y10" s="1193"/>
      <c r="Z10" s="1193"/>
      <c r="AA10" s="1193"/>
      <c r="AB10" s="1193"/>
      <c r="AC10" s="1193"/>
      <c r="AD10" s="1193"/>
      <c r="AE10" s="1193"/>
      <c r="AF10" s="1893" t="s">
        <v>2444</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2441</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6" t="s">
        <v>2439</v>
      </c>
      <c r="C13" s="1897"/>
      <c r="D13" s="1897"/>
      <c r="E13" s="1897"/>
      <c r="F13" s="1897"/>
      <c r="G13" s="1897"/>
      <c r="H13" s="1897"/>
      <c r="I13" s="1897"/>
      <c r="J13" s="1897"/>
      <c r="K13" s="1897"/>
      <c r="L13" s="1897"/>
      <c r="M13" s="1897"/>
      <c r="N13" s="1897"/>
      <c r="O13" s="1897"/>
      <c r="P13" s="1898"/>
      <c r="Q13" s="1899" t="s">
        <v>669</v>
      </c>
      <c r="R13" s="1900"/>
      <c r="S13" s="1900"/>
      <c r="T13" s="1901"/>
      <c r="U13" s="1193"/>
      <c r="V13" s="1190"/>
      <c r="W13" s="1190"/>
      <c r="X13" s="1190"/>
      <c r="Y13" s="1190"/>
      <c r="Z13" s="1190"/>
      <c r="AA13" s="1902" t="s">
        <v>2438</v>
      </c>
      <c r="AB13" s="1902"/>
      <c r="AC13" s="1902"/>
      <c r="AD13" s="1902"/>
      <c r="AE13" s="1902"/>
      <c r="AF13" s="1902"/>
      <c r="AG13" s="1902"/>
      <c r="AH13" s="1902"/>
      <c r="AI13" s="1902"/>
      <c r="AJ13" s="1902"/>
      <c r="AK13" s="1902"/>
      <c r="AL13" s="1902"/>
      <c r="AM13" s="1902"/>
      <c r="AN13" s="1902"/>
      <c r="AO13" s="1903">
        <f>Application!W473</f>
        <v>0</v>
      </c>
      <c r="AP13" s="1904"/>
      <c r="AQ13" s="1904"/>
      <c r="AR13" s="1904"/>
      <c r="AS13" s="1904"/>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2436</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thickBot="1">
      <c r="A15" s="1190"/>
      <c r="B15" s="1909" t="s">
        <v>2435</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2434</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4" t="s">
        <v>2433</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2432</v>
      </c>
      <c r="C18" s="1918"/>
      <c r="D18" s="1918"/>
      <c r="E18" s="1918"/>
      <c r="F18" s="1918"/>
      <c r="G18" s="1918"/>
      <c r="H18" s="1918"/>
      <c r="I18" s="1919"/>
      <c r="J18" s="1920" t="s">
        <v>1586</v>
      </c>
      <c r="K18" s="1921"/>
      <c r="L18" s="1921"/>
      <c r="M18" s="1921"/>
      <c r="N18" s="1921"/>
      <c r="O18" s="1922"/>
      <c r="P18" s="1920" t="s">
        <v>324</v>
      </c>
      <c r="Q18" s="1921"/>
      <c r="R18" s="1921"/>
      <c r="S18" s="1921"/>
      <c r="T18" s="1921"/>
      <c r="U18" s="1922"/>
      <c r="V18" s="1920" t="s">
        <v>325</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2431</v>
      </c>
      <c r="AU18" s="1921"/>
      <c r="AV18" s="1921"/>
      <c r="AW18" s="1921"/>
      <c r="AX18" s="1921"/>
      <c r="AY18" s="1923"/>
      <c r="AZ18" s="1190"/>
      <c r="BA18" s="1190"/>
      <c r="BB18" s="1190"/>
      <c r="BC18" s="1190"/>
      <c r="BD18" s="1190"/>
      <c r="BE18" s="1194"/>
    </row>
    <row r="19" spans="1:58" ht="15">
      <c r="A19" s="1190"/>
      <c r="B19" s="1924">
        <v>0.3</v>
      </c>
      <c r="C19" s="1925"/>
      <c r="D19" s="1925"/>
      <c r="E19" s="1925"/>
      <c r="F19" s="1925"/>
      <c r="G19" s="1925"/>
      <c r="H19" s="1925"/>
      <c r="I19" s="1926"/>
      <c r="J19" s="1927">
        <f t="shared" ref="J19:J24" si="0">SUM(P19:AS19)</f>
        <v>8</v>
      </c>
      <c r="K19" s="1928"/>
      <c r="L19" s="1928"/>
      <c r="M19" s="1928"/>
      <c r="N19" s="1928"/>
      <c r="O19" s="1929"/>
      <c r="P19" s="1927" cm="1">
        <f t="array" ref="P19">SUMPRODUCT((Application!$B$718:$B$752 = 'CalHFA Addendum'!P$18)*(Application!$AC$718:$AC$752 = 'CalHFA Addendum'!$B19),Application!$G$718:$G$752)</f>
        <v>0</v>
      </c>
      <c r="Q19" s="1928"/>
      <c r="R19" s="1928"/>
      <c r="S19" s="1928"/>
      <c r="T19" s="1928"/>
      <c r="U19" s="1929"/>
      <c r="V19" s="1927" cm="1">
        <f t="array" ref="V19">SUMPRODUCT((Application!$B$714:$B$738 = 'CalHFA Addendum'!V$18)*(Application!$AC$714:$AC$738 = 'CalHFA Addendum'!$B19),Application!$G$714:$G$738)</f>
        <v>0</v>
      </c>
      <c r="W19" s="1928"/>
      <c r="X19" s="1928"/>
      <c r="Y19" s="1928"/>
      <c r="Z19" s="1928"/>
      <c r="AA19" s="1929"/>
      <c r="AB19" s="1927" cm="1">
        <f t="array" ref="AB19">SUMPRODUCT((Application!$B$714:$B$738 = 'CalHFA Addendum'!AB$18)*(Application!$AC$714:$AC$738 = 'CalHFA Addendum'!$B19),Application!$G$714:$G$738)</f>
        <v>4</v>
      </c>
      <c r="AC19" s="1928"/>
      <c r="AD19" s="1928"/>
      <c r="AE19" s="1928"/>
      <c r="AF19" s="1928"/>
      <c r="AG19" s="1929"/>
      <c r="AH19" s="1927" cm="1">
        <f t="array" ref="AH19">SUMPRODUCT((Application!$B$714:$B$738 = 'CalHFA Addendum'!AH$18)*(Application!$AC$714:$AC$738 = 'CalHFA Addendum'!$B19),Application!$G$714:$G$738)</f>
        <v>4</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0.10256410256410256</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90"/>
      <c r="BA20" s="1190"/>
      <c r="BB20" s="1190"/>
      <c r="BC20" s="1190"/>
      <c r="BD20" s="1190"/>
      <c r="BE20" s="1194"/>
    </row>
    <row r="21" spans="1:58" ht="15">
      <c r="A21" s="1190"/>
      <c r="B21" s="1924">
        <v>0.5</v>
      </c>
      <c r="C21" s="1925"/>
      <c r="D21" s="1925"/>
      <c r="E21" s="1925"/>
      <c r="F21" s="1925"/>
      <c r="G21" s="1925"/>
      <c r="H21" s="1925"/>
      <c r="I21" s="1926"/>
      <c r="J21" s="1927">
        <f t="shared" si="0"/>
        <v>8</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0</v>
      </c>
      <c r="W21" s="1928"/>
      <c r="X21" s="1928"/>
      <c r="Y21" s="1928"/>
      <c r="Z21" s="1928"/>
      <c r="AA21" s="1929"/>
      <c r="AB21" s="1927" cm="1">
        <f t="array" ref="AB21">SUMPRODUCT((Application!$B$714:$B$738 = 'CalHFA Addendum'!AB$18)*(Application!$AC$714:$AC$738 = 'CalHFA Addendum'!$B21),Application!$G$714:$G$738)</f>
        <v>4</v>
      </c>
      <c r="AC21" s="1928"/>
      <c r="AD21" s="1928"/>
      <c r="AE21" s="1928"/>
      <c r="AF21" s="1928"/>
      <c r="AG21" s="1929"/>
      <c r="AH21" s="1927" cm="1">
        <f t="array" ref="AH21">SUMPRODUCT((Application!$B$714:$B$738 = 'CalHFA Addendum'!AH$18)*(Application!$AC$714:$AC$738 = 'CalHFA Addendum'!$B21),Application!$G$714:$G$738)</f>
        <v>4</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0.10256410256410256</v>
      </c>
      <c r="AU21" s="1931"/>
      <c r="AV21" s="1931"/>
      <c r="AW21" s="1931"/>
      <c r="AX21" s="1931"/>
      <c r="AY21" s="1932"/>
      <c r="AZ21" s="1190"/>
      <c r="BA21" s="1190"/>
      <c r="BB21" s="1190"/>
      <c r="BC21" s="1190"/>
      <c r="BD21" s="1190"/>
      <c r="BE21" s="1194"/>
    </row>
    <row r="22" spans="1:58" ht="15">
      <c r="A22" s="1190"/>
      <c r="B22" s="1924">
        <v>0.6</v>
      </c>
      <c r="C22" s="1925"/>
      <c r="D22" s="1925"/>
      <c r="E22" s="1925"/>
      <c r="F22" s="1925"/>
      <c r="G22" s="1925"/>
      <c r="H22" s="1925"/>
      <c r="I22" s="1926"/>
      <c r="J22" s="1927">
        <f t="shared" si="0"/>
        <v>61</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0</v>
      </c>
      <c r="W22" s="1928"/>
      <c r="X22" s="1928"/>
      <c r="Y22" s="1928"/>
      <c r="Z22" s="1928"/>
      <c r="AA22" s="1929"/>
      <c r="AB22" s="1927" cm="1">
        <f t="array" ref="AB22">SUMPRODUCT((Application!$B$714:$B$738 = 'CalHFA Addendum'!AB$18)*(Application!$AC$714:$AC$738 = 'CalHFA Addendum'!$B22),Application!$G$714:$G$738)</f>
        <v>25</v>
      </c>
      <c r="AC22" s="1928"/>
      <c r="AD22" s="1928"/>
      <c r="AE22" s="1928"/>
      <c r="AF22" s="1928"/>
      <c r="AG22" s="1929"/>
      <c r="AH22" s="1927" cm="1">
        <f t="array" ref="AH22">SUMPRODUCT((Application!$B$714:$B$738 = 'CalHFA Addendum'!AH$18)*(Application!$AC$714:$AC$738 = 'CalHFA Addendum'!$B22),Application!$G$714:$G$738)</f>
        <v>36</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0.78205128205128205</v>
      </c>
      <c r="AU22" s="1931"/>
      <c r="AV22" s="1931"/>
      <c r="AW22" s="1931"/>
      <c r="AX22" s="1931"/>
      <c r="AY22" s="1932"/>
      <c r="AZ22" s="1190"/>
      <c r="BA22" s="1190"/>
      <c r="BB22" s="1190"/>
      <c r="BC22" s="1190"/>
      <c r="BD22" s="1190"/>
      <c r="BE22" s="1194"/>
    </row>
    <row r="23" spans="1:58" ht="15">
      <c r="A23" s="1190"/>
      <c r="B23" s="1924">
        <v>0.7</v>
      </c>
      <c r="C23" s="1925"/>
      <c r="D23" s="1925"/>
      <c r="E23" s="1925"/>
      <c r="F23" s="1925"/>
      <c r="G23" s="1925"/>
      <c r="H23" s="1925"/>
      <c r="I23" s="1926"/>
      <c r="J23" s="1927">
        <f t="shared" si="0"/>
        <v>0</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0</v>
      </c>
      <c r="W23" s="1928"/>
      <c r="X23" s="1928"/>
      <c r="Y23" s="1928"/>
      <c r="Z23" s="1928"/>
      <c r="AA23" s="1929"/>
      <c r="AB23" s="1927" cm="1">
        <f t="array" ref="AB23">SUMPRODUCT((Application!$B$714:$B$738 = 'CalHFA Addendum'!AB$18)*(Application!$AC$714:$AC$738 = 'CalHFA Addendum'!$B23),Application!$G$714:$G$738)</f>
        <v>0</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v>
      </c>
      <c r="AU23" s="1931"/>
      <c r="AV23" s="1931"/>
      <c r="AW23" s="1931"/>
      <c r="AX23" s="1931"/>
      <c r="AY23" s="1932"/>
      <c r="AZ23" s="1190"/>
      <c r="BA23" s="1190"/>
      <c r="BB23" s="1190"/>
      <c r="BC23" s="1190"/>
      <c r="BD23" s="1190"/>
      <c r="BE23" s="1194"/>
    </row>
    <row r="24" spans="1:58" ht="1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thickBot="1">
      <c r="A28" s="1190"/>
      <c r="B28" s="1936" t="s">
        <v>2430</v>
      </c>
      <c r="C28" s="1937"/>
      <c r="D28" s="1937"/>
      <c r="E28" s="1937"/>
      <c r="F28" s="1937"/>
      <c r="G28" s="1937"/>
      <c r="H28" s="1937"/>
      <c r="I28" s="1938"/>
      <c r="J28" s="1939">
        <f>SUM(P28:AS28)</f>
        <v>1</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1</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1.282051282051282E-2</v>
      </c>
      <c r="AU28" s="1943"/>
      <c r="AV28" s="1943"/>
      <c r="AW28" s="1943"/>
      <c r="AX28" s="1943"/>
      <c r="AY28" s="1944"/>
      <c r="AZ28" s="1190"/>
      <c r="BA28" s="1190"/>
      <c r="BB28" s="1190"/>
      <c r="BC28" s="1190"/>
      <c r="BD28" s="1190"/>
      <c r="BE28" s="1194"/>
    </row>
    <row r="29" spans="1:58" thickBot="1">
      <c r="A29" s="1190"/>
      <c r="B29" s="1973" t="s">
        <v>1586</v>
      </c>
      <c r="C29" s="1946"/>
      <c r="D29" s="1946"/>
      <c r="E29" s="1946"/>
      <c r="F29" s="1946"/>
      <c r="G29" s="1946"/>
      <c r="H29" s="1946"/>
      <c r="I29" s="1947"/>
      <c r="J29" s="1945">
        <f>SUM(J19:O28)</f>
        <v>78</v>
      </c>
      <c r="K29" s="1946"/>
      <c r="L29" s="1946"/>
      <c r="M29" s="1946"/>
      <c r="N29" s="1946"/>
      <c r="O29" s="1947"/>
      <c r="P29" s="1945">
        <f>SUM(P19:U28)</f>
        <v>0</v>
      </c>
      <c r="Q29" s="1946"/>
      <c r="R29" s="1946"/>
      <c r="S29" s="1946"/>
      <c r="T29" s="1946"/>
      <c r="U29" s="1947"/>
      <c r="V29" s="1945">
        <f>SUM(V19:AA28)</f>
        <v>0</v>
      </c>
      <c r="W29" s="1946"/>
      <c r="X29" s="1946"/>
      <c r="Y29" s="1946"/>
      <c r="Z29" s="1946"/>
      <c r="AA29" s="1947"/>
      <c r="AB29" s="1945">
        <f>SUM(AB19:AG28)</f>
        <v>34</v>
      </c>
      <c r="AC29" s="1946"/>
      <c r="AD29" s="1946"/>
      <c r="AE29" s="1946"/>
      <c r="AF29" s="1946"/>
      <c r="AG29" s="1947"/>
      <c r="AH29" s="1945">
        <f>SUM(AH19:AM28)</f>
        <v>44</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1" t="s">
        <v>2429</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thickBot="1">
      <c r="A32" s="1190"/>
      <c r="B32" s="1954" t="s">
        <v>2428</v>
      </c>
      <c r="C32" s="1955"/>
      <c r="D32" s="1955"/>
      <c r="E32" s="1955"/>
      <c r="F32" s="1955"/>
      <c r="G32" s="1955"/>
      <c r="H32" s="1955"/>
      <c r="I32" s="1955"/>
      <c r="J32" s="1958" t="s">
        <v>2427</v>
      </c>
      <c r="K32" s="1959"/>
      <c r="L32" s="1959"/>
      <c r="M32" s="1959"/>
      <c r="N32" s="1958" t="s">
        <v>2426</v>
      </c>
      <c r="O32" s="1959"/>
      <c r="P32" s="1959"/>
      <c r="Q32" s="1961"/>
      <c r="R32" s="1963" t="s">
        <v>2425</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2424</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2423</v>
      </c>
      <c r="AT35" s="1975"/>
      <c r="AU35" s="1975"/>
      <c r="AV35" s="1975"/>
      <c r="AW35" s="1975"/>
      <c r="AX35" s="1983"/>
      <c r="AY35" s="1974" t="s">
        <v>2422</v>
      </c>
      <c r="AZ35" s="1975"/>
      <c r="BA35" s="1975"/>
      <c r="BB35" s="1975"/>
      <c r="BC35" s="1975"/>
      <c r="BD35" s="1976"/>
      <c r="BE35" s="1194"/>
    </row>
    <row r="36" spans="1:58" ht="15.75" customHeight="1">
      <c r="A36" s="1190"/>
      <c r="B36" s="1993" t="s">
        <v>2421</v>
      </c>
      <c r="C36" s="1994"/>
      <c r="D36" s="1994"/>
      <c r="E36" s="1994"/>
      <c r="F36" s="1994"/>
      <c r="G36" s="1994"/>
      <c r="H36" s="1994"/>
      <c r="I36" s="1994"/>
      <c r="J36" s="1995" t="s">
        <v>2420</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75" customHeight="1">
      <c r="A37" s="1190"/>
      <c r="B37" s="1993" t="s">
        <v>2419</v>
      </c>
      <c r="C37" s="1994"/>
      <c r="D37" s="1994"/>
      <c r="E37" s="1994"/>
      <c r="F37" s="1994"/>
      <c r="G37" s="1994"/>
      <c r="H37" s="1994"/>
      <c r="I37" s="1994"/>
      <c r="J37" s="1995" t="s">
        <v>2418</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75" customHeight="1">
      <c r="A38" s="1190"/>
      <c r="B38" s="1993" t="s">
        <v>2417</v>
      </c>
      <c r="C38" s="1994"/>
      <c r="D38" s="1994"/>
      <c r="E38" s="1994"/>
      <c r="F38" s="1994"/>
      <c r="G38" s="1994"/>
      <c r="H38" s="1994"/>
      <c r="I38" s="1994"/>
      <c r="J38" s="1995" t="s">
        <v>2416</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2415</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2415</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2414</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2414</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2413</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2412</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2411</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2335</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300</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2408</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2401</v>
      </c>
      <c r="C51" s="2013"/>
      <c r="D51" s="2013"/>
      <c r="E51" s="2013"/>
      <c r="F51" s="2013"/>
      <c r="G51" s="2013"/>
      <c r="H51" s="2013"/>
      <c r="I51" s="2013"/>
      <c r="J51" s="2013" t="s">
        <v>2407</v>
      </c>
      <c r="K51" s="2013"/>
      <c r="L51" s="2013"/>
      <c r="M51" s="2013"/>
      <c r="N51" s="2013"/>
      <c r="O51" s="2013"/>
      <c r="P51" s="2013"/>
      <c r="Q51" s="2013"/>
      <c r="R51" s="2014" t="s">
        <v>2406</v>
      </c>
      <c r="S51" s="2014"/>
      <c r="T51" s="2014"/>
      <c r="U51" s="2014"/>
      <c r="V51" s="2014"/>
      <c r="W51" s="2014"/>
      <c r="X51" s="2014"/>
      <c r="Y51" s="2014"/>
      <c r="Z51" s="2014" t="s">
        <v>2405</v>
      </c>
      <c r="AA51" s="2014"/>
      <c r="AB51" s="2014"/>
      <c r="AC51" s="2014"/>
      <c r="AD51" s="2014"/>
      <c r="AE51" s="2014"/>
      <c r="AF51" s="2014"/>
      <c r="AG51" s="2014"/>
      <c r="AH51" s="2014" t="s">
        <v>2404</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2403</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2402</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1586</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2401</v>
      </c>
      <c r="C59" s="2022"/>
      <c r="D59" s="2022"/>
      <c r="E59" s="2022"/>
      <c r="F59" s="2022"/>
      <c r="G59" s="2022"/>
      <c r="H59" s="2022"/>
      <c r="I59" s="2023"/>
      <c r="J59" s="1915" t="s">
        <v>2400</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2398</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2397</v>
      </c>
      <c r="AD68" s="2059"/>
      <c r="AE68" s="2059"/>
      <c r="AF68" s="2059"/>
      <c r="AG68" s="2059"/>
      <c r="AH68" s="2059"/>
      <c r="AI68" s="2059"/>
      <c r="AJ68" s="2059"/>
      <c r="AK68" s="2059"/>
      <c r="AL68" s="2059"/>
      <c r="AM68" s="2059"/>
      <c r="AN68" s="2059"/>
      <c r="AO68" s="2059"/>
      <c r="AP68" s="2059"/>
      <c r="AQ68" s="2059"/>
      <c r="AR68" s="2059"/>
      <c r="AS68" s="2059"/>
      <c r="AT68" s="2059"/>
      <c r="AU68" s="2059"/>
      <c r="AV68" s="2036" t="s">
        <v>669</v>
      </c>
      <c r="AW68" s="2037"/>
      <c r="AX68" s="2037"/>
      <c r="AY68" s="2037"/>
      <c r="AZ68" s="2037"/>
      <c r="BA68" s="2037"/>
      <c r="BB68" s="2037"/>
      <c r="BC68" s="2038"/>
      <c r="BD68" s="1190"/>
      <c r="BE68" s="1194"/>
      <c r="BM68" s="1199" t="s">
        <v>2396</v>
      </c>
    </row>
    <row r="69" spans="1:94" ht="15.75" customHeight="1" thickTop="1" thickBot="1">
      <c r="A69" s="1190"/>
      <c r="B69" s="2039" t="s">
        <v>2395</v>
      </c>
      <c r="C69" s="2040"/>
      <c r="D69" s="2040"/>
      <c r="E69" s="2040"/>
      <c r="F69" s="2040"/>
      <c r="G69" s="2040"/>
      <c r="H69" s="2040"/>
      <c r="I69" s="2040"/>
      <c r="J69" s="2040"/>
      <c r="K69" s="2040"/>
      <c r="L69" s="2040"/>
      <c r="M69" s="2040"/>
      <c r="N69" s="2040"/>
      <c r="O69" s="2041" t="s">
        <v>2394</v>
      </c>
      <c r="P69" s="2042"/>
      <c r="Q69" s="2042"/>
      <c r="R69" s="2042"/>
      <c r="S69" s="2042"/>
      <c r="T69" s="2042"/>
      <c r="U69" s="2042"/>
      <c r="V69" s="2042"/>
      <c r="W69" s="2042"/>
      <c r="X69" s="2042"/>
      <c r="Y69" s="2042"/>
      <c r="Z69" s="2042"/>
      <c r="AA69" s="2043"/>
      <c r="AB69" s="1190"/>
      <c r="AC69" s="2044" t="s">
        <v>2393</v>
      </c>
      <c r="AD69" s="2045"/>
      <c r="AE69" s="2045"/>
      <c r="AF69" s="2045"/>
      <c r="AG69" s="2045"/>
      <c r="AH69" s="2045"/>
      <c r="AI69" s="2045"/>
      <c r="AJ69" s="2045"/>
      <c r="AK69" s="2045"/>
      <c r="AL69" s="2045"/>
      <c r="AM69" s="2045"/>
      <c r="AN69" s="2045"/>
      <c r="AO69" s="2045"/>
      <c r="AP69" s="2045"/>
      <c r="AQ69" s="2045"/>
      <c r="AR69" s="2045"/>
      <c r="AS69" s="2045"/>
      <c r="AT69" s="2045"/>
      <c r="AU69" s="2045"/>
      <c r="AV69" s="2036" t="s">
        <v>669</v>
      </c>
      <c r="AW69" s="2037"/>
      <c r="AX69" s="2037"/>
      <c r="AY69" s="2037"/>
      <c r="AZ69" s="2037"/>
      <c r="BA69" s="2037"/>
      <c r="BB69" s="2037"/>
      <c r="BC69" s="2038"/>
      <c r="BD69" s="1190"/>
      <c r="BE69" s="1194"/>
      <c r="BM69" s="1200" t="s">
        <v>545</v>
      </c>
    </row>
    <row r="70" spans="1:94" ht="15.75" customHeight="1">
      <c r="A70" s="1190"/>
      <c r="B70" s="1993" t="s">
        <v>2392</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2391</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669</v>
      </c>
    </row>
    <row r="71" spans="1:94" ht="15.75" customHeight="1" thickBot="1">
      <c r="A71" s="1190"/>
      <c r="B71" s="1993" t="s">
        <v>2390</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2389</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2388</v>
      </c>
    </row>
    <row r="72" spans="1:94" ht="15.75" customHeight="1">
      <c r="A72" s="1190"/>
      <c r="B72" s="1993" t="s">
        <v>2387</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2386</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2385</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2330</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2383</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2382</v>
      </c>
      <c r="C81" s="2069"/>
      <c r="D81" s="2069"/>
      <c r="E81" s="2069"/>
      <c r="F81" s="2069"/>
      <c r="G81" s="2069"/>
      <c r="H81" s="2069"/>
      <c r="I81" s="2069"/>
      <c r="J81" s="2069"/>
      <c r="K81" s="2069"/>
      <c r="L81" s="2069"/>
      <c r="M81" s="2069"/>
      <c r="N81" s="2069"/>
      <c r="O81" s="2069"/>
      <c r="P81" s="2069"/>
      <c r="Q81" s="2069"/>
      <c r="R81" s="2070" t="s">
        <v>2188</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2381</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2380</v>
      </c>
      <c r="AK83" s="2092"/>
      <c r="AL83" s="2092"/>
      <c r="AM83" s="2092"/>
      <c r="AN83" s="2092"/>
      <c r="AO83" s="2092"/>
      <c r="AP83" s="2092"/>
      <c r="AQ83" s="2092"/>
      <c r="AR83" s="2092"/>
      <c r="AS83" s="2092"/>
      <c r="AT83" s="2092"/>
      <c r="AU83" s="2092"/>
      <c r="AV83" s="2092"/>
      <c r="AW83" s="2092"/>
      <c r="AX83" s="2092"/>
      <c r="AY83" s="2095" t="s">
        <v>545</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2370</v>
      </c>
      <c r="J84" s="2013"/>
      <c r="K84" s="2013"/>
      <c r="L84" s="2013"/>
      <c r="M84" s="2013"/>
      <c r="N84" s="2013"/>
      <c r="O84" s="2013" t="s">
        <v>2346</v>
      </c>
      <c r="P84" s="2013"/>
      <c r="Q84" s="2013"/>
      <c r="R84" s="2013"/>
      <c r="S84" s="2013"/>
      <c r="T84" s="2013"/>
      <c r="U84" s="2013"/>
      <c r="V84" s="2099" t="s">
        <v>2345</v>
      </c>
      <c r="W84" s="2099"/>
      <c r="X84" s="2099"/>
      <c r="Y84" s="2099"/>
      <c r="Z84" s="2099"/>
      <c r="AA84" s="2099"/>
      <c r="AB84" s="2100" t="s">
        <v>2369</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2368</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2367</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2374</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2366</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2378</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2377</v>
      </c>
      <c r="C94" s="2069"/>
      <c r="D94" s="2069"/>
      <c r="E94" s="2069"/>
      <c r="F94" s="2069"/>
      <c r="G94" s="2069"/>
      <c r="H94" s="2069"/>
      <c r="I94" s="2069"/>
      <c r="J94" s="2069"/>
      <c r="K94" s="2069"/>
      <c r="L94" s="2069"/>
      <c r="M94" s="2069"/>
      <c r="N94" s="2069"/>
      <c r="O94" s="2069"/>
      <c r="P94" s="2069"/>
      <c r="Q94" s="2103"/>
      <c r="R94" s="2070" t="s">
        <v>2188</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2376</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2375</v>
      </c>
      <c r="AK96" s="2092"/>
      <c r="AL96" s="2092"/>
      <c r="AM96" s="2092"/>
      <c r="AN96" s="2092"/>
      <c r="AO96" s="2092"/>
      <c r="AP96" s="2092"/>
      <c r="AQ96" s="2092"/>
      <c r="AR96" s="2092"/>
      <c r="AS96" s="2092"/>
      <c r="AT96" s="2092"/>
      <c r="AU96" s="2092"/>
      <c r="AV96" s="2092"/>
      <c r="AW96" s="2092"/>
      <c r="AX96" s="2092"/>
      <c r="AY96" s="2095" t="s">
        <v>545</v>
      </c>
      <c r="AZ96" s="2095"/>
      <c r="BA96" s="2095"/>
      <c r="BB96" s="2096"/>
      <c r="BC96" s="1190"/>
      <c r="BD96" s="1190"/>
      <c r="BE96" s="1194"/>
      <c r="BQ96" s="1256" t="str">
        <f>Application!M243&amp;IF(TRIM(Application!AA249)&lt;&gt;""," ("&amp;Application!AA249&amp;")","")</f>
        <v>West Development Ventures, LLC (LIHTC Advisors, LLC / Mike Kelley )</v>
      </c>
      <c r="BR96" s="1259">
        <f>Application!AH246</f>
        <v>5.1000000000000004E-3</v>
      </c>
      <c r="CM96" s="1188"/>
      <c r="CN96" s="1188"/>
      <c r="CO96" s="1188"/>
      <c r="CP96" s="1188"/>
    </row>
    <row r="97" spans="1:94" ht="15.75" customHeight="1">
      <c r="A97" s="1190"/>
      <c r="B97" s="2012"/>
      <c r="C97" s="2013"/>
      <c r="D97" s="2013"/>
      <c r="E97" s="2013"/>
      <c r="F97" s="2013"/>
      <c r="G97" s="2013"/>
      <c r="H97" s="2013"/>
      <c r="I97" s="2013" t="s">
        <v>2370</v>
      </c>
      <c r="J97" s="2013"/>
      <c r="K97" s="2013"/>
      <c r="L97" s="2013"/>
      <c r="M97" s="2013"/>
      <c r="N97" s="2013"/>
      <c r="O97" s="2013" t="s">
        <v>2346</v>
      </c>
      <c r="P97" s="2013"/>
      <c r="Q97" s="2013"/>
      <c r="R97" s="2013"/>
      <c r="S97" s="2013"/>
      <c r="T97" s="2013"/>
      <c r="U97" s="2013"/>
      <c r="V97" s="2099" t="s">
        <v>2345</v>
      </c>
      <c r="W97" s="2099"/>
      <c r="X97" s="2099"/>
      <c r="Y97" s="2099"/>
      <c r="Z97" s="2099"/>
      <c r="AA97" s="2099"/>
      <c r="AB97" s="2100" t="s">
        <v>2369</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 xml:space="preserve">Central Valley Coalition for Affordable Housing </v>
      </c>
      <c r="BR97" s="1259">
        <f>Application!AH254</f>
        <v>4.8999999999999998E-3</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2" t="s">
        <v>2368</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2367</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2374</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2366</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 xml:space="preserve">Buckingham Property Management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2371</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2370</v>
      </c>
      <c r="J108" s="2013"/>
      <c r="K108" s="2013"/>
      <c r="L108" s="2013"/>
      <c r="M108" s="2013"/>
      <c r="N108" s="2013"/>
      <c r="O108" s="2013" t="s">
        <v>2346</v>
      </c>
      <c r="P108" s="2013"/>
      <c r="Q108" s="2013"/>
      <c r="R108" s="2013"/>
      <c r="S108" s="2013"/>
      <c r="T108" s="2013"/>
      <c r="U108" s="2013"/>
      <c r="V108" s="2099" t="s">
        <v>2345</v>
      </c>
      <c r="W108" s="2099"/>
      <c r="X108" s="2099"/>
      <c r="Y108" s="2099"/>
      <c r="Z108" s="2099"/>
      <c r="AA108" s="2099"/>
      <c r="AB108" s="2100" t="s">
        <v>2369</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2368</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2367</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2366</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2364</v>
      </c>
      <c r="C117" s="2119"/>
      <c r="D117" s="2119"/>
      <c r="E117" s="2119"/>
      <c r="F117" s="2119"/>
      <c r="G117" s="2119"/>
      <c r="H117" s="2119"/>
      <c r="I117" s="2119"/>
      <c r="J117" s="2119"/>
      <c r="K117" s="2119"/>
      <c r="L117" s="2119"/>
      <c r="M117" s="2119"/>
      <c r="N117" s="2119"/>
      <c r="O117" s="2119"/>
      <c r="P117" s="2119"/>
      <c r="Q117" s="2119"/>
      <c r="R117" s="2119"/>
      <c r="S117" s="2119"/>
      <c r="T117" s="2119"/>
      <c r="U117" s="2122" t="s">
        <v>545</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2364</v>
      </c>
      <c r="C121" s="2127"/>
      <c r="D121" s="2127"/>
      <c r="E121" s="2127"/>
      <c r="F121" s="2127"/>
      <c r="G121" s="2127"/>
      <c r="H121" s="2127"/>
      <c r="I121" s="2127"/>
      <c r="J121" s="2127"/>
      <c r="K121" s="2127"/>
      <c r="L121" s="2127"/>
      <c r="M121" s="2127"/>
      <c r="N121" s="2127"/>
      <c r="O121" s="2127"/>
      <c r="P121" s="2127"/>
      <c r="Q121" s="2127"/>
      <c r="R121" s="2127"/>
      <c r="S121" s="2127"/>
      <c r="T121" s="2127"/>
      <c r="U121" s="2130" t="s">
        <v>545</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2362</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1576</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2361</v>
      </c>
      <c r="J127" s="2013"/>
      <c r="K127" s="2013"/>
      <c r="L127" s="2013"/>
      <c r="M127" s="2013"/>
      <c r="N127" s="2013"/>
      <c r="O127" s="2110" t="s">
        <v>2360</v>
      </c>
      <c r="P127" s="2110"/>
      <c r="Q127" s="2110"/>
      <c r="R127" s="2110"/>
      <c r="S127" s="2110"/>
      <c r="T127" s="2110"/>
      <c r="U127" s="2111"/>
      <c r="V127" s="1190"/>
      <c r="W127" s="1190"/>
      <c r="X127" s="2078" t="s">
        <v>2330</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2344</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2343</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2358</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2346</v>
      </c>
      <c r="J134" s="2156"/>
      <c r="K134" s="2156"/>
      <c r="L134" s="2156"/>
      <c r="M134" s="2156"/>
      <c r="N134" s="2156"/>
      <c r="O134" s="2156"/>
      <c r="P134" s="2156" t="s">
        <v>2345</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2344</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2343</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2357</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545</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2356</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2355</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545</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2354</v>
      </c>
      <c r="C142" s="2143"/>
      <c r="D142" s="2143"/>
      <c r="E142" s="2143"/>
      <c r="F142" s="2143"/>
      <c r="G142" s="2143"/>
      <c r="H142" s="2143"/>
      <c r="I142" s="2143"/>
      <c r="J142" s="2143"/>
      <c r="K142" s="2143"/>
      <c r="L142" s="2143"/>
      <c r="M142" s="2143"/>
      <c r="N142" s="2143"/>
      <c r="O142" s="2143"/>
      <c r="P142" s="2143"/>
      <c r="Q142" s="2143"/>
      <c r="R142" s="2144" t="s">
        <v>2353</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250</v>
      </c>
      <c r="BD142" s="1190"/>
      <c r="BE142" s="1194"/>
    </row>
    <row r="143" spans="1:57" ht="15.75" customHeight="1">
      <c r="A143" s="1190"/>
      <c r="B143" s="2146" t="s">
        <v>2352</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2349</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2348</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2346</v>
      </c>
      <c r="J157" s="2156"/>
      <c r="K157" s="2156"/>
      <c r="L157" s="2156"/>
      <c r="M157" s="2156"/>
      <c r="N157" s="2156"/>
      <c r="O157" s="2156"/>
      <c r="P157" s="2156" t="s">
        <v>2347</v>
      </c>
      <c r="Q157" s="2156"/>
      <c r="R157" s="2156"/>
      <c r="S157" s="2156"/>
      <c r="T157" s="2156"/>
      <c r="U157" s="2157"/>
      <c r="V157" s="1190"/>
      <c r="W157" s="1190"/>
      <c r="X157" s="2154"/>
      <c r="Y157" s="2155"/>
      <c r="Z157" s="2155"/>
      <c r="AA157" s="2155"/>
      <c r="AB157" s="2155"/>
      <c r="AC157" s="2155"/>
      <c r="AD157" s="2155"/>
      <c r="AE157" s="2156" t="s">
        <v>2346</v>
      </c>
      <c r="AF157" s="2156"/>
      <c r="AG157" s="2156"/>
      <c r="AH157" s="2156"/>
      <c r="AI157" s="2156"/>
      <c r="AJ157" s="2156"/>
      <c r="AK157" s="2156"/>
      <c r="AL157" s="2156" t="s">
        <v>2345</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2344</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2344</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2343</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2342</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2327</v>
      </c>
      <c r="D163" s="2155"/>
      <c r="E163" s="2155"/>
      <c r="F163" s="2155"/>
      <c r="G163" s="2155"/>
      <c r="H163" s="2155"/>
      <c r="I163" s="2155"/>
      <c r="J163" s="2155"/>
      <c r="K163" s="2155"/>
      <c r="L163" s="2155"/>
      <c r="M163" s="2155"/>
      <c r="N163" s="2155"/>
      <c r="O163" s="2155"/>
      <c r="P163" s="2155"/>
      <c r="Q163" s="2155" t="s">
        <v>2341</v>
      </c>
      <c r="R163" s="2155"/>
      <c r="S163" s="2155"/>
      <c r="T163" s="2100" t="s">
        <v>2340</v>
      </c>
      <c r="U163" s="2100"/>
      <c r="V163" s="2100"/>
      <c r="W163" s="2100"/>
      <c r="X163" s="2100"/>
      <c r="Y163" s="2100"/>
      <c r="Z163" s="2100"/>
      <c r="AA163" s="2100"/>
      <c r="AB163" s="2155" t="s">
        <v>2339</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2338</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2337</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2336</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2335</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170</v>
      </c>
      <c r="D168" s="2159"/>
      <c r="E168" s="2159"/>
      <c r="F168" s="2166" t="s">
        <v>2316</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170</v>
      </c>
      <c r="D169" s="2159"/>
      <c r="E169" s="2159"/>
      <c r="F169" s="2166" t="s">
        <v>2316</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170</v>
      </c>
      <c r="D170" s="2168"/>
      <c r="E170" s="2168"/>
      <c r="F170" s="2169" t="s">
        <v>2316</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2334</v>
      </c>
      <c r="D172" s="2059"/>
      <c r="E172" s="2059"/>
      <c r="F172" s="2059"/>
      <c r="G172" s="2059"/>
      <c r="H172" s="2059"/>
      <c r="I172" s="2059"/>
      <c r="J172" s="2059"/>
      <c r="K172" s="2059"/>
      <c r="L172" s="2059"/>
      <c r="M172" s="2059"/>
      <c r="N172" s="2109"/>
      <c r="O172" s="1190"/>
      <c r="P172" s="2174" t="s">
        <v>2333</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2332</v>
      </c>
      <c r="D173" s="2155"/>
      <c r="E173" s="2155"/>
      <c r="F173" s="2155"/>
      <c r="G173" s="2155"/>
      <c r="H173" s="2155"/>
      <c r="I173" s="2155" t="s">
        <v>2331</v>
      </c>
      <c r="J173" s="2155"/>
      <c r="K173" s="2155"/>
      <c r="L173" s="2155"/>
      <c r="M173" s="2155"/>
      <c r="N173" s="2163"/>
      <c r="O173" s="1190"/>
      <c r="P173" s="2078" t="s">
        <v>2330</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2329</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2327</v>
      </c>
      <c r="D184" s="2059"/>
      <c r="E184" s="2059"/>
      <c r="F184" s="2059"/>
      <c r="G184" s="2059"/>
      <c r="H184" s="2059"/>
      <c r="I184" s="2059"/>
      <c r="J184" s="2059"/>
      <c r="K184" s="2059"/>
      <c r="L184" s="2059"/>
      <c r="M184" s="2059"/>
      <c r="N184" s="2059" t="s">
        <v>2328</v>
      </c>
      <c r="O184" s="2059"/>
      <c r="P184" s="2059"/>
      <c r="Q184" s="2059"/>
      <c r="R184" s="2059"/>
      <c r="S184" s="2059"/>
      <c r="T184" s="2059"/>
      <c r="U184" s="2010" t="s">
        <v>2327</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2326</v>
      </c>
      <c r="D185" s="2183"/>
      <c r="E185" s="2183"/>
      <c r="F185" s="2183"/>
      <c r="G185" s="2183"/>
      <c r="H185" s="2183"/>
      <c r="I185" s="2183"/>
      <c r="J185" s="2183"/>
      <c r="K185" s="2183"/>
      <c r="L185" s="2183"/>
      <c r="M185" s="2183"/>
      <c r="N185" s="2184">
        <f>'Sources and Uses Budget'!B105</f>
        <v>27987696</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2325</v>
      </c>
      <c r="D186" s="2183"/>
      <c r="E186" s="2183"/>
      <c r="F186" s="2183"/>
      <c r="G186" s="2183"/>
      <c r="H186" s="2183"/>
      <c r="I186" s="2183"/>
      <c r="J186" s="2183"/>
      <c r="K186" s="2183"/>
      <c r="L186" s="2183"/>
      <c r="M186" s="2183"/>
      <c r="N186" s="2184">
        <f>N185/J29</f>
        <v>358816.61538461538</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2324</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2323</v>
      </c>
      <c r="D188" s="2183"/>
      <c r="E188" s="2183"/>
      <c r="F188" s="2183"/>
      <c r="G188" s="2183"/>
      <c r="H188" s="2183"/>
      <c r="I188" s="2183"/>
      <c r="J188" s="2183"/>
      <c r="K188" s="2183"/>
      <c r="L188" s="2183"/>
      <c r="M188" s="2183"/>
      <c r="N188" s="2200">
        <f>SUM('Sources and Uses Budget'!B85:B86)</f>
        <v>0</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2322</v>
      </c>
      <c r="D189" s="2183"/>
      <c r="E189" s="2183"/>
      <c r="F189" s="2183"/>
      <c r="G189" s="2183"/>
      <c r="H189" s="2183"/>
      <c r="I189" s="2183"/>
      <c r="J189" s="2183"/>
      <c r="K189" s="2183"/>
      <c r="L189" s="2183"/>
      <c r="M189" s="2183"/>
      <c r="N189" s="2200">
        <f>'Sources and Uses Budget'!B8</f>
        <v>585000</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2320</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2321</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2320</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2319</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2318</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300</v>
      </c>
      <c r="D192" s="2160"/>
      <c r="E192" s="2213" t="s">
        <v>2316</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2317</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300</v>
      </c>
      <c r="D193" s="2016"/>
      <c r="E193" s="2213" t="s">
        <v>2316</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300</v>
      </c>
      <c r="D194" s="2239"/>
      <c r="E194" s="2240" t="s">
        <v>2316</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2315</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2314</v>
      </c>
      <c r="D195" s="2222"/>
      <c r="E195" s="2222"/>
      <c r="F195" s="2222"/>
      <c r="G195" s="2222"/>
      <c r="H195" s="2222"/>
      <c r="I195" s="2222"/>
      <c r="J195" s="2222"/>
      <c r="K195" s="2222"/>
      <c r="L195" s="2222"/>
      <c r="M195" s="2222"/>
      <c r="N195" s="2223">
        <f>SUM(N187:T194)</f>
        <v>585000</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2313</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2312</v>
      </c>
      <c r="D196" s="2232"/>
      <c r="E196" s="2232"/>
      <c r="F196" s="2232"/>
      <c r="G196" s="2232"/>
      <c r="H196" s="2232"/>
      <c r="I196" s="2232"/>
      <c r="J196" s="2232"/>
      <c r="K196" s="2232"/>
      <c r="L196" s="2232"/>
      <c r="M196" s="2232"/>
      <c r="N196" s="2233">
        <f>(N185-N195)/J29</f>
        <v>351316.61538461538</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2311</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2310</v>
      </c>
      <c r="D200" s="2258"/>
      <c r="E200" s="2258"/>
      <c r="F200" s="2258"/>
      <c r="G200" s="2258"/>
      <c r="H200" s="2258"/>
      <c r="I200" s="2258"/>
      <c r="J200" s="2258"/>
      <c r="K200" s="2258"/>
      <c r="L200" s="2258"/>
      <c r="M200" s="2258"/>
      <c r="N200" s="2258"/>
      <c r="O200" s="2259" t="s">
        <v>2309</v>
      </c>
      <c r="P200" s="2259"/>
      <c r="Q200" s="2259"/>
      <c r="R200" s="2259"/>
      <c r="S200" s="2259"/>
      <c r="T200" s="2259"/>
      <c r="U200" s="2259"/>
      <c r="V200" s="2259"/>
      <c r="W200" s="2259"/>
      <c r="X200" s="2259" t="s">
        <v>2308</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2307</v>
      </c>
      <c r="D201" s="2250"/>
      <c r="E201" s="2250"/>
      <c r="F201" s="2250"/>
      <c r="G201" s="2250"/>
      <c r="H201" s="2250"/>
      <c r="I201" s="2250"/>
      <c r="J201" s="2250"/>
      <c r="K201" s="2250"/>
      <c r="L201" s="2250"/>
      <c r="M201" s="2250"/>
      <c r="N201" s="2250"/>
      <c r="O201" s="2251" t="s">
        <v>2306</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854</v>
      </c>
      <c r="D202" s="2250"/>
      <c r="E202" s="2250"/>
      <c r="F202" s="2250"/>
      <c r="G202" s="2250"/>
      <c r="H202" s="2250"/>
      <c r="I202" s="2250"/>
      <c r="J202" s="2250"/>
      <c r="K202" s="2250"/>
      <c r="L202" s="2250"/>
      <c r="M202" s="2250"/>
      <c r="N202" s="2250"/>
      <c r="O202" s="2251" t="s">
        <v>2306</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2305</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2304</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2303</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2302</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2301</v>
      </c>
      <c r="D207" s="2265"/>
      <c r="E207" s="2265"/>
      <c r="F207" s="2266"/>
      <c r="G207" s="2270" t="s">
        <v>2300</v>
      </c>
      <c r="H207" s="2265"/>
      <c r="I207" s="2265"/>
      <c r="J207" s="2265"/>
      <c r="K207" s="2265"/>
      <c r="L207" s="2265"/>
      <c r="M207" s="2265"/>
      <c r="N207" s="2265"/>
      <c r="O207" s="2266"/>
      <c r="P207" s="2272" t="s">
        <v>2299</v>
      </c>
      <c r="Q207" s="2273"/>
      <c r="R207" s="2273"/>
      <c r="S207" s="2273"/>
      <c r="T207" s="2274"/>
      <c r="U207" s="2278" t="s">
        <v>2298</v>
      </c>
      <c r="V207" s="2279"/>
      <c r="W207" s="2279"/>
      <c r="X207" s="2280"/>
      <c r="Y207" s="2278" t="s">
        <v>2297</v>
      </c>
      <c r="Z207" s="2279"/>
      <c r="AA207" s="2279"/>
      <c r="AB207" s="2280"/>
      <c r="AC207" s="2278" t="s">
        <v>2296</v>
      </c>
      <c r="AD207" s="2279"/>
      <c r="AE207" s="2279"/>
      <c r="AF207" s="2280"/>
      <c r="AG207" s="2270" t="s">
        <v>2295</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1884</v>
      </c>
      <c r="H209" s="2291"/>
      <c r="I209" s="2291"/>
      <c r="J209" s="2291"/>
      <c r="K209" s="2291"/>
      <c r="L209" s="2291"/>
      <c r="M209" s="2291"/>
      <c r="N209" s="2291"/>
      <c r="O209" s="2291"/>
      <c r="P209" s="2292"/>
      <c r="Q209" s="2295"/>
      <c r="R209" s="2295"/>
      <c r="S209" s="2295"/>
      <c r="T209" s="2295"/>
      <c r="U209" s="2293" t="s">
        <v>1884</v>
      </c>
      <c r="V209" s="2293"/>
      <c r="W209" s="2293"/>
      <c r="X209" s="2293"/>
      <c r="Y209" s="2293" t="s">
        <v>1884</v>
      </c>
      <c r="Z209" s="2293"/>
      <c r="AA209" s="2293"/>
      <c r="AB209" s="2293"/>
      <c r="AC209" s="2294" t="s">
        <v>1884</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1884</v>
      </c>
      <c r="H210" s="2291"/>
      <c r="I210" s="2291"/>
      <c r="J210" s="2291"/>
      <c r="K210" s="2291"/>
      <c r="L210" s="2291"/>
      <c r="M210" s="2291"/>
      <c r="N210" s="2291"/>
      <c r="O210" s="2291"/>
      <c r="P210" s="2292"/>
      <c r="Q210" s="2292"/>
      <c r="R210" s="2292"/>
      <c r="S210" s="2292"/>
      <c r="T210" s="2292"/>
      <c r="U210" s="2293" t="s">
        <v>1884</v>
      </c>
      <c r="V210" s="2293"/>
      <c r="W210" s="2293"/>
      <c r="X210" s="2293"/>
      <c r="Y210" s="2293" t="s">
        <v>1884</v>
      </c>
      <c r="Z210" s="2293"/>
      <c r="AA210" s="2293"/>
      <c r="AB210" s="2293"/>
      <c r="AC210" s="2294" t="s">
        <v>1884</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1884</v>
      </c>
      <c r="H211" s="2291"/>
      <c r="I211" s="2291"/>
      <c r="J211" s="2291"/>
      <c r="K211" s="2291"/>
      <c r="L211" s="2291"/>
      <c r="M211" s="2291"/>
      <c r="N211" s="2291"/>
      <c r="O211" s="2291"/>
      <c r="P211" s="2292"/>
      <c r="Q211" s="2292"/>
      <c r="R211" s="2292"/>
      <c r="S211" s="2292"/>
      <c r="T211" s="2292"/>
      <c r="U211" s="2293" t="s">
        <v>1884</v>
      </c>
      <c r="V211" s="2293"/>
      <c r="W211" s="2293"/>
      <c r="X211" s="2293"/>
      <c r="Y211" s="2293" t="s">
        <v>1884</v>
      </c>
      <c r="Z211" s="2293"/>
      <c r="AA211" s="2293"/>
      <c r="AB211" s="2293"/>
      <c r="AC211" s="2294" t="s">
        <v>1884</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1884</v>
      </c>
      <c r="H212" s="2291"/>
      <c r="I212" s="2291"/>
      <c r="J212" s="2291"/>
      <c r="K212" s="2291"/>
      <c r="L212" s="2291"/>
      <c r="M212" s="2291"/>
      <c r="N212" s="2291"/>
      <c r="O212" s="2291"/>
      <c r="P212" s="2292"/>
      <c r="Q212" s="2292"/>
      <c r="R212" s="2292"/>
      <c r="S212" s="2292"/>
      <c r="T212" s="2292"/>
      <c r="U212" s="2293" t="s">
        <v>1884</v>
      </c>
      <c r="V212" s="2293"/>
      <c r="W212" s="2293"/>
      <c r="X212" s="2293"/>
      <c r="Y212" s="2293" t="s">
        <v>1884</v>
      </c>
      <c r="Z212" s="2293"/>
      <c r="AA212" s="2293"/>
      <c r="AB212" s="2293"/>
      <c r="AC212" s="2294" t="s">
        <v>1884</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1884</v>
      </c>
      <c r="H213" s="2291"/>
      <c r="I213" s="2291"/>
      <c r="J213" s="2291"/>
      <c r="K213" s="2291"/>
      <c r="L213" s="2291"/>
      <c r="M213" s="2291"/>
      <c r="N213" s="2291"/>
      <c r="O213" s="2291"/>
      <c r="P213" s="2292"/>
      <c r="Q213" s="2292"/>
      <c r="R213" s="2292"/>
      <c r="S213" s="2292"/>
      <c r="T213" s="2292"/>
      <c r="U213" s="2293" t="s">
        <v>1884</v>
      </c>
      <c r="V213" s="2293"/>
      <c r="W213" s="2293"/>
      <c r="X213" s="2293"/>
      <c r="Y213" s="2293" t="s">
        <v>1884</v>
      </c>
      <c r="Z213" s="2293"/>
      <c r="AA213" s="2293"/>
      <c r="AB213" s="2293"/>
      <c r="AC213" s="2294" t="s">
        <v>1884</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1884</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1884</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1884</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2294</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2292</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2291</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2290</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2289</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2287</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2286</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2285</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2284</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2283</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441</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2282</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2281</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1" t="s">
        <v>1280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5"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10147425</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15616014</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497</v>
      </c>
      <c r="C12" s="1286"/>
      <c r="D12" s="1286"/>
      <c r="E12" s="1286"/>
      <c r="F12" s="1286"/>
      <c r="G12" s="1286"/>
      <c r="H12" s="1286"/>
      <c r="I12" s="1286"/>
      <c r="J12" s="1286"/>
      <c r="K12" s="1286"/>
      <c r="L12" s="1286"/>
      <c r="M12" s="1286"/>
      <c r="N12" s="1286"/>
      <c r="O12" s="1286"/>
      <c r="P12" s="1286"/>
      <c r="Q12" s="1286"/>
      <c r="R12" s="1286"/>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5"/>
      <c r="C13" s="2359" t="s">
        <v>498</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59" t="s">
        <v>499</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5"/>
      <c r="C15" s="2359" t="s">
        <v>500</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5"/>
      <c r="C16" s="2359" t="s">
        <v>805</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5"/>
      <c r="C17" s="2359" t="s">
        <v>501</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50"/>
      <c r="C18" s="1814" t="s">
        <v>960</v>
      </c>
      <c r="D18" s="1814"/>
      <c r="E18" s="1814"/>
      <c r="F18" s="1814"/>
      <c r="G18" s="1814"/>
      <c r="H18" s="1814"/>
      <c r="I18" s="1814"/>
      <c r="J18" s="1814"/>
      <c r="K18" s="1814"/>
      <c r="L18" s="1814"/>
      <c r="M18" s="1814"/>
      <c r="N18" s="1814"/>
      <c r="O18" s="1814"/>
      <c r="P18" s="1814"/>
      <c r="Q18" s="1814"/>
      <c r="R18" s="1814"/>
      <c r="S18" s="1815"/>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50"/>
      <c r="C19" s="1814" t="s">
        <v>960</v>
      </c>
      <c r="D19" s="1814"/>
      <c r="E19" s="1814"/>
      <c r="F19" s="1814"/>
      <c r="G19" s="1814"/>
      <c r="H19" s="1814"/>
      <c r="I19" s="1814"/>
      <c r="J19" s="1814"/>
      <c r="K19" s="1814"/>
      <c r="L19" s="1814"/>
      <c r="M19" s="1814"/>
      <c r="N19" s="1814"/>
      <c r="O19" s="1814"/>
      <c r="P19" s="1814"/>
      <c r="Q19" s="1814"/>
      <c r="R19" s="1814"/>
      <c r="S19" s="1815"/>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502</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503</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504</v>
      </c>
      <c r="C23" s="2343"/>
      <c r="D23" s="2343"/>
      <c r="E23" s="2343"/>
      <c r="F23" s="2343"/>
      <c r="G23" s="2343"/>
      <c r="H23" s="2343"/>
      <c r="I23" s="2343"/>
      <c r="J23" s="2343"/>
      <c r="K23" s="2343"/>
      <c r="L23" s="2343"/>
      <c r="M23" s="2343"/>
      <c r="N23" s="2343"/>
      <c r="O23" s="2343"/>
      <c r="P23" s="2343"/>
      <c r="Q23" s="2343"/>
      <c r="R23" s="2343"/>
      <c r="S23" s="2344"/>
      <c r="T23" s="2335">
        <f>T11+T22</f>
        <v>10147425</v>
      </c>
      <c r="U23" s="2336"/>
      <c r="V23" s="2336"/>
      <c r="W23" s="2336"/>
      <c r="X23" s="2336"/>
      <c r="Y23" s="2335">
        <f>Y11+Y22</f>
        <v>0</v>
      </c>
      <c r="Z23" s="2336"/>
      <c r="AA23" s="2336"/>
      <c r="AB23" s="2336"/>
      <c r="AC23" s="2336"/>
      <c r="AD23" s="2335">
        <f>AD11+AD22</f>
        <v>15616014</v>
      </c>
      <c r="AE23" s="2336"/>
      <c r="AF23" s="2336"/>
      <c r="AG23" s="2336"/>
      <c r="AH23" s="2336"/>
      <c r="AI23" s="2335">
        <f>AI11+AI22</f>
        <v>0</v>
      </c>
      <c r="AJ23" s="2336"/>
      <c r="AK23" s="2336"/>
      <c r="AL23" s="2336"/>
      <c r="AM23" s="2336"/>
    </row>
    <row r="24" spans="1:40" ht="12.95" customHeight="1">
      <c r="B24" s="2342" t="s">
        <v>961</v>
      </c>
      <c r="C24" s="2343"/>
      <c r="D24" s="2343"/>
      <c r="E24" s="2343"/>
      <c r="F24" s="2343"/>
      <c r="G24" s="2343"/>
      <c r="H24" s="2343"/>
      <c r="I24" s="2343"/>
      <c r="J24" s="2343"/>
      <c r="K24" s="2343"/>
      <c r="L24" s="2343"/>
      <c r="M24" s="2343"/>
      <c r="N24" s="2343"/>
      <c r="O24" s="2343"/>
      <c r="P24" s="2343"/>
      <c r="Q24" s="2343"/>
      <c r="R24" s="2343"/>
      <c r="S24" s="2344"/>
      <c r="T24" s="2337">
        <f>Application!AJ1053</f>
        <v>57486873.600000001</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1264</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505</v>
      </c>
      <c r="C26" s="2343"/>
      <c r="D26" s="2343"/>
      <c r="E26" s="2343"/>
      <c r="F26" s="2343"/>
      <c r="G26" s="2343"/>
      <c r="H26" s="2343"/>
      <c r="I26" s="2343"/>
      <c r="J26" s="2343"/>
      <c r="K26" s="2343"/>
      <c r="L26" s="2343"/>
      <c r="M26" s="2343"/>
      <c r="N26" s="2343"/>
      <c r="O26" s="2343"/>
      <c r="P26" s="2343"/>
      <c r="Q26" s="2343"/>
      <c r="R26" s="2343"/>
      <c r="S26" s="2344"/>
      <c r="T26" s="2335">
        <f>T23*T25</f>
        <v>13191652.5</v>
      </c>
      <c r="U26" s="2336"/>
      <c r="V26" s="2336"/>
      <c r="W26" s="2336"/>
      <c r="X26" s="2336"/>
      <c r="Y26" s="2335">
        <f>Y23*Y25</f>
        <v>0</v>
      </c>
      <c r="Z26" s="2336"/>
      <c r="AA26" s="2336"/>
      <c r="AB26" s="2336"/>
      <c r="AC26" s="2336"/>
      <c r="AD26" s="2335">
        <f>AD23*AD25</f>
        <v>15616014</v>
      </c>
      <c r="AE26" s="2336"/>
      <c r="AF26" s="2336"/>
      <c r="AG26" s="2336"/>
      <c r="AH26" s="2336"/>
      <c r="AI26" s="2335">
        <f>AI23*AI25</f>
        <v>0</v>
      </c>
      <c r="AJ26" s="2336"/>
      <c r="AK26" s="2336"/>
      <c r="AL26" s="2336"/>
      <c r="AM26" s="2336"/>
    </row>
    <row r="27" spans="1:40" ht="12.95" customHeight="1">
      <c r="A27" s="410"/>
      <c r="B27" s="2349" t="s">
        <v>426</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5"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35">
        <f>IF(ISERROR((T26*T27)),0,(T26*T27))</f>
        <v>13191652.5</v>
      </c>
      <c r="U28" s="2336"/>
      <c r="V28" s="2336"/>
      <c r="W28" s="2336"/>
      <c r="X28" s="2336"/>
      <c r="Y28" s="2335">
        <f>IF(ISERROR((Y26*Y27)),0,(Y26*Y27))</f>
        <v>0</v>
      </c>
      <c r="Z28" s="2336"/>
      <c r="AA28" s="2336"/>
      <c r="AB28" s="2336"/>
      <c r="AC28" s="2336"/>
      <c r="AD28" s="2335">
        <f>IF(ISERROR((AD26*AD27)),0,(AD26*AD27))</f>
        <v>15616014</v>
      </c>
      <c r="AE28" s="2336"/>
      <c r="AF28" s="2336"/>
      <c r="AG28" s="2336"/>
      <c r="AH28" s="2336"/>
      <c r="AI28" s="2335">
        <f>IF(ISERROR((AI26*AI27)),0,(AI26*AI27))</f>
        <v>0</v>
      </c>
      <c r="AJ28" s="2336"/>
      <c r="AK28" s="2336"/>
      <c r="AL28" s="2336"/>
      <c r="AM28" s="2336"/>
    </row>
    <row r="29" spans="1:40" ht="12.95" customHeight="1">
      <c r="B29" s="2342" t="s">
        <v>523</v>
      </c>
      <c r="C29" s="2343"/>
      <c r="D29" s="2343"/>
      <c r="E29" s="2343"/>
      <c r="F29" s="2343"/>
      <c r="G29" s="2343"/>
      <c r="H29" s="2343"/>
      <c r="I29" s="2343"/>
      <c r="J29" s="2343"/>
      <c r="K29" s="2343"/>
      <c r="L29" s="2343"/>
      <c r="M29" s="2343"/>
      <c r="N29" s="2343"/>
      <c r="O29" s="2343"/>
      <c r="P29" s="2343"/>
      <c r="Q29" s="2343"/>
      <c r="R29" s="2343"/>
      <c r="S29" s="2344"/>
      <c r="T29" s="2337">
        <f>T28+Y28+AD28+AI28</f>
        <v>28807666.5</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1266</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1265</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1154</v>
      </c>
      <c r="Z35" s="2363"/>
      <c r="AA35" s="2363"/>
      <c r="AB35" s="2363"/>
      <c r="AC35" s="2363"/>
      <c r="AD35" s="2383" t="s">
        <v>369</v>
      </c>
      <c r="AE35" s="2383"/>
      <c r="AF35" s="2383"/>
      <c r="AG35" s="2383"/>
      <c r="AH35" s="2383"/>
    </row>
    <row r="36" spans="1:76" ht="12.95" customHeight="1">
      <c r="B36" s="407"/>
      <c r="X36" s="412"/>
      <c r="Y36" s="2363"/>
      <c r="Z36" s="2363"/>
      <c r="AA36" s="2363"/>
      <c r="AB36" s="2363"/>
      <c r="AC36" s="2363"/>
      <c r="AD36" s="2383"/>
      <c r="AE36" s="2383"/>
      <c r="AF36" s="2383"/>
      <c r="AG36" s="2383"/>
      <c r="AH36" s="238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5"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13191652.5</v>
      </c>
      <c r="Z38" s="2336"/>
      <c r="AA38" s="2336"/>
      <c r="AB38" s="2336"/>
      <c r="AC38" s="2336"/>
      <c r="AD38" s="2336">
        <f>IF(T24&gt;=(T23+Y23+AD23+AI23),AD28+AI28,0)</f>
        <v>15616014</v>
      </c>
      <c r="AE38" s="2336"/>
      <c r="AF38" s="2336"/>
      <c r="AG38" s="2336"/>
      <c r="AH38" s="2336"/>
    </row>
    <row r="39" spans="1:76" ht="12.9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527666</v>
      </c>
      <c r="Z40" s="2336"/>
      <c r="AA40" s="2336"/>
      <c r="AB40" s="2336"/>
      <c r="AC40" s="2336"/>
      <c r="AD40" s="2335">
        <f>ROUND(AD38*AD39,0)</f>
        <v>624641</v>
      </c>
      <c r="AE40" s="2336"/>
      <c r="AF40" s="2336"/>
      <c r="AG40" s="2336"/>
      <c r="AH40" s="2336"/>
    </row>
    <row r="41" spans="1:76" ht="12.95"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1152307</v>
      </c>
      <c r="Z41" s="2338"/>
      <c r="AA41" s="2338"/>
      <c r="AB41" s="2338"/>
      <c r="AC41" s="2338"/>
      <c r="AD41" s="2338"/>
      <c r="AE41" s="2338"/>
      <c r="AF41" s="2338"/>
      <c r="AG41" s="2338"/>
      <c r="AH41" s="233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0" t="s">
        <v>1276</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2.95" customHeight="1" thickTop="1"/>
    <row r="46" spans="1:76" ht="12.95" customHeight="1">
      <c r="A46" s="404" t="s">
        <v>586</v>
      </c>
      <c r="C46" s="404" t="s">
        <v>282</v>
      </c>
    </row>
    <row r="47" spans="1:76" ht="12.95" customHeight="1">
      <c r="D47" s="404" t="s">
        <v>283</v>
      </c>
      <c r="AB47" s="2352">
        <f>'Sources and Uses Budget'!B105-MAX(IF('Sources and Uses Budget'!B15="",0,'Sources and Uses Budget'!B15),IF(Application!AG394="",0,Application!AG394))</f>
        <v>27987696</v>
      </c>
      <c r="AC47" s="2353"/>
      <c r="AD47" s="2353"/>
      <c r="AE47" s="2353"/>
      <c r="AF47" s="2354"/>
    </row>
    <row r="48" spans="1:76" ht="12.95" customHeight="1">
      <c r="D48" s="404" t="s">
        <v>21</v>
      </c>
      <c r="AB48" s="2352">
        <f>Application!AO639-MAX(IF('Sources and Uses Budget'!B15="",0,'Sources and Uses Budget'!B15),IF(Application!AG394="",0,Application!AG394))</f>
        <v>18884471</v>
      </c>
      <c r="AC48" s="2353"/>
      <c r="AD48" s="2353"/>
      <c r="AE48" s="2353"/>
      <c r="AF48" s="2354"/>
    </row>
    <row r="49" spans="1:76" ht="12.95" customHeight="1">
      <c r="D49" s="404" t="s">
        <v>91</v>
      </c>
      <c r="AB49" s="2352">
        <f>AB47-AB48</f>
        <v>9103225</v>
      </c>
      <c r="AC49" s="2353"/>
      <c r="AD49" s="2353"/>
      <c r="AE49" s="2353"/>
      <c r="AF49" s="2354"/>
    </row>
    <row r="50" spans="1:76" ht="12.95" customHeight="1">
      <c r="D50" s="404" t="s">
        <v>681</v>
      </c>
      <c r="AA50" s="415"/>
      <c r="AB50" s="2379">
        <v>0.79</v>
      </c>
      <c r="AC50" s="2380"/>
      <c r="AD50" s="2380"/>
      <c r="AE50" s="2380"/>
      <c r="AF50" s="2381"/>
    </row>
    <row r="51" spans="1:76" s="417" customFormat="1" ht="12.95" customHeight="1">
      <c r="A51" s="402"/>
      <c r="B51" s="402"/>
      <c r="C51" s="402"/>
      <c r="D51" s="402"/>
      <c r="E51" s="2382" t="s">
        <v>2611</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ROUND(IF(ISERROR((AB49/AB50)),0,(AB49/AB50)),0)</f>
        <v>11523070</v>
      </c>
      <c r="AC54" s="2353"/>
      <c r="AD54" s="2353"/>
      <c r="AE54" s="2353"/>
      <c r="AF54" s="2354"/>
    </row>
    <row r="55" spans="1:76" ht="12.95" customHeight="1">
      <c r="D55" s="404" t="s">
        <v>333</v>
      </c>
      <c r="AB55" s="2352">
        <f>(AB54/10)</f>
        <v>1152307</v>
      </c>
      <c r="AC55" s="2353"/>
      <c r="AD55" s="2353"/>
      <c r="AE55" s="2353"/>
      <c r="AF55" s="2354"/>
    </row>
    <row r="56" spans="1:76" ht="12.95" customHeight="1">
      <c r="D56" s="404" t="s">
        <v>756</v>
      </c>
      <c r="AB56" s="2352">
        <f>ROUND((IF((Y41&lt;AB55),Y41,AB55)),0)</f>
        <v>1152307</v>
      </c>
      <c r="AC56" s="2353"/>
      <c r="AD56" s="2353"/>
      <c r="AE56" s="2353"/>
      <c r="AF56" s="2354"/>
    </row>
    <row r="57" spans="1:76" ht="12.95" customHeight="1">
      <c r="D57" s="404" t="s">
        <v>755</v>
      </c>
      <c r="AB57" s="2352">
        <f>ROUND((10*AB56*AB50),0)</f>
        <v>9103225</v>
      </c>
      <c r="AC57" s="2353"/>
      <c r="AD57" s="2353"/>
      <c r="AE57" s="2353"/>
      <c r="AF57" s="2354"/>
    </row>
    <row r="58" spans="1:76" ht="12.95" customHeight="1">
      <c r="D58" s="404"/>
      <c r="AB58" s="423"/>
      <c r="AC58" s="423"/>
      <c r="AD58" s="423"/>
      <c r="AE58" s="423"/>
      <c r="AF58" s="423"/>
    </row>
    <row r="59" spans="1:76" ht="12.95" customHeight="1">
      <c r="D59" s="404" t="s">
        <v>754</v>
      </c>
      <c r="AB59" s="2375">
        <f>AB49-AB57</f>
        <v>0</v>
      </c>
      <c r="AC59" s="2375"/>
      <c r="AD59" s="2375"/>
      <c r="AE59" s="2375"/>
      <c r="AF59" s="2375"/>
    </row>
    <row r="60" spans="1:76" ht="12.95" customHeight="1">
      <c r="D60" s="404"/>
      <c r="AB60" s="423"/>
      <c r="AC60" s="423"/>
      <c r="AD60" s="423"/>
      <c r="AE60" s="423"/>
      <c r="AF60" s="423"/>
    </row>
    <row r="61" spans="1:76" s="204"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2.95" customHeight="1" thickTop="1"/>
    <row r="63" spans="1:76" ht="12.95" customHeight="1">
      <c r="A63" s="404" t="s">
        <v>589</v>
      </c>
      <c r="C63" s="205" t="s">
        <v>1248</v>
      </c>
      <c r="Y63" s="2376" t="s">
        <v>984</v>
      </c>
      <c r="Z63" s="2376"/>
      <c r="AA63" s="2376"/>
      <c r="AB63" s="2376"/>
      <c r="AC63" s="2376"/>
      <c r="AD63" s="2376" t="s">
        <v>369</v>
      </c>
      <c r="AE63" s="2376"/>
      <c r="AF63" s="2376"/>
      <c r="AG63" s="2376"/>
      <c r="AH63" s="237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10147425</v>
      </c>
      <c r="Z64" s="2377"/>
      <c r="AA64" s="2377"/>
      <c r="AB64" s="2377"/>
      <c r="AC64" s="2378"/>
      <c r="AD64" s="2337">
        <f>IF(AND(OR(Application!D211="At-Risk",Application!D211="At-Risk and Special Needs"),Application!M358="yes"),AD28+AI28,0)</f>
        <v>0</v>
      </c>
      <c r="AE64" s="2377"/>
      <c r="AF64" s="2377"/>
      <c r="AG64" s="2377"/>
      <c r="AH64" s="2378"/>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0">
        <f>IF(OR(Application!Z205="State Farmworker Credit",Application!Z205="$500M (Farmworker Housing)"),0.75,IF(Application!Z205="15% set-aside",0.13,IF(Application!Z205="15% set-aside with qualifying low value rehab",0.95,IF(Application!Z205="$500M",0.3,0))))</f>
        <v>0.3</v>
      </c>
      <c r="Z67" s="2390"/>
      <c r="AA67" s="2390"/>
      <c r="AB67" s="2390"/>
      <c r="AC67" s="2390"/>
      <c r="AD67" s="2390">
        <f>IF(Application!Z205="15% set-aside with qualifying low value rehab", 0.95,IF(OR(Application!D211="At-Risk",'Points System'!B13="Yes"),0.13,0))</f>
        <v>0</v>
      </c>
      <c r="AE67" s="2390"/>
      <c r="AF67" s="2390"/>
      <c r="AG67" s="2390"/>
      <c r="AH67" s="2390"/>
    </row>
    <row r="68" spans="1:36" ht="12.95" customHeight="1">
      <c r="C68" s="404"/>
      <c r="D68" s="205" t="s">
        <v>2224</v>
      </c>
      <c r="Y68" s="2336">
        <f>ROUND(Y64*Y67,0)</f>
        <v>3044228</v>
      </c>
      <c r="Z68" s="2391"/>
      <c r="AA68" s="2391"/>
      <c r="AB68" s="2391"/>
      <c r="AC68" s="2391"/>
      <c r="AD68" s="2336">
        <f>ROUND(AD64*AD67,0)</f>
        <v>0</v>
      </c>
      <c r="AE68" s="2391"/>
      <c r="AF68" s="2391"/>
      <c r="AG68" s="2391"/>
      <c r="AH68" s="2391"/>
    </row>
    <row r="69" spans="1:36" ht="12.95" customHeight="1">
      <c r="C69" s="404"/>
      <c r="D69" s="205" t="s">
        <v>2225</v>
      </c>
      <c r="Y69" s="2336">
        <f>IF(OR(Application!Z205="State Farmworker Credit",Application!Z205="$500M (Farmworker Housing)"),Y68+AD68,MIN(Y68+AD68,200000*(Application!G753+Application!O777)))</f>
        <v>3044228</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79"/>
      <c r="AC72" s="2380"/>
      <c r="AD72" s="2380"/>
      <c r="AE72" s="2380"/>
      <c r="AF72" s="2381"/>
    </row>
    <row r="73" spans="1:36" ht="12.95" customHeight="1">
      <c r="A73" s="404"/>
      <c r="C73" s="404"/>
      <c r="D73" s="404"/>
      <c r="E73" s="2392" t="s">
        <v>1251</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2.95"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2.95"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5">
        <f>ROUND(IF(ISERROR((AB59/AB72)),0,(AB59/AB72)),0)</f>
        <v>0</v>
      </c>
      <c r="AC77" s="2385"/>
      <c r="AD77" s="2385"/>
      <c r="AE77" s="2385"/>
      <c r="AF77" s="2385"/>
    </row>
    <row r="78" spans="1:36" ht="12.95" customHeight="1">
      <c r="C78" s="404"/>
      <c r="D78" s="205" t="s">
        <v>1253</v>
      </c>
      <c r="AB78" s="2386">
        <f>ROUNDUP(MIN(Y69,AB77),0)</f>
        <v>0</v>
      </c>
      <c r="AC78" s="2387"/>
      <c r="AD78" s="2387"/>
      <c r="AE78" s="2387"/>
      <c r="AF78" s="2388"/>
    </row>
    <row r="79" spans="1:36" ht="12.95" customHeight="1">
      <c r="C79" s="404"/>
      <c r="D79" s="205" t="s">
        <v>1254</v>
      </c>
      <c r="AB79" s="2389">
        <f>AB78*AB72</f>
        <v>0</v>
      </c>
      <c r="AC79" s="2389"/>
      <c r="AD79" s="2389"/>
      <c r="AE79" s="2389"/>
      <c r="AF79" s="2389"/>
    </row>
    <row r="80" spans="1:36" ht="12.95" customHeight="1">
      <c r="C80" s="404"/>
      <c r="D80" s="404"/>
      <c r="AB80" s="425"/>
      <c r="AC80" s="425"/>
      <c r="AD80" s="425"/>
      <c r="AE80" s="425"/>
      <c r="AF80" s="425"/>
    </row>
    <row r="81" spans="1:78" ht="12.95" customHeight="1">
      <c r="D81" s="404" t="s">
        <v>754</v>
      </c>
      <c r="AB81" s="2375">
        <f>AB49-(AB57+AB79)</f>
        <v>0</v>
      </c>
      <c r="AC81" s="2375"/>
      <c r="AD81" s="2375"/>
      <c r="AE81" s="2375"/>
      <c r="AF81" s="2375"/>
    </row>
    <row r="82" spans="1:78" ht="12.95" customHeight="1">
      <c r="F82" s="522"/>
      <c r="J82" s="522" t="str">
        <f>IF(AB81&gt;0,"FUNDING GAP MUST NOT EXCEED ZERO","")</f>
        <v/>
      </c>
    </row>
    <row r="83" spans="1:78" ht="12.95" customHeight="1">
      <c r="D83" s="523"/>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customHeight="1">
      <c r="A86" s="404"/>
      <c r="C86" s="205"/>
    </row>
    <row r="87" spans="1:78" ht="12.95" customHeight="1">
      <c r="D87" s="205"/>
      <c r="AB87" s="2341"/>
      <c r="AC87" s="2341"/>
      <c r="AD87" s="2341"/>
      <c r="AE87" s="2341"/>
      <c r="AF87" s="2341"/>
    </row>
    <row r="88" spans="1:78" ht="12.95"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0" workbookViewId="0">
      <selection activeCell="AC146" sqref="AC14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3" t="s">
        <v>1300</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1305</v>
      </c>
      <c r="AF7" s="2464"/>
      <c r="AG7" s="2464"/>
      <c r="AH7" s="2464"/>
      <c r="AI7" s="2464"/>
      <c r="AJ7" s="2464"/>
      <c r="AK7" s="246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591</v>
      </c>
      <c r="C13" s="261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591</v>
      </c>
      <c r="C16" s="2617"/>
      <c r="D16" s="547"/>
      <c r="E16" s="2609" t="s">
        <v>1307</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591</v>
      </c>
      <c r="C22" s="2617"/>
      <c r="D22" s="547"/>
      <c r="E22" s="2627" t="s">
        <v>1310</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591</v>
      </c>
      <c r="C25" s="2617"/>
      <c r="D25" s="547"/>
      <c r="E25" s="2544" t="s">
        <v>2033</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591</v>
      </c>
      <c r="C28" s="2617"/>
      <c r="D28" s="547"/>
      <c r="E28" s="2646" t="s">
        <v>2248</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617" t="s">
        <v>591</v>
      </c>
      <c r="C33" s="2617"/>
      <c r="D33" s="547"/>
      <c r="E33" s="2627" t="s">
        <v>2250</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591</v>
      </c>
      <c r="C36" s="2617"/>
      <c r="D36" s="547"/>
      <c r="E36" s="2544" t="s">
        <v>2251</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7" t="s">
        <v>591</v>
      </c>
      <c r="C40" s="2617"/>
      <c r="D40" s="547"/>
      <c r="E40" s="2544" t="s">
        <v>2249</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591</v>
      </c>
      <c r="C45" s="2617"/>
      <c r="D45" s="1142"/>
      <c r="E45" s="2544" t="s">
        <v>2008</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545</v>
      </c>
      <c r="C52" s="2617"/>
      <c r="D52" s="540"/>
      <c r="E52" s="2544" t="s">
        <v>2013</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545</v>
      </c>
      <c r="C56" s="2617"/>
      <c r="D56" s="540"/>
      <c r="E56" s="2643" t="s">
        <v>2014</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545</v>
      </c>
      <c r="C58" s="2617"/>
      <c r="D58" s="540"/>
      <c r="E58" s="2544" t="s">
        <v>2015</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0">
        <f>AO39</f>
        <v>20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1314</v>
      </c>
      <c r="AF65" s="2464"/>
      <c r="AG65" s="2464"/>
      <c r="AH65" s="2464"/>
      <c r="AI65" s="2464"/>
      <c r="AJ65" s="2464"/>
      <c r="AK65" s="246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591</v>
      </c>
      <c r="C68" s="2617"/>
      <c r="D68" s="547" t="s">
        <v>1315</v>
      </c>
      <c r="E68" s="2609" t="s">
        <v>2016</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0</v>
      </c>
      <c r="AP71" s="574" t="s">
        <v>1316</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591</v>
      </c>
      <c r="C74" s="261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591</v>
      </c>
      <c r="F75" s="261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591</v>
      </c>
      <c r="F76" s="2638"/>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591</v>
      </c>
      <c r="F77" s="2638"/>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591</v>
      </c>
      <c r="F79" s="261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591</v>
      </c>
      <c r="C81" s="2617"/>
      <c r="D81" s="547" t="s">
        <v>1320</v>
      </c>
      <c r="E81" s="2544" t="s">
        <v>1740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0">
        <f>IF(AK62&gt;0,0,AO71)</f>
        <v>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1305</v>
      </c>
      <c r="AF87" s="2464"/>
      <c r="AG87" s="2464"/>
      <c r="AH87" s="2464"/>
      <c r="AI87" s="2464"/>
      <c r="AJ87" s="2464"/>
      <c r="AK87" s="246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591</v>
      </c>
      <c r="C90" s="2617"/>
      <c r="D90" s="547" t="s">
        <v>1315</v>
      </c>
      <c r="E90" s="2609" t="s">
        <v>1325</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0.55844155844155841</v>
      </c>
      <c r="F93" s="2606"/>
      <c r="G93" s="2606"/>
      <c r="H93" s="2606"/>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3.9999999999999925E-2</v>
      </c>
      <c r="F94" s="2411"/>
      <c r="G94" s="2411"/>
      <c r="H94" s="241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7.9999999999999849</v>
      </c>
      <c r="F95" s="2622"/>
      <c r="G95" s="2622"/>
      <c r="H95" s="26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545</v>
      </c>
      <c r="C98" s="2617"/>
      <c r="D98" s="547" t="s">
        <v>1317</v>
      </c>
      <c r="E98" s="2609" t="s">
        <v>1725</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0.55844155844155841</v>
      </c>
      <c r="F103" s="2606"/>
      <c r="G103" s="2606"/>
      <c r="H103" s="2606"/>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0.1038961038961039</v>
      </c>
      <c r="F104" s="2606"/>
      <c r="G104" s="2606"/>
      <c r="H104" s="2606"/>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0.1038961038961039</v>
      </c>
      <c r="F105" s="2606"/>
      <c r="G105" s="2606"/>
      <c r="H105" s="2606"/>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1314</v>
      </c>
      <c r="AF112" s="2464"/>
      <c r="AG112" s="2464"/>
      <c r="AH112" s="2464"/>
      <c r="AI112" s="2464"/>
      <c r="AJ112" s="2464"/>
      <c r="AK112" s="2464"/>
      <c r="AL112" s="540"/>
      <c r="AM112" s="540"/>
      <c r="AN112" s="535"/>
      <c r="AO112" s="536" t="str">
        <f>Application!B718</f>
        <v>2 Bedrooms</v>
      </c>
      <c r="AQ112" s="536">
        <f>Application!O718</f>
        <v>460</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455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863</v>
      </c>
    </row>
    <row r="115" spans="1:52" s="536" customFormat="1" ht="12.75" customHeight="1">
      <c r="A115" s="540"/>
      <c r="B115" s="2617" t="s">
        <v>545</v>
      </c>
      <c r="C115" s="2617"/>
      <c r="D115" s="547" t="s">
        <v>1315</v>
      </c>
      <c r="E115" s="2609" t="s">
        <v>1857</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2 Bedrooms</v>
      </c>
      <c r="AQ115" s="536">
        <f>Application!O721</f>
        <v>860</v>
      </c>
      <c r="AU115" s="536" t="s">
        <v>1840</v>
      </c>
      <c r="AV115" s="595" t="s">
        <v>1841</v>
      </c>
      <c r="AW115" s="536" t="s">
        <v>1842</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2 Bedrooms</v>
      </c>
      <c r="AQ116" s="536">
        <f>Application!O722</f>
        <v>1083</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2 Bedrooms</v>
      </c>
      <c r="AQ117" s="536">
        <f>Application!O723</f>
        <v>1082</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3 Bedrooms</v>
      </c>
      <c r="AQ118" s="536">
        <f>Application!O724</f>
        <v>517</v>
      </c>
      <c r="AU118" s="856" t="str">
        <f>O124</f>
        <v>2-bedroom</v>
      </c>
      <c r="AV118" s="536">
        <f t="array" ref="AV118">SUM(IF(Application!B718:F752="2 Bedrooms",Application!G718:J752))</f>
        <v>33</v>
      </c>
      <c r="AW118" s="1011">
        <f>AV118/AV122</f>
        <v>0.42857142857142855</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3 Bedrooms</v>
      </c>
      <c r="AQ119" s="536">
        <f>Application!O725</f>
        <v>513</v>
      </c>
      <c r="AU119" s="856" t="str">
        <f>T124</f>
        <v>3-bedroom</v>
      </c>
      <c r="AV119" s="536">
        <f t="array" ref="AV119">SUM(IF(Application!B718:F752="3 Bedrooms",Application!G718:J752))</f>
        <v>44</v>
      </c>
      <c r="AW119" s="1011">
        <f>AV119/AV122</f>
        <v>0.5714285714285714</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3 Bedrooms</v>
      </c>
      <c r="AQ120" s="536">
        <f>Application!O726</f>
        <v>984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t="str">
        <f>Application!B727</f>
        <v>3 Bedrooms</v>
      </c>
      <c r="AQ121" s="536">
        <f>Application!O727</f>
        <v>984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t="str">
        <f>Application!B728</f>
        <v>3 Bedrooms</v>
      </c>
      <c r="AQ122" s="536">
        <f>Application!O728</f>
        <v>1239</v>
      </c>
      <c r="AV122" s="536">
        <f>SUM(AV116:AV121)</f>
        <v>77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1239</v>
      </c>
    </row>
    <row r="124" spans="1:52" s="536" customFormat="1" ht="12.75" customHeight="1">
      <c r="A124" s="540"/>
      <c r="B124" s="539"/>
      <c r="C124" s="540"/>
      <c r="D124" s="540"/>
      <c r="E124" s="2605" t="s">
        <v>1588</v>
      </c>
      <c r="F124" s="2606"/>
      <c r="G124" s="2606"/>
      <c r="H124" s="2606"/>
      <c r="I124" s="577"/>
      <c r="J124" s="2606" t="s">
        <v>1631</v>
      </c>
      <c r="K124" s="2606"/>
      <c r="L124" s="2606"/>
      <c r="M124" s="2606"/>
      <c r="N124" s="577"/>
      <c r="O124" s="2606" t="s">
        <v>1632</v>
      </c>
      <c r="P124" s="2606"/>
      <c r="Q124" s="2606"/>
      <c r="R124" s="2606"/>
      <c r="S124" s="577"/>
      <c r="T124" s="2606" t="s">
        <v>1334</v>
      </c>
      <c r="U124" s="2606"/>
      <c r="V124" s="2606"/>
      <c r="W124" s="2606"/>
      <c r="X124" s="577"/>
      <c r="Y124" s="2606" t="s">
        <v>1633</v>
      </c>
      <c r="Z124" s="2606"/>
      <c r="AA124" s="2606"/>
      <c r="AB124" s="2606"/>
      <c r="AC124" s="577"/>
      <c r="AD124" s="2606" t="s">
        <v>1634</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c r="K127" s="2608"/>
      <c r="L127" s="2608"/>
      <c r="M127" s="2608"/>
      <c r="N127" s="864"/>
      <c r="O127" s="2608">
        <v>2252</v>
      </c>
      <c r="P127" s="2608"/>
      <c r="Q127" s="2608"/>
      <c r="R127" s="2608"/>
      <c r="S127" s="864"/>
      <c r="T127" s="2608">
        <v>2524</v>
      </c>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0</v>
      </c>
      <c r="K130" s="2616"/>
      <c r="L130" s="2616"/>
      <c r="M130" s="2616"/>
      <c r="N130" s="864"/>
      <c r="O130" s="2616">
        <f>Application!EH670</f>
        <v>979.57575757575751</v>
      </c>
      <c r="P130" s="2616"/>
      <c r="Q130" s="2616"/>
      <c r="R130" s="2616"/>
      <c r="S130" s="868"/>
      <c r="T130" s="2616">
        <f>Application!EM670</f>
        <v>1150</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t="e">
        <f>(J127-J130)/J127</f>
        <v>#DIV/0!</v>
      </c>
      <c r="K133" s="2411"/>
      <c r="L133" s="2411"/>
      <c r="M133" s="2412"/>
      <c r="N133" s="577"/>
      <c r="O133" s="2410">
        <f>(O127-O130)/O127</f>
        <v>0.56501964583669739</v>
      </c>
      <c r="P133" s="2411"/>
      <c r="Q133" s="2411"/>
      <c r="R133" s="2412"/>
      <c r="S133" s="577"/>
      <c r="T133" s="2410">
        <f>(T127-T130)/T127</f>
        <v>0.54437400950871628</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t="e">
        <f>IF(((J133-0.1)*AW117)&gt;0,((J133-0.1)*AW117),0)</f>
        <v>#DIV/0!</v>
      </c>
      <c r="K136" s="2619"/>
      <c r="L136" s="2619"/>
      <c r="M136" s="2620"/>
      <c r="N136" s="577"/>
      <c r="O136" s="2618">
        <f>IF(((O133-0.1)*AW118)&gt;0,((O133-0.1)*AW118),0)</f>
        <v>0.19929413393001316</v>
      </c>
      <c r="P136" s="2619"/>
      <c r="Q136" s="2619"/>
      <c r="R136" s="2620"/>
      <c r="S136" s="577"/>
      <c r="T136" s="2618">
        <f>IF(((T133-0.1)*AW119)&gt;0,((T133-0.1)*AW119),0)</f>
        <v>0.25392800543355215</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0.45</v>
      </c>
      <c r="F138" s="2411"/>
      <c r="G138" s="2411"/>
      <c r="H138" s="2412"/>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4" t="s">
        <v>1314</v>
      </c>
      <c r="AF146" s="2464"/>
      <c r="AG146" s="2464"/>
      <c r="AH146" s="2464"/>
      <c r="AI146" s="2464"/>
      <c r="AJ146" s="2464"/>
      <c r="AK146" s="246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1338</v>
      </c>
      <c r="AG148" s="2524"/>
      <c r="AH148" s="2524"/>
      <c r="AI148" s="2524"/>
      <c r="AJ148" s="2524"/>
      <c r="AK148" s="2524"/>
      <c r="AL148" s="252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2612</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5" t="s">
        <v>1341</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6" t="s">
        <v>591</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5" t="s">
        <v>1343</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2475</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2476</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2474</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591</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1352</v>
      </c>
      <c r="AG168" s="2524"/>
      <c r="AH168" s="2524"/>
      <c r="AI168" s="2524"/>
      <c r="AJ168" s="2524"/>
      <c r="AK168" s="2524"/>
      <c r="AL168" s="2524"/>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1350</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591</v>
      </c>
      <c r="AG172" s="2396"/>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5" t="s">
        <v>1343</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6" t="str">
        <f>Application!AA335</f>
        <v xml:space="preserve">Buckingham Property Management </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1314</v>
      </c>
      <c r="AF186" s="2464"/>
      <c r="AG186" s="2464"/>
      <c r="AH186" s="2464"/>
      <c r="AI186" s="2464"/>
      <c r="AJ186" s="2464"/>
      <c r="AK186" s="246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3" t="s">
        <v>1360</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1363</v>
      </c>
      <c r="AG188" s="2524"/>
      <c r="AH188" s="2524"/>
      <c r="AI188" s="2524"/>
      <c r="AJ188" s="2524"/>
      <c r="AK188" s="2524"/>
      <c r="AL188" s="2524"/>
      <c r="AN188" s="597"/>
      <c r="AP188" s="550" t="s">
        <v>1043</v>
      </c>
      <c r="AQ188" s="550">
        <v>10</v>
      </c>
    </row>
    <row r="189" spans="1:73" s="550" customFormat="1" ht="12.75" customHeight="1">
      <c r="A189" s="536"/>
      <c r="B189" s="2395" t="s">
        <v>1726</v>
      </c>
      <c r="C189" s="2395"/>
      <c r="D189" s="2395"/>
      <c r="E189" s="2395"/>
      <c r="F189" s="2395"/>
      <c r="G189" s="2395"/>
      <c r="H189" s="2395"/>
      <c r="I189" s="2395"/>
      <c r="J189" s="2395"/>
      <c r="K189" s="2395"/>
      <c r="L189" s="2395"/>
      <c r="M189" s="2395"/>
      <c r="N189" s="2395"/>
      <c r="O189" s="2395"/>
      <c r="P189" s="2395"/>
      <c r="Q189" s="2395"/>
      <c r="R189" s="2395"/>
      <c r="S189" s="2395"/>
      <c r="T189" s="2594" t="s">
        <v>591</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1">
        <f>IF(AK84&gt;0,VLOOKUP($B$188,AP185:AQ191,2,FALSE),0)</f>
        <v>0</v>
      </c>
      <c r="AL191" s="2432"/>
      <c r="AM191" s="2433"/>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1372</v>
      </c>
      <c r="AF194" s="2464"/>
      <c r="AG194" s="2464"/>
      <c r="AH194" s="2464"/>
      <c r="AI194" s="2464"/>
      <c r="AJ194" s="2464"/>
      <c r="AK194" s="246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2713</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2377860</v>
      </c>
      <c r="AE199" s="2577"/>
      <c r="AF199" s="2577"/>
      <c r="AG199" s="2577"/>
      <c r="AH199" s="2577"/>
      <c r="AI199" s="2577"/>
      <c r="AJ199" s="2577"/>
      <c r="AK199" s="610"/>
    </row>
    <row r="200" spans="1:40">
      <c r="A200" s="605"/>
      <c r="B200" s="2587" t="s">
        <v>2740</v>
      </c>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v>8825000</v>
      </c>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1627</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1590</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1">
        <f>SUM(AD199:AJ209)-AD210</f>
        <v>11202860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1607</v>
      </c>
      <c r="J222" s="2600"/>
      <c r="K222" s="2600"/>
      <c r="L222" s="536"/>
      <c r="M222" s="536"/>
      <c r="N222" s="536"/>
      <c r="O222" s="536"/>
      <c r="P222" s="536"/>
      <c r="Q222" s="536"/>
      <c r="R222" s="536"/>
      <c r="S222" s="536"/>
      <c r="T222" s="2415" t="s">
        <v>1601</v>
      </c>
      <c r="U222" s="2415"/>
      <c r="V222" s="2415"/>
      <c r="W222" s="2415"/>
      <c r="X222" s="2415"/>
      <c r="Y222" s="2415"/>
      <c r="Z222" s="849"/>
      <c r="AA222" s="489"/>
      <c r="AB222" s="2597" t="s">
        <v>1602</v>
      </c>
      <c r="AC222" s="2597"/>
      <c r="AD222" s="2597"/>
      <c r="AE222" s="2597"/>
      <c r="AF222" s="2597"/>
      <c r="AG222" s="2597"/>
      <c r="AH222" s="827"/>
      <c r="AI222" s="827"/>
      <c r="AJ222" s="827"/>
      <c r="AK222" s="610"/>
    </row>
    <row r="223" spans="1:37">
      <c r="A223" s="605"/>
      <c r="B223" s="2598" t="s">
        <v>1587</v>
      </c>
      <c r="C223" s="2598"/>
      <c r="D223" s="2598"/>
      <c r="E223" s="2598"/>
      <c r="F223" s="2598"/>
      <c r="G223" s="2598"/>
      <c r="I223" s="2599" t="s">
        <v>1608</v>
      </c>
      <c r="J223" s="2599"/>
      <c r="K223" s="2599"/>
      <c r="L223" s="1008"/>
      <c r="N223" s="2450" t="s">
        <v>1603</v>
      </c>
      <c r="O223" s="2450"/>
      <c r="P223" s="2450"/>
      <c r="Q223" s="2450"/>
      <c r="R223" s="2450"/>
      <c r="T223" s="2450" t="s">
        <v>1604</v>
      </c>
      <c r="U223" s="2450"/>
      <c r="V223" s="2450"/>
      <c r="W223" s="2450"/>
      <c r="X223" s="2450"/>
      <c r="Y223" s="2450"/>
      <c r="Z223" s="850"/>
      <c r="AA223" s="489"/>
      <c r="AB223" s="2465" t="s">
        <v>1605</v>
      </c>
      <c r="AC223" s="2465"/>
      <c r="AD223" s="2465"/>
      <c r="AE223" s="2465"/>
      <c r="AF223" s="2465"/>
      <c r="AG223" s="2465"/>
      <c r="AH223" s="827"/>
      <c r="AI223" s="827"/>
      <c r="AJ223" s="827"/>
      <c r="AK223" s="610"/>
    </row>
    <row r="224" spans="1:37">
      <c r="A224" s="605"/>
      <c r="B224" s="2466" t="s">
        <v>1184</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1184</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1184</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1184</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1184</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1184</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1184</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1184</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1184</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1184</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11202860</v>
      </c>
      <c r="AH268" s="2428"/>
      <c r="AI268" s="2428"/>
      <c r="AJ268" s="2428"/>
      <c r="AK268" s="2428"/>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27987696</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0.4</v>
      </c>
      <c r="AH270" s="2574"/>
      <c r="AI270" s="2574"/>
      <c r="AJ270" s="2574"/>
      <c r="AK270" s="2574"/>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3">
        <f>IFERROR(IF(AG270=0,0,IF((AG270*100)&gt;8,8,(AG270*100))),0)</f>
        <v>8</v>
      </c>
      <c r="AL273" s="2563"/>
      <c r="AM273" s="256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5" t="s">
        <v>545</v>
      </c>
      <c r="D278" s="2445"/>
      <c r="E278" s="547"/>
      <c r="F278" s="2397" t="s">
        <v>2024</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1363</v>
      </c>
      <c r="AH278" s="2572"/>
      <c r="AI278" s="2572"/>
      <c r="AJ278" s="2572"/>
      <c r="AK278" s="550"/>
      <c r="AL278" s="550"/>
      <c r="AM278" s="550"/>
      <c r="AO278" s="550"/>
    </row>
    <row r="279" spans="1:52" ht="13.7"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3">
        <f>IF($C$278="yes",10,0)</f>
        <v>10</v>
      </c>
      <c r="AL285" s="2563"/>
      <c r="AM285" s="256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1382</v>
      </c>
      <c r="B292" s="1638"/>
      <c r="C292" s="2396" t="s">
        <v>591</v>
      </c>
      <c r="D292" s="2445"/>
      <c r="E292" s="547"/>
      <c r="F292" s="2565" t="s">
        <v>1383</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2017</v>
      </c>
      <c r="AH292" s="2568"/>
      <c r="AI292" s="2568"/>
      <c r="AJ292" s="2568"/>
      <c r="AK292" s="2568"/>
      <c r="AL292" s="550"/>
      <c r="AM292" s="550"/>
      <c r="AN292" s="73"/>
      <c r="AO292" s="14"/>
      <c r="AP292" s="30"/>
      <c r="AS292" s="570"/>
      <c r="AT292" s="570"/>
      <c r="AU292" s="570"/>
      <c r="AV292" s="32"/>
      <c r="AW292" s="32"/>
    </row>
    <row r="293" spans="1:49">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3" t="s">
        <v>2025</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1384</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1385</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1386</v>
      </c>
      <c r="B302" s="1638"/>
      <c r="C302" s="2445" t="s">
        <v>591</v>
      </c>
      <c r="D302" s="244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7" t="s">
        <v>2019</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8" t="s">
        <v>1389</v>
      </c>
      <c r="B310" s="1638"/>
      <c r="C310" s="2445" t="s">
        <v>591</v>
      </c>
      <c r="D310" s="244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3" t="s">
        <v>2026</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1184</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1184</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6" t="s">
        <v>1184</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6" t="s">
        <v>1184</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8" t="s">
        <v>1392</v>
      </c>
      <c r="B333" s="1638"/>
      <c r="C333" s="2445" t="s">
        <v>591</v>
      </c>
      <c r="D333" s="2445"/>
      <c r="E333" s="547"/>
      <c r="F333" s="2544" t="s">
        <v>2027</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1">
        <f>IF(NOT(OR(Application!M355="Yes",Application!M356="Yes")),0,AP295)</f>
        <v>0</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4" t="s">
        <v>1314</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1454</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4"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2092</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2207</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1455</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1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85"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1456</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1457</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581</v>
      </c>
      <c r="AP361" s="696">
        <f>IF(C407="Yes",5,0)</f>
        <v>0</v>
      </c>
      <c r="AS361" s="539" t="s">
        <v>1878</v>
      </c>
    </row>
    <row r="362" spans="1:46" s="550" customFormat="1" ht="12.75" customHeight="1">
      <c r="A362" s="603"/>
      <c r="B362" s="611"/>
      <c r="C362" s="2534" t="s">
        <v>2231</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763</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584</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0" t="s">
        <v>1458</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456</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461</v>
      </c>
      <c r="AP370" s="696">
        <f>IF(C449="Yes",5,0)</f>
        <v>0</v>
      </c>
    </row>
    <row r="371" spans="1:81" s="550" customFormat="1" ht="68.099999999999994"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1">
        <f>Application!DU802-U374</f>
        <v>198</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3">
        <f>IF(AP375&gt;0,AP375,0)</f>
        <v>0</v>
      </c>
      <c r="AR375" s="2443"/>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4" t="s">
        <v>1460</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591</v>
      </c>
      <c r="D381" s="244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1462</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4" t="s">
        <v>1463</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591</v>
      </c>
      <c r="D389" s="244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1462</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4" t="s">
        <v>1465</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545</v>
      </c>
      <c r="D397" s="244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1467</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591</v>
      </c>
      <c r="D399" s="244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1462</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4" t="s">
        <v>1471</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591</v>
      </c>
      <c r="D407" s="244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1462</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545</v>
      </c>
      <c r="D409" s="244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1474</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591</v>
      </c>
      <c r="D412" s="2445"/>
      <c r="E412" s="715" t="s">
        <v>1475</v>
      </c>
      <c r="F412" s="2434" t="s">
        <v>1476</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1462</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4" t="s">
        <v>1478</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591</v>
      </c>
      <c r="D421" s="244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1462</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591</v>
      </c>
      <c r="D423" s="244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1474</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4" t="s">
        <v>1482</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4"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591</v>
      </c>
      <c r="D430" s="244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1462</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34" t="s">
        <v>1485</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591</v>
      </c>
      <c r="D442" s="244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1462</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4" t="s">
        <v>1488</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591</v>
      </c>
      <c r="D449" s="244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1462</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591</v>
      </c>
      <c r="D453" s="2561"/>
      <c r="E453" s="715" t="s">
        <v>1497</v>
      </c>
      <c r="F453" s="2434" t="s">
        <v>1498</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1462</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649999999999999"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591</v>
      </c>
      <c r="D457" s="2445"/>
      <c r="E457" s="715" t="s">
        <v>1503</v>
      </c>
      <c r="F457" s="2434" t="s">
        <v>1504</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1462</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4" t="s">
        <v>1507</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591</v>
      </c>
      <c r="D466" s="244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1462</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6" t="s">
        <v>1511</v>
      </c>
      <c r="AF472" s="2446"/>
      <c r="AG472" s="2446"/>
      <c r="AH472" s="2446"/>
      <c r="AI472" s="2446"/>
      <c r="AJ472" s="2446"/>
      <c r="AK472" s="2446"/>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3" t="s">
        <v>591</v>
      </c>
      <c r="D478" s="2454"/>
      <c r="E478" s="761" t="s">
        <v>507</v>
      </c>
      <c r="F478" s="2531" t="s">
        <v>1517</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9" t="s">
        <v>591</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0" t="s">
        <v>545</v>
      </c>
      <c r="D482" s="246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9" t="s">
        <v>591</v>
      </c>
      <c r="W485" s="2439"/>
      <c r="X485" s="243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9" t="s">
        <v>591</v>
      </c>
      <c r="W487" s="2439"/>
      <c r="X487" s="243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9" t="s">
        <v>591</v>
      </c>
      <c r="W492" s="2439"/>
      <c r="X492" s="243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8"/>
      <c r="E495" s="245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9" t="s">
        <v>591</v>
      </c>
      <c r="W496" s="2439"/>
      <c r="X496" s="243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9" t="s">
        <v>591</v>
      </c>
      <c r="W498" s="2439"/>
      <c r="X498" s="243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591</v>
      </c>
      <c r="D501" s="2454"/>
      <c r="E501" s="761" t="s">
        <v>507</v>
      </c>
      <c r="F501" s="2531" t="s">
        <v>1517</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591</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591</v>
      </c>
      <c r="D505" s="2454"/>
      <c r="E505" s="761" t="s">
        <v>757</v>
      </c>
      <c r="F505" s="2455" t="s">
        <v>1539</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7" t="s">
        <v>591</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3" t="s">
        <v>591</v>
      </c>
      <c r="D510" s="245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3"/>
      <c r="D512" s="245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591</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591</v>
      </c>
      <c r="D515" s="2526"/>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591</v>
      </c>
      <c r="D519" s="2526"/>
      <c r="F519" s="795" t="s">
        <v>1547</v>
      </c>
      <c r="G519" s="2435" t="s">
        <v>1548</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591</v>
      </c>
      <c r="D523" s="2528"/>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591</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1560</v>
      </c>
      <c r="AF538" s="2464"/>
      <c r="AG538" s="2464"/>
      <c r="AH538" s="2464"/>
      <c r="AI538" s="2464"/>
      <c r="AJ538" s="2464"/>
      <c r="AK538" s="246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545</v>
      </c>
      <c r="D541" s="2445"/>
      <c r="E541" s="551"/>
      <c r="F541" s="2467" t="s">
        <v>1561</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591</v>
      </c>
      <c r="D544" s="244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1563</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1564</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44220672</v>
      </c>
      <c r="AQ550" s="2422"/>
      <c r="AR550" s="2422"/>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25763439</v>
      </c>
      <c r="AG551" s="2428"/>
      <c r="AH551" s="2428"/>
      <c r="AI551" s="2428"/>
      <c r="AJ551" s="2428"/>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57486873.600000001</v>
      </c>
      <c r="AG552" s="2429"/>
      <c r="AH552" s="2429"/>
      <c r="AI552" s="2429"/>
      <c r="AJ552" s="2429"/>
      <c r="AK552" s="595"/>
      <c r="AL552" s="595"/>
      <c r="AM552" s="595"/>
      <c r="AN552" s="597"/>
      <c r="AP552" s="2422">
        <f>Application!AJ1045</f>
        <v>4422067.2</v>
      </c>
      <c r="AQ552" s="2422"/>
      <c r="AR552" s="2422"/>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0.55000000000000004</v>
      </c>
      <c r="AG553" s="2430"/>
      <c r="AH553" s="2430"/>
      <c r="AI553" s="2430"/>
      <c r="AJ553" s="2430"/>
      <c r="AK553" s="595"/>
      <c r="AL553" s="595"/>
      <c r="AM553" s="595"/>
      <c r="AN553" s="597"/>
      <c r="AP553" s="2418">
        <f>Application!AJ1049</f>
        <v>8844134.4000000004</v>
      </c>
      <c r="AQ553" s="2418"/>
      <c r="AR553" s="2418"/>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0.30000000000000004</v>
      </c>
      <c r="AQ554" s="2437"/>
      <c r="AR554" s="2437"/>
      <c r="AS554" s="550" t="s">
        <v>2171</v>
      </c>
    </row>
    <row r="555" spans="1:49" s="550" customFormat="1" ht="12.75" customHeight="1">
      <c r="A555" s="624"/>
      <c r="B555" s="2504" t="s">
        <v>2031</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44220672</v>
      </c>
      <c r="AQ556" s="2438"/>
      <c r="AR556" s="2438"/>
      <c r="AS556" s="550" t="s">
        <v>2173</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57486873.600000001</v>
      </c>
      <c r="AQ557" s="2422"/>
      <c r="AR557" s="2422"/>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3">
        <f>IFERROR(IF(AND(C541="N/A",C544="N/A"),0,IF(AF553=0,0,IF((AF553*100)&gt;12,12,(AF553*100)))),0)</f>
        <v>12</v>
      </c>
      <c r="AL559" s="2513"/>
      <c r="AM559" s="2514"/>
      <c r="AN559" s="597"/>
      <c r="AP559" s="2407">
        <f>AP556+(AP550*AP554)</f>
        <v>57486873.600000001</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1314</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2022</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1338</v>
      </c>
      <c r="AG578" s="2524"/>
      <c r="AH578" s="2524"/>
      <c r="AI578" s="2524"/>
      <c r="AJ578" s="2524"/>
      <c r="AK578" s="2524"/>
      <c r="AL578" s="2524"/>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1396</v>
      </c>
      <c r="AG585" s="2524"/>
      <c r="AH585" s="2524"/>
      <c r="AI585" s="2524"/>
      <c r="AJ585" s="2524"/>
      <c r="AK585" s="2524"/>
      <c r="AL585" s="2524"/>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1378</v>
      </c>
      <c r="AG591" s="2524"/>
      <c r="AH591" s="2524"/>
      <c r="AI591" s="2524"/>
      <c r="AJ591" s="2524"/>
      <c r="AK591" s="2524"/>
      <c r="AL591" s="2524"/>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1399</v>
      </c>
      <c r="AG597" s="2524"/>
      <c r="AH597" s="2524"/>
      <c r="AI597" s="2524"/>
      <c r="AJ597" s="2524"/>
      <c r="AK597" s="2524"/>
      <c r="AL597" s="2524"/>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0" t="s">
        <v>1184</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1352</v>
      </c>
      <c r="AG603" s="2524"/>
      <c r="AH603" s="2524"/>
      <c r="AI603" s="2524"/>
      <c r="AJ603" s="2524"/>
      <c r="AK603" s="2524"/>
      <c r="AL603" s="2524"/>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8" t="s">
        <v>1397</v>
      </c>
      <c r="I606" s="2448"/>
      <c r="J606" s="936"/>
      <c r="K606" s="936"/>
      <c r="L606" s="936"/>
      <c r="N606" s="22"/>
      <c r="O606" s="22"/>
      <c r="P606" s="22"/>
      <c r="Q606" s="1151" t="s">
        <v>2176</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9" t="s">
        <v>591</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6" t="s">
        <v>591</v>
      </c>
      <c r="C616" s="2396"/>
      <c r="D616" s="642"/>
      <c r="E616" s="2424" t="s">
        <v>1403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1">
        <f>VLOOKUP($H$606,$AO$586:$AP$591,2,FALSE)+IF(R606=AO594,0,VLOOKUP($I$614,$AO$613:$AP$615,2,FALSE))</f>
        <v>4</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8" t="s">
        <v>1694</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1352</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6" t="s">
        <v>591</v>
      </c>
      <c r="Y634" s="2396"/>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1408</v>
      </c>
      <c r="AG636" s="2524"/>
      <c r="AH636" s="2524"/>
      <c r="AI636" s="2524"/>
      <c r="AJ636" s="2524"/>
      <c r="AK636" s="2524"/>
      <c r="AL636" s="252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8" t="s">
        <v>687</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1">
        <f>VLOOKUP($H$638,$AO$605:$AP$607,2,FALSE)</f>
        <v>3</v>
      </c>
      <c r="AK640" s="2433"/>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4" t="s">
        <v>2097</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1352</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1408</v>
      </c>
      <c r="AG647" s="2524"/>
      <c r="AH647" s="2524"/>
      <c r="AI647" s="2524"/>
      <c r="AJ647" s="2524"/>
      <c r="AK647" s="2524"/>
      <c r="AL647" s="2524"/>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8" t="s">
        <v>509</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1">
        <f>VLOOKUP(H650,AT605:AU607,2,FALSE)</f>
        <v>2</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4" t="s">
        <v>1418</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1378</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4" t="s">
        <v>1419</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1399</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4" t="s">
        <v>1420</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1352</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591</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4" t="s">
        <v>1421</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1399</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4" t="s">
        <v>1422</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1352</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4" t="s">
        <v>1423</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1408</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4" t="s">
        <v>1424</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1425</v>
      </c>
      <c r="AG681" s="2524"/>
      <c r="AH681" s="2524"/>
      <c r="AI681" s="2524"/>
      <c r="AJ681" s="2524"/>
      <c r="AK681" s="2524"/>
      <c r="AL681" s="2524"/>
      <c r="AM681" s="596"/>
      <c r="AN681" s="597"/>
      <c r="AO681" s="611" t="s">
        <v>687</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8" t="s">
        <v>509</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1">
        <f>VLOOKUP($H$685,$AO$633:$AP$640,2,FALSE)</f>
        <v>4</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77</v>
      </c>
    </row>
    <row r="691" spans="1:51" s="550" customFormat="1" ht="12.75" customHeight="1">
      <c r="A691" s="679"/>
      <c r="B691" s="536"/>
      <c r="C691" s="948"/>
      <c r="D691" s="663" t="s">
        <v>687</v>
      </c>
      <c r="E691" s="2394" t="s">
        <v>2189</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1352</v>
      </c>
      <c r="AG691" s="2524"/>
      <c r="AH691" s="2524"/>
      <c r="AI691" s="2524"/>
      <c r="AJ691" s="2524"/>
      <c r="AK691" s="2524"/>
      <c r="AL691" s="2524"/>
      <c r="AN691" s="597"/>
      <c r="AW691" s="22" t="s">
        <v>2184</v>
      </c>
      <c r="AX691" s="550">
        <f>Application!DE753</f>
        <v>44</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4" t="s">
        <v>2133</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1352</v>
      </c>
      <c r="AG694" s="2524"/>
      <c r="AH694" s="2524"/>
      <c r="AI694" s="2524"/>
      <c r="AJ694" s="2524"/>
      <c r="AK694" s="2524"/>
      <c r="AL694" s="2524"/>
      <c r="AN694" s="597"/>
      <c r="AW694" s="22" t="s">
        <v>2187</v>
      </c>
      <c r="AX694" s="550">
        <f>AX691+AX692+AX693</f>
        <v>44</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1</v>
      </c>
      <c r="AP695" s="2438"/>
      <c r="AW695" s="22" t="s">
        <v>2188</v>
      </c>
      <c r="AX695" s="550">
        <f>IFERROR(AX694/AX690,0)</f>
        <v>0.5714285714285714</v>
      </c>
      <c r="AY695" s="550">
        <f>IFERROR(AX694/(AX690-AX689),0)</f>
        <v>0.5714285714285714</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4" t="s">
        <v>2134</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1408</v>
      </c>
      <c r="AG699" s="2524"/>
      <c r="AH699" s="2524"/>
      <c r="AI699" s="2524"/>
      <c r="AJ699" s="2524"/>
      <c r="AK699" s="2524"/>
      <c r="AL699" s="2524"/>
      <c r="AN699" s="597"/>
      <c r="AO699" s="611" t="s">
        <v>509</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4" t="s">
        <v>1693</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8" t="s">
        <v>591</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1">
        <f>VLOOKUP($H$709,$AO$703:$AP$706,2,FALSE)</f>
        <v>0</v>
      </c>
      <c r="AK711" s="2433"/>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1352</v>
      </c>
      <c r="AG715" s="2524"/>
      <c r="AH715" s="2524"/>
      <c r="AI715" s="2524"/>
      <c r="AJ715" s="2524"/>
      <c r="AK715" s="2524"/>
      <c r="AL715" s="2524"/>
      <c r="AM715" s="550"/>
      <c r="AN715" s="684"/>
      <c r="AP715" s="570" t="s">
        <v>1432</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1408</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48" t="s">
        <v>591</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4" t="s">
        <v>1696</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1352</v>
      </c>
      <c r="AG729" s="2524"/>
      <c r="AH729" s="2524"/>
      <c r="AI729" s="2524"/>
      <c r="AJ729" s="2524"/>
      <c r="AK729" s="2524"/>
      <c r="AL729" s="2524"/>
      <c r="AM729" s="550"/>
      <c r="AN729" s="684"/>
      <c r="AT729" s="14"/>
      <c r="AU729" s="14"/>
      <c r="AV729" s="14"/>
      <c r="AW729" s="14"/>
      <c r="AX729" s="14"/>
      <c r="AY729" s="14"/>
      <c r="AZ729" s="14"/>
    </row>
    <row r="730" spans="1:81" s="570" customFormat="1">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4" t="s">
        <v>1439</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1408</v>
      </c>
      <c r="AG732" s="2524"/>
      <c r="AH732" s="2524"/>
      <c r="AI732" s="2524"/>
      <c r="AJ732" s="2524"/>
      <c r="AK732" s="2524"/>
      <c r="AL732" s="2524"/>
      <c r="AM732" s="550"/>
      <c r="AN732" s="684"/>
      <c r="AT732" s="14"/>
      <c r="AU732" s="14"/>
      <c r="AV732" s="14"/>
      <c r="AW732" s="14"/>
      <c r="AX732" s="14"/>
      <c r="AY732" s="14"/>
      <c r="AZ732" s="14"/>
    </row>
    <row r="733" spans="1:81" s="570" customFormat="1">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8" t="s">
        <v>591</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4" t="s">
        <v>1442</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1352</v>
      </c>
      <c r="AG741" s="2524"/>
      <c r="AH741" s="2524"/>
      <c r="AI741" s="2524"/>
      <c r="AJ741" s="2524"/>
      <c r="AK741" s="2524"/>
      <c r="AL741" s="2524"/>
      <c r="AM741" s="550"/>
      <c r="AN741" s="684"/>
      <c r="AT741" s="14"/>
      <c r="AU741" s="14"/>
      <c r="AV741" s="14"/>
      <c r="AW741" s="14"/>
      <c r="AX741" s="14"/>
      <c r="AY741" s="14"/>
      <c r="AZ741" s="14"/>
    </row>
    <row r="742" spans="1:81" s="570" customFormat="1">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4" t="s">
        <v>1443</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1408</v>
      </c>
      <c r="AG746" s="2524"/>
      <c r="AH746" s="2524"/>
      <c r="AI746" s="2524"/>
      <c r="AJ746" s="2524"/>
      <c r="AK746" s="2524"/>
      <c r="AL746" s="2524"/>
      <c r="AM746" s="550"/>
      <c r="AN746" s="684"/>
      <c r="AO746" s="30"/>
      <c r="AP746" s="14"/>
    </row>
    <row r="747" spans="1:81" s="570" customFormat="1">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8" t="s">
        <v>509</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1">
        <f>VLOOKUP($H$751,$AO$680:$AP$682,2,FALSE)</f>
        <v>2</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4" t="s">
        <v>1445</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1408</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4" t="s">
        <v>1446</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1425</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8" t="s">
        <v>509</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1">
        <f>VLOOKUP($H$763,$AO$697:$AP$699,2,FALSE)</f>
        <v>1</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24" t="s">
        <v>1692</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1408</v>
      </c>
      <c r="AG769" s="2524"/>
      <c r="AH769" s="2524"/>
      <c r="AI769" s="2524"/>
      <c r="AJ769" s="2524"/>
      <c r="AK769" s="2524"/>
      <c r="AL769" s="2524"/>
      <c r="AM769" s="613"/>
      <c r="AN769" s="684"/>
      <c r="AO769" s="550" t="s">
        <v>591</v>
      </c>
      <c r="AP769" s="673">
        <v>0</v>
      </c>
    </row>
    <row r="770" spans="1:81" s="570" customFormat="1" ht="13.7"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1352</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8" t="s">
        <v>591</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1">
        <f>VLOOKUP($H$779,$AO$769:$AP$771,2,FALSE)</f>
        <v>0</v>
      </c>
      <c r="AK781" s="243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24" t="s">
        <v>2032</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1352</v>
      </c>
      <c r="AG785" s="2524"/>
      <c r="AH785" s="2524"/>
      <c r="AI785" s="2524"/>
      <c r="AJ785" s="2524"/>
      <c r="AK785" s="2524"/>
      <c r="AL785" s="2524"/>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8" t="s">
        <v>591</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1">
        <f>VLOOKUP($H$790,$AO$784:$AP$785,2,FALSE)</f>
        <v>0</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1568</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8" t="s">
        <v>1569</v>
      </c>
      <c r="U802" s="2519"/>
      <c r="V802" s="2519"/>
      <c r="W802" s="2519"/>
      <c r="X802" s="2519"/>
      <c r="Y802" s="2520"/>
      <c r="Z802" s="2518" t="s">
        <v>1570</v>
      </c>
      <c r="AA802" s="2519"/>
      <c r="AB802" s="2519"/>
      <c r="AC802" s="2519"/>
      <c r="AD802" s="2519"/>
      <c r="AE802" s="2520"/>
      <c r="AF802" s="2518" t="s">
        <v>1571</v>
      </c>
      <c r="AG802" s="2519"/>
      <c r="AH802" s="2519"/>
      <c r="AI802" s="2519"/>
      <c r="AJ802" s="2519"/>
      <c r="AK802" s="252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c r="A804" s="819" t="s">
        <v>757</v>
      </c>
      <c r="B804" s="2475" t="s">
        <v>1304</v>
      </c>
      <c r="C804" s="2475"/>
      <c r="D804" s="2475"/>
      <c r="E804" s="2475"/>
      <c r="F804" s="2475"/>
      <c r="G804" s="2475"/>
      <c r="H804" s="2475"/>
      <c r="I804" s="2475"/>
      <c r="J804" s="2475"/>
      <c r="K804" s="2475"/>
      <c r="L804" s="2475"/>
      <c r="M804" s="2475"/>
      <c r="N804" s="2475"/>
      <c r="O804" s="2475"/>
      <c r="P804" s="2475"/>
      <c r="Q804" s="2475"/>
      <c r="R804" s="2475"/>
      <c r="S804" s="2476"/>
      <c r="T804" s="2503">
        <f>AK62</f>
        <v>20</v>
      </c>
      <c r="U804" s="2479"/>
      <c r="V804" s="2479"/>
      <c r="W804" s="2479"/>
      <c r="X804" s="2479"/>
      <c r="Y804" s="2480"/>
      <c r="Z804" s="2478">
        <v>20</v>
      </c>
      <c r="AA804" s="2479"/>
      <c r="AB804" s="2479"/>
      <c r="AC804" s="2479"/>
      <c r="AD804" s="2479"/>
      <c r="AE804" s="2480"/>
      <c r="AF804" s="2443">
        <f>IF(T804&gt;Z804,Z804,T804)</f>
        <v>20</v>
      </c>
      <c r="AG804" s="2443"/>
      <c r="AH804" s="2443"/>
      <c r="AI804" s="2443"/>
      <c r="AJ804" s="2443"/>
      <c r="AK804" s="2443"/>
      <c r="AL804" s="818"/>
      <c r="AM804" s="596"/>
      <c r="AO804" s="816"/>
      <c r="AP804" s="816"/>
      <c r="AQ804" s="816"/>
    </row>
    <row r="805" spans="1:81">
      <c r="A805" s="819" t="s">
        <v>1541</v>
      </c>
      <c r="B805" s="2475" t="s">
        <v>1313</v>
      </c>
      <c r="C805" s="2475"/>
      <c r="D805" s="2475"/>
      <c r="E805" s="2475"/>
      <c r="F805" s="2475"/>
      <c r="G805" s="2475"/>
      <c r="H805" s="2475"/>
      <c r="I805" s="2475"/>
      <c r="J805" s="2475"/>
      <c r="K805" s="2475"/>
      <c r="L805" s="2475"/>
      <c r="M805" s="2475"/>
      <c r="N805" s="2475"/>
      <c r="O805" s="2475"/>
      <c r="P805" s="2475"/>
      <c r="Q805" s="2475"/>
      <c r="R805" s="2475"/>
      <c r="S805" s="2476"/>
      <c r="T805" s="2503">
        <f>AK84</f>
        <v>0</v>
      </c>
      <c r="U805" s="2479"/>
      <c r="V805" s="2479"/>
      <c r="W805" s="2479"/>
      <c r="X805" s="2479"/>
      <c r="Y805" s="2480"/>
      <c r="Z805" s="2478">
        <v>10</v>
      </c>
      <c r="AA805" s="2479"/>
      <c r="AB805" s="2479"/>
      <c r="AC805" s="2479"/>
      <c r="AD805" s="2479"/>
      <c r="AE805" s="2480"/>
      <c r="AF805" s="2443">
        <f>IF(T805&gt;Z805,Z805,T805)</f>
        <v>0</v>
      </c>
      <c r="AG805" s="2443"/>
      <c r="AH805" s="2443"/>
      <c r="AI805" s="2443"/>
      <c r="AJ805" s="2443"/>
      <c r="AK805" s="2443"/>
      <c r="AL805" s="818"/>
      <c r="AM805" s="596"/>
      <c r="AO805" s="816"/>
      <c r="AP805" s="816"/>
      <c r="AQ805" s="816"/>
    </row>
    <row r="806" spans="1:81">
      <c r="A806" s="819" t="s">
        <v>1550</v>
      </c>
      <c r="B806" s="2475" t="s">
        <v>1323</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c r="A807" s="819" t="s">
        <v>1572</v>
      </c>
      <c r="B807" s="2475" t="s">
        <v>1333</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c r="A808" s="820" t="s">
        <v>1573</v>
      </c>
      <c r="B808" s="2475" t="s">
        <v>1574</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c r="A809" s="535"/>
      <c r="B809" s="601"/>
      <c r="C809" s="2481" t="s">
        <v>1575</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c r="A810" s="600"/>
      <c r="B810" s="601"/>
      <c r="C810" s="2481" t="s">
        <v>1576</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c r="A811" s="820" t="s">
        <v>1361</v>
      </c>
      <c r="B811" s="2475" t="s">
        <v>1577</v>
      </c>
      <c r="C811" s="2475"/>
      <c r="D811" s="2475"/>
      <c r="E811" s="2475"/>
      <c r="F811" s="2475"/>
      <c r="G811" s="2475"/>
      <c r="H811" s="2475"/>
      <c r="I811" s="2475"/>
      <c r="J811" s="2475"/>
      <c r="K811" s="2475"/>
      <c r="L811" s="2475"/>
      <c r="M811" s="2475"/>
      <c r="N811" s="2475"/>
      <c r="O811" s="2475"/>
      <c r="P811" s="2475"/>
      <c r="Q811" s="2475"/>
      <c r="R811" s="2475"/>
      <c r="S811" s="2476"/>
      <c r="T811" s="2477">
        <f>AK191</f>
        <v>0</v>
      </c>
      <c r="U811" s="2477"/>
      <c r="V811" s="2477"/>
      <c r="W811" s="2477"/>
      <c r="X811" s="2477"/>
      <c r="Y811" s="2477"/>
      <c r="Z811" s="2443">
        <v>10</v>
      </c>
      <c r="AA811" s="2443"/>
      <c r="AB811" s="2443"/>
      <c r="AC811" s="2443"/>
      <c r="AD811" s="2443"/>
      <c r="AE811" s="2443"/>
      <c r="AF811" s="2443">
        <f>IF(T811&gt;Z811,Z811,T811)</f>
        <v>0</v>
      </c>
      <c r="AG811" s="2443"/>
      <c r="AH811" s="2443"/>
      <c r="AI811" s="2443"/>
      <c r="AJ811" s="2443"/>
      <c r="AK811" s="2443"/>
      <c r="AL811" s="818"/>
      <c r="AM811" s="596"/>
    </row>
    <row r="812" spans="1:81">
      <c r="A812" s="819" t="s">
        <v>1370</v>
      </c>
      <c r="B812" s="2475" t="s">
        <v>1371</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idden="1">
      <c r="A813" s="820" t="s">
        <v>589</v>
      </c>
      <c r="B813" s="2475" t="s">
        <v>1578</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5" t="s">
        <v>1579</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5" t="s">
        <v>1381</v>
      </c>
      <c r="C815" s="2475"/>
      <c r="D815" s="2475"/>
      <c r="E815" s="2475"/>
      <c r="F815" s="2475"/>
      <c r="G815" s="2475"/>
      <c r="H815" s="2475"/>
      <c r="I815" s="2475"/>
      <c r="J815" s="2475"/>
      <c r="K815" s="2475"/>
      <c r="L815" s="2475"/>
      <c r="M815" s="2475"/>
      <c r="N815" s="2475"/>
      <c r="O815" s="2475"/>
      <c r="P815" s="2475"/>
      <c r="Q815" s="2475"/>
      <c r="R815" s="2475"/>
      <c r="S815" s="2476"/>
      <c r="T815" s="2477">
        <f>AK338</f>
        <v>0</v>
      </c>
      <c r="U815" s="2477"/>
      <c r="V815" s="2477"/>
      <c r="W815" s="2477"/>
      <c r="X815" s="2477"/>
      <c r="Y815" s="2477"/>
      <c r="Z815" s="2486">
        <v>10</v>
      </c>
      <c r="AA815" s="2487"/>
      <c r="AB815" s="2487"/>
      <c r="AC815" s="2487"/>
      <c r="AD815" s="2487"/>
      <c r="AE815" s="2488"/>
      <c r="AF815" s="2486">
        <f>IF(T815&gt;Z815,Z815,T815)</f>
        <v>0</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3">
        <f>AK338</f>
        <v>0</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5" t="s">
        <v>845</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5" t="s">
        <v>1559</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5" t="s">
        <v>1581</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9" t="s">
        <v>1582</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1583</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1" t="s">
        <v>1584</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110</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2025-08-22T16:31:43Z</cp:lastPrinted>
  <dcterms:created xsi:type="dcterms:W3CDTF">2007-12-27T18:26:28Z</dcterms:created>
  <dcterms:modified xsi:type="dcterms:W3CDTF">2025-09-09T18:27:10Z</dcterms:modified>
</cp:coreProperties>
</file>